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1925" tabRatio="963"/>
  </bookViews>
  <sheets>
    <sheet name="泰康小区" sheetId="2" r:id="rId1"/>
    <sheet name="多浪小镇一期" sheetId="1" r:id="rId2"/>
    <sheet name="多浪小镇二期" sheetId="3" r:id="rId3"/>
    <sheet name="阿克苏分公司预收账款" sheetId="19" r:id="rId4"/>
    <sheet name="预收账款2013-2023年接表明细" sheetId="12" r:id="rId5"/>
    <sheet name="泰康小区账面房号及收款金额" sheetId="14" r:id="rId6"/>
    <sheet name="2023年8-11月预收账款" sheetId="22" r:id="rId7"/>
    <sheet name="账面结转2019年后" sheetId="23" r:id="rId8"/>
    <sheet name="多浪小区账面房号及收款金额" sheetId="15" r:id="rId9"/>
    <sheet name="多浪一期账面房号及收款金额-分公司" sheetId="21" r:id="rId10"/>
    <sheet name="2019年12月-2023年7月科目余额表" sheetId="17" r:id="rId11"/>
    <sheet name="其他应付款" sheetId="16" r:id="rId12"/>
  </sheets>
  <externalReferences>
    <externalReference r:id="rId14"/>
    <externalReference r:id="rId15"/>
    <externalReference r:id="rId16"/>
    <externalReference r:id="rId17"/>
  </externalReferences>
  <definedNames>
    <definedName name="_xlnm._FilterDatabase" localSheetId="0" hidden="1">泰康小区!$A$3:$AC$523</definedName>
    <definedName name="_xlnm._FilterDatabase" localSheetId="1" hidden="1">多浪小镇一期!$A$3:$U$520</definedName>
    <definedName name="_xlnm._FilterDatabase" localSheetId="2" hidden="1">多浪小镇二期!$A$3:$U$492</definedName>
    <definedName name="_xlnm._FilterDatabase" localSheetId="3" hidden="1">阿克苏分公司预收账款!$A$1:$O$1946</definedName>
    <definedName name="_xlnm._FilterDatabase" localSheetId="4" hidden="1">'预收账款2013-2023年接表明细'!$A$1:$XFC$4301</definedName>
    <definedName name="_xlnm._FilterDatabase" localSheetId="5" hidden="1">泰康小区账面房号及收款金额!$A$1:$B$427</definedName>
    <definedName name="_xlnm._FilterDatabase" localSheetId="8" hidden="1">多浪小区账面房号及收款金额!$A$1:$D$479</definedName>
    <definedName name="_xlnm._FilterDatabase" localSheetId="9" hidden="1">'多浪一期账面房号及收款金额-分公司'!$A$1:$C$439</definedName>
    <definedName name="_xlnm._FilterDatabase" localSheetId="11" hidden="1">其他应付款!$A$2:$O$1689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Infraware Corporation</author>
  </authors>
  <commentList>
    <comment ref="F72" authorId="0">
      <text>
        <r>
          <rPr>
            <b/>
            <sz val="9"/>
            <color indexed="8"/>
            <rFont val="宋体"/>
            <charset val="134"/>
          </rPr>
          <t>Administrator:</t>
        </r>
        <r>
          <rPr>
            <sz val="9"/>
            <color indexed="8"/>
            <rFont val="宋体"/>
            <charset val="134"/>
          </rPr>
          <t xml:space="preserve">
原房主：艾尔肯·库万5000元不知道转到哪个房子</t>
        </r>
      </text>
    </comment>
    <comment ref="F79" authorId="0">
      <text>
        <r>
          <rPr>
            <b/>
            <sz val="9"/>
            <color indexed="8"/>
            <rFont val="宋体"/>
            <charset val="134"/>
          </rPr>
          <t>Administrator:</t>
        </r>
        <r>
          <rPr>
            <sz val="9"/>
            <color indexed="8"/>
            <rFont val="宋体"/>
            <charset val="134"/>
          </rPr>
          <t xml:space="preserve">
原房主：阿不都拉·阿里木</t>
        </r>
      </text>
    </comment>
    <comment ref="F129" authorId="0">
      <text>
        <r>
          <rPr>
            <b/>
            <sz val="9"/>
            <color indexed="8"/>
            <rFont val="宋体"/>
            <charset val="134"/>
          </rPr>
          <t>Administrator:</t>
        </r>
        <r>
          <rPr>
            <sz val="9"/>
            <color indexed="8"/>
            <rFont val="宋体"/>
            <charset val="134"/>
          </rPr>
          <t xml:space="preserve">
原：乔力帕汗·居麦</t>
        </r>
      </text>
    </comment>
    <comment ref="F147" authorId="0">
      <text>
        <r>
          <rPr>
            <b/>
            <sz val="9"/>
            <color indexed="8"/>
            <rFont val="宋体"/>
            <charset val="134"/>
          </rPr>
          <t>Administrator:</t>
        </r>
        <r>
          <rPr>
            <sz val="9"/>
            <color indexed="8"/>
            <rFont val="宋体"/>
            <charset val="134"/>
          </rPr>
          <t xml:space="preserve">
原名：米日万古力·吾加木尼 亚孜</t>
        </r>
      </text>
    </comment>
    <comment ref="F149" authorId="0">
      <text>
        <r>
          <rPr>
            <b/>
            <sz val="9"/>
            <color indexed="8"/>
            <rFont val="宋体"/>
            <charset val="134"/>
          </rPr>
          <t>Administrator:</t>
        </r>
        <r>
          <rPr>
            <sz val="9"/>
            <color indexed="8"/>
            <rFont val="宋体"/>
            <charset val="134"/>
          </rPr>
          <t xml:space="preserve">
原房主吐克孜·托合提</t>
        </r>
      </text>
    </comment>
    <comment ref="F217" authorId="0">
      <text>
        <r>
          <rPr>
            <b/>
            <sz val="9"/>
            <color indexed="8"/>
            <rFont val="宋体"/>
            <charset val="134"/>
          </rPr>
          <t>Administrator:</t>
        </r>
        <r>
          <rPr>
            <sz val="9"/>
            <color indexed="8"/>
            <rFont val="宋体"/>
            <charset val="134"/>
          </rPr>
          <t xml:space="preserve">
原房主：艾合买提·吾不力（阿迪力·苏力坦）</t>
        </r>
      </text>
    </comment>
    <comment ref="F259" authorId="0">
      <text>
        <r>
          <rPr>
            <b/>
            <sz val="9"/>
            <color indexed="8"/>
            <rFont val="宋体"/>
            <charset val="134"/>
          </rPr>
          <t>Administrator:</t>
        </r>
        <r>
          <rPr>
            <sz val="9"/>
            <color indexed="8"/>
            <rFont val="宋体"/>
            <charset val="134"/>
          </rPr>
          <t xml:space="preserve">
原房主：木尔提扎·艾则孜（木合塔尔·阿木提）</t>
        </r>
      </text>
    </comment>
    <comment ref="F270" authorId="0">
      <text>
        <r>
          <rPr>
            <b/>
            <sz val="9"/>
            <color indexed="8"/>
            <rFont val="宋体"/>
            <charset val="134"/>
          </rPr>
          <t>Administrator:</t>
        </r>
        <r>
          <rPr>
            <sz val="9"/>
            <color indexed="8"/>
            <rFont val="宋体"/>
            <charset val="134"/>
          </rPr>
          <t xml:space="preserve">
原房主艾合麦提·如孜</t>
        </r>
      </text>
    </comment>
    <comment ref="F278" authorId="0">
      <text>
        <r>
          <rPr>
            <b/>
            <sz val="9"/>
            <color indexed="8"/>
            <rFont val="宋体"/>
            <charset val="134"/>
          </rPr>
          <t>Administrator:</t>
        </r>
        <r>
          <rPr>
            <sz val="9"/>
            <color indexed="8"/>
            <rFont val="宋体"/>
            <charset val="134"/>
          </rPr>
          <t xml:space="preserve">
原：亚库甫·阿布都热依木</t>
        </r>
      </text>
    </comment>
    <comment ref="F279" authorId="0">
      <text>
        <r>
          <rPr>
            <b/>
            <sz val="9"/>
            <color indexed="8"/>
            <rFont val="宋体"/>
            <charset val="134"/>
          </rPr>
          <t>Administrator:</t>
        </r>
        <r>
          <rPr>
            <sz val="9"/>
            <color indexed="8"/>
            <rFont val="宋体"/>
            <charset val="134"/>
          </rPr>
          <t xml:space="preserve">
原房主：于山·买买提</t>
        </r>
      </text>
    </comment>
    <comment ref="F295" authorId="0">
      <text>
        <r>
          <rPr>
            <b/>
            <sz val="9"/>
            <color indexed="8"/>
            <rFont val="宋体"/>
            <charset val="134"/>
          </rPr>
          <t>Administrator:</t>
        </r>
        <r>
          <rPr>
            <sz val="9"/>
            <color indexed="8"/>
            <rFont val="宋体"/>
            <charset val="134"/>
          </rPr>
          <t xml:space="preserve">
原房主：阿依古力·吐尼牙孜</t>
        </r>
      </text>
    </comment>
  </commentList>
</comments>
</file>

<file path=xl/comments2.xml><?xml version="1.0" encoding="utf-8"?>
<comments xmlns="http://schemas.openxmlformats.org/spreadsheetml/2006/main">
  <authors>
    <author>Infraware Corporation</author>
    <author>Administrator</author>
  </authors>
  <commentList>
    <comment ref="F7" authorId="0">
      <text>
        <r>
          <rPr>
            <b/>
            <sz val="9"/>
            <color indexed="8"/>
            <rFont val="宋体"/>
            <charset val="134"/>
          </rPr>
          <t>Administrator:</t>
        </r>
        <r>
          <rPr>
            <sz val="9"/>
            <color indexed="8"/>
            <rFont val="宋体"/>
            <charset val="134"/>
          </rPr>
          <t xml:space="preserve">
原：阿孜古丽·吐尔地</t>
        </r>
      </text>
    </comment>
    <comment ref="F21" authorId="0">
      <text>
        <r>
          <rPr>
            <b/>
            <sz val="9"/>
            <color indexed="8"/>
            <rFont val="宋体"/>
            <charset val="134"/>
          </rPr>
          <t>Administrator:</t>
        </r>
        <r>
          <rPr>
            <sz val="9"/>
            <color indexed="8"/>
            <rFont val="宋体"/>
            <charset val="134"/>
          </rPr>
          <t xml:space="preserve">
原房主：热西提·阿不杜肉苏</t>
        </r>
      </text>
    </comment>
    <comment ref="F23" authorId="0">
      <text>
        <r>
          <rPr>
            <b/>
            <sz val="9"/>
            <color indexed="8"/>
            <rFont val="宋体"/>
            <charset val="134"/>
          </rPr>
          <t>Administrator:</t>
        </r>
        <r>
          <rPr>
            <sz val="9"/>
            <color indexed="8"/>
            <rFont val="宋体"/>
            <charset val="134"/>
          </rPr>
          <t xml:space="preserve">
孜依尼古丽·沙吾提</t>
        </r>
      </text>
    </comment>
    <comment ref="F30" authorId="0">
      <text>
        <r>
          <rPr>
            <b/>
            <sz val="9"/>
            <color indexed="8"/>
            <rFont val="宋体"/>
            <charset val="134"/>
          </rPr>
          <t>Administrator:</t>
        </r>
        <r>
          <rPr>
            <sz val="9"/>
            <color indexed="8"/>
            <rFont val="宋体"/>
            <charset val="134"/>
          </rPr>
          <t xml:space="preserve">
原：阿巴拜克尔·吐尼亚孜</t>
        </r>
      </text>
    </comment>
    <comment ref="F37" authorId="0">
      <text>
        <r>
          <rPr>
            <b/>
            <sz val="9"/>
            <color indexed="8"/>
            <rFont val="宋体"/>
            <charset val="134"/>
          </rPr>
          <t>Administrator:</t>
        </r>
        <r>
          <rPr>
            <sz val="9"/>
            <color indexed="8"/>
            <rFont val="宋体"/>
            <charset val="134"/>
          </rPr>
          <t xml:space="preserve">
原房主：晋焉芬</t>
        </r>
      </text>
    </comment>
    <comment ref="F51" authorId="0">
      <text>
        <r>
          <rPr>
            <b/>
            <sz val="9"/>
            <color indexed="8"/>
            <rFont val="宋体"/>
            <charset val="134"/>
          </rPr>
          <t>Administrator:</t>
        </r>
        <r>
          <rPr>
            <sz val="9"/>
            <color indexed="8"/>
            <rFont val="宋体"/>
            <charset val="134"/>
          </rPr>
          <t xml:space="preserve">
原：阿布拉·沙依木</t>
        </r>
      </text>
    </comment>
    <comment ref="F54" authorId="0">
      <text>
        <r>
          <rPr>
            <b/>
            <sz val="9"/>
            <color indexed="8"/>
            <rFont val="宋体"/>
            <charset val="134"/>
          </rPr>
          <t>Administrator:</t>
        </r>
        <r>
          <rPr>
            <sz val="9"/>
            <color indexed="8"/>
            <rFont val="宋体"/>
            <charset val="134"/>
          </rPr>
          <t xml:space="preserve">
原房主：吐热汗·司马义</t>
        </r>
      </text>
    </comment>
    <comment ref="F72" authorId="0">
      <text>
        <r>
          <rPr>
            <b/>
            <sz val="9"/>
            <color indexed="8"/>
            <rFont val="宋体"/>
            <charset val="134"/>
          </rPr>
          <t>Administrator:</t>
        </r>
        <r>
          <rPr>
            <sz val="9"/>
            <color indexed="8"/>
            <rFont val="宋体"/>
            <charset val="134"/>
          </rPr>
          <t xml:space="preserve">
原房主：麦麦提·甫丁（麦热木尼沙汗·提来木）</t>
        </r>
      </text>
    </comment>
    <comment ref="F99" authorId="0">
      <text>
        <r>
          <rPr>
            <b/>
            <sz val="9"/>
            <color indexed="8"/>
            <rFont val="宋体"/>
            <charset val="134"/>
          </rPr>
          <t>Administrator:</t>
        </r>
        <r>
          <rPr>
            <sz val="9"/>
            <color indexed="8"/>
            <rFont val="宋体"/>
            <charset val="134"/>
          </rPr>
          <t xml:space="preserve">
原房主：克力比努尔·买买提</t>
        </r>
      </text>
    </comment>
    <comment ref="F104" authorId="0">
      <text>
        <r>
          <rPr>
            <b/>
            <sz val="9"/>
            <color indexed="8"/>
            <rFont val="宋体"/>
            <charset val="134"/>
          </rPr>
          <t>Administrator:</t>
        </r>
        <r>
          <rPr>
            <sz val="9"/>
            <color indexed="8"/>
            <rFont val="宋体"/>
            <charset val="134"/>
          </rPr>
          <t xml:space="preserve">
原房主：热孜瓦尼古力·巴吐尔</t>
        </r>
      </text>
    </comment>
    <comment ref="F114" authorId="0">
      <text>
        <r>
          <rPr>
            <b/>
            <sz val="9"/>
            <color indexed="8"/>
            <rFont val="宋体"/>
            <charset val="134"/>
          </rPr>
          <t>Administrator:</t>
        </r>
        <r>
          <rPr>
            <sz val="9"/>
            <color indexed="8"/>
            <rFont val="宋体"/>
            <charset val="134"/>
          </rPr>
          <t xml:space="preserve">
原房主：帕特木汗·奥斯曼</t>
        </r>
      </text>
    </comment>
    <comment ref="F145" authorId="0">
      <text>
        <r>
          <rPr>
            <b/>
            <sz val="9"/>
            <color indexed="8"/>
            <rFont val="宋体"/>
            <charset val="134"/>
          </rPr>
          <t>Administrator:</t>
        </r>
        <r>
          <rPr>
            <sz val="9"/>
            <color indexed="8"/>
            <rFont val="宋体"/>
            <charset val="134"/>
          </rPr>
          <t xml:space="preserve">
伊帕古力·艾尼瓦尔</t>
        </r>
      </text>
    </comment>
    <comment ref="F184" authorId="0">
      <text>
        <r>
          <rPr>
            <b/>
            <sz val="9"/>
            <color indexed="8"/>
            <rFont val="宋体"/>
            <charset val="134"/>
          </rPr>
          <t>Administrator:</t>
        </r>
        <r>
          <rPr>
            <sz val="9"/>
            <color indexed="8"/>
            <rFont val="宋体"/>
            <charset val="134"/>
          </rPr>
          <t xml:space="preserve">
原房主：左热木·艾合麦提</t>
        </r>
      </text>
    </comment>
    <comment ref="F205" authorId="0">
      <text>
        <r>
          <rPr>
            <b/>
            <sz val="9"/>
            <color indexed="8"/>
            <rFont val="宋体"/>
            <charset val="134"/>
          </rPr>
          <t>Administrator:</t>
        </r>
        <r>
          <rPr>
            <sz val="9"/>
            <color indexed="8"/>
            <rFont val="宋体"/>
            <charset val="134"/>
          </rPr>
          <t xml:space="preserve">
原房主：托合尼牙孜·牙生
</t>
        </r>
      </text>
    </comment>
    <comment ref="K206" authorId="1">
      <text>
        <r>
          <rPr>
            <b/>
            <sz val="9"/>
            <rFont val="宋体"/>
            <charset val="134"/>
          </rPr>
          <t>Administrator:付抵账房款</t>
        </r>
      </text>
    </comment>
    <comment ref="F308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原名：阿不拉·吐尔洪</t>
        </r>
      </text>
    </comment>
    <comment ref="F396" authorId="0">
      <text>
        <r>
          <rPr>
            <b/>
            <sz val="9"/>
            <color indexed="8"/>
            <rFont val="宋体"/>
            <charset val="134"/>
          </rPr>
          <t>Administrator:</t>
        </r>
        <r>
          <rPr>
            <sz val="9"/>
            <color indexed="8"/>
            <rFont val="宋体"/>
            <charset val="134"/>
          </rPr>
          <t xml:space="preserve">
原房主：马木提·西力甫</t>
        </r>
      </text>
    </comment>
    <comment ref="F398" authorId="0">
      <text>
        <r>
          <rPr>
            <b/>
            <sz val="9"/>
            <color indexed="8"/>
            <rFont val="宋体"/>
            <charset val="134"/>
          </rPr>
          <t>Administrator:</t>
        </r>
        <r>
          <rPr>
            <sz val="9"/>
            <color indexed="8"/>
            <rFont val="宋体"/>
            <charset val="134"/>
          </rPr>
          <t xml:space="preserve">
原名为艾麦提江·麦提尼亚孜</t>
        </r>
      </text>
    </comment>
    <comment ref="F401" authorId="0">
      <text>
        <r>
          <rPr>
            <b/>
            <sz val="9"/>
            <color indexed="8"/>
            <rFont val="宋体"/>
            <charset val="134"/>
          </rPr>
          <t>Administrator:</t>
        </r>
        <r>
          <rPr>
            <sz val="9"/>
            <color indexed="8"/>
            <rFont val="宋体"/>
            <charset val="134"/>
          </rPr>
          <t xml:space="preserve">
原;艾麦提江·麦提尼亚孜(阿克卡日·依马木尼亚孜)</t>
        </r>
      </text>
    </comment>
    <comment ref="F422" authorId="0">
      <text>
        <r>
          <rPr>
            <b/>
            <sz val="9"/>
            <color indexed="8"/>
            <rFont val="宋体"/>
            <charset val="134"/>
          </rPr>
          <t>Administrator:</t>
        </r>
        <r>
          <rPr>
            <sz val="9"/>
            <color indexed="8"/>
            <rFont val="宋体"/>
            <charset val="134"/>
          </rPr>
          <t xml:space="preserve">
原房主：吐尼亚孜·托合尼亚孜</t>
        </r>
      </text>
    </comment>
    <comment ref="F481" authorId="0">
      <text>
        <r>
          <rPr>
            <b/>
            <sz val="9"/>
            <color indexed="8"/>
            <rFont val="宋体"/>
            <charset val="134"/>
          </rPr>
          <t>Administrator:</t>
        </r>
        <r>
          <rPr>
            <sz val="9"/>
            <color indexed="8"/>
            <rFont val="宋体"/>
            <charset val="134"/>
          </rPr>
          <t xml:space="preserve">
原房主：古力米热·阿吾提（赛麦提·阿布拉）</t>
        </r>
      </text>
    </comment>
  </commentList>
</comments>
</file>

<file path=xl/sharedStrings.xml><?xml version="1.0" encoding="utf-8"?>
<sst xmlns="http://schemas.openxmlformats.org/spreadsheetml/2006/main" count="72654" uniqueCount="10359">
  <si>
    <t>房屋资料</t>
  </si>
  <si>
    <t>客户资料</t>
  </si>
  <si>
    <t>序号</t>
  </si>
  <si>
    <t>房号</t>
  </si>
  <si>
    <t>面积</t>
  </si>
  <si>
    <t>基准</t>
  </si>
  <si>
    <t>姓名</t>
  </si>
  <si>
    <t>购房
方式</t>
  </si>
  <si>
    <t>实际售价</t>
  </si>
  <si>
    <t>账面截至2023年11月累计回款金额</t>
  </si>
  <si>
    <t>台账与账面差异</t>
  </si>
  <si>
    <t>差异原因</t>
  </si>
  <si>
    <t>备注</t>
  </si>
  <si>
    <t>已开票金额</t>
  </si>
  <si>
    <t>已结转收入（以前年度损益）</t>
  </si>
  <si>
    <t>已结转收入主营业务收入</t>
  </si>
  <si>
    <t>应结转收入</t>
  </si>
  <si>
    <t>应确认销项税</t>
  </si>
  <si>
    <t>本期结转收入</t>
  </si>
  <si>
    <t>本期确认销项税</t>
  </si>
  <si>
    <t>账面已确认销项税</t>
  </si>
  <si>
    <t>单价</t>
  </si>
  <si>
    <t>房价</t>
  </si>
  <si>
    <t>甲控</t>
  </si>
  <si>
    <t>总售价</t>
  </si>
  <si>
    <t>预收账款</t>
  </si>
  <si>
    <t>其他应付款</t>
  </si>
  <si>
    <t>应收账款-房产</t>
  </si>
  <si>
    <t>其他应收款</t>
  </si>
  <si>
    <t>王金川</t>
  </si>
  <si>
    <t xml:space="preserve"> </t>
  </si>
  <si>
    <t>全额确认收入</t>
  </si>
  <si>
    <t>刘永平</t>
  </si>
  <si>
    <t>104-1</t>
  </si>
  <si>
    <t>104-2</t>
  </si>
  <si>
    <t>不可售</t>
  </si>
  <si>
    <t>洪雪玲</t>
  </si>
  <si>
    <t>106-1</t>
  </si>
  <si>
    <t>王德军</t>
  </si>
  <si>
    <t>未售</t>
  </si>
  <si>
    <t>106-2</t>
  </si>
  <si>
    <t>张雪静</t>
  </si>
  <si>
    <t>不调整</t>
  </si>
  <si>
    <t>雷良华</t>
  </si>
  <si>
    <t>108-1</t>
  </si>
  <si>
    <t>抵通力集团工程款</t>
  </si>
  <si>
    <t>108-2</t>
  </si>
  <si>
    <t>赵登兵</t>
  </si>
  <si>
    <t>抵账</t>
  </si>
  <si>
    <t>抵账房，未实际付款</t>
  </si>
  <si>
    <t>赵海棠</t>
  </si>
  <si>
    <t>1-1-201</t>
  </si>
  <si>
    <t>雍宁宁</t>
  </si>
  <si>
    <t>多收款</t>
  </si>
  <si>
    <t>1-1-202</t>
  </si>
  <si>
    <t>卿银霞</t>
  </si>
  <si>
    <t>1-1-301</t>
  </si>
  <si>
    <t>樊浪</t>
  </si>
  <si>
    <t>1-1-302</t>
  </si>
  <si>
    <t>涂川江</t>
  </si>
  <si>
    <t>检查2022-7-19#凭证入账是否准确？</t>
  </si>
  <si>
    <t>1-1-401</t>
  </si>
  <si>
    <t>蒲养波</t>
  </si>
  <si>
    <t>1-1-402</t>
  </si>
  <si>
    <t>刘光辉</t>
  </si>
  <si>
    <t>1-1-501</t>
  </si>
  <si>
    <t>李敏</t>
  </si>
  <si>
    <t>1-1-502</t>
  </si>
  <si>
    <t>毛礼思</t>
  </si>
  <si>
    <t>1-1-601</t>
  </si>
  <si>
    <t>方堃</t>
  </si>
  <si>
    <t>1-1-602</t>
  </si>
  <si>
    <t>霍存武</t>
  </si>
  <si>
    <t>1-1-701</t>
  </si>
  <si>
    <t>沈仁贤</t>
  </si>
  <si>
    <t>1-1-702</t>
  </si>
  <si>
    <t>赵小亚</t>
  </si>
  <si>
    <t>前期确认收入时未计提销项税，本期调整多确认的收入至销项税</t>
  </si>
  <si>
    <t>1-1-801</t>
  </si>
  <si>
    <t>王志香</t>
  </si>
  <si>
    <t>1-1-802</t>
  </si>
  <si>
    <t>谭见辉</t>
  </si>
  <si>
    <t>1-1-901</t>
  </si>
  <si>
    <t>尚康利</t>
  </si>
  <si>
    <t>1-1-902</t>
  </si>
  <si>
    <t>陈淑源</t>
  </si>
  <si>
    <t>1-1-1001</t>
  </si>
  <si>
    <t>唐浩</t>
  </si>
  <si>
    <t>1-1-1002</t>
  </si>
  <si>
    <t>杨阳</t>
  </si>
  <si>
    <t>1-1-1101</t>
  </si>
  <si>
    <t>王萧宇</t>
  </si>
  <si>
    <t>1-1-1102</t>
  </si>
  <si>
    <t>王来来</t>
  </si>
  <si>
    <t>1-2-201</t>
  </si>
  <si>
    <t>张树敏</t>
  </si>
  <si>
    <t>1-2-202</t>
  </si>
  <si>
    <t>杨攀</t>
  </si>
  <si>
    <t>1-2-301</t>
  </si>
  <si>
    <t>代国寿</t>
  </si>
  <si>
    <t>1-2-302</t>
  </si>
  <si>
    <t>张昌远</t>
  </si>
  <si>
    <t>1-2-401</t>
  </si>
  <si>
    <t>杨菊修</t>
  </si>
  <si>
    <t>1-2-402</t>
  </si>
  <si>
    <t>吴海燕</t>
  </si>
  <si>
    <t>1-2-501</t>
  </si>
  <si>
    <t>林朝霞</t>
  </si>
  <si>
    <t>1-2-502</t>
  </si>
  <si>
    <t>田海涛</t>
  </si>
  <si>
    <t>1-2-601</t>
  </si>
  <si>
    <t>刘俊树</t>
  </si>
  <si>
    <t>1-2-602</t>
  </si>
  <si>
    <t>田赞</t>
  </si>
  <si>
    <t>1-3-201</t>
  </si>
  <si>
    <t>程玲杰</t>
  </si>
  <si>
    <t>1-3-202</t>
  </si>
  <si>
    <t>谢红梅</t>
  </si>
  <si>
    <t>1-3-301</t>
  </si>
  <si>
    <t>张小营</t>
  </si>
  <si>
    <t>1-3-302</t>
  </si>
  <si>
    <t>候琼</t>
  </si>
  <si>
    <t>1-3-401</t>
  </si>
  <si>
    <t>艾力塔西</t>
  </si>
  <si>
    <t>1-3-402</t>
  </si>
  <si>
    <t>王小刚</t>
  </si>
  <si>
    <t>1-3-501</t>
  </si>
  <si>
    <t>王玲</t>
  </si>
  <si>
    <t>1-3-502</t>
  </si>
  <si>
    <t>安外尔吐尼亚孜</t>
  </si>
  <si>
    <t>1-3-601</t>
  </si>
  <si>
    <t>孙红超</t>
  </si>
  <si>
    <t>1-3-602</t>
  </si>
  <si>
    <t>吴秀凤</t>
  </si>
  <si>
    <t>1-4-201</t>
  </si>
  <si>
    <t>万雅琪</t>
  </si>
  <si>
    <t>1-4-202</t>
  </si>
  <si>
    <t>鲁茂全</t>
  </si>
  <si>
    <t>1-4-301</t>
  </si>
  <si>
    <t>李建国</t>
  </si>
  <si>
    <t>1-4-302</t>
  </si>
  <si>
    <t>齐静</t>
  </si>
  <si>
    <t>1-4-401</t>
  </si>
  <si>
    <t>赵小弟</t>
  </si>
  <si>
    <t>1-4-402</t>
  </si>
  <si>
    <t>余传明</t>
  </si>
  <si>
    <t>1-4-501</t>
  </si>
  <si>
    <t>李小华</t>
  </si>
  <si>
    <t>1-4-502</t>
  </si>
  <si>
    <t>李清珍</t>
  </si>
  <si>
    <t>1-4-601</t>
  </si>
  <si>
    <t>曾陈</t>
  </si>
  <si>
    <t>1-4-602</t>
  </si>
  <si>
    <t>李祥辉</t>
  </si>
  <si>
    <t>1-5-201</t>
  </si>
  <si>
    <t>1-5-202</t>
  </si>
  <si>
    <t>1-5-203</t>
  </si>
  <si>
    <t>1-5-204</t>
  </si>
  <si>
    <t>1-5-205</t>
  </si>
  <si>
    <t>1-5-206</t>
  </si>
  <si>
    <t>1-5-207</t>
  </si>
  <si>
    <t>1-5-208</t>
  </si>
  <si>
    <t>1-5-209</t>
  </si>
  <si>
    <t>1-5-210</t>
  </si>
  <si>
    <t>1-5-211</t>
  </si>
  <si>
    <t>1-5-212</t>
  </si>
  <si>
    <t>1-5-213</t>
  </si>
  <si>
    <t>1-5-214</t>
  </si>
  <si>
    <t>1-5-301</t>
  </si>
  <si>
    <t>1-5-302</t>
  </si>
  <si>
    <t>1-5-303</t>
  </si>
  <si>
    <t>1-5-304</t>
  </si>
  <si>
    <t>1-5-305</t>
  </si>
  <si>
    <t>1-5-306</t>
  </si>
  <si>
    <t>1-5-307</t>
  </si>
  <si>
    <t>1-5-308</t>
  </si>
  <si>
    <t>1-5-309</t>
  </si>
  <si>
    <t>1-5-310</t>
  </si>
  <si>
    <t>1-5-311</t>
  </si>
  <si>
    <t>1-5-312</t>
  </si>
  <si>
    <t>1-5-313</t>
  </si>
  <si>
    <t>1-5-314</t>
  </si>
  <si>
    <t>1-5-401</t>
  </si>
  <si>
    <t>1-5-402</t>
  </si>
  <si>
    <t>1-5-403</t>
  </si>
  <si>
    <t>1-5-404</t>
  </si>
  <si>
    <t>1-5-405</t>
  </si>
  <si>
    <t>1-5-406</t>
  </si>
  <si>
    <t>1-5-407</t>
  </si>
  <si>
    <t>1-5-408</t>
  </si>
  <si>
    <t>1-5-409</t>
  </si>
  <si>
    <t>1-5-410</t>
  </si>
  <si>
    <t>1-5-411</t>
  </si>
  <si>
    <t>1-5-412</t>
  </si>
  <si>
    <t>1-5-413</t>
  </si>
  <si>
    <t>1-5-414</t>
  </si>
  <si>
    <t>1-5-501</t>
  </si>
  <si>
    <t>1-5-502</t>
  </si>
  <si>
    <t>1-5-503</t>
  </si>
  <si>
    <t>1-5-504</t>
  </si>
  <si>
    <t>1-5-505</t>
  </si>
  <si>
    <t>1-5-506</t>
  </si>
  <si>
    <t>1-5-507</t>
  </si>
  <si>
    <t>1-5-508</t>
  </si>
  <si>
    <t>1-5-509</t>
  </si>
  <si>
    <t>1-5-510</t>
  </si>
  <si>
    <t>1-5-511</t>
  </si>
  <si>
    <t>1-5-512</t>
  </si>
  <si>
    <t>1-5-513</t>
  </si>
  <si>
    <t>1-5-514</t>
  </si>
  <si>
    <t>1-5-601</t>
  </si>
  <si>
    <t>1-5-602</t>
  </si>
  <si>
    <t>1-5-603</t>
  </si>
  <si>
    <t>1-5-604</t>
  </si>
  <si>
    <t>1-5-605</t>
  </si>
  <si>
    <t>1-5-606</t>
  </si>
  <si>
    <t>1-5-607</t>
  </si>
  <si>
    <t>1-5-608</t>
  </si>
  <si>
    <t>1-5-609</t>
  </si>
  <si>
    <t>1-5-610</t>
  </si>
  <si>
    <t>1-5-611</t>
  </si>
  <si>
    <t>1-5-612</t>
  </si>
  <si>
    <t>1-5-613</t>
  </si>
  <si>
    <t>1-5-614</t>
  </si>
  <si>
    <t>2-1-101</t>
  </si>
  <si>
    <t>韩芳</t>
  </si>
  <si>
    <t>2-1-102</t>
  </si>
  <si>
    <t>谭玉荣</t>
  </si>
  <si>
    <t>2-1-201</t>
  </si>
  <si>
    <t>兰建均</t>
  </si>
  <si>
    <t>2-1-202</t>
  </si>
  <si>
    <t>张明国</t>
  </si>
  <si>
    <t>2-1-301</t>
  </si>
  <si>
    <t>蔡均</t>
  </si>
  <si>
    <t>2-1-302</t>
  </si>
  <si>
    <t>代艳琼</t>
  </si>
  <si>
    <t>2-1-401</t>
  </si>
  <si>
    <t>王志宏</t>
  </si>
  <si>
    <t>2-1-402</t>
  </si>
  <si>
    <t>赵东洋</t>
  </si>
  <si>
    <t>2-1-501</t>
  </si>
  <si>
    <t>侯长碧</t>
  </si>
  <si>
    <t>2-1-502</t>
  </si>
  <si>
    <t>陈杰</t>
  </si>
  <si>
    <t>2-1-601</t>
  </si>
  <si>
    <t>张鹏程</t>
  </si>
  <si>
    <t>2-1-602</t>
  </si>
  <si>
    <t>李杰</t>
  </si>
  <si>
    <t>2-2-101</t>
  </si>
  <si>
    <t>周青松</t>
  </si>
  <si>
    <t>2-2-102</t>
  </si>
  <si>
    <t>代远杰</t>
  </si>
  <si>
    <t>2-2-201</t>
  </si>
  <si>
    <t>蒋春飞</t>
  </si>
  <si>
    <t>2-2-202</t>
  </si>
  <si>
    <t>李娟</t>
  </si>
  <si>
    <t>2-2-301</t>
  </si>
  <si>
    <t>黄得用</t>
  </si>
  <si>
    <t>2-2-302</t>
  </si>
  <si>
    <t>张军令</t>
  </si>
  <si>
    <t>2-2-401</t>
  </si>
  <si>
    <t>刘增银</t>
  </si>
  <si>
    <t>2-2-402</t>
  </si>
  <si>
    <t>李华</t>
  </si>
  <si>
    <t>2-2-501</t>
  </si>
  <si>
    <t>李克勇</t>
  </si>
  <si>
    <t>2-2-502</t>
  </si>
  <si>
    <t>赛丽</t>
  </si>
  <si>
    <t>2-2-601</t>
  </si>
  <si>
    <t>徐跃群</t>
  </si>
  <si>
    <t>2-2-602</t>
  </si>
  <si>
    <t>陈美华</t>
  </si>
  <si>
    <t>2-3-101</t>
  </si>
  <si>
    <t>张鸿鸣</t>
  </si>
  <si>
    <t>2-3-102</t>
  </si>
  <si>
    <t>杨庞</t>
  </si>
  <si>
    <t>2-3-201</t>
  </si>
  <si>
    <t>王子奇</t>
  </si>
  <si>
    <t>2-3-202</t>
  </si>
  <si>
    <t>陈现忠</t>
  </si>
  <si>
    <t>发票错开0税率</t>
  </si>
  <si>
    <t>2-3-301</t>
  </si>
  <si>
    <t>冯开军</t>
  </si>
  <si>
    <t>2-3-302</t>
  </si>
  <si>
    <t>（游建兵）游磊</t>
  </si>
  <si>
    <t>2-3-401</t>
  </si>
  <si>
    <t>孙广涛</t>
  </si>
  <si>
    <t>2-3-402</t>
  </si>
  <si>
    <t>章如芬</t>
  </si>
  <si>
    <t>2-3-501</t>
  </si>
  <si>
    <t>李慧玲</t>
  </si>
  <si>
    <t>2-3-502</t>
  </si>
  <si>
    <t>王平</t>
  </si>
  <si>
    <t>2-3-601</t>
  </si>
  <si>
    <t>杨桂芝</t>
  </si>
  <si>
    <t>2-3-602</t>
  </si>
  <si>
    <t>张献军</t>
  </si>
  <si>
    <t>3-1-101</t>
  </si>
  <si>
    <t>罗世荣</t>
  </si>
  <si>
    <t>3-1-102</t>
  </si>
  <si>
    <t>祝东帅</t>
  </si>
  <si>
    <t>3-1-201</t>
  </si>
  <si>
    <t>李俊</t>
  </si>
  <si>
    <t>3-1-202</t>
  </si>
  <si>
    <t>吉权</t>
  </si>
  <si>
    <t>3-1-301</t>
  </si>
  <si>
    <t>杨伟\贾红娇</t>
  </si>
  <si>
    <t>3-1-302</t>
  </si>
  <si>
    <t>李文军</t>
  </si>
  <si>
    <t>3-1-401</t>
  </si>
  <si>
    <t>谢陈丽</t>
  </si>
  <si>
    <t>3-1-402</t>
  </si>
  <si>
    <t>付智琼</t>
  </si>
  <si>
    <t>3-1-501</t>
  </si>
  <si>
    <t>符波</t>
  </si>
  <si>
    <t>3-1-502</t>
  </si>
  <si>
    <t>王春丽</t>
  </si>
  <si>
    <t>3-1-601</t>
  </si>
  <si>
    <t>陈星星</t>
  </si>
  <si>
    <t>检查2019-2-27#凭证是否挂错</t>
  </si>
  <si>
    <t>3-1-602</t>
  </si>
  <si>
    <t>曹勇军</t>
  </si>
  <si>
    <t>3-2-101</t>
  </si>
  <si>
    <t>何晓波</t>
  </si>
  <si>
    <t>146905为抵账未结转收入，现金回款部分已结转</t>
  </si>
  <si>
    <t>3-2-102</t>
  </si>
  <si>
    <t>彭祥禄</t>
  </si>
  <si>
    <t>借款抵房款</t>
  </si>
  <si>
    <t>3-2-201</t>
  </si>
  <si>
    <t>都彦磊</t>
  </si>
  <si>
    <t>3-2-202</t>
  </si>
  <si>
    <t>张渠洪</t>
  </si>
  <si>
    <t>3-2-301</t>
  </si>
  <si>
    <t>程广</t>
  </si>
  <si>
    <t>3-2-302</t>
  </si>
  <si>
    <t>许晓云</t>
  </si>
  <si>
    <t>3-2-401</t>
  </si>
  <si>
    <t>李建超</t>
  </si>
  <si>
    <t>3-2-402</t>
  </si>
  <si>
    <t>许庆生</t>
  </si>
  <si>
    <t>3-2-501</t>
  </si>
  <si>
    <t>廖彩云</t>
  </si>
  <si>
    <t>3-2-502</t>
  </si>
  <si>
    <t>黄玉容</t>
  </si>
  <si>
    <t>3-2-601</t>
  </si>
  <si>
    <t>冷磊磊</t>
  </si>
  <si>
    <t>3-2-602</t>
  </si>
  <si>
    <t>李家菊</t>
  </si>
  <si>
    <t>4-1-101</t>
  </si>
  <si>
    <t>贾秀娟</t>
  </si>
  <si>
    <t>4-1-102</t>
  </si>
  <si>
    <t>（任志生）王力</t>
  </si>
  <si>
    <t>4-1-201</t>
  </si>
  <si>
    <t>王文</t>
  </si>
  <si>
    <t>4-1-202</t>
  </si>
  <si>
    <t>孙雪琴</t>
  </si>
  <si>
    <t>4-1-301</t>
  </si>
  <si>
    <t>莫美容</t>
  </si>
  <si>
    <t>4-1-302</t>
  </si>
  <si>
    <t>李留任</t>
  </si>
  <si>
    <t>4-1-401</t>
  </si>
  <si>
    <t>叶坤</t>
  </si>
  <si>
    <t>4-1-402</t>
  </si>
  <si>
    <t>代国财（李世清、张羊）</t>
  </si>
  <si>
    <t>检查收款凭证是否挂错</t>
  </si>
  <si>
    <t>4-2-101</t>
  </si>
  <si>
    <t>武荣喜</t>
  </si>
  <si>
    <t>4-2-102</t>
  </si>
  <si>
    <t>高雅玲</t>
  </si>
  <si>
    <t>4-2-201</t>
  </si>
  <si>
    <t xml:space="preserve"> 韩梅先</t>
  </si>
  <si>
    <t>全额抵账，未收款</t>
  </si>
  <si>
    <t>4-2-202</t>
  </si>
  <si>
    <t>张保峰</t>
  </si>
  <si>
    <t>4-2-301</t>
  </si>
  <si>
    <t>闫江</t>
  </si>
  <si>
    <t>4-2-302</t>
  </si>
  <si>
    <t>刘军</t>
  </si>
  <si>
    <t>4-2-401</t>
  </si>
  <si>
    <t>丁永刚</t>
  </si>
  <si>
    <t>4-2-402</t>
  </si>
  <si>
    <t>黄保然</t>
  </si>
  <si>
    <t>4-2-403</t>
  </si>
  <si>
    <t>王国静</t>
  </si>
  <si>
    <t>4-2-501</t>
  </si>
  <si>
    <t>曹均斌</t>
  </si>
  <si>
    <t>4-2-502</t>
  </si>
  <si>
    <t>艾则孜亚森</t>
  </si>
  <si>
    <t>4-2-503</t>
  </si>
  <si>
    <t>孙建勋</t>
  </si>
  <si>
    <t>4-2-601</t>
  </si>
  <si>
    <t>唐月萍</t>
  </si>
  <si>
    <t>4-2-602</t>
  </si>
  <si>
    <t>王雨</t>
  </si>
  <si>
    <t>4-2-603</t>
  </si>
  <si>
    <t>杨天会</t>
  </si>
  <si>
    <t>4-3-101</t>
  </si>
  <si>
    <t>高红云</t>
  </si>
  <si>
    <t>4-3-102</t>
  </si>
  <si>
    <t>王项东</t>
  </si>
  <si>
    <t>4-3-201</t>
  </si>
  <si>
    <t>陈秋菊</t>
  </si>
  <si>
    <t>4-3-202</t>
  </si>
  <si>
    <t>冯强罗刚燕</t>
  </si>
  <si>
    <t>4-3-301</t>
  </si>
  <si>
    <t>李忠斌</t>
  </si>
  <si>
    <t>4-3-302</t>
  </si>
  <si>
    <t>沈大钢</t>
  </si>
  <si>
    <t>4-3-401</t>
  </si>
  <si>
    <t>张莉</t>
  </si>
  <si>
    <t>4-3-402</t>
  </si>
  <si>
    <t>孙卫升</t>
  </si>
  <si>
    <t>4-3-403</t>
  </si>
  <si>
    <t>柯海燕</t>
  </si>
  <si>
    <t>4-3-501</t>
  </si>
  <si>
    <t>隆翠华何多周</t>
  </si>
  <si>
    <t>4-3-502</t>
  </si>
  <si>
    <t>马黎</t>
  </si>
  <si>
    <t>4-3-503</t>
  </si>
  <si>
    <t>李熙</t>
  </si>
  <si>
    <t>4-3-601</t>
  </si>
  <si>
    <t>王婷婷</t>
  </si>
  <si>
    <t>4-3-602</t>
  </si>
  <si>
    <t>4-3-603</t>
  </si>
  <si>
    <t>杨光元</t>
  </si>
  <si>
    <t>6-1-101</t>
  </si>
  <si>
    <t>虞军</t>
  </si>
  <si>
    <t>6-1-102</t>
  </si>
  <si>
    <t>陈芸、周斌</t>
  </si>
  <si>
    <t>6-1-201</t>
  </si>
  <si>
    <t>尤正民</t>
  </si>
  <si>
    <t>6-1-202</t>
  </si>
  <si>
    <t>李龙</t>
  </si>
  <si>
    <t>6-1-301</t>
  </si>
  <si>
    <t>荣小民</t>
  </si>
  <si>
    <t>6-1-302</t>
  </si>
  <si>
    <t>杨雷</t>
  </si>
  <si>
    <t>6-1-401</t>
  </si>
  <si>
    <t>刘玉河</t>
  </si>
  <si>
    <t>6-1-402</t>
  </si>
  <si>
    <t>丁防震</t>
  </si>
  <si>
    <t>6-1-501</t>
  </si>
  <si>
    <t>代惠灵</t>
  </si>
  <si>
    <t>6-1-502</t>
  </si>
  <si>
    <t>冉彩云</t>
  </si>
  <si>
    <t>6-1-601</t>
  </si>
  <si>
    <t>姜青山</t>
  </si>
  <si>
    <t>6-1-602</t>
  </si>
  <si>
    <t>杨照耀</t>
  </si>
  <si>
    <t>6-2-101</t>
  </si>
  <si>
    <t>王国红</t>
  </si>
  <si>
    <t>6-2-102</t>
  </si>
  <si>
    <t>聂鹏程</t>
  </si>
  <si>
    <t>6-2-201</t>
  </si>
  <si>
    <t>李艳</t>
  </si>
  <si>
    <t>6-2-202</t>
  </si>
  <si>
    <t>朱波</t>
  </si>
  <si>
    <t>6-2-301</t>
  </si>
  <si>
    <t>付自强</t>
  </si>
  <si>
    <t>6-2-302</t>
  </si>
  <si>
    <t>李雪</t>
  </si>
  <si>
    <t>6-2-401</t>
  </si>
  <si>
    <t>荣艳（唐才木）</t>
  </si>
  <si>
    <t>6-2-402</t>
  </si>
  <si>
    <t>赵新红（王友付）</t>
  </si>
  <si>
    <t>6-2-501</t>
  </si>
  <si>
    <t>景阳（王桂花）</t>
  </si>
  <si>
    <t>6-2-502</t>
  </si>
  <si>
    <t>张聪</t>
  </si>
  <si>
    <t>6-2-601</t>
  </si>
  <si>
    <t>周杨</t>
  </si>
  <si>
    <t>6-2-602</t>
  </si>
  <si>
    <t>张小勇</t>
  </si>
  <si>
    <t>6-3-101</t>
  </si>
  <si>
    <t>董新辉</t>
  </si>
  <si>
    <t>6-3-102</t>
  </si>
  <si>
    <t>曾承恩</t>
  </si>
  <si>
    <t>6-3-201</t>
  </si>
  <si>
    <t>潘振远</t>
  </si>
  <si>
    <t>6-3-202</t>
  </si>
  <si>
    <t>李华生</t>
  </si>
  <si>
    <t>6-3-301</t>
  </si>
  <si>
    <t>王炯</t>
  </si>
  <si>
    <t>6-3-302</t>
  </si>
  <si>
    <t>王杰</t>
  </si>
  <si>
    <t>6-3-401</t>
  </si>
  <si>
    <t>漆爱明</t>
  </si>
  <si>
    <t>6-3-402</t>
  </si>
  <si>
    <t>胥阳阳（陈奎）</t>
  </si>
  <si>
    <t>6-3-501</t>
  </si>
  <si>
    <t>冯峰</t>
  </si>
  <si>
    <t>6-3-502</t>
  </si>
  <si>
    <t>魏杰</t>
  </si>
  <si>
    <t>6-3-601</t>
  </si>
  <si>
    <t>解传龙</t>
  </si>
  <si>
    <t>6-3-602</t>
  </si>
  <si>
    <t>王帅</t>
  </si>
  <si>
    <t>6-4-101</t>
  </si>
  <si>
    <t>杨小霞</t>
  </si>
  <si>
    <t>6-4-102</t>
  </si>
  <si>
    <t>段曼丽</t>
  </si>
  <si>
    <t>6-4-201</t>
  </si>
  <si>
    <t>王瑞华</t>
  </si>
  <si>
    <t>6-4-202</t>
  </si>
  <si>
    <t>李先兵</t>
  </si>
  <si>
    <t>6-4-301</t>
  </si>
  <si>
    <t>（菅永春）丁向阳</t>
  </si>
  <si>
    <t>6-4-302</t>
  </si>
  <si>
    <t>杨均华</t>
  </si>
  <si>
    <t>6-4-401</t>
  </si>
  <si>
    <t>闫志明</t>
  </si>
  <si>
    <t>6-4-402</t>
  </si>
  <si>
    <t>陈维强</t>
  </si>
  <si>
    <t>6-4-501</t>
  </si>
  <si>
    <t>严均</t>
  </si>
  <si>
    <t>6-4-502</t>
  </si>
  <si>
    <t>王巧芳（任兴禄）</t>
  </si>
  <si>
    <t>6-4-601</t>
  </si>
  <si>
    <t>石垒</t>
  </si>
  <si>
    <t>6-4-602</t>
  </si>
  <si>
    <t>韩小鹏</t>
  </si>
  <si>
    <r>
      <rPr>
        <sz val="10"/>
        <rFont val="宋体"/>
        <charset val="0"/>
        <scheme val="minor"/>
      </rPr>
      <t>7-1-101</t>
    </r>
    <r>
      <rPr>
        <sz val="10"/>
        <rFont val="宋体"/>
        <charset val="134"/>
        <scheme val="minor"/>
      </rPr>
      <t>商</t>
    </r>
  </si>
  <si>
    <r>
      <rPr>
        <sz val="10"/>
        <rFont val="宋体"/>
        <charset val="0"/>
        <scheme val="minor"/>
      </rPr>
      <t>7-1-102</t>
    </r>
    <r>
      <rPr>
        <sz val="10"/>
        <rFont val="宋体"/>
        <charset val="134"/>
        <scheme val="minor"/>
      </rPr>
      <t>商</t>
    </r>
  </si>
  <si>
    <t>7-1-201</t>
  </si>
  <si>
    <t>王梦洁</t>
  </si>
  <si>
    <t>7-1-202</t>
  </si>
  <si>
    <t>梁晓斌</t>
  </si>
  <si>
    <t>7-1-301</t>
  </si>
  <si>
    <t>李小辉</t>
  </si>
  <si>
    <t>7-1-302</t>
  </si>
  <si>
    <t>王桂英</t>
  </si>
  <si>
    <t>7-1-401</t>
  </si>
  <si>
    <t>郭怀鸽</t>
  </si>
  <si>
    <t>7-1-402</t>
  </si>
  <si>
    <t>王军元</t>
  </si>
  <si>
    <t>7-1-501</t>
  </si>
  <si>
    <t>杨晓虎</t>
  </si>
  <si>
    <t>7-1-502</t>
  </si>
  <si>
    <t>刘虹</t>
  </si>
  <si>
    <t>7-1-601</t>
  </si>
  <si>
    <t>莫玉蓉</t>
  </si>
  <si>
    <t>7-1-602</t>
  </si>
  <si>
    <t>程中原</t>
  </si>
  <si>
    <t>7-1-701</t>
  </si>
  <si>
    <t>郑家洪</t>
  </si>
  <si>
    <t>7-1-702</t>
  </si>
  <si>
    <t>张爱红</t>
  </si>
  <si>
    <t>7-1-801</t>
  </si>
  <si>
    <t>李爱梅</t>
  </si>
  <si>
    <t>7-1-802</t>
  </si>
  <si>
    <t>常芳芳</t>
  </si>
  <si>
    <t>7-1-901</t>
  </si>
  <si>
    <t>施海涛</t>
  </si>
  <si>
    <t>7-1-902</t>
  </si>
  <si>
    <t>买合木提·吾守尔</t>
  </si>
  <si>
    <r>
      <rPr>
        <sz val="10"/>
        <rFont val="宋体"/>
        <charset val="0"/>
        <scheme val="minor"/>
      </rPr>
      <t>7-2-101</t>
    </r>
    <r>
      <rPr>
        <sz val="10"/>
        <rFont val="宋体"/>
        <charset val="134"/>
        <scheme val="minor"/>
      </rPr>
      <t>商</t>
    </r>
  </si>
  <si>
    <r>
      <rPr>
        <sz val="10"/>
        <rFont val="宋体"/>
        <charset val="0"/>
        <scheme val="minor"/>
      </rPr>
      <t>7-2-102</t>
    </r>
    <r>
      <rPr>
        <sz val="10"/>
        <rFont val="宋体"/>
        <charset val="134"/>
        <scheme val="minor"/>
      </rPr>
      <t>商</t>
    </r>
  </si>
  <si>
    <t>7-2-201</t>
  </si>
  <si>
    <t>张赵峰</t>
  </si>
  <si>
    <t>7-2-202</t>
  </si>
  <si>
    <t>康国生</t>
  </si>
  <si>
    <t>7-2-301</t>
  </si>
  <si>
    <t>王岩</t>
  </si>
  <si>
    <t>全额抵账，未计入收入</t>
  </si>
  <si>
    <t>本期全额确认收入</t>
  </si>
  <si>
    <t>7-2-302</t>
  </si>
  <si>
    <t>常春平</t>
  </si>
  <si>
    <t>7-2-401</t>
  </si>
  <si>
    <t>付国琴</t>
  </si>
  <si>
    <t>7-2-402</t>
  </si>
  <si>
    <t>任莲桥</t>
  </si>
  <si>
    <t>7-2-501</t>
  </si>
  <si>
    <t>王兵、甘丽</t>
  </si>
  <si>
    <t>7-2-502</t>
  </si>
  <si>
    <t>余论简</t>
  </si>
  <si>
    <t>7-2-601</t>
  </si>
  <si>
    <t>陈静娜</t>
  </si>
  <si>
    <t>7-2-602</t>
  </si>
  <si>
    <t>陈秀梅</t>
  </si>
  <si>
    <t>7-2-701</t>
  </si>
  <si>
    <t>李安伦</t>
  </si>
  <si>
    <t>7-2-702</t>
  </si>
  <si>
    <t>胡忠燕</t>
  </si>
  <si>
    <t>7-2-801</t>
  </si>
  <si>
    <t>陈伟</t>
  </si>
  <si>
    <t>7-2-802</t>
  </si>
  <si>
    <t>韩永</t>
  </si>
  <si>
    <t>7-2-901</t>
  </si>
  <si>
    <t>戚树林</t>
  </si>
  <si>
    <t>7-2-902</t>
  </si>
  <si>
    <t>王树君</t>
  </si>
  <si>
    <r>
      <rPr>
        <sz val="10"/>
        <rFont val="宋体"/>
        <charset val="0"/>
        <scheme val="minor"/>
      </rPr>
      <t>7-3-101</t>
    </r>
    <r>
      <rPr>
        <sz val="10"/>
        <rFont val="宋体"/>
        <charset val="134"/>
        <scheme val="minor"/>
      </rPr>
      <t>商</t>
    </r>
  </si>
  <si>
    <r>
      <rPr>
        <sz val="10"/>
        <rFont val="宋体"/>
        <charset val="0"/>
        <scheme val="minor"/>
      </rPr>
      <t>7-3-102</t>
    </r>
    <r>
      <rPr>
        <sz val="10"/>
        <rFont val="宋体"/>
        <charset val="134"/>
        <scheme val="minor"/>
      </rPr>
      <t>商</t>
    </r>
  </si>
  <si>
    <t>7-3-201</t>
  </si>
  <si>
    <t>陆隆芹</t>
  </si>
  <si>
    <t>7-3-202</t>
  </si>
  <si>
    <t>施永星</t>
  </si>
  <si>
    <t>7-3-301</t>
  </si>
  <si>
    <t>徐风英（马江槐）</t>
  </si>
  <si>
    <t>7-3-302</t>
  </si>
  <si>
    <t>代骄阳</t>
  </si>
  <si>
    <t>7-3-401</t>
  </si>
  <si>
    <t>晋连军</t>
  </si>
  <si>
    <t>7-3-402</t>
  </si>
  <si>
    <t>白凤明</t>
  </si>
  <si>
    <t>7-3-501</t>
  </si>
  <si>
    <t>罗义超</t>
  </si>
  <si>
    <t>7-3-502</t>
  </si>
  <si>
    <t>田江洲</t>
  </si>
  <si>
    <t>7-3-601</t>
  </si>
  <si>
    <t>孙毅</t>
  </si>
  <si>
    <t>7-3-602</t>
  </si>
  <si>
    <t>何咏梅</t>
  </si>
  <si>
    <t>7-3-701</t>
  </si>
  <si>
    <t>林清松</t>
  </si>
  <si>
    <t>7-3-702</t>
  </si>
  <si>
    <t>谭晓洪</t>
  </si>
  <si>
    <t>7-3-801</t>
  </si>
  <si>
    <t>李才菊</t>
  </si>
  <si>
    <t>7-3-802</t>
  </si>
  <si>
    <t>赵晶</t>
  </si>
  <si>
    <t>7-3-901</t>
  </si>
  <si>
    <t>7-3-902</t>
  </si>
  <si>
    <t>宋建智</t>
  </si>
  <si>
    <t>7-4-101</t>
  </si>
  <si>
    <t>毛淑梅</t>
  </si>
  <si>
    <t>7-4-102</t>
  </si>
  <si>
    <t>吏志丽</t>
  </si>
  <si>
    <t>7-4-201</t>
  </si>
  <si>
    <t>赵云华</t>
  </si>
  <si>
    <t>7-4-202</t>
  </si>
  <si>
    <t>梁玉花</t>
  </si>
  <si>
    <t>7-4-301</t>
  </si>
  <si>
    <t>史延成</t>
  </si>
  <si>
    <t>7-4-302</t>
  </si>
  <si>
    <t>李鹏</t>
  </si>
  <si>
    <t>7-4-401</t>
  </si>
  <si>
    <t>（叶阿听）李俊霞</t>
  </si>
  <si>
    <t>7-4-402</t>
  </si>
  <si>
    <t>李风军</t>
  </si>
  <si>
    <t>7-4-501</t>
  </si>
  <si>
    <t>古云龙</t>
  </si>
  <si>
    <t>7-4-502</t>
  </si>
  <si>
    <t>苗磊</t>
  </si>
  <si>
    <t>7-5-101</t>
  </si>
  <si>
    <t>刘万其</t>
  </si>
  <si>
    <t>7-5-102</t>
  </si>
  <si>
    <t>王旭</t>
  </si>
  <si>
    <t>7-5-201</t>
  </si>
  <si>
    <t>杨百喜</t>
  </si>
  <si>
    <t>7-5-202</t>
  </si>
  <si>
    <t>权君华</t>
  </si>
  <si>
    <t>7-5-301</t>
  </si>
  <si>
    <t>黎军英</t>
  </si>
  <si>
    <t>7-5-302</t>
  </si>
  <si>
    <t>周元</t>
  </si>
  <si>
    <t>7-5-401</t>
  </si>
  <si>
    <t>安东方</t>
  </si>
  <si>
    <t>7-5-402</t>
  </si>
  <si>
    <t>王建成</t>
  </si>
  <si>
    <t>5-101</t>
  </si>
  <si>
    <t>房号挂错，见5-5-101，总金额一致</t>
  </si>
  <si>
    <t>5-102</t>
  </si>
  <si>
    <t>钟文龙</t>
  </si>
  <si>
    <t>2022年9月20#挂错房号，多入190000</t>
  </si>
  <si>
    <t>5-103</t>
  </si>
  <si>
    <t>5-104-1</t>
  </si>
  <si>
    <t>雷九如</t>
  </si>
  <si>
    <t>5-104-2</t>
  </si>
  <si>
    <t>5-105-1</t>
  </si>
  <si>
    <t>5-105-2</t>
  </si>
  <si>
    <t>杨洋洋</t>
  </si>
  <si>
    <t>5-106</t>
  </si>
  <si>
    <t>孙会丽</t>
  </si>
  <si>
    <t>5-107</t>
  </si>
  <si>
    <t>刘巧丽</t>
  </si>
  <si>
    <t>5-108</t>
  </si>
  <si>
    <t>见5-2-101</t>
  </si>
  <si>
    <t>5-109-1</t>
  </si>
  <si>
    <t>5-109-2</t>
  </si>
  <si>
    <t>廖尊先</t>
  </si>
  <si>
    <t>5-110-1</t>
  </si>
  <si>
    <t>已销售</t>
  </si>
  <si>
    <t>5-110-2</t>
  </si>
  <si>
    <t>5-110-3</t>
  </si>
  <si>
    <t>5-111</t>
  </si>
  <si>
    <t>公共厕所</t>
  </si>
  <si>
    <t>5-1-201</t>
  </si>
  <si>
    <t>（严明华）苏永碧</t>
  </si>
  <si>
    <t>5-1-202</t>
  </si>
  <si>
    <t>姚如彬（许红）</t>
  </si>
  <si>
    <t>5-1-203</t>
  </si>
  <si>
    <t>郎淳斌（杜红霞）</t>
  </si>
  <si>
    <t>5-1-204</t>
  </si>
  <si>
    <t>齐东厚王小喜</t>
  </si>
  <si>
    <t>5-1-301</t>
  </si>
  <si>
    <t>焦小雄</t>
  </si>
  <si>
    <t>5-1-302</t>
  </si>
  <si>
    <t>休克尔·阿巴斯</t>
  </si>
  <si>
    <t>5-1-303</t>
  </si>
  <si>
    <t>麦麦提·伊萨克</t>
  </si>
  <si>
    <t>5-1-304</t>
  </si>
  <si>
    <t>尚国元</t>
  </si>
  <si>
    <t>5-1-401</t>
  </si>
  <si>
    <t>杨小苏</t>
  </si>
  <si>
    <t>5-1-402</t>
  </si>
  <si>
    <t>陈伟霞</t>
  </si>
  <si>
    <t>5-1-403</t>
  </si>
  <si>
    <t>努尔杜拉·努尔麦麦提</t>
  </si>
  <si>
    <t>5-1-404</t>
  </si>
  <si>
    <t>赛买提</t>
  </si>
  <si>
    <t>5-1-501</t>
  </si>
  <si>
    <t>廖先琼</t>
  </si>
  <si>
    <t>5-1-502</t>
  </si>
  <si>
    <t>贾冬梅</t>
  </si>
  <si>
    <t>5-1-503</t>
  </si>
  <si>
    <t>谭晓梅（大雄砖厂）</t>
  </si>
  <si>
    <t>5-1-504</t>
  </si>
  <si>
    <t>王双宁</t>
  </si>
  <si>
    <t>5-1-601</t>
  </si>
  <si>
    <t>王荣梅</t>
  </si>
  <si>
    <t>5-1-602</t>
  </si>
  <si>
    <t>周德红</t>
  </si>
  <si>
    <t>5-1-603</t>
  </si>
  <si>
    <t>任永芳（赵安琪）</t>
  </si>
  <si>
    <t>5-1-604</t>
  </si>
  <si>
    <t>王亚如</t>
  </si>
  <si>
    <t>5-1-701</t>
  </si>
  <si>
    <t>阮红梅</t>
  </si>
  <si>
    <t>5-1-702</t>
  </si>
  <si>
    <t>林可玉</t>
  </si>
  <si>
    <t>5-1-703</t>
  </si>
  <si>
    <t>范丹丹</t>
  </si>
  <si>
    <t>5-1-704</t>
  </si>
  <si>
    <t>雷强</t>
  </si>
  <si>
    <t>5-1-801</t>
  </si>
  <si>
    <t>龙统刚</t>
  </si>
  <si>
    <t>5-1-802</t>
  </si>
  <si>
    <t>任中春（亚森·库尔班）</t>
  </si>
  <si>
    <t>收亚森·库尔班800元挂错房号，见2018年3月30#凭证</t>
  </si>
  <si>
    <t>5-1-803</t>
  </si>
  <si>
    <t>吕承国</t>
  </si>
  <si>
    <t>5-1-804</t>
  </si>
  <si>
    <t>李勇</t>
  </si>
  <si>
    <t>5-1-901</t>
  </si>
  <si>
    <t>周平华</t>
  </si>
  <si>
    <t>5-1-902</t>
  </si>
  <si>
    <t>张小霞</t>
  </si>
  <si>
    <t>5-1-903</t>
  </si>
  <si>
    <t>孙爱莲</t>
  </si>
  <si>
    <t>5-1-904</t>
  </si>
  <si>
    <t>抵账，未计入收入</t>
  </si>
  <si>
    <t>5-1-1001</t>
  </si>
  <si>
    <t>罗爱民</t>
  </si>
  <si>
    <t>5-1-1002</t>
  </si>
  <si>
    <t>乔俊豪</t>
  </si>
  <si>
    <t>5-1-1003</t>
  </si>
  <si>
    <t>5-1-1004</t>
  </si>
  <si>
    <t>罗勇</t>
  </si>
  <si>
    <t>5-1-1101</t>
  </si>
  <si>
    <t>肖萍</t>
  </si>
  <si>
    <t>5-1-1102</t>
  </si>
  <si>
    <t>程龙</t>
  </si>
  <si>
    <t>5-1-1103</t>
  </si>
  <si>
    <t>罗能武</t>
  </si>
  <si>
    <t>5-1-1104</t>
  </si>
  <si>
    <t>王小军（李源）</t>
  </si>
  <si>
    <t>5-2-101</t>
  </si>
  <si>
    <t>见5-108</t>
  </si>
  <si>
    <t>5-2-201</t>
  </si>
  <si>
    <t>曹强</t>
  </si>
  <si>
    <t>多收？</t>
  </si>
  <si>
    <t>开票金额291102</t>
  </si>
  <si>
    <t>5-2-202</t>
  </si>
  <si>
    <t>姜焕亮</t>
  </si>
  <si>
    <t>5-2-301</t>
  </si>
  <si>
    <t>蒋兵（诚达混凝土）</t>
  </si>
  <si>
    <t>5-2-302</t>
  </si>
  <si>
    <t>何敬</t>
  </si>
  <si>
    <t>5-2-401</t>
  </si>
  <si>
    <t>何维军（诚达商混）</t>
  </si>
  <si>
    <t>开票金额281155</t>
  </si>
  <si>
    <t>5-2-402</t>
  </si>
  <si>
    <t>段荣强</t>
  </si>
  <si>
    <t>5-2-501</t>
  </si>
  <si>
    <t>阳远珍</t>
  </si>
  <si>
    <t>5-2-502</t>
  </si>
  <si>
    <t>刘志洋</t>
  </si>
  <si>
    <t>5-2-601</t>
  </si>
  <si>
    <t>孙理祥</t>
  </si>
  <si>
    <t>5-2-602</t>
  </si>
  <si>
    <t>刘鑫</t>
  </si>
  <si>
    <t>5-2-701</t>
  </si>
  <si>
    <t>刘贵峰</t>
  </si>
  <si>
    <t>5-2-702</t>
  </si>
  <si>
    <t>唐冬梅</t>
  </si>
  <si>
    <t>5-2-801</t>
  </si>
  <si>
    <t>二医院</t>
  </si>
  <si>
    <t>5-2-802</t>
  </si>
  <si>
    <t>5-2-901</t>
  </si>
  <si>
    <t>5-2-902</t>
  </si>
  <si>
    <t>5-2-1001</t>
  </si>
  <si>
    <t>5-2-1002</t>
  </si>
  <si>
    <t>5-2-1101</t>
  </si>
  <si>
    <t>邓正华（刘伟）</t>
  </si>
  <si>
    <t>5-2-1102</t>
  </si>
  <si>
    <t>5-3-201</t>
  </si>
  <si>
    <t>何卓光</t>
  </si>
  <si>
    <t>5-3-202</t>
  </si>
  <si>
    <t>王计雨</t>
  </si>
  <si>
    <t>5-3-301</t>
  </si>
  <si>
    <t>徐跃（刘春辉）</t>
  </si>
  <si>
    <t>5-3-302</t>
  </si>
  <si>
    <t>黄仁红</t>
  </si>
  <si>
    <t>5-3-401</t>
  </si>
  <si>
    <t>杨友英</t>
  </si>
  <si>
    <t>5-3-402</t>
  </si>
  <si>
    <t>马四海（王闲）</t>
  </si>
  <si>
    <t>5-3-501</t>
  </si>
  <si>
    <t>刘德升</t>
  </si>
  <si>
    <t>5-3-502</t>
  </si>
  <si>
    <t>葛丽萍（葛伟）</t>
  </si>
  <si>
    <t>5-3-601</t>
  </si>
  <si>
    <t>史全义</t>
  </si>
  <si>
    <t>5-3-602</t>
  </si>
  <si>
    <t>曹婉新</t>
  </si>
  <si>
    <t>5-3-701</t>
  </si>
  <si>
    <t>吴红体</t>
  </si>
  <si>
    <t>5-3-702</t>
  </si>
  <si>
    <t>乔永刚</t>
  </si>
  <si>
    <t>5-3-801</t>
  </si>
  <si>
    <t>蒲永勇</t>
  </si>
  <si>
    <t>5-3-802</t>
  </si>
  <si>
    <t>叶阿听</t>
  </si>
  <si>
    <t>5-3-901</t>
  </si>
  <si>
    <t>杨淑芳（李铁军）</t>
  </si>
  <si>
    <t>5-3-902</t>
  </si>
  <si>
    <t>刘丹</t>
  </si>
  <si>
    <t>5-3-1001</t>
  </si>
  <si>
    <t>刘朝红</t>
  </si>
  <si>
    <t>5-3-1002</t>
  </si>
  <si>
    <t>郑琼芬</t>
  </si>
  <si>
    <t>5-3-1101</t>
  </si>
  <si>
    <t>石勇</t>
  </si>
  <si>
    <t>5-3-1102</t>
  </si>
  <si>
    <t>李珊珊</t>
  </si>
  <si>
    <t>5-4-101</t>
  </si>
  <si>
    <t>5-4-102</t>
  </si>
  <si>
    <t>5-4-201</t>
  </si>
  <si>
    <t>梁春艳</t>
  </si>
  <si>
    <t>5-4-202</t>
  </si>
  <si>
    <t>黄建峰</t>
  </si>
  <si>
    <t>5-4-301</t>
  </si>
  <si>
    <t>丁俊美</t>
  </si>
  <si>
    <t>5-4-302</t>
  </si>
  <si>
    <t>韩磊</t>
  </si>
  <si>
    <t>检查2016年5月是否收到韩磊房款10000元</t>
  </si>
  <si>
    <t>已开票273847元</t>
  </si>
  <si>
    <t>5-4-401</t>
  </si>
  <si>
    <t>路小平</t>
  </si>
  <si>
    <t>5-4-402</t>
  </si>
  <si>
    <t>胡宝志</t>
  </si>
  <si>
    <t>5-4-501</t>
  </si>
  <si>
    <t>赵洪芳</t>
  </si>
  <si>
    <t>5-4-502</t>
  </si>
  <si>
    <t>袁洪升</t>
  </si>
  <si>
    <t>5-4-601</t>
  </si>
  <si>
    <t>何存钱</t>
  </si>
  <si>
    <t>5-4-602</t>
  </si>
  <si>
    <t>张磊任平</t>
  </si>
  <si>
    <t>5-4-701</t>
  </si>
  <si>
    <t>梁焕</t>
  </si>
  <si>
    <t>5-4-702</t>
  </si>
  <si>
    <t>赵晓杰</t>
  </si>
  <si>
    <t>5-4-801</t>
  </si>
  <si>
    <t>杨青云</t>
  </si>
  <si>
    <t>5-4-802</t>
  </si>
  <si>
    <t>李光德</t>
  </si>
  <si>
    <t>5-4-901</t>
  </si>
  <si>
    <t>李保林</t>
  </si>
  <si>
    <t>5-4-902</t>
  </si>
  <si>
    <t>王中会</t>
  </si>
  <si>
    <t>5-4-1001</t>
  </si>
  <si>
    <t>李玉</t>
  </si>
  <si>
    <t>5-4-1002</t>
  </si>
  <si>
    <t>吴增军</t>
  </si>
  <si>
    <t>5-4-1101</t>
  </si>
  <si>
    <t>王书梅</t>
  </si>
  <si>
    <t>5-4-1102</t>
  </si>
  <si>
    <t>甘娇</t>
  </si>
  <si>
    <t>5-5-101</t>
  </si>
  <si>
    <t>房号挂错，见5-101，总金额一致</t>
  </si>
  <si>
    <t>5-5-201</t>
  </si>
  <si>
    <t>陈海洪</t>
  </si>
  <si>
    <t>房款已退回至陈海洪125106元，未结转收入；收亚森·库尔班800元挂错房号</t>
  </si>
  <si>
    <t>5-5-202</t>
  </si>
  <si>
    <t>詹睿</t>
  </si>
  <si>
    <t>5-5-203</t>
  </si>
  <si>
    <t>曹小快</t>
  </si>
  <si>
    <t>5-5-204</t>
  </si>
  <si>
    <t>宫现海</t>
  </si>
  <si>
    <t>5-5-301</t>
  </si>
  <si>
    <t>赵秀琴</t>
  </si>
  <si>
    <t>5-5-302</t>
  </si>
  <si>
    <t>5-5-303</t>
  </si>
  <si>
    <t>刘月华</t>
  </si>
  <si>
    <t>5-5-304</t>
  </si>
  <si>
    <t>葛洪武</t>
  </si>
  <si>
    <t>5-5-401</t>
  </si>
  <si>
    <t>李瑞</t>
  </si>
  <si>
    <t>5-5-402</t>
  </si>
  <si>
    <t>5-5-403</t>
  </si>
  <si>
    <t>魏炳礼</t>
  </si>
  <si>
    <t>抵账未收款，见2017年10-37#，未转收入</t>
  </si>
  <si>
    <t>5-5-404</t>
  </si>
  <si>
    <t>周杰</t>
  </si>
  <si>
    <t>5-5-501</t>
  </si>
  <si>
    <t>张孝新</t>
  </si>
  <si>
    <t>5-5-502</t>
  </si>
  <si>
    <t>5-5-503</t>
  </si>
  <si>
    <t>李海清</t>
  </si>
  <si>
    <t>5-5-504</t>
  </si>
  <si>
    <t>胡文治</t>
  </si>
  <si>
    <t>5-5-601</t>
  </si>
  <si>
    <t>张丛伟</t>
  </si>
  <si>
    <t>5-5-602</t>
  </si>
  <si>
    <t>5-5-603</t>
  </si>
  <si>
    <t>严明华</t>
  </si>
  <si>
    <t>5-5-604</t>
  </si>
  <si>
    <t>龙祥国</t>
  </si>
  <si>
    <t>5-5-701</t>
  </si>
  <si>
    <t>丁梦楠</t>
  </si>
  <si>
    <t>5-5-702</t>
  </si>
  <si>
    <t>5-5-703</t>
  </si>
  <si>
    <t>米吉提艾克热木</t>
  </si>
  <si>
    <t>5-5-704</t>
  </si>
  <si>
    <t>刘从军</t>
  </si>
  <si>
    <t>5-5-801</t>
  </si>
  <si>
    <t>龙统平</t>
  </si>
  <si>
    <t>5-5-802</t>
  </si>
  <si>
    <t>5-5-803</t>
  </si>
  <si>
    <t>帕力瓦尼·艾尼</t>
  </si>
  <si>
    <t>5-5-804</t>
  </si>
  <si>
    <t>艾合麦提依布拉依木</t>
  </si>
  <si>
    <t>5-5-901</t>
  </si>
  <si>
    <t>杨长林</t>
  </si>
  <si>
    <t>5-5-902</t>
  </si>
  <si>
    <t>5-5-903</t>
  </si>
  <si>
    <t>汗扎旦木·阿合尼亚孜</t>
  </si>
  <si>
    <t>5-5-904</t>
  </si>
  <si>
    <t>李大国</t>
  </si>
  <si>
    <t>5-5-1001</t>
  </si>
  <si>
    <t>吕汉云</t>
  </si>
  <si>
    <t>5-5-1002</t>
  </si>
  <si>
    <t>5-5-1003</t>
  </si>
  <si>
    <t>5-5-1004</t>
  </si>
  <si>
    <t>阿力木·吐尔迪</t>
  </si>
  <si>
    <t>5-5-1101</t>
  </si>
  <si>
    <t>王永莲（李飞）</t>
  </si>
  <si>
    <t>5-5-1102</t>
  </si>
  <si>
    <t>5-5-1103</t>
  </si>
  <si>
    <t>艾合买提江.阿巴拜克力</t>
  </si>
  <si>
    <t>5-5-1104</t>
  </si>
  <si>
    <t>玉素甫.吾休尔</t>
  </si>
  <si>
    <t>合计</t>
  </si>
  <si>
    <t>总收入</t>
  </si>
  <si>
    <t>实收房款</t>
  </si>
  <si>
    <t>账面截至2023年12月累计回款金额</t>
  </si>
  <si>
    <t>台账已收房款金额</t>
  </si>
  <si>
    <t>未收房款金额</t>
  </si>
  <si>
    <t>账面已确认收入</t>
  </si>
  <si>
    <t>阿克苏分公司预收账款</t>
  </si>
  <si>
    <t>预收账款余额</t>
  </si>
  <si>
    <t>以前年度损益</t>
  </si>
  <si>
    <t>主营业务收入</t>
  </si>
  <si>
    <t>已确认销项</t>
  </si>
  <si>
    <t>本期应确认收入</t>
  </si>
  <si>
    <t>本期应确认税金</t>
  </si>
  <si>
    <t>调整分类</t>
  </si>
  <si>
    <t>A10-2-502</t>
  </si>
  <si>
    <t>A11-1-101</t>
  </si>
  <si>
    <r>
      <rPr>
        <sz val="10"/>
        <rFont val="宋体"/>
        <charset val="134"/>
      </rPr>
      <t>托乎提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麦木太克</t>
    </r>
  </si>
  <si>
    <t>A11-1-102</t>
  </si>
  <si>
    <r>
      <rPr>
        <sz val="10"/>
        <rFont val="宋体"/>
        <charset val="134"/>
      </rPr>
      <t>巴哈古丽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托乎提</t>
    </r>
  </si>
  <si>
    <t>调整以前年度多确认的收入</t>
  </si>
  <si>
    <t>A11-1-201</t>
  </si>
  <si>
    <r>
      <rPr>
        <sz val="10"/>
        <rFont val="宋体"/>
        <charset val="134"/>
      </rPr>
      <t>吾斯曼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吐尼亚孜</t>
    </r>
  </si>
  <si>
    <t>A11-1-202</t>
  </si>
  <si>
    <r>
      <rPr>
        <sz val="10"/>
        <rFont val="宋体"/>
        <charset val="134"/>
      </rPr>
      <t>玉苏普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图拉克</t>
    </r>
  </si>
  <si>
    <t>A11-1-301</t>
  </si>
  <si>
    <r>
      <rPr>
        <sz val="10"/>
        <rFont val="宋体"/>
        <charset val="134"/>
      </rPr>
      <t>艾合麦提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依马木尼亚孜</t>
    </r>
  </si>
  <si>
    <t>A11-1-302</t>
  </si>
  <si>
    <r>
      <rPr>
        <sz val="10"/>
        <rFont val="宋体"/>
        <charset val="134"/>
      </rPr>
      <t>帕特木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沙依木</t>
    </r>
  </si>
  <si>
    <t>A11-1-401</t>
  </si>
  <si>
    <r>
      <rPr>
        <sz val="10"/>
        <rFont val="宋体"/>
        <charset val="134"/>
      </rPr>
      <t>阿布都克热木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阿布都热合曼</t>
    </r>
  </si>
  <si>
    <t>A11-1-402</t>
  </si>
  <si>
    <t>托合提阿布拉</t>
  </si>
  <si>
    <t>A11-1-501</t>
  </si>
  <si>
    <r>
      <rPr>
        <sz val="10"/>
        <rFont val="宋体"/>
        <charset val="134"/>
      </rPr>
      <t>哈合尼亚孜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吐尼亚孜</t>
    </r>
  </si>
  <si>
    <t>A11-1-502</t>
  </si>
  <si>
    <t>侯功甲</t>
  </si>
  <si>
    <t>A11-1-601</t>
  </si>
  <si>
    <t>吐妮呀孜</t>
  </si>
  <si>
    <t>A11-1-602</t>
  </si>
  <si>
    <t>韩刘梅</t>
  </si>
  <si>
    <t>A11-2-101</t>
  </si>
  <si>
    <r>
      <rPr>
        <sz val="10"/>
        <rFont val="宋体"/>
        <charset val="134"/>
      </rPr>
      <t>木沙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阿木提</t>
    </r>
  </si>
  <si>
    <t>A11-2-102</t>
  </si>
  <si>
    <r>
      <rPr>
        <sz val="10"/>
        <rFont val="宋体"/>
        <charset val="134"/>
      </rPr>
      <t>帕旦木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阿西丁改为艾麦尔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依斯拉木，西热力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麦麦提</t>
    </r>
  </si>
  <si>
    <t>A11-2-201</t>
  </si>
  <si>
    <r>
      <rPr>
        <sz val="10"/>
        <rFont val="宋体"/>
        <charset val="134"/>
      </rPr>
      <t>木塔力甫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艾木都拉</t>
    </r>
  </si>
  <si>
    <t>A11-2-202</t>
  </si>
  <si>
    <t>图尔荪毛拉麦提</t>
  </si>
  <si>
    <t>A11-2-301</t>
  </si>
  <si>
    <t>阿力莆沙依木</t>
  </si>
  <si>
    <t>A11-2-302</t>
  </si>
  <si>
    <r>
      <rPr>
        <sz val="10"/>
        <rFont val="宋体"/>
        <charset val="134"/>
      </rPr>
      <t>约尔尼沙汗</t>
    </r>
    <r>
      <rPr>
        <sz val="10"/>
        <rFont val="Times New Roman"/>
        <charset val="0"/>
      </rPr>
      <t>·</t>
    </r>
    <r>
      <rPr>
        <sz val="10"/>
        <rFont val="宋体"/>
        <charset val="134"/>
      </rPr>
      <t>依马木尼亚孜</t>
    </r>
  </si>
  <si>
    <t>A11-2-401</t>
  </si>
  <si>
    <t>努尔尼亚斯依明</t>
  </si>
  <si>
    <t>A11-2-402</t>
  </si>
  <si>
    <t>阿那古力玉山</t>
  </si>
  <si>
    <t>A11-2-501</t>
  </si>
  <si>
    <t>刘杰</t>
  </si>
  <si>
    <t>A11-2-502</t>
  </si>
  <si>
    <t>黄屹东</t>
  </si>
  <si>
    <t>A11-2-601</t>
  </si>
  <si>
    <t>芦永峰</t>
  </si>
  <si>
    <t>A11-2-602</t>
  </si>
  <si>
    <t>艾则孜。麦麦提</t>
  </si>
  <si>
    <t>A11-3-101</t>
  </si>
  <si>
    <r>
      <rPr>
        <sz val="10"/>
        <rFont val="宋体"/>
        <charset val="134"/>
      </rPr>
      <t>艾力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尤努司</t>
    </r>
  </si>
  <si>
    <t>A11-3-102</t>
  </si>
  <si>
    <r>
      <rPr>
        <sz val="10"/>
        <rFont val="宋体"/>
        <charset val="134"/>
      </rPr>
      <t>黑力且木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艾依提</t>
    </r>
  </si>
  <si>
    <t>A11-3-201</t>
  </si>
  <si>
    <t>吐尼亚孜斯地克</t>
  </si>
  <si>
    <t>A11-3-202</t>
  </si>
  <si>
    <r>
      <rPr>
        <sz val="10"/>
        <rFont val="宋体"/>
        <charset val="134"/>
      </rPr>
      <t>哈尼克孜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铁力瓦迪</t>
    </r>
  </si>
  <si>
    <t>A11-3-301</t>
  </si>
  <si>
    <t>阿依古力古吉克</t>
  </si>
  <si>
    <t>A11-3-302</t>
  </si>
  <si>
    <r>
      <rPr>
        <sz val="10"/>
        <rFont val="宋体"/>
        <charset val="134"/>
      </rPr>
      <t>木塔力甫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木合旦</t>
    </r>
  </si>
  <si>
    <t>A11-3-401</t>
  </si>
  <si>
    <r>
      <rPr>
        <sz val="10"/>
        <rFont val="宋体"/>
        <charset val="134"/>
      </rPr>
      <t>古丽阿依夏目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艾买提</t>
    </r>
  </si>
  <si>
    <t>A11-3-402</t>
  </si>
  <si>
    <r>
      <rPr>
        <sz val="10"/>
        <rFont val="宋体"/>
        <charset val="134"/>
      </rPr>
      <t>吐拉汗</t>
    </r>
    <r>
      <rPr>
        <sz val="10"/>
        <rFont val="Times New Roman"/>
        <charset val="0"/>
      </rPr>
      <t>·</t>
    </r>
    <r>
      <rPr>
        <sz val="10"/>
        <rFont val="宋体"/>
        <charset val="134"/>
      </rPr>
      <t>达尼</t>
    </r>
  </si>
  <si>
    <t>A11-3-501</t>
  </si>
  <si>
    <t>张新</t>
  </si>
  <si>
    <t>A11-3-502</t>
  </si>
  <si>
    <t>帕拉提居马</t>
  </si>
  <si>
    <t>A11-3-601</t>
  </si>
  <si>
    <t>蒋达华</t>
  </si>
  <si>
    <t>A11-3-602</t>
  </si>
  <si>
    <t>韩冰</t>
  </si>
  <si>
    <t>A11-4-101</t>
  </si>
  <si>
    <r>
      <rPr>
        <sz val="10"/>
        <rFont val="宋体"/>
        <charset val="134"/>
      </rPr>
      <t>吐尼亚孜</t>
    </r>
    <r>
      <rPr>
        <sz val="10"/>
        <rFont val="Times New Roman"/>
        <charset val="0"/>
      </rPr>
      <t>·</t>
    </r>
    <r>
      <rPr>
        <sz val="10"/>
        <rFont val="宋体"/>
        <charset val="134"/>
      </rPr>
      <t>麦提尼亚孜</t>
    </r>
  </si>
  <si>
    <t>A11-4-102</t>
  </si>
  <si>
    <r>
      <rPr>
        <sz val="10"/>
        <rFont val="宋体"/>
        <charset val="134"/>
      </rPr>
      <t>艾合买提</t>
    </r>
    <r>
      <rPr>
        <sz val="10"/>
        <rFont val="Times New Roman"/>
        <charset val="0"/>
      </rPr>
      <t>·</t>
    </r>
    <r>
      <rPr>
        <sz val="10"/>
        <rFont val="宋体"/>
        <charset val="134"/>
      </rPr>
      <t>图尼亚孜</t>
    </r>
  </si>
  <si>
    <t>A11-4-201</t>
  </si>
  <si>
    <r>
      <rPr>
        <sz val="10"/>
        <rFont val="宋体"/>
        <charset val="134"/>
      </rPr>
      <t>艾麦尔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肉则、阿西木阿吉</t>
    </r>
  </si>
  <si>
    <t>A11-4-202</t>
  </si>
  <si>
    <t>艾合提吐尼亚孜</t>
  </si>
  <si>
    <t>A11-4-301</t>
  </si>
  <si>
    <r>
      <rPr>
        <sz val="10"/>
        <rFont val="宋体"/>
        <charset val="134"/>
      </rPr>
      <t>哈尼扎但木</t>
    </r>
    <r>
      <rPr>
        <sz val="10"/>
        <rFont val="Times New Roman"/>
        <charset val="0"/>
      </rPr>
      <t>·</t>
    </r>
    <r>
      <rPr>
        <sz val="10"/>
        <rFont val="宋体"/>
        <charset val="134"/>
      </rPr>
      <t>马木提</t>
    </r>
  </si>
  <si>
    <t>A11-4-302</t>
  </si>
  <si>
    <t>（永安混凝土）买木塔吾拉买买提明</t>
  </si>
  <si>
    <t>A11-4-401</t>
  </si>
  <si>
    <t>阿曼古丽艾合坦木</t>
  </si>
  <si>
    <t>A11-4-402</t>
  </si>
  <si>
    <t>亚森赛买提</t>
  </si>
  <si>
    <t>A11-4-501</t>
  </si>
  <si>
    <t>郭健民</t>
  </si>
  <si>
    <t>A11-4-502</t>
  </si>
  <si>
    <r>
      <rPr>
        <sz val="10"/>
        <rFont val="宋体"/>
        <charset val="134"/>
      </rPr>
      <t>艾山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木喀西</t>
    </r>
  </si>
  <si>
    <t>A11-4-601</t>
  </si>
  <si>
    <t>丁自然</t>
  </si>
  <si>
    <t>A11-4-602</t>
  </si>
  <si>
    <r>
      <rPr>
        <sz val="10"/>
        <rFont val="宋体"/>
        <charset val="134"/>
      </rPr>
      <t>吐尔逊古力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托黑提</t>
    </r>
  </si>
  <si>
    <t>A12-1-101</t>
  </si>
  <si>
    <r>
      <rPr>
        <sz val="10"/>
        <rFont val="宋体"/>
        <charset val="134"/>
      </rPr>
      <t>依米尔江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托乎尼牙孜</t>
    </r>
  </si>
  <si>
    <t>A12-1-102</t>
  </si>
  <si>
    <r>
      <rPr>
        <sz val="10"/>
        <rFont val="宋体"/>
        <charset val="134"/>
      </rPr>
      <t>乌斯曼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达吾提</t>
    </r>
  </si>
  <si>
    <t>A12-1-201</t>
  </si>
  <si>
    <r>
      <rPr>
        <sz val="10"/>
        <rFont val="宋体"/>
        <charset val="134"/>
      </rPr>
      <t>吐尼亚孜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托合尼亚孜</t>
    </r>
  </si>
  <si>
    <t>A12-1-202</t>
  </si>
  <si>
    <r>
      <rPr>
        <sz val="10"/>
        <rFont val="宋体"/>
        <charset val="134"/>
      </rPr>
      <t>吐拉克孜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艾买尔（希克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艾拉克）</t>
    </r>
  </si>
  <si>
    <r>
      <rPr>
        <sz val="10"/>
        <rFont val="Times New Roman"/>
        <charset val="134"/>
      </rPr>
      <t>2017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12-52#5000</t>
    </r>
    <r>
      <rPr>
        <sz val="10"/>
        <rFont val="宋体"/>
        <charset val="134"/>
      </rPr>
      <t>元是否挂错房号</t>
    </r>
  </si>
  <si>
    <t>A12-1-301</t>
  </si>
  <si>
    <r>
      <rPr>
        <sz val="10"/>
        <rFont val="宋体"/>
        <charset val="134"/>
      </rPr>
      <t>木萨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阿布拉（钟文彬）</t>
    </r>
  </si>
  <si>
    <t>A12-1-302</t>
  </si>
  <si>
    <r>
      <rPr>
        <sz val="10"/>
        <rFont val="宋体"/>
        <charset val="134"/>
      </rPr>
      <t>阿曼古力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麦麦提尼亚孜（阿依古力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托胡提）</t>
    </r>
  </si>
  <si>
    <t>A12-1-401</t>
  </si>
  <si>
    <r>
      <rPr>
        <sz val="10"/>
        <rFont val="宋体"/>
        <charset val="134"/>
      </rPr>
      <t>库尔班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阿里木</t>
    </r>
  </si>
  <si>
    <t>A12-1-402</t>
  </si>
  <si>
    <r>
      <rPr>
        <sz val="10"/>
        <rFont val="宋体"/>
        <charset val="134"/>
      </rPr>
      <t>吾古利尼萨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纳斯尔</t>
    </r>
  </si>
  <si>
    <t>A12-1-501</t>
  </si>
  <si>
    <t>陈建华</t>
  </si>
  <si>
    <t>A12-1-502</t>
  </si>
  <si>
    <r>
      <rPr>
        <sz val="10"/>
        <rFont val="宋体"/>
        <charset val="134"/>
      </rPr>
      <t>依里艾尔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艾斯凯尔改为克热木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阿不力孜</t>
    </r>
  </si>
  <si>
    <t>前期已确认全额销项税，本期仅结转收入</t>
  </si>
  <si>
    <t>A12-1-601</t>
  </si>
  <si>
    <r>
      <rPr>
        <sz val="10"/>
        <rFont val="宋体"/>
        <charset val="134"/>
      </rPr>
      <t>吐尔地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卡地尔</t>
    </r>
  </si>
  <si>
    <t>A12-1-602</t>
  </si>
  <si>
    <r>
      <rPr>
        <sz val="10"/>
        <rFont val="宋体"/>
        <charset val="134"/>
      </rPr>
      <t>阿娜古丽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赛麦提、卡迪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尔丹</t>
    </r>
  </si>
  <si>
    <t>上任购房人未退款项结转收入9148元</t>
  </si>
  <si>
    <t>A12-2-101</t>
  </si>
  <si>
    <r>
      <rPr>
        <sz val="10"/>
        <rFont val="宋体"/>
        <charset val="134"/>
      </rPr>
      <t>阿布都沙拉木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阿不都热西提、佐热古丽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吐尼亚孜</t>
    </r>
  </si>
  <si>
    <t>上任购房人未退款项结转收入952元</t>
  </si>
  <si>
    <t>A12-2-102</t>
  </si>
  <si>
    <r>
      <rPr>
        <sz val="10"/>
        <rFont val="宋体"/>
        <charset val="134"/>
      </rPr>
      <t>李中超（麦热米汗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艾瓦拉）</t>
    </r>
  </si>
  <si>
    <t>未开票结转收入</t>
  </si>
  <si>
    <t>A12-2-201</t>
  </si>
  <si>
    <r>
      <rPr>
        <sz val="10"/>
        <rFont val="宋体"/>
        <charset val="134"/>
      </rPr>
      <t>麦麦提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阿吾提</t>
    </r>
  </si>
  <si>
    <t>A12-2-202</t>
  </si>
  <si>
    <r>
      <rPr>
        <sz val="10"/>
        <rFont val="宋体"/>
        <charset val="134"/>
      </rPr>
      <t>巴哈尔古力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亚库甫</t>
    </r>
  </si>
  <si>
    <t>A12-2-301</t>
  </si>
  <si>
    <r>
      <rPr>
        <sz val="10"/>
        <rFont val="宋体"/>
        <charset val="134"/>
      </rPr>
      <t>克热木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伊德日斯</t>
    </r>
  </si>
  <si>
    <t>A12-2-302</t>
  </si>
  <si>
    <r>
      <rPr>
        <sz val="10"/>
        <rFont val="宋体"/>
        <charset val="134"/>
      </rPr>
      <t>米尔扎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艾合麦提</t>
    </r>
  </si>
  <si>
    <t>A12-2-401</t>
  </si>
  <si>
    <r>
      <rPr>
        <sz val="10"/>
        <rFont val="宋体"/>
        <charset val="134"/>
      </rPr>
      <t>阿力木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阿合尼牙孜</t>
    </r>
  </si>
  <si>
    <t>A12-2-402</t>
  </si>
  <si>
    <r>
      <rPr>
        <sz val="10"/>
        <rFont val="宋体"/>
        <charset val="134"/>
      </rPr>
      <t>阿依左克热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居麦克，努丽古丽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居买克</t>
    </r>
  </si>
  <si>
    <r>
      <rPr>
        <sz val="10"/>
        <rFont val="Times New Roman"/>
        <charset val="134"/>
      </rPr>
      <t>2017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12-103#5000</t>
    </r>
    <r>
      <rPr>
        <sz val="10"/>
        <rFont val="宋体"/>
        <charset val="134"/>
      </rPr>
      <t>元转入</t>
    </r>
    <r>
      <rPr>
        <sz val="10"/>
        <rFont val="Times New Roman"/>
        <charset val="134"/>
      </rPr>
      <t>C3-112</t>
    </r>
    <r>
      <rPr>
        <sz val="10"/>
        <rFont val="宋体"/>
        <charset val="134"/>
      </rPr>
      <t>，未做帐</t>
    </r>
  </si>
  <si>
    <t>A12-2-501</t>
  </si>
  <si>
    <r>
      <rPr>
        <sz val="10"/>
        <rFont val="宋体"/>
        <charset val="134"/>
      </rPr>
      <t>曼苏尔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麦麦提</t>
    </r>
  </si>
  <si>
    <t>A12-2-502</t>
  </si>
  <si>
    <t>张林</t>
  </si>
  <si>
    <t>A12-2-601</t>
  </si>
  <si>
    <r>
      <rPr>
        <sz val="10"/>
        <rFont val="宋体"/>
        <charset val="134"/>
      </rPr>
      <t>阿布都肉苏力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托合逊（吾不力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吐热）</t>
    </r>
  </si>
  <si>
    <t>A12-2-602</t>
  </si>
  <si>
    <r>
      <rPr>
        <sz val="10"/>
        <rFont val="宋体"/>
        <charset val="134"/>
      </rPr>
      <t>艾科拜尔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艾海提</t>
    </r>
  </si>
  <si>
    <t>A12-3-101</t>
  </si>
  <si>
    <r>
      <rPr>
        <sz val="10"/>
        <rFont val="宋体"/>
        <charset val="134"/>
      </rPr>
      <t>吾热古丽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斯买日</t>
    </r>
  </si>
  <si>
    <t>A12-3-102</t>
  </si>
  <si>
    <r>
      <rPr>
        <sz val="10"/>
        <rFont val="宋体"/>
        <charset val="134"/>
      </rPr>
      <t>托胡提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塔瓦台库力，艾克拜尔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麦麦提</t>
    </r>
  </si>
  <si>
    <t>A12-3-201</t>
  </si>
  <si>
    <r>
      <rPr>
        <sz val="10"/>
        <rFont val="宋体"/>
        <charset val="134"/>
      </rPr>
      <t>于山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买买提</t>
    </r>
  </si>
  <si>
    <t>A12-3-202</t>
  </si>
  <si>
    <r>
      <rPr>
        <sz val="10"/>
        <rFont val="宋体"/>
        <charset val="134"/>
      </rPr>
      <t>艾麦提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巴腊提</t>
    </r>
  </si>
  <si>
    <t>A12-3-301</t>
  </si>
  <si>
    <r>
      <rPr>
        <sz val="10"/>
        <rFont val="宋体"/>
        <charset val="134"/>
      </rPr>
      <t>莫台力甫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艾拉克</t>
    </r>
  </si>
  <si>
    <t>A12-3-302</t>
  </si>
  <si>
    <r>
      <rPr>
        <sz val="10"/>
        <rFont val="宋体"/>
        <charset val="134"/>
      </rPr>
      <t>阿依孜木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赛麦提</t>
    </r>
  </si>
  <si>
    <t>A12-3-401</t>
  </si>
  <si>
    <r>
      <rPr>
        <sz val="10"/>
        <rFont val="宋体"/>
        <charset val="134"/>
      </rPr>
      <t>麦合木提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艾拜都拉</t>
    </r>
  </si>
  <si>
    <t>调整以前年度多确认的收入及销项税</t>
  </si>
  <si>
    <t>A12-3-402</t>
  </si>
  <si>
    <r>
      <rPr>
        <sz val="10"/>
        <rFont val="宋体"/>
        <charset val="134"/>
      </rPr>
      <t>努尔古丽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托乎提（吐逊麦麦提）</t>
    </r>
  </si>
  <si>
    <t>A12-3-501</t>
  </si>
  <si>
    <t>张建中</t>
  </si>
  <si>
    <t>A12-3-502</t>
  </si>
  <si>
    <r>
      <rPr>
        <sz val="10"/>
        <rFont val="宋体"/>
        <charset val="134"/>
      </rPr>
      <t>艾孜孜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木萨</t>
    </r>
  </si>
  <si>
    <t>A12-3-601</t>
  </si>
  <si>
    <r>
      <rPr>
        <sz val="10"/>
        <rFont val="宋体"/>
        <charset val="134"/>
      </rPr>
      <t>阿卜杜艾尼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萨伍提</t>
    </r>
  </si>
  <si>
    <t>A12-3-602</t>
  </si>
  <si>
    <r>
      <rPr>
        <sz val="10"/>
        <rFont val="宋体"/>
        <charset val="134"/>
      </rPr>
      <t>苏里塔克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吐尔迪</t>
    </r>
  </si>
  <si>
    <t>A12-4-101</t>
  </si>
  <si>
    <r>
      <rPr>
        <sz val="10"/>
        <rFont val="宋体"/>
        <charset val="134"/>
      </rPr>
      <t>塔吉古丽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麦合苏木</t>
    </r>
  </si>
  <si>
    <t>A12-4-102</t>
  </si>
  <si>
    <r>
      <rPr>
        <sz val="10"/>
        <rFont val="宋体"/>
        <charset val="134"/>
      </rPr>
      <t>阿不都热依木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沙地克</t>
    </r>
  </si>
  <si>
    <t>A12-4-201</t>
  </si>
  <si>
    <r>
      <rPr>
        <sz val="10"/>
        <rFont val="宋体"/>
        <charset val="134"/>
      </rPr>
      <t>夏扎旦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库尔班，吐热汗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库尔班</t>
    </r>
    <r>
      <rPr>
        <sz val="10"/>
        <rFont val="Times New Roman"/>
        <charset val="134"/>
      </rPr>
      <t>,</t>
    </r>
    <r>
      <rPr>
        <sz val="10"/>
        <rFont val="宋体"/>
        <charset val="134"/>
      </rPr>
      <t>艾合麦提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麦木提力</t>
    </r>
  </si>
  <si>
    <t>A12-4-202</t>
  </si>
  <si>
    <r>
      <rPr>
        <sz val="10"/>
        <rFont val="宋体"/>
        <charset val="134"/>
      </rPr>
      <t>努尔麦麦提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阿不都尼亚孜</t>
    </r>
  </si>
  <si>
    <t>A12-4-301</t>
  </si>
  <si>
    <r>
      <rPr>
        <sz val="10"/>
        <rFont val="宋体"/>
        <charset val="134"/>
      </rPr>
      <t>阿迪力江</t>
    </r>
    <r>
      <rPr>
        <sz val="10"/>
        <rFont val="Times New Roman"/>
        <charset val="134"/>
      </rPr>
      <t>.</t>
    </r>
    <r>
      <rPr>
        <sz val="10"/>
        <rFont val="宋体"/>
        <charset val="134"/>
      </rPr>
      <t>艾麦提</t>
    </r>
  </si>
  <si>
    <t>A12-4-302</t>
  </si>
  <si>
    <r>
      <rPr>
        <sz val="10"/>
        <rFont val="宋体"/>
        <charset val="134"/>
      </rPr>
      <t>安外尔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热合曼</t>
    </r>
  </si>
  <si>
    <t>A12-4-401</t>
  </si>
  <si>
    <r>
      <rPr>
        <sz val="10"/>
        <rFont val="宋体"/>
        <charset val="134"/>
      </rPr>
      <t>阿布都萨拉木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艾麦尔</t>
    </r>
  </si>
  <si>
    <t>A12-4-402</t>
  </si>
  <si>
    <r>
      <rPr>
        <sz val="10"/>
        <rFont val="宋体"/>
        <charset val="134"/>
      </rPr>
      <t>玉素甫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买买提</t>
    </r>
  </si>
  <si>
    <t>A12-4-501</t>
  </si>
  <si>
    <r>
      <rPr>
        <sz val="10"/>
        <rFont val="宋体"/>
        <charset val="134"/>
      </rPr>
      <t>托合提尼亚孜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图尼亚孜</t>
    </r>
  </si>
  <si>
    <t>A12-4-502</t>
  </si>
  <si>
    <r>
      <rPr>
        <sz val="10"/>
        <rFont val="宋体"/>
        <charset val="134"/>
      </rPr>
      <t>吐尔洪江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艾则孜</t>
    </r>
  </si>
  <si>
    <t>A12-4-601</t>
  </si>
  <si>
    <r>
      <rPr>
        <sz val="10"/>
        <rFont val="宋体"/>
        <charset val="134"/>
      </rPr>
      <t>买买江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艾山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麦合木提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吾休尔</t>
    </r>
    <r>
      <rPr>
        <sz val="10"/>
        <rFont val="Times New Roman"/>
        <charset val="134"/>
      </rPr>
      <t>)</t>
    </r>
  </si>
  <si>
    <t>A12-4-602</t>
  </si>
  <si>
    <r>
      <rPr>
        <sz val="10"/>
        <rFont val="宋体"/>
        <charset val="134"/>
      </rPr>
      <t>玉苏甫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阿不都热合曼</t>
    </r>
  </si>
  <si>
    <t>A12-5-101</t>
  </si>
  <si>
    <r>
      <rPr>
        <sz val="10"/>
        <rFont val="宋体"/>
        <charset val="134"/>
      </rPr>
      <t>艾克拜尔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依马木</t>
    </r>
  </si>
  <si>
    <t>A12-5-102</t>
  </si>
  <si>
    <r>
      <rPr>
        <sz val="10"/>
        <rFont val="宋体"/>
        <charset val="134"/>
      </rPr>
      <t>帕旦木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艾合旦</t>
    </r>
  </si>
  <si>
    <t>A12-5-201</t>
  </si>
  <si>
    <r>
      <rPr>
        <sz val="10"/>
        <rFont val="宋体"/>
        <charset val="134"/>
      </rPr>
      <t>阿娜古丽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吐逊（吐尔逊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托乎提）</t>
    </r>
  </si>
  <si>
    <t>A12-5-202</t>
  </si>
  <si>
    <r>
      <rPr>
        <sz val="10"/>
        <rFont val="宋体"/>
        <charset val="134"/>
      </rPr>
      <t>阿合尼亚孜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托胡尼亚孜</t>
    </r>
  </si>
  <si>
    <t>A12-5-301</t>
  </si>
  <si>
    <r>
      <rPr>
        <sz val="10"/>
        <rFont val="宋体"/>
        <charset val="134"/>
      </rPr>
      <t>依明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奥斯曼</t>
    </r>
  </si>
  <si>
    <t>A12-5-302</t>
  </si>
  <si>
    <r>
      <rPr>
        <sz val="10"/>
        <rFont val="宋体"/>
        <charset val="134"/>
      </rPr>
      <t>左热古力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依明</t>
    </r>
  </si>
  <si>
    <t>A12-5-401</t>
  </si>
  <si>
    <r>
      <rPr>
        <sz val="10"/>
        <rFont val="宋体"/>
        <charset val="134"/>
      </rPr>
      <t>阿布都赛买提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艾麦尔</t>
    </r>
  </si>
  <si>
    <t>A12-5-402</t>
  </si>
  <si>
    <r>
      <rPr>
        <sz val="10"/>
        <rFont val="宋体"/>
        <charset val="134"/>
      </rPr>
      <t>麦麦提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左布东</t>
    </r>
  </si>
  <si>
    <t>A12-5-501</t>
  </si>
  <si>
    <r>
      <rPr>
        <sz val="10"/>
        <rFont val="宋体"/>
        <charset val="134"/>
      </rPr>
      <t>买麦提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托乎提</t>
    </r>
  </si>
  <si>
    <t>A12-5-502</t>
  </si>
  <si>
    <r>
      <rPr>
        <sz val="10"/>
        <rFont val="宋体"/>
        <charset val="134"/>
      </rPr>
      <t>艾合买提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吾不力</t>
    </r>
  </si>
  <si>
    <t>A12-5-601</t>
  </si>
  <si>
    <r>
      <rPr>
        <sz val="10"/>
        <rFont val="宋体"/>
        <charset val="134"/>
      </rPr>
      <t>麦麦提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托合提</t>
    </r>
  </si>
  <si>
    <t>A12-5-602</t>
  </si>
  <si>
    <r>
      <rPr>
        <sz val="10"/>
        <rFont val="宋体"/>
        <charset val="134"/>
      </rPr>
      <t>克合尔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库尔班</t>
    </r>
  </si>
  <si>
    <r>
      <rPr>
        <sz val="10"/>
        <rFont val="Times New Roman"/>
        <charset val="0"/>
      </rPr>
      <t>C1-</t>
    </r>
    <r>
      <rPr>
        <sz val="10"/>
        <rFont val="宋体"/>
        <charset val="134"/>
      </rPr>
      <t>库房</t>
    </r>
    <r>
      <rPr>
        <sz val="10"/>
        <rFont val="Times New Roman"/>
        <charset val="0"/>
      </rPr>
      <t>01</t>
    </r>
  </si>
  <si>
    <r>
      <rPr>
        <sz val="10"/>
        <rFont val="Times New Roman"/>
        <charset val="0"/>
      </rPr>
      <t>C1-</t>
    </r>
    <r>
      <rPr>
        <sz val="10"/>
        <rFont val="宋体"/>
        <charset val="134"/>
      </rPr>
      <t>库房</t>
    </r>
    <r>
      <rPr>
        <sz val="10"/>
        <rFont val="Times New Roman"/>
        <charset val="0"/>
      </rPr>
      <t>02</t>
    </r>
  </si>
  <si>
    <t>C1-101</t>
  </si>
  <si>
    <r>
      <rPr>
        <sz val="10"/>
        <rFont val="宋体"/>
        <charset val="134"/>
      </rPr>
      <t>艾合麦提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麦麦提</t>
    </r>
  </si>
  <si>
    <t>C1-102</t>
  </si>
  <si>
    <t>C1-103</t>
  </si>
  <si>
    <t>古丽娜尔·木沙</t>
  </si>
  <si>
    <t>C1-104</t>
  </si>
  <si>
    <t>努尔艾力·依明</t>
  </si>
  <si>
    <t>C1-105</t>
  </si>
  <si>
    <t xml:space="preserve">库尔班·许库尔
</t>
  </si>
  <si>
    <t>C1-106</t>
  </si>
  <si>
    <t>C1-107</t>
  </si>
  <si>
    <t>C1-108</t>
  </si>
  <si>
    <r>
      <rPr>
        <sz val="10"/>
        <rFont val="Times New Roman"/>
        <charset val="0"/>
      </rPr>
      <t>C1</t>
    </r>
    <r>
      <rPr>
        <sz val="10"/>
        <rFont val="宋体"/>
        <charset val="134"/>
      </rPr>
      <t>门厅</t>
    </r>
  </si>
  <si>
    <r>
      <rPr>
        <sz val="10"/>
        <rFont val="Times New Roman"/>
        <charset val="0"/>
      </rPr>
      <t>C1</t>
    </r>
    <r>
      <rPr>
        <sz val="10"/>
        <rFont val="宋体"/>
        <charset val="134"/>
      </rPr>
      <t>楼梯间</t>
    </r>
  </si>
  <si>
    <t>C1-201</t>
  </si>
  <si>
    <t>C1-301</t>
  </si>
  <si>
    <t>C1-302</t>
  </si>
  <si>
    <r>
      <rPr>
        <sz val="10"/>
        <rFont val="Times New Roman"/>
        <charset val="0"/>
      </rPr>
      <t>C2</t>
    </r>
    <r>
      <rPr>
        <sz val="10"/>
        <rFont val="宋体"/>
        <charset val="134"/>
      </rPr>
      <t>公厕</t>
    </r>
  </si>
  <si>
    <t>C2-101</t>
  </si>
  <si>
    <r>
      <rPr>
        <sz val="10"/>
        <rFont val="宋体"/>
        <charset val="134"/>
      </rPr>
      <t>木塔力甫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吐逊</t>
    </r>
  </si>
  <si>
    <t>C2-02</t>
  </si>
  <si>
    <r>
      <rPr>
        <sz val="10"/>
        <rFont val="宋体"/>
        <charset val="134"/>
      </rPr>
      <t>阿瓦古丽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图尼亚孜</t>
    </r>
  </si>
  <si>
    <t>C2-03</t>
  </si>
  <si>
    <t>C2-104</t>
  </si>
  <si>
    <r>
      <rPr>
        <sz val="10"/>
        <rFont val="宋体"/>
        <charset val="134"/>
      </rPr>
      <t>吐尼亚孜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托合尼牙孜更名成吐尔洪江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库尔班</t>
    </r>
  </si>
  <si>
    <t>C2-105</t>
  </si>
  <si>
    <r>
      <rPr>
        <sz val="10"/>
        <rFont val="宋体"/>
        <charset val="134"/>
      </rPr>
      <t>依明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牙生</t>
    </r>
  </si>
  <si>
    <t>C2-106</t>
  </si>
  <si>
    <r>
      <rPr>
        <sz val="10"/>
        <rFont val="宋体"/>
        <charset val="134"/>
      </rPr>
      <t>阿瓦汗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艾麦提</t>
    </r>
  </si>
  <si>
    <t>C2-107</t>
  </si>
  <si>
    <t>C2-108</t>
  </si>
  <si>
    <r>
      <rPr>
        <sz val="10"/>
        <rFont val="宋体"/>
        <charset val="134"/>
      </rPr>
      <t>月来木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卡地尔</t>
    </r>
  </si>
  <si>
    <t>C2-109</t>
  </si>
  <si>
    <r>
      <rPr>
        <sz val="10"/>
        <rFont val="宋体"/>
        <charset val="134"/>
      </rPr>
      <t>玉米提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提依甫</t>
    </r>
  </si>
  <si>
    <t>C2-110</t>
  </si>
  <si>
    <r>
      <rPr>
        <sz val="10"/>
        <rFont val="宋体"/>
        <charset val="134"/>
      </rPr>
      <t>艾合麦提江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图拉克</t>
    </r>
  </si>
  <si>
    <t>房号调整导致，总额一直</t>
  </si>
  <si>
    <t>C2-111</t>
  </si>
  <si>
    <t>C2-112</t>
  </si>
  <si>
    <r>
      <rPr>
        <sz val="10"/>
        <rFont val="宋体"/>
        <charset val="134"/>
      </rPr>
      <t>古力先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如孜</t>
    </r>
    <r>
      <rPr>
        <sz val="10"/>
        <rFont val="Times New Roman"/>
        <charset val="134"/>
      </rPr>
      <t xml:space="preserve"> 
 </t>
    </r>
    <r>
      <rPr>
        <sz val="10"/>
        <rFont val="宋体"/>
        <charset val="134"/>
      </rPr>
      <t>古力娜扎尔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司马依</t>
    </r>
  </si>
  <si>
    <t>C2-1-502</t>
  </si>
  <si>
    <t>C3-101</t>
  </si>
  <si>
    <t>C3-102</t>
  </si>
  <si>
    <r>
      <rPr>
        <sz val="10"/>
        <rFont val="宋体"/>
        <charset val="134"/>
      </rPr>
      <t>阿力木江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牙生</t>
    </r>
  </si>
  <si>
    <t>C3-103</t>
  </si>
  <si>
    <t>C3-104</t>
  </si>
  <si>
    <t>C3-105</t>
  </si>
  <si>
    <r>
      <rPr>
        <sz val="10"/>
        <rFont val="宋体"/>
        <charset val="134"/>
      </rPr>
      <t>阿力木江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阿吾提</t>
    </r>
  </si>
  <si>
    <t>C3-106</t>
  </si>
  <si>
    <r>
      <rPr>
        <sz val="10"/>
        <rFont val="宋体"/>
        <charset val="134"/>
      </rPr>
      <t>阿尔孜古力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麦提尼亚孜</t>
    </r>
  </si>
  <si>
    <t>台账是否正确？</t>
  </si>
  <si>
    <t>C3-107</t>
  </si>
  <si>
    <r>
      <rPr>
        <sz val="10"/>
        <rFont val="宋体"/>
        <charset val="134"/>
      </rPr>
      <t>海日古丽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尼亚孜</t>
    </r>
  </si>
  <si>
    <t>C3-108</t>
  </si>
  <si>
    <r>
      <rPr>
        <sz val="10"/>
        <rFont val="宋体"/>
        <charset val="134"/>
      </rPr>
      <t>艾克拜尔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亚生</t>
    </r>
  </si>
  <si>
    <t>C3-109</t>
  </si>
  <si>
    <r>
      <rPr>
        <sz val="10"/>
        <rFont val="宋体"/>
        <charset val="134"/>
      </rPr>
      <t>托木尔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吐迪</t>
    </r>
  </si>
  <si>
    <t>C3-110</t>
  </si>
  <si>
    <r>
      <rPr>
        <sz val="10"/>
        <rFont val="宋体"/>
        <charset val="134"/>
      </rPr>
      <t>阿力米热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亚力坤</t>
    </r>
  </si>
  <si>
    <t>C3-111</t>
  </si>
  <si>
    <t>C3-112</t>
  </si>
  <si>
    <t>C3-113</t>
  </si>
  <si>
    <r>
      <rPr>
        <sz val="10"/>
        <rFont val="宋体"/>
        <charset val="134"/>
      </rPr>
      <t>先木西努尔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木塔力甫</t>
    </r>
  </si>
  <si>
    <t>C3-1-201</t>
  </si>
  <si>
    <r>
      <rPr>
        <sz val="10"/>
        <rFont val="宋体"/>
        <charset val="134"/>
      </rPr>
      <t>艾麦提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图木尔</t>
    </r>
  </si>
  <si>
    <t>C3-1-202</t>
  </si>
  <si>
    <r>
      <rPr>
        <sz val="10"/>
        <rFont val="宋体"/>
        <charset val="134"/>
      </rPr>
      <t>玉苏甫江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吐尔逊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玉苏甫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依明</t>
    </r>
    <r>
      <rPr>
        <sz val="10"/>
        <rFont val="Times New Roman"/>
        <charset val="134"/>
      </rPr>
      <t>)</t>
    </r>
  </si>
  <si>
    <t>C3-1-301</t>
  </si>
  <si>
    <r>
      <rPr>
        <sz val="10"/>
        <rFont val="宋体"/>
        <charset val="134"/>
      </rPr>
      <t>托合提拜戈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玉苏甫</t>
    </r>
  </si>
  <si>
    <t>C3-1-302</t>
  </si>
  <si>
    <r>
      <rPr>
        <sz val="10"/>
        <rFont val="宋体"/>
        <charset val="134"/>
      </rPr>
      <t>艾尼瓦尔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靑甫拉提</t>
    </r>
  </si>
  <si>
    <t>C3-1-401</t>
  </si>
  <si>
    <r>
      <rPr>
        <sz val="10"/>
        <rFont val="宋体"/>
        <charset val="134"/>
      </rPr>
      <t>麦尔燕木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毛拉麦提</t>
    </r>
  </si>
  <si>
    <t>余额确认收入</t>
  </si>
  <si>
    <t>C3-1-402</t>
  </si>
  <si>
    <r>
      <rPr>
        <sz val="10"/>
        <rFont val="宋体"/>
        <charset val="134"/>
      </rPr>
      <t>阿不拉江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库尔班（吐尔逊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麦麦提）</t>
    </r>
  </si>
  <si>
    <t>C3-1-501</t>
  </si>
  <si>
    <r>
      <rPr>
        <sz val="10"/>
        <rFont val="宋体"/>
        <charset val="134"/>
      </rPr>
      <t>热合曼江玉苏甫江（阿布都赛麦提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肉孜）</t>
    </r>
  </si>
  <si>
    <t>C3-1-502</t>
  </si>
  <si>
    <t>牙生江马木提</t>
  </si>
  <si>
    <t>C3-2-201</t>
  </si>
  <si>
    <t>赛木江阿里木</t>
  </si>
  <si>
    <t>C3-2-202</t>
  </si>
  <si>
    <t>阿曼古丽艾尔肯</t>
  </si>
  <si>
    <t>C3-2-301</t>
  </si>
  <si>
    <r>
      <rPr>
        <sz val="10"/>
        <rFont val="宋体"/>
        <charset val="134"/>
      </rPr>
      <t>西日甫江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阿不来提</t>
    </r>
  </si>
  <si>
    <t>C3-2-302</t>
  </si>
  <si>
    <r>
      <rPr>
        <sz val="10"/>
        <rFont val="宋体"/>
        <charset val="134"/>
      </rPr>
      <t>麦麦提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司马依力</t>
    </r>
  </si>
  <si>
    <t>C3-2-401</t>
  </si>
  <si>
    <t>肉孜艾买提</t>
  </si>
  <si>
    <t>C3-2-402</t>
  </si>
  <si>
    <t>买合木提卡迪尔</t>
  </si>
  <si>
    <t>C3-2-501</t>
  </si>
  <si>
    <t>斯依提阿卜都热依木</t>
  </si>
  <si>
    <t>C3-2-502</t>
  </si>
  <si>
    <t>艾山吐尔洪</t>
  </si>
  <si>
    <t>C3-3-201</t>
  </si>
  <si>
    <t>阿不都热西提阿不都克然木</t>
  </si>
  <si>
    <t>C3-3-202</t>
  </si>
  <si>
    <r>
      <rPr>
        <sz val="10"/>
        <rFont val="宋体"/>
        <charset val="134"/>
      </rPr>
      <t>托合提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斯马依</t>
    </r>
  </si>
  <si>
    <t>C3-3-301</t>
  </si>
  <si>
    <r>
      <rPr>
        <sz val="10"/>
        <rFont val="宋体"/>
        <charset val="134"/>
      </rPr>
      <t>艾麦尔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亚森</t>
    </r>
  </si>
  <si>
    <t>C3-3-302</t>
  </si>
  <si>
    <r>
      <rPr>
        <sz val="10"/>
        <rFont val="宋体"/>
        <charset val="134"/>
      </rPr>
      <t>阿曼古力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吐尔逊</t>
    </r>
  </si>
  <si>
    <t>C3-3-401</t>
  </si>
  <si>
    <t>迪力夏提木热提</t>
  </si>
  <si>
    <t>C3-3-402</t>
  </si>
  <si>
    <t>木瓦汗木沙</t>
  </si>
  <si>
    <t>C3-3-501</t>
  </si>
  <si>
    <t>玉山吐热克</t>
  </si>
  <si>
    <t>C3-3-502</t>
  </si>
  <si>
    <t>玛依热肉孜</t>
  </si>
  <si>
    <t>C4-101</t>
  </si>
  <si>
    <t>古丽马热木·吾斯曼</t>
  </si>
  <si>
    <t>C4-102</t>
  </si>
  <si>
    <t>阿力木江·阿吾提</t>
  </si>
  <si>
    <t>C4-103</t>
  </si>
  <si>
    <t>C4-1-04</t>
  </si>
  <si>
    <r>
      <rPr>
        <sz val="10"/>
        <rFont val="宋体"/>
        <charset val="134"/>
      </rPr>
      <t>赛麦提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沙吾提</t>
    </r>
  </si>
  <si>
    <t>C4-1-05</t>
  </si>
  <si>
    <r>
      <rPr>
        <sz val="10"/>
        <rFont val="宋体"/>
        <charset val="134"/>
      </rPr>
      <t>艾合麦提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吐尔逊</t>
    </r>
  </si>
  <si>
    <t>C4-1-06</t>
  </si>
  <si>
    <r>
      <rPr>
        <sz val="10"/>
        <rFont val="宋体"/>
        <charset val="134"/>
      </rPr>
      <t>阿曼古丽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阿卜杜喀迪尔</t>
    </r>
  </si>
  <si>
    <t>C4-107</t>
  </si>
  <si>
    <r>
      <rPr>
        <sz val="10"/>
        <rFont val="宋体"/>
        <charset val="134"/>
      </rPr>
      <t>阿卜杜柯然木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阿卜杜喀迪尔</t>
    </r>
  </si>
  <si>
    <t>C4-1-08</t>
  </si>
  <si>
    <r>
      <rPr>
        <sz val="10"/>
        <rFont val="宋体"/>
        <charset val="134"/>
      </rPr>
      <t>阿布都爱尼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牙生</t>
    </r>
  </si>
  <si>
    <t>C4-1-09</t>
  </si>
  <si>
    <r>
      <rPr>
        <sz val="10"/>
        <rFont val="宋体"/>
        <charset val="134"/>
      </rPr>
      <t>吐逊古丽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艾海提</t>
    </r>
  </si>
  <si>
    <t>C4-110</t>
  </si>
  <si>
    <r>
      <rPr>
        <sz val="10"/>
        <rFont val="宋体"/>
        <charset val="134"/>
      </rPr>
      <t>柔鲜古丽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麦麦提</t>
    </r>
  </si>
  <si>
    <t>C4-111</t>
  </si>
  <si>
    <t>C4-112</t>
  </si>
  <si>
    <t>C4-113</t>
  </si>
  <si>
    <t>杨希军</t>
  </si>
  <si>
    <t>C4-1-201</t>
  </si>
  <si>
    <r>
      <rPr>
        <sz val="10"/>
        <rFont val="宋体"/>
        <charset val="134"/>
      </rPr>
      <t>麦麦提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肉孜</t>
    </r>
  </si>
  <si>
    <t>C4-1-202</t>
  </si>
  <si>
    <r>
      <rPr>
        <sz val="10"/>
        <rFont val="宋体"/>
        <charset val="134"/>
      </rPr>
      <t>莫明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尕依斯</t>
    </r>
  </si>
  <si>
    <t>C4-1-301</t>
  </si>
  <si>
    <r>
      <rPr>
        <sz val="10"/>
        <rFont val="宋体"/>
        <charset val="134"/>
      </rPr>
      <t>阿不都赛买提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托乎提（吐尔逊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麦提尼牙孜）</t>
    </r>
  </si>
  <si>
    <t>C4-1-302</t>
  </si>
  <si>
    <r>
      <rPr>
        <sz val="10"/>
        <rFont val="宋体"/>
        <charset val="134"/>
      </rPr>
      <t>阿力木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麦提尼亚孜</t>
    </r>
  </si>
  <si>
    <t>C4-1-401</t>
  </si>
  <si>
    <r>
      <rPr>
        <sz val="10"/>
        <rFont val="宋体"/>
        <charset val="134"/>
      </rPr>
      <t>艾山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达依木</t>
    </r>
  </si>
  <si>
    <t>C4-1-402</t>
  </si>
  <si>
    <t>程学广</t>
  </si>
  <si>
    <t>C4-1-501</t>
  </si>
  <si>
    <r>
      <rPr>
        <sz val="10"/>
        <rFont val="宋体"/>
        <charset val="134"/>
      </rPr>
      <t>阿不都</t>
    </r>
    <r>
      <rPr>
        <sz val="10"/>
        <rFont val="Times New Roman"/>
        <charset val="0"/>
      </rPr>
      <t xml:space="preserve"> </t>
    </r>
    <r>
      <rPr>
        <sz val="10"/>
        <rFont val="宋体"/>
        <charset val="134"/>
      </rPr>
      <t>卡得阿不都克然木</t>
    </r>
  </si>
  <si>
    <t>C4-1-502</t>
  </si>
  <si>
    <t>努尔尼沙也克亚</t>
  </si>
  <si>
    <t>C4-1-601</t>
  </si>
  <si>
    <t>约寒尹玉素甫艾麦提</t>
  </si>
  <si>
    <t>C4-1-602</t>
  </si>
  <si>
    <t>图尔逊达吾提</t>
  </si>
  <si>
    <t>C4-2-201</t>
  </si>
  <si>
    <r>
      <rPr>
        <sz val="10"/>
        <rFont val="宋体"/>
        <charset val="134"/>
      </rPr>
      <t>热萨莱提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图尔荪</t>
    </r>
  </si>
  <si>
    <t>C4-2-202</t>
  </si>
  <si>
    <r>
      <rPr>
        <sz val="10"/>
        <rFont val="宋体"/>
        <charset val="134"/>
      </rPr>
      <t>古力尼沙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吐迪</t>
    </r>
  </si>
  <si>
    <t>C4-2-301</t>
  </si>
  <si>
    <r>
      <rPr>
        <sz val="10"/>
        <rFont val="宋体"/>
        <charset val="134"/>
      </rPr>
      <t>阿布拉江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吾布力</t>
    </r>
  </si>
  <si>
    <t>C4-2-302</t>
  </si>
  <si>
    <r>
      <rPr>
        <sz val="10"/>
        <rFont val="宋体"/>
        <charset val="134"/>
      </rPr>
      <t>玉山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乌斯曼，吾热古丽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吐尔逊</t>
    </r>
  </si>
  <si>
    <t>C4-2-401</t>
  </si>
  <si>
    <r>
      <rPr>
        <sz val="10"/>
        <rFont val="宋体"/>
        <charset val="134"/>
      </rPr>
      <t>阿卜力孜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伊斯拉木</t>
    </r>
  </si>
  <si>
    <t>C4-2-402</t>
  </si>
  <si>
    <r>
      <rPr>
        <sz val="10"/>
        <rFont val="宋体"/>
        <charset val="134"/>
      </rPr>
      <t>木合塔尔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吐尔地</t>
    </r>
  </si>
  <si>
    <t>C4-2-501</t>
  </si>
  <si>
    <r>
      <rPr>
        <sz val="10"/>
        <rFont val="宋体"/>
        <charset val="134"/>
      </rPr>
      <t>麦麦提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库尔班</t>
    </r>
  </si>
  <si>
    <t>C4-2-502</t>
  </si>
  <si>
    <t>吐尔逊阿依吐尔逊</t>
  </si>
  <si>
    <t>C4-2-601</t>
  </si>
  <si>
    <r>
      <rPr>
        <sz val="10"/>
        <rFont val="宋体"/>
        <charset val="134"/>
      </rPr>
      <t>塔依尔江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艾麦尔（麦热耶姆艾买提）</t>
    </r>
  </si>
  <si>
    <t>C4-2-602</t>
  </si>
  <si>
    <t>努尔艾力依明</t>
  </si>
  <si>
    <t>C4-3-201</t>
  </si>
  <si>
    <r>
      <rPr>
        <sz val="10"/>
        <rFont val="宋体"/>
        <charset val="134"/>
      </rPr>
      <t>依皮宰木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依司热依木</t>
    </r>
  </si>
  <si>
    <t>C4-3-202</t>
  </si>
  <si>
    <r>
      <rPr>
        <sz val="10"/>
        <rFont val="宋体"/>
        <charset val="134"/>
      </rPr>
      <t>如先古丽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牙生</t>
    </r>
  </si>
  <si>
    <t>C4-3-301</t>
  </si>
  <si>
    <r>
      <rPr>
        <sz val="10"/>
        <rFont val="宋体"/>
        <charset val="134"/>
      </rPr>
      <t>哈力旦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阿木提</t>
    </r>
  </si>
  <si>
    <t>C4-3-302</t>
  </si>
  <si>
    <r>
      <rPr>
        <sz val="10"/>
        <rFont val="宋体"/>
        <charset val="134"/>
      </rPr>
      <t>吐逊江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艾山</t>
    </r>
  </si>
  <si>
    <t>C4-3-401</t>
  </si>
  <si>
    <t>刘吉朝</t>
  </si>
  <si>
    <t>C4-3-402</t>
  </si>
  <si>
    <r>
      <rPr>
        <sz val="10"/>
        <rFont val="Times New Roman"/>
        <charset val="134"/>
      </rPr>
      <t>2017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12-99#</t>
    </r>
    <r>
      <rPr>
        <sz val="10"/>
        <rFont val="宋体"/>
        <charset val="134"/>
      </rPr>
      <t>原房主</t>
    </r>
    <r>
      <rPr>
        <sz val="10"/>
        <rFont val="Times New Roman"/>
        <charset val="134"/>
      </rPr>
      <t>3000</t>
    </r>
    <r>
      <rPr>
        <sz val="10"/>
        <rFont val="宋体"/>
        <charset val="134"/>
      </rPr>
      <t>元，多确认收入</t>
    </r>
  </si>
  <si>
    <t>C4-3-501</t>
  </si>
  <si>
    <t>卡和尔曼玉苏普</t>
  </si>
  <si>
    <t>C4-3-502</t>
  </si>
  <si>
    <r>
      <rPr>
        <sz val="10"/>
        <rFont val="宋体"/>
        <charset val="134"/>
      </rPr>
      <t>穆萨江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如则</t>
    </r>
  </si>
  <si>
    <t>C4-3-601</t>
  </si>
  <si>
    <t>吐尔孜肉苏</t>
  </si>
  <si>
    <t>C4-3-602</t>
  </si>
  <si>
    <t>买买提毛尼牙孜</t>
  </si>
  <si>
    <t>C5-101</t>
  </si>
  <si>
    <r>
      <rPr>
        <sz val="10"/>
        <rFont val="宋体"/>
        <charset val="134"/>
      </rPr>
      <t>阿迪力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吐尼亚孜</t>
    </r>
  </si>
  <si>
    <t>C5-102</t>
  </si>
  <si>
    <t>C5-103</t>
  </si>
  <si>
    <t>C5-104</t>
  </si>
  <si>
    <t>阿依先木·阿不拉</t>
  </si>
  <si>
    <t>C5-105</t>
  </si>
  <si>
    <t>热艳古丽·阿布都热合曼</t>
  </si>
  <si>
    <t>C5-106</t>
  </si>
  <si>
    <r>
      <rPr>
        <sz val="10"/>
        <rFont val="宋体"/>
        <charset val="134"/>
      </rPr>
      <t>肉孜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赛麦提</t>
    </r>
  </si>
  <si>
    <t>C5-107</t>
  </si>
  <si>
    <t>木哈拜提·沙力    古丽巴哈·牙生</t>
  </si>
  <si>
    <t>C5-108</t>
  </si>
  <si>
    <t>C5-109</t>
  </si>
  <si>
    <r>
      <rPr>
        <sz val="10"/>
        <rFont val="宋体"/>
        <charset val="134"/>
      </rPr>
      <t>吐尔洪江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库尔班</t>
    </r>
  </si>
  <si>
    <t>C5-110</t>
  </si>
  <si>
    <r>
      <rPr>
        <sz val="10"/>
        <rFont val="宋体"/>
        <charset val="134"/>
      </rPr>
      <t>木台力甫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莫合塔尔</t>
    </r>
  </si>
  <si>
    <t>C5-111</t>
  </si>
  <si>
    <t>C5-112</t>
  </si>
  <si>
    <t>依明·麦麦提</t>
  </si>
  <si>
    <t>C5-113</t>
  </si>
  <si>
    <r>
      <rPr>
        <sz val="10"/>
        <rFont val="宋体"/>
        <charset val="134"/>
      </rPr>
      <t>麦麦江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艾力亚斯</t>
    </r>
  </si>
  <si>
    <t>C5-1-201</t>
  </si>
  <si>
    <r>
      <rPr>
        <sz val="10"/>
        <rFont val="宋体"/>
        <charset val="134"/>
      </rPr>
      <t>巴克热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达吾提</t>
    </r>
  </si>
  <si>
    <t>C5-1-202</t>
  </si>
  <si>
    <r>
      <rPr>
        <sz val="10"/>
        <rFont val="宋体"/>
        <charset val="134"/>
      </rPr>
      <t>阿布都热合曼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库万</t>
    </r>
  </si>
  <si>
    <t>C5-1-301</t>
  </si>
  <si>
    <r>
      <rPr>
        <sz val="10"/>
        <rFont val="宋体"/>
        <charset val="134"/>
      </rPr>
      <t>吐鲁洪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吐逊</t>
    </r>
  </si>
  <si>
    <t>C5-1-302</t>
  </si>
  <si>
    <r>
      <rPr>
        <sz val="10"/>
        <rFont val="宋体"/>
        <charset val="134"/>
      </rPr>
      <t>巴哈尔古丽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尼牙孜</t>
    </r>
  </si>
  <si>
    <t>C5-1-401</t>
  </si>
  <si>
    <t>C5-1-402</t>
  </si>
  <si>
    <r>
      <rPr>
        <sz val="10"/>
        <rFont val="宋体"/>
        <charset val="134"/>
      </rPr>
      <t>阿迪力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艾海提</t>
    </r>
  </si>
  <si>
    <t>C5-1-501</t>
  </si>
  <si>
    <r>
      <rPr>
        <sz val="10"/>
        <rFont val="宋体"/>
        <charset val="134"/>
      </rPr>
      <t>古丽巴赫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艾拉</t>
    </r>
  </si>
  <si>
    <t>C5-1-502</t>
  </si>
  <si>
    <r>
      <rPr>
        <sz val="10"/>
        <rFont val="宋体"/>
        <charset val="134"/>
      </rPr>
      <t>古力麦热木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尼亚孜</t>
    </r>
  </si>
  <si>
    <t>C5-1-601</t>
  </si>
  <si>
    <r>
      <rPr>
        <sz val="10"/>
        <rFont val="宋体"/>
        <charset val="134"/>
      </rPr>
      <t>艾山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胡加木尼亚孜</t>
    </r>
  </si>
  <si>
    <t>C5-1-602</t>
  </si>
  <si>
    <t>喀热木克热木</t>
  </si>
  <si>
    <t>C5-2-201</t>
  </si>
  <si>
    <t>C5-2-202</t>
  </si>
  <si>
    <r>
      <rPr>
        <sz val="10"/>
        <rFont val="宋体"/>
        <charset val="134"/>
      </rPr>
      <t>外力江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艾力</t>
    </r>
  </si>
  <si>
    <t>C5-2-301</t>
  </si>
  <si>
    <t>C5-2-302</t>
  </si>
  <si>
    <r>
      <rPr>
        <sz val="10"/>
        <rFont val="宋体"/>
        <charset val="134"/>
      </rPr>
      <t>努尔麦麦提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吐尔地</t>
    </r>
  </si>
  <si>
    <t>C5-2-401</t>
  </si>
  <si>
    <r>
      <rPr>
        <sz val="10"/>
        <rFont val="宋体"/>
        <charset val="134"/>
      </rPr>
      <t>艾斯克尔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达吾提</t>
    </r>
  </si>
  <si>
    <t>C5-2-402</t>
  </si>
  <si>
    <r>
      <rPr>
        <sz val="10"/>
        <rFont val="宋体"/>
        <charset val="134"/>
      </rPr>
      <t>亚尔艾力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牙生</t>
    </r>
  </si>
  <si>
    <t>C5-2-501</t>
  </si>
  <si>
    <r>
      <rPr>
        <sz val="10"/>
        <rFont val="宋体"/>
        <charset val="134"/>
      </rPr>
      <t>阿不里克木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毛尼牙孜</t>
    </r>
  </si>
  <si>
    <t>C5-2-502</t>
  </si>
  <si>
    <r>
      <rPr>
        <sz val="10"/>
        <rFont val="宋体"/>
        <charset val="134"/>
      </rPr>
      <t>库万江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赛麦提</t>
    </r>
  </si>
  <si>
    <t>C5-2-601</t>
  </si>
  <si>
    <r>
      <rPr>
        <sz val="10"/>
        <rFont val="宋体"/>
        <charset val="134"/>
      </rPr>
      <t>吐逊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那斯尔</t>
    </r>
  </si>
  <si>
    <t>C5-2-602</t>
  </si>
  <si>
    <r>
      <rPr>
        <sz val="10"/>
        <rFont val="宋体"/>
        <charset val="134"/>
      </rPr>
      <t>努尔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依米提</t>
    </r>
  </si>
  <si>
    <t>C5-3-201</t>
  </si>
  <si>
    <r>
      <rPr>
        <sz val="10"/>
        <rFont val="宋体"/>
        <charset val="134"/>
      </rPr>
      <t>吾斯曼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吾守尔</t>
    </r>
  </si>
  <si>
    <t>C5-3-202</t>
  </si>
  <si>
    <r>
      <rPr>
        <sz val="10"/>
        <rFont val="宋体"/>
        <charset val="134"/>
      </rPr>
      <t>图尔荪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艾麦提</t>
    </r>
  </si>
  <si>
    <t>C5-3-301</t>
  </si>
  <si>
    <r>
      <rPr>
        <sz val="10"/>
        <rFont val="宋体"/>
        <charset val="134"/>
      </rPr>
      <t>吐尔逊希克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如孜</t>
    </r>
  </si>
  <si>
    <t>C5-3-302</t>
  </si>
  <si>
    <r>
      <rPr>
        <sz val="10"/>
        <rFont val="宋体"/>
        <charset val="134"/>
      </rPr>
      <t>亚库甫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阿布都热依木</t>
    </r>
  </si>
  <si>
    <t>C5-3-401</t>
  </si>
  <si>
    <r>
      <rPr>
        <sz val="10"/>
        <rFont val="宋体"/>
        <charset val="134"/>
      </rPr>
      <t>古丽齐曼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巴拉提</t>
    </r>
  </si>
  <si>
    <t>C5-3-402</t>
  </si>
  <si>
    <r>
      <rPr>
        <sz val="10"/>
        <rFont val="宋体"/>
        <charset val="134"/>
      </rPr>
      <t>阿木提江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马木提</t>
    </r>
  </si>
  <si>
    <t>C5-3-501</t>
  </si>
  <si>
    <r>
      <rPr>
        <sz val="10"/>
        <rFont val="宋体"/>
        <charset val="134"/>
      </rPr>
      <t>古丽尼沙汗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吾布力</t>
    </r>
  </si>
  <si>
    <t>C5-3-502</t>
  </si>
  <si>
    <r>
      <rPr>
        <sz val="10"/>
        <rFont val="宋体"/>
        <charset val="134"/>
      </rPr>
      <t>穆萨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如则（肖乾林）</t>
    </r>
  </si>
  <si>
    <t>C5-3-601</t>
  </si>
  <si>
    <r>
      <rPr>
        <sz val="10"/>
        <rFont val="宋体"/>
        <charset val="134"/>
      </rPr>
      <t>伊麦尔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萨吾尔（麦麦提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斯马依）</t>
    </r>
  </si>
  <si>
    <t>房号挂串，见多浪小镇二期A1-1-501</t>
  </si>
  <si>
    <t>C5-3-602</t>
  </si>
  <si>
    <r>
      <rPr>
        <sz val="10"/>
        <rFont val="宋体"/>
        <charset val="134"/>
      </rPr>
      <t>阿迪力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阿力木</t>
    </r>
  </si>
  <si>
    <t>C6-1-101</t>
  </si>
  <si>
    <r>
      <rPr>
        <sz val="10"/>
        <rFont val="宋体"/>
        <charset val="134"/>
      </rPr>
      <t>阿迪力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吐尼牙孜</t>
    </r>
  </si>
  <si>
    <t>C6-1-102</t>
  </si>
  <si>
    <r>
      <rPr>
        <sz val="10"/>
        <rFont val="宋体"/>
        <charset val="134"/>
      </rPr>
      <t>艾斯卡尔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吐尼亚孜</t>
    </r>
  </si>
  <si>
    <t>C6-1-201</t>
  </si>
  <si>
    <r>
      <rPr>
        <sz val="10"/>
        <rFont val="宋体"/>
        <charset val="134"/>
      </rPr>
      <t>吐尔洪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麦亥麦提</t>
    </r>
  </si>
  <si>
    <t>C6-1-202</t>
  </si>
  <si>
    <r>
      <rPr>
        <sz val="10"/>
        <rFont val="宋体"/>
        <charset val="134"/>
      </rPr>
      <t>赛麦提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艾山</t>
    </r>
  </si>
  <si>
    <t>C6-1-301</t>
  </si>
  <si>
    <r>
      <rPr>
        <sz val="10"/>
        <rFont val="宋体"/>
        <charset val="134"/>
      </rPr>
      <t>吐热汗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库尔班更名成毛力如孜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阿皮孜</t>
    </r>
  </si>
  <si>
    <t>C6-1-302</t>
  </si>
  <si>
    <r>
      <rPr>
        <sz val="10"/>
        <rFont val="宋体"/>
        <charset val="134"/>
      </rPr>
      <t>沙迪克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沙迪尔</t>
    </r>
  </si>
  <si>
    <t>C6-1-401</t>
  </si>
  <si>
    <r>
      <rPr>
        <sz val="10"/>
        <rFont val="宋体"/>
        <charset val="134"/>
      </rPr>
      <t>居曼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铁木尔</t>
    </r>
  </si>
  <si>
    <t>C6-1-402</t>
  </si>
  <si>
    <r>
      <rPr>
        <sz val="10"/>
        <rFont val="宋体"/>
        <charset val="134"/>
      </rPr>
      <t>依力哈力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阿不都瓦依提</t>
    </r>
  </si>
  <si>
    <t>C6-1-501</t>
  </si>
  <si>
    <r>
      <rPr>
        <sz val="10"/>
        <rFont val="宋体"/>
        <charset val="134"/>
      </rPr>
      <t>吐热汗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库尔班更名成麦麦提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图尼亚孜</t>
    </r>
  </si>
  <si>
    <t>C6-1-502</t>
  </si>
  <si>
    <r>
      <rPr>
        <sz val="10"/>
        <rFont val="宋体"/>
        <charset val="134"/>
      </rPr>
      <t>莫合塔尔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库尔班</t>
    </r>
  </si>
  <si>
    <t>C6-2-101</t>
  </si>
  <si>
    <r>
      <rPr>
        <sz val="10"/>
        <rFont val="宋体"/>
        <charset val="134"/>
      </rPr>
      <t>阿依吐热木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库尔班</t>
    </r>
  </si>
  <si>
    <t>C6-2-102</t>
  </si>
  <si>
    <r>
      <rPr>
        <sz val="10"/>
        <rFont val="宋体"/>
        <charset val="134"/>
      </rPr>
      <t>古丽米热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热合曼</t>
    </r>
  </si>
  <si>
    <t>C6-2-201</t>
  </si>
  <si>
    <r>
      <rPr>
        <sz val="10"/>
        <rFont val="宋体"/>
        <charset val="134"/>
      </rPr>
      <t>阿依先木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马木提</t>
    </r>
  </si>
  <si>
    <t>C6-2-202</t>
  </si>
  <si>
    <r>
      <rPr>
        <sz val="10"/>
        <rFont val="宋体"/>
        <charset val="134"/>
      </rPr>
      <t>艾尔肯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吐尼牙孜</t>
    </r>
  </si>
  <si>
    <t>C6-2-301</t>
  </si>
  <si>
    <t>晋焉芬</t>
  </si>
  <si>
    <t>C6-2-302</t>
  </si>
  <si>
    <r>
      <rPr>
        <sz val="10"/>
        <rFont val="宋体"/>
        <charset val="134"/>
      </rPr>
      <t>艾合买提江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吐尼亚孜</t>
    </r>
  </si>
  <si>
    <t>C6-2-401</t>
  </si>
  <si>
    <r>
      <rPr>
        <sz val="10"/>
        <rFont val="宋体"/>
        <charset val="134"/>
      </rPr>
      <t>麦麦提艾力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麦提瓦柯</t>
    </r>
  </si>
  <si>
    <t>C6-2-402</t>
  </si>
  <si>
    <r>
      <rPr>
        <sz val="10"/>
        <rFont val="宋体"/>
        <charset val="134"/>
      </rPr>
      <t>麦麦提明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麦提瓦柯</t>
    </r>
  </si>
  <si>
    <t>C6-2-501</t>
  </si>
  <si>
    <r>
      <rPr>
        <sz val="10"/>
        <rFont val="宋体"/>
        <charset val="134"/>
      </rPr>
      <t>阿不都如苏力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阿不都</t>
    </r>
  </si>
  <si>
    <t>C6-2-502</t>
  </si>
  <si>
    <r>
      <rPr>
        <sz val="10"/>
        <rFont val="宋体"/>
        <charset val="134"/>
      </rPr>
      <t>艾买尔吐逊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阿不拉</t>
    </r>
  </si>
  <si>
    <t>C7-1-101</t>
  </si>
  <si>
    <r>
      <rPr>
        <sz val="10"/>
        <rFont val="宋体"/>
        <charset val="134"/>
      </rPr>
      <t>伊卜拉伊木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麦麦提</t>
    </r>
  </si>
  <si>
    <t>C7-1-102</t>
  </si>
  <si>
    <r>
      <rPr>
        <sz val="10"/>
        <rFont val="宋体"/>
        <charset val="134"/>
      </rPr>
      <t>吐尔迪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沙吾提</t>
    </r>
  </si>
  <si>
    <t>C7-1-201</t>
  </si>
  <si>
    <r>
      <rPr>
        <sz val="10"/>
        <rFont val="宋体"/>
        <charset val="134"/>
      </rPr>
      <t>玉苏普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吾布力</t>
    </r>
  </si>
  <si>
    <t>C7-1-202</t>
  </si>
  <si>
    <t>穆萨吐尔迪</t>
  </si>
  <si>
    <t>C7-1-301</t>
  </si>
  <si>
    <t>乌斯曼江玉山</t>
  </si>
  <si>
    <t>C7-1-302</t>
  </si>
  <si>
    <r>
      <rPr>
        <sz val="10"/>
        <rFont val="宋体"/>
        <charset val="134"/>
      </rPr>
      <t>祖丽皮耶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麦麦提</t>
    </r>
  </si>
  <si>
    <t>C7-1-401</t>
  </si>
  <si>
    <t>阿吾提尼亚孜</t>
  </si>
  <si>
    <t>C7-1-402</t>
  </si>
  <si>
    <t>艾合麦提热亥甫</t>
  </si>
  <si>
    <t>C7-1-501</t>
  </si>
  <si>
    <t>阿不力克木买买提</t>
  </si>
  <si>
    <t>C7-1-502</t>
  </si>
  <si>
    <t>吐尔逊古力米吉提（艾合买提胡达拜地）</t>
  </si>
  <si>
    <t>C7-2-101</t>
  </si>
  <si>
    <r>
      <rPr>
        <sz val="10"/>
        <rFont val="宋体"/>
        <charset val="134"/>
      </rPr>
      <t>阿吾提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达吾提</t>
    </r>
  </si>
  <si>
    <t>C7-2-102</t>
  </si>
  <si>
    <r>
      <rPr>
        <sz val="10"/>
        <rFont val="宋体"/>
        <charset val="134"/>
      </rPr>
      <t>库尔班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艾亥提</t>
    </r>
  </si>
  <si>
    <t>C7-2-201</t>
  </si>
  <si>
    <r>
      <rPr>
        <sz val="10"/>
        <rFont val="宋体"/>
        <charset val="134"/>
      </rPr>
      <t>托乎提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色塔克</t>
    </r>
  </si>
  <si>
    <t>C7-2-202</t>
  </si>
  <si>
    <t>合里力马木提</t>
  </si>
  <si>
    <t>C7-2-301</t>
  </si>
  <si>
    <t>阿提开姆拜合提</t>
  </si>
  <si>
    <t>C7-2-302</t>
  </si>
  <si>
    <r>
      <rPr>
        <sz val="10"/>
        <rFont val="宋体"/>
        <charset val="134"/>
      </rPr>
      <t>再努热姆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约麦尔</t>
    </r>
  </si>
  <si>
    <t>C7-2-401</t>
  </si>
  <si>
    <r>
      <rPr>
        <sz val="10"/>
        <rFont val="宋体"/>
        <charset val="134"/>
      </rPr>
      <t>哈尼克孜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麦麦提</t>
    </r>
  </si>
  <si>
    <t>C7-2-402</t>
  </si>
  <si>
    <t>阿里木江提力瓦力地</t>
  </si>
  <si>
    <t>C7-2-501</t>
  </si>
  <si>
    <t>麦尔旦达尼亚</t>
  </si>
  <si>
    <t>C7-2-502</t>
  </si>
  <si>
    <t>亚克甫亚森</t>
  </si>
  <si>
    <t>C7-3-101</t>
  </si>
  <si>
    <r>
      <rPr>
        <sz val="10"/>
        <rFont val="宋体"/>
        <charset val="134"/>
      </rPr>
      <t>吐孙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托合尼亚孜</t>
    </r>
  </si>
  <si>
    <t>C7-3-102</t>
  </si>
  <si>
    <r>
      <rPr>
        <sz val="10"/>
        <rFont val="宋体"/>
        <charset val="134"/>
      </rPr>
      <t>艾合麦提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吐尼亚</t>
    </r>
  </si>
  <si>
    <t>C7-3-201</t>
  </si>
  <si>
    <t>莫合塔尔达吾提</t>
  </si>
  <si>
    <t>C7-3-202</t>
  </si>
  <si>
    <r>
      <rPr>
        <sz val="10"/>
        <rFont val="宋体"/>
        <charset val="134"/>
      </rPr>
      <t>艾尔肯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麦合麦提</t>
    </r>
  </si>
  <si>
    <t>C7-3-301</t>
  </si>
  <si>
    <r>
      <rPr>
        <sz val="10"/>
        <rFont val="宋体"/>
        <charset val="134"/>
      </rPr>
      <t>艾海提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伊马木</t>
    </r>
  </si>
  <si>
    <t>C7-3-302</t>
  </si>
  <si>
    <r>
      <rPr>
        <sz val="10"/>
        <rFont val="宋体"/>
        <charset val="134"/>
      </rPr>
      <t>汗扎旦姆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孜亚吾冬（吐尼沙汗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托合尼亚孜）</t>
    </r>
  </si>
  <si>
    <t>C7-3-401</t>
  </si>
  <si>
    <t>麦麦提米尔夏提</t>
  </si>
  <si>
    <t>C7-3-402</t>
  </si>
  <si>
    <t>托合旦木尼亚孜玉山</t>
  </si>
  <si>
    <t>C7-3-501</t>
  </si>
  <si>
    <t>热娜古力吐尔逊（托合提吐尔逊）</t>
  </si>
  <si>
    <t>C7-3-502</t>
  </si>
  <si>
    <t>热孜瓦古力麦提尼牙孜（阿孜克力阿不都艾尼</t>
  </si>
  <si>
    <t>C8-1-101</t>
  </si>
  <si>
    <r>
      <rPr>
        <sz val="10"/>
        <rFont val="宋体"/>
        <charset val="134"/>
      </rPr>
      <t>古力努尔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麦麦提</t>
    </r>
  </si>
  <si>
    <t>检查回款单据？</t>
  </si>
  <si>
    <t>C8-1-102</t>
  </si>
  <si>
    <t>艾布尔阿里木</t>
  </si>
  <si>
    <t>C8-1-201</t>
  </si>
  <si>
    <r>
      <rPr>
        <sz val="10"/>
        <rFont val="宋体"/>
        <charset val="134"/>
      </rPr>
      <t>阿力木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吐尼亚孜</t>
    </r>
    <r>
      <rPr>
        <sz val="10"/>
        <rFont val="Times New Roman"/>
        <charset val="134"/>
      </rPr>
      <t>,</t>
    </r>
    <r>
      <rPr>
        <sz val="10"/>
        <rFont val="宋体"/>
        <charset val="134"/>
      </rPr>
      <t>吐尼萨克孜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吐尔逊</t>
    </r>
  </si>
  <si>
    <t>前房主未退款？直接确认收入</t>
  </si>
  <si>
    <t>C8-1-202</t>
  </si>
  <si>
    <t>巴吐尔艾买提</t>
  </si>
  <si>
    <t>C8-1-301</t>
  </si>
  <si>
    <r>
      <rPr>
        <sz val="10"/>
        <rFont val="宋体"/>
        <charset val="134"/>
      </rPr>
      <t>阿不都拉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为力改为为力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热依木</t>
    </r>
  </si>
  <si>
    <t>C8-1-302</t>
  </si>
  <si>
    <t>布亥尔且木胡达拜地</t>
  </si>
  <si>
    <t>C8-1-401</t>
  </si>
  <si>
    <r>
      <rPr>
        <sz val="10"/>
        <rFont val="宋体"/>
        <charset val="134"/>
      </rPr>
      <t>吐逊古力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毛尼牙孜</t>
    </r>
  </si>
  <si>
    <t>C8-1-402</t>
  </si>
  <si>
    <t>玉山尼亚孜</t>
  </si>
  <si>
    <t>C8-1-501</t>
  </si>
  <si>
    <r>
      <rPr>
        <sz val="10"/>
        <rFont val="宋体"/>
        <charset val="134"/>
      </rPr>
      <t>玉素甫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吐尔洪</t>
    </r>
  </si>
  <si>
    <t>C8-1-502</t>
  </si>
  <si>
    <t>阿不都萨拉木阿不都热合曼</t>
  </si>
  <si>
    <t>C8-1-601</t>
  </si>
  <si>
    <r>
      <rPr>
        <sz val="10"/>
        <rFont val="宋体"/>
        <charset val="134"/>
      </rPr>
      <t>肉布拉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艾麦尔</t>
    </r>
  </si>
  <si>
    <t>C8-1-602</t>
  </si>
  <si>
    <t>艾海提巴拉提</t>
  </si>
  <si>
    <t>C8-2-101</t>
  </si>
  <si>
    <t>依马热麦麦提</t>
  </si>
  <si>
    <t>C8-2-102</t>
  </si>
  <si>
    <r>
      <rPr>
        <sz val="10"/>
        <rFont val="宋体"/>
        <charset val="134"/>
      </rPr>
      <t>阿曼古力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阿布都</t>
    </r>
  </si>
  <si>
    <t>C8-2-201</t>
  </si>
  <si>
    <t>阿不都热合曼乌斯曼</t>
  </si>
  <si>
    <t>C8-2-202</t>
  </si>
  <si>
    <r>
      <rPr>
        <sz val="10"/>
        <rFont val="宋体"/>
        <charset val="134"/>
      </rPr>
      <t>巴拉提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吐尔洪</t>
    </r>
  </si>
  <si>
    <t>C8-2-301</t>
  </si>
  <si>
    <t>那买提阿依甫</t>
  </si>
  <si>
    <t>C8-2-302</t>
  </si>
  <si>
    <r>
      <rPr>
        <sz val="10"/>
        <rFont val="宋体"/>
        <charset val="134"/>
      </rPr>
      <t>玉山江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艾麦尔</t>
    </r>
  </si>
  <si>
    <t>C8-2-401</t>
  </si>
  <si>
    <t>哈力木拉提迪力夏提</t>
  </si>
  <si>
    <t>C8-2-402</t>
  </si>
  <si>
    <r>
      <rPr>
        <sz val="10"/>
        <rFont val="宋体"/>
        <charset val="134"/>
      </rPr>
      <t>阿卜拉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阿卜力孜</t>
    </r>
  </si>
  <si>
    <t>C8-2-501</t>
  </si>
  <si>
    <t>牙尔买哈买提米吉提</t>
  </si>
  <si>
    <t>C8-2-502</t>
  </si>
  <si>
    <r>
      <rPr>
        <sz val="10"/>
        <rFont val="宋体"/>
        <charset val="134"/>
      </rPr>
      <t>帕坦木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艾麦提</t>
    </r>
  </si>
  <si>
    <t>C8-2-601</t>
  </si>
  <si>
    <t>麦麦提艾力台外库力</t>
  </si>
  <si>
    <t>C8-2-602</t>
  </si>
  <si>
    <t>托乎尼亚孜毛来买提</t>
  </si>
  <si>
    <t>C8-3-101</t>
  </si>
  <si>
    <t>古里亚尔·艾肯</t>
  </si>
  <si>
    <t>C8-3-102</t>
  </si>
  <si>
    <r>
      <rPr>
        <sz val="10"/>
        <rFont val="宋体"/>
        <charset val="134"/>
      </rPr>
      <t>吐尔洪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托乎尼亚孜</t>
    </r>
  </si>
  <si>
    <t>C8-3-201</t>
  </si>
  <si>
    <t>图尔荪麦麦提</t>
  </si>
  <si>
    <t>C8-3-202</t>
  </si>
  <si>
    <r>
      <rPr>
        <sz val="10"/>
        <rFont val="宋体"/>
        <charset val="134"/>
      </rPr>
      <t>阿布都萨拉木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阿布都热合曼</t>
    </r>
  </si>
  <si>
    <t>C8-3-301</t>
  </si>
  <si>
    <t>努尔墩图尔荪</t>
  </si>
  <si>
    <t>C8-3-302</t>
  </si>
  <si>
    <t>王明芬</t>
  </si>
  <si>
    <t>C8-3-401</t>
  </si>
  <si>
    <t>麦麦提陈不都力艾孜</t>
  </si>
  <si>
    <t>C8-3-402</t>
  </si>
  <si>
    <r>
      <rPr>
        <sz val="10"/>
        <rFont val="宋体"/>
        <charset val="134"/>
      </rPr>
      <t>库尔班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艾萨</t>
    </r>
  </si>
  <si>
    <t>C8-3-501</t>
  </si>
  <si>
    <t>古则努尔。托瓦克力</t>
  </si>
  <si>
    <t>C8-3-502</t>
  </si>
  <si>
    <t>李珍霞</t>
  </si>
  <si>
    <t>C8-3-601</t>
  </si>
  <si>
    <t>依明江吐尔迪</t>
  </si>
  <si>
    <t>C8-3-602</t>
  </si>
  <si>
    <r>
      <rPr>
        <sz val="10"/>
        <rFont val="宋体"/>
        <charset val="134"/>
      </rPr>
      <t>买尔吾力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阿西木</t>
    </r>
  </si>
  <si>
    <t>C9-1-101</t>
  </si>
  <si>
    <r>
      <rPr>
        <sz val="10"/>
        <rFont val="宋体"/>
        <charset val="134"/>
      </rPr>
      <t>肉孜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玉山</t>
    </r>
  </si>
  <si>
    <t>C9-1-102</t>
  </si>
  <si>
    <t>左热木阿吾提</t>
  </si>
  <si>
    <t>C9-1-201</t>
  </si>
  <si>
    <t>艾尼瓦尔胡吉</t>
  </si>
  <si>
    <t>C9-1-202</t>
  </si>
  <si>
    <r>
      <rPr>
        <sz val="10"/>
        <rFont val="宋体"/>
        <charset val="134"/>
      </rPr>
      <t>米热古力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艾热克尼</t>
    </r>
  </si>
  <si>
    <t>C9-1-301</t>
  </si>
  <si>
    <t>陈兆富</t>
  </si>
  <si>
    <t>C9-1-302</t>
  </si>
  <si>
    <t>C9-1-401</t>
  </si>
  <si>
    <t>张常水</t>
  </si>
  <si>
    <t>C9-1-402</t>
  </si>
  <si>
    <t>李园园</t>
  </si>
  <si>
    <t>C9-1-501</t>
  </si>
  <si>
    <t>郭克峰</t>
  </si>
  <si>
    <t>C9-1-502</t>
  </si>
  <si>
    <t>阿米娜玛迪</t>
  </si>
  <si>
    <t>C9-2-101</t>
  </si>
  <si>
    <t>哈尼尔沙</t>
  </si>
  <si>
    <t>C9-2-102</t>
  </si>
  <si>
    <t>阿尔孜古丽</t>
  </si>
  <si>
    <t>C9-2-201</t>
  </si>
  <si>
    <t>古力尼沙</t>
  </si>
  <si>
    <t>C9-2-202</t>
  </si>
  <si>
    <t>李志</t>
  </si>
  <si>
    <t>C9-2-301</t>
  </si>
  <si>
    <t>阿曼古丽阿不提</t>
  </si>
  <si>
    <t>C9-2-302</t>
  </si>
  <si>
    <t>范天胜</t>
  </si>
  <si>
    <t>C9-2-401</t>
  </si>
  <si>
    <r>
      <rPr>
        <sz val="10"/>
        <rFont val="宋体"/>
        <charset val="134"/>
      </rPr>
      <t>达吾提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依肯木</t>
    </r>
  </si>
  <si>
    <t>C9-2-402</t>
  </si>
  <si>
    <t>李忠</t>
  </si>
  <si>
    <t>C9-2-501</t>
  </si>
  <si>
    <t>（罗平）邹前英</t>
  </si>
  <si>
    <t>C9-2-502</t>
  </si>
  <si>
    <t>李二伯</t>
  </si>
  <si>
    <t>C9-3-101</t>
  </si>
  <si>
    <t>阿力木江阿吾提</t>
  </si>
  <si>
    <t>C9-3-102</t>
  </si>
  <si>
    <t>张亚菲</t>
  </si>
  <si>
    <t>C9-3-201</t>
  </si>
  <si>
    <t>古力拜合热木</t>
  </si>
  <si>
    <t>C9-3-202</t>
  </si>
  <si>
    <r>
      <rPr>
        <sz val="10"/>
        <rFont val="宋体"/>
        <charset val="134"/>
      </rPr>
      <t>买买提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阿不来提、吐尔逊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多来提</t>
    </r>
  </si>
  <si>
    <t>C9-3-301</t>
  </si>
  <si>
    <t>刘银</t>
  </si>
  <si>
    <t>C9-3-302</t>
  </si>
  <si>
    <t>阿布拉江·吐尔孙</t>
  </si>
  <si>
    <t>台账2023年7月收到17万元，需查证</t>
  </si>
  <si>
    <t>C9-3-401</t>
  </si>
  <si>
    <t>冯浪浪</t>
  </si>
  <si>
    <t>C9-3-402</t>
  </si>
  <si>
    <t>宋强</t>
  </si>
  <si>
    <t>C9-3-501</t>
  </si>
  <si>
    <t>赵彬</t>
  </si>
  <si>
    <t>C9-3-502</t>
  </si>
  <si>
    <t>毛国强</t>
  </si>
  <si>
    <t>C10-1-101</t>
  </si>
  <si>
    <t>安置房</t>
  </si>
  <si>
    <t>C10-1-102</t>
  </si>
  <si>
    <t>C10-1-201</t>
  </si>
  <si>
    <t>C10-1-202</t>
  </si>
  <si>
    <t>C10-1-301</t>
  </si>
  <si>
    <t>C10-1-302</t>
  </si>
  <si>
    <t>C10-1-401</t>
  </si>
  <si>
    <t>C10-1-402</t>
  </si>
  <si>
    <t>C10-1-501</t>
  </si>
  <si>
    <t>C10-1-502</t>
  </si>
  <si>
    <t>C10-2-101</t>
  </si>
  <si>
    <t>C10-2-102</t>
  </si>
  <si>
    <t>C10-2-201</t>
  </si>
  <si>
    <t>C10-2-202</t>
  </si>
  <si>
    <t>C10-2-301</t>
  </si>
  <si>
    <t>C10-2-302</t>
  </si>
  <si>
    <t>C10-2-401</t>
  </si>
  <si>
    <t>C10-2-402</t>
  </si>
  <si>
    <t>C10-2-501</t>
  </si>
  <si>
    <t>C10-2-502</t>
  </si>
  <si>
    <t>C10-3-101</t>
  </si>
  <si>
    <t>C10-3-102</t>
  </si>
  <si>
    <t>C10-3-201</t>
  </si>
  <si>
    <t>C10-3-202</t>
  </si>
  <si>
    <t>C10-3-301</t>
  </si>
  <si>
    <t>C10-3-302</t>
  </si>
  <si>
    <t>C10-3-401</t>
  </si>
  <si>
    <t>C10-3-402</t>
  </si>
  <si>
    <t>C10-3-501</t>
  </si>
  <si>
    <t>C10-3-502</t>
  </si>
  <si>
    <t>C11-1-101</t>
  </si>
  <si>
    <t>麦尔哈巴托合尼牙孜</t>
  </si>
  <si>
    <t>C11-1-102</t>
  </si>
  <si>
    <t>木沙艾麦尔</t>
  </si>
  <si>
    <t>C11-1-201</t>
  </si>
  <si>
    <t>布沙热木热合曼</t>
  </si>
  <si>
    <t>C11-1-202</t>
  </si>
  <si>
    <t>托乎尼亚孜吐尼亚孜</t>
  </si>
  <si>
    <t>C11-1-301</t>
  </si>
  <si>
    <t>麦热牙木艾麦尔</t>
  </si>
  <si>
    <t>C11-1-302</t>
  </si>
  <si>
    <t>莫合旦尔艾合旦木</t>
  </si>
  <si>
    <t>C11-1-401</t>
  </si>
  <si>
    <t>阿依尼尕尔木塔力甫</t>
  </si>
  <si>
    <t>C11-1-402</t>
  </si>
  <si>
    <t>艾海提艾合旦木</t>
  </si>
  <si>
    <t>C11-1-501</t>
  </si>
  <si>
    <t>奇曼古力吐热克</t>
  </si>
  <si>
    <t>11万挂错房号（C11-1-502）</t>
  </si>
  <si>
    <t>C11-1-502</t>
  </si>
  <si>
    <t>玉素普麦麦提</t>
  </si>
  <si>
    <t>11万挂错房号（C11-1-501）</t>
  </si>
  <si>
    <t>C11-1-601</t>
  </si>
  <si>
    <r>
      <rPr>
        <sz val="10"/>
        <rFont val="宋体"/>
        <charset val="134"/>
      </rPr>
      <t>艾亥提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萨木萨克</t>
    </r>
  </si>
  <si>
    <t>C11-1-602</t>
  </si>
  <si>
    <t>托合提巴拉提</t>
  </si>
  <si>
    <t>C11-2-101</t>
  </si>
  <si>
    <t>吐尔孜古丽吐尔迪</t>
  </si>
  <si>
    <t>C11-2-102</t>
  </si>
  <si>
    <t>热合曼毛尼亚孜</t>
  </si>
  <si>
    <t>C11-2-201</t>
  </si>
  <si>
    <t>库尔班江拜尔拉</t>
  </si>
  <si>
    <t>C11-2-202</t>
  </si>
  <si>
    <t>胡杜玉木如则</t>
  </si>
  <si>
    <t>C11-2-301</t>
  </si>
  <si>
    <t>吐尔逊如斯坦木</t>
  </si>
  <si>
    <t>C11-2-302</t>
  </si>
  <si>
    <t>艾沙江阿力甫</t>
  </si>
  <si>
    <t>C11-2-401</t>
  </si>
  <si>
    <t>吐鲁洪江努尔东</t>
  </si>
  <si>
    <t>C11-2-402</t>
  </si>
  <si>
    <t>阿不都克依木阿不力米提</t>
  </si>
  <si>
    <t>C11-2-501</t>
  </si>
  <si>
    <t>吾麦尔江阿不都热依木</t>
  </si>
  <si>
    <t>C11-2-502</t>
  </si>
  <si>
    <t>肉孜阿吾提</t>
  </si>
  <si>
    <t>C11-2-601</t>
  </si>
  <si>
    <t>玉山托乎提</t>
  </si>
  <si>
    <t>C11-2-602</t>
  </si>
  <si>
    <t>阿布迪玉素甫阿不都尼亚</t>
  </si>
  <si>
    <t>C11-3-101</t>
  </si>
  <si>
    <t>阿卜都许库尔努尔麦麦提</t>
  </si>
  <si>
    <t>C11-3-102</t>
  </si>
  <si>
    <t>阿米娜木亚生</t>
  </si>
  <si>
    <t>C11-3-201</t>
  </si>
  <si>
    <t>阿不来提阿不拉拜地</t>
  </si>
  <si>
    <t>C11-3-202</t>
  </si>
  <si>
    <t>吐尔洪乃麦提</t>
  </si>
  <si>
    <t>C11-3-301</t>
  </si>
  <si>
    <t>阿卜杜许库尔阿卜杜萨拉木</t>
  </si>
  <si>
    <t>C11-3-302</t>
  </si>
  <si>
    <t>吐拉克孜艾依木</t>
  </si>
  <si>
    <t>C11-3-401</t>
  </si>
  <si>
    <t>麦麦提毛拉依明</t>
  </si>
  <si>
    <t>C11-3-402</t>
  </si>
  <si>
    <t>莫合塔尔阿迪尔</t>
  </si>
  <si>
    <t>C11-3-501</t>
  </si>
  <si>
    <t>帕尔哈提玉山</t>
  </si>
  <si>
    <t>C11-3-502</t>
  </si>
  <si>
    <t>多力困阿不都热西提</t>
  </si>
  <si>
    <t>C11-3-601</t>
  </si>
  <si>
    <t>阿孜古丽阿不都尼亚孜</t>
  </si>
  <si>
    <t>C11-3-602</t>
  </si>
  <si>
    <t>艾尔肯麦提尼亚孜</t>
  </si>
  <si>
    <t>C11-4-101</t>
  </si>
  <si>
    <t>麦合木提阿卜力克孜</t>
  </si>
  <si>
    <t>C11-4-102</t>
  </si>
  <si>
    <t>麦麦提阿卜拉艾麦提</t>
  </si>
  <si>
    <t>C11-4-201</t>
  </si>
  <si>
    <t>牙力昆江吾斯曼</t>
  </si>
  <si>
    <t>C11-4-202</t>
  </si>
  <si>
    <t>艾麦尔努尔克</t>
  </si>
  <si>
    <t>C11-4-301</t>
  </si>
  <si>
    <t>阿依吐热汗吾许尔</t>
  </si>
  <si>
    <t>C11-4-302</t>
  </si>
  <si>
    <t>依斯玛依力喀斯木</t>
  </si>
  <si>
    <t>C11-4-401</t>
  </si>
  <si>
    <t>木哈拜提胡达拜迪</t>
  </si>
  <si>
    <t>C11-4-402</t>
  </si>
  <si>
    <t>居麦克孜阿卜力孜</t>
  </si>
  <si>
    <t>C11-4-501</t>
  </si>
  <si>
    <t>麦合木提托乎提</t>
  </si>
  <si>
    <t>C11-4-502</t>
  </si>
  <si>
    <t>努尔尼沙艾山</t>
  </si>
  <si>
    <t>C11-4-601</t>
  </si>
  <si>
    <t>肉孜麦麦提</t>
  </si>
  <si>
    <t>C11-4-602</t>
  </si>
  <si>
    <t>马木提卡热</t>
  </si>
  <si>
    <t>C13-1-101</t>
  </si>
  <si>
    <t>廉租房</t>
  </si>
  <si>
    <t>廉租房，已收款</t>
  </si>
  <si>
    <t>C13-1-102</t>
  </si>
  <si>
    <t>C13-1-103</t>
  </si>
  <si>
    <t>C13-1-201</t>
  </si>
  <si>
    <t>C13-1-202</t>
  </si>
  <si>
    <t>C13-1-203</t>
  </si>
  <si>
    <t>C13-1-301</t>
  </si>
  <si>
    <t>C13-1-302</t>
  </si>
  <si>
    <t>C13-1-303</t>
  </si>
  <si>
    <t>C13-1-401</t>
  </si>
  <si>
    <t>C13-1-402</t>
  </si>
  <si>
    <t>C13-1-403</t>
  </si>
  <si>
    <t>C13-1-501</t>
  </si>
  <si>
    <t>C13-1-502</t>
  </si>
  <si>
    <t>C13-1-503</t>
  </si>
  <si>
    <t>C13-2-101</t>
  </si>
  <si>
    <t>C13-2-102</t>
  </si>
  <si>
    <t>C13-2-103</t>
  </si>
  <si>
    <t>C13-2-201</t>
  </si>
  <si>
    <t>C13-2-202</t>
  </si>
  <si>
    <t>C13-2-203</t>
  </si>
  <si>
    <t>C13-2-301</t>
  </si>
  <si>
    <t>C13-2-302</t>
  </si>
  <si>
    <t>C13-2-303</t>
  </si>
  <si>
    <t>C13-2-401</t>
  </si>
  <si>
    <t>C13-2-402</t>
  </si>
  <si>
    <t>C13-2-403</t>
  </si>
  <si>
    <t>C13-2-501</t>
  </si>
  <si>
    <t>C13-2-502</t>
  </si>
  <si>
    <t>C13-2-503</t>
  </si>
  <si>
    <t>C13-3-101</t>
  </si>
  <si>
    <t>古丽加玛丽阿合尼亚孜（麦麦提艾力如孜）</t>
  </si>
  <si>
    <t>C13-3-102</t>
  </si>
  <si>
    <t>阿力木赛买提</t>
  </si>
  <si>
    <t>C13-3-103</t>
  </si>
  <si>
    <t>艾姆热罕。陈勒玛斯</t>
  </si>
  <si>
    <t>C13-3-201</t>
  </si>
  <si>
    <t>托胡提吐瓦尔</t>
  </si>
  <si>
    <t>C13-3-202</t>
  </si>
  <si>
    <t>吾甫尔赛地</t>
  </si>
  <si>
    <t>C13-3-203</t>
  </si>
  <si>
    <t>古力皮亚木沙吾提</t>
  </si>
  <si>
    <t>C13-3-301</t>
  </si>
  <si>
    <t>穆合塔尔奥布力</t>
  </si>
  <si>
    <t>C13-3-302</t>
  </si>
  <si>
    <t>阿迪力玉素甫</t>
  </si>
  <si>
    <t>C13-3-303</t>
  </si>
  <si>
    <t>阿尔祖古丽巴伍敦</t>
  </si>
  <si>
    <t>C13-3-401</t>
  </si>
  <si>
    <t>赛买提麦麦提</t>
  </si>
  <si>
    <t>C13-3-402</t>
  </si>
  <si>
    <t>阿衣古力艾麦尔</t>
  </si>
  <si>
    <t>C13-3-403</t>
  </si>
  <si>
    <r>
      <rPr>
        <sz val="10"/>
        <rFont val="宋体"/>
        <charset val="134"/>
      </rPr>
      <t>艾麦尔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麦合木提</t>
    </r>
  </si>
  <si>
    <t>C13-3-501</t>
  </si>
  <si>
    <t>C13-3-502</t>
  </si>
  <si>
    <t>C13-3-503</t>
  </si>
  <si>
    <t>亚库甫玉山</t>
  </si>
  <si>
    <r>
      <rPr>
        <sz val="10"/>
        <rFont val="Times New Roman"/>
        <charset val="0"/>
      </rPr>
      <t>C16-</t>
    </r>
    <r>
      <rPr>
        <sz val="10"/>
        <rFont val="宋体"/>
        <charset val="134"/>
      </rPr>
      <t>负</t>
    </r>
    <r>
      <rPr>
        <sz val="10"/>
        <rFont val="Times New Roman"/>
        <charset val="0"/>
      </rPr>
      <t>01</t>
    </r>
  </si>
  <si>
    <r>
      <rPr>
        <sz val="10"/>
        <rFont val="Times New Roman"/>
        <charset val="0"/>
      </rPr>
      <t>C16-</t>
    </r>
    <r>
      <rPr>
        <sz val="10"/>
        <rFont val="宋体"/>
        <charset val="134"/>
      </rPr>
      <t>负</t>
    </r>
    <r>
      <rPr>
        <sz val="10"/>
        <rFont val="Times New Roman"/>
        <charset val="0"/>
      </rPr>
      <t>02</t>
    </r>
  </si>
  <si>
    <r>
      <rPr>
        <sz val="10"/>
        <rFont val="Times New Roman"/>
        <charset val="0"/>
      </rPr>
      <t>C16-</t>
    </r>
    <r>
      <rPr>
        <sz val="10"/>
        <rFont val="宋体"/>
        <charset val="134"/>
      </rPr>
      <t>负</t>
    </r>
    <r>
      <rPr>
        <sz val="10"/>
        <rFont val="Times New Roman"/>
        <charset val="0"/>
      </rPr>
      <t>03</t>
    </r>
  </si>
  <si>
    <t>C16-101</t>
  </si>
  <si>
    <r>
      <rPr>
        <sz val="10"/>
        <rFont val="宋体"/>
        <charset val="134"/>
      </rPr>
      <t>古力米热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阿吾提</t>
    </r>
  </si>
  <si>
    <t>C16-102</t>
  </si>
  <si>
    <t>挂错房号</t>
  </si>
  <si>
    <t>房号挂错调整收入至C16-104</t>
  </si>
  <si>
    <t>C16-103</t>
  </si>
  <si>
    <r>
      <rPr>
        <sz val="10"/>
        <rFont val="宋体"/>
        <charset val="134"/>
      </rPr>
      <t>尼加提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阿布都赛米</t>
    </r>
  </si>
  <si>
    <t>房号挂错调整收入至C16-103</t>
  </si>
  <si>
    <t>C16-104</t>
  </si>
  <si>
    <r>
      <rPr>
        <sz val="10"/>
        <rFont val="宋体"/>
        <charset val="134"/>
      </rPr>
      <t>努尔东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买苏木</t>
    </r>
  </si>
  <si>
    <t>C16-105</t>
  </si>
  <si>
    <r>
      <rPr>
        <sz val="10"/>
        <rFont val="宋体"/>
        <charset val="134"/>
      </rPr>
      <t>亚力昆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艾买尔</t>
    </r>
  </si>
  <si>
    <t>C16-201</t>
  </si>
  <si>
    <t>C16-202</t>
  </si>
  <si>
    <r>
      <rPr>
        <sz val="10"/>
        <rFont val="Times New Roman"/>
        <charset val="0"/>
      </rPr>
      <t>C17-</t>
    </r>
    <r>
      <rPr>
        <sz val="10"/>
        <rFont val="宋体"/>
        <charset val="134"/>
      </rPr>
      <t>负</t>
    </r>
    <r>
      <rPr>
        <sz val="10"/>
        <rFont val="Times New Roman"/>
        <charset val="0"/>
      </rPr>
      <t>01</t>
    </r>
  </si>
  <si>
    <t>C17-101</t>
  </si>
  <si>
    <r>
      <rPr>
        <sz val="10"/>
        <rFont val="宋体"/>
        <charset val="134"/>
      </rPr>
      <t>热合木江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司马义</t>
    </r>
  </si>
  <si>
    <t>C17-201</t>
  </si>
  <si>
    <t>C17-301</t>
  </si>
  <si>
    <t>账面截至2023年10月累计回款金额</t>
  </si>
  <si>
    <r>
      <rPr>
        <sz val="10"/>
        <rFont val="宋体"/>
        <charset val="134"/>
      </rPr>
      <t>差异原因</t>
    </r>
  </si>
  <si>
    <r>
      <rPr>
        <sz val="10"/>
        <rFont val="宋体"/>
        <charset val="134"/>
      </rPr>
      <t>备注</t>
    </r>
  </si>
  <si>
    <r>
      <rPr>
        <sz val="10"/>
        <rFont val="宋体"/>
        <charset val="134"/>
      </rPr>
      <t>已开票金额</t>
    </r>
  </si>
  <si>
    <r>
      <rPr>
        <sz val="10"/>
        <rFont val="宋体"/>
        <charset val="134"/>
      </rPr>
      <t>已结转收入</t>
    </r>
  </si>
  <si>
    <t>确认销售</t>
  </si>
  <si>
    <r>
      <rPr>
        <sz val="10"/>
        <rFont val="宋体"/>
        <charset val="134"/>
      </rPr>
      <t>应结转收入</t>
    </r>
  </si>
  <si>
    <r>
      <rPr>
        <sz val="10"/>
        <rFont val="宋体"/>
        <charset val="134"/>
      </rPr>
      <t>应确认销项税</t>
    </r>
  </si>
  <si>
    <r>
      <rPr>
        <sz val="10"/>
        <rFont val="宋体"/>
        <charset val="134"/>
      </rPr>
      <t>本期结转收入</t>
    </r>
  </si>
  <si>
    <r>
      <rPr>
        <sz val="10"/>
        <rFont val="宋体"/>
        <charset val="134"/>
      </rPr>
      <t>本期确认销项税</t>
    </r>
  </si>
  <si>
    <t>应收账款</t>
  </si>
  <si>
    <r>
      <rPr>
        <sz val="10"/>
        <rFont val="Times New Roman"/>
        <charset val="134"/>
      </rPr>
      <t>12</t>
    </r>
    <r>
      <rPr>
        <sz val="10"/>
        <rFont val="宋体"/>
        <charset val="134"/>
      </rPr>
      <t>月开票</t>
    </r>
  </si>
  <si>
    <t>A1-1-201</t>
  </si>
  <si>
    <t>帕旦木·阿不来提</t>
  </si>
  <si>
    <t>A1-1-202</t>
  </si>
  <si>
    <t>古力扎尔·玉素甫（阿不都热依木·阿不来提）</t>
  </si>
  <si>
    <t>A1-1-301</t>
  </si>
  <si>
    <t>库尔班·吾休尔</t>
  </si>
  <si>
    <t>A1-1-302</t>
  </si>
  <si>
    <t>古力巴哈尔·阿皮孜</t>
  </si>
  <si>
    <t>A1-1-401</t>
  </si>
  <si>
    <t>帕坦木·托合提尼牙孜</t>
  </si>
  <si>
    <t>A1-1-402</t>
  </si>
  <si>
    <t>艾尼瓦·阿布拉</t>
  </si>
  <si>
    <t>A1-1-501</t>
  </si>
  <si>
    <t>巴哈尔古丽·吐尼亚孜</t>
  </si>
  <si>
    <r>
      <rPr>
        <sz val="10"/>
        <rFont val="宋体"/>
        <charset val="134"/>
      </rPr>
      <t>房号挂串，见多浪小镇一期</t>
    </r>
    <r>
      <rPr>
        <sz val="10"/>
        <rFont val="Times New Roman"/>
        <charset val="134"/>
      </rPr>
      <t>C5-3-601</t>
    </r>
  </si>
  <si>
    <t>A1-1-502</t>
  </si>
  <si>
    <t>麦合木提·木塔力甫</t>
  </si>
  <si>
    <t>A1-1-601</t>
  </si>
  <si>
    <t>麦麦提艾力·阿卜杜克热木</t>
  </si>
  <si>
    <t>A1-1-602</t>
  </si>
  <si>
    <t>吐尔逊·阿布来提</t>
  </si>
  <si>
    <t>A1-2-201</t>
  </si>
  <si>
    <t>阿依古力·哈斯木</t>
  </si>
  <si>
    <t>A1-2-202</t>
  </si>
  <si>
    <t>库尔班·麦麦提</t>
  </si>
  <si>
    <t>A1-2-301</t>
  </si>
  <si>
    <t>阿布都哈力克·依马木尼亚孜，阿瓦古丽·亚森</t>
  </si>
  <si>
    <t>A1-2-302</t>
  </si>
  <si>
    <t>古丽齐曼·米热吾提</t>
  </si>
  <si>
    <r>
      <rPr>
        <sz val="10"/>
        <rFont val="宋体"/>
        <charset val="134"/>
      </rPr>
      <t>收款大于结转</t>
    </r>
    <r>
      <rPr>
        <sz val="10"/>
        <rFont val="Times New Roman"/>
        <charset val="134"/>
      </rPr>
      <t>110</t>
    </r>
    <r>
      <rPr>
        <sz val="10"/>
        <rFont val="宋体"/>
        <charset val="134"/>
      </rPr>
      <t>元</t>
    </r>
  </si>
  <si>
    <t>A1-2-401</t>
  </si>
  <si>
    <t>塔依尔·吐尔逊</t>
  </si>
  <si>
    <t>A1-2-402</t>
  </si>
  <si>
    <t>穆瓦罕·阿西木</t>
  </si>
  <si>
    <t>A1-2-501</t>
  </si>
  <si>
    <t>玉素甫·麦麦提</t>
  </si>
  <si>
    <t>A1-2-502</t>
  </si>
  <si>
    <t>艾麦提·阿合尼亚孜</t>
  </si>
  <si>
    <t>A1-2-601</t>
  </si>
  <si>
    <t>阿斯艳木·吐逊</t>
  </si>
  <si>
    <t>A1-2-602</t>
  </si>
  <si>
    <t>艾麦提·亚森</t>
  </si>
  <si>
    <t>A1-3-201</t>
  </si>
  <si>
    <t>阿斯牙木·阿吾提</t>
  </si>
  <si>
    <t>A1-3-202</t>
  </si>
  <si>
    <t>木塔力甫·麦麦提（托乎提·沙吾尔）</t>
  </si>
  <si>
    <t>A1-3-301</t>
  </si>
  <si>
    <t>阿斯古丽·图尔荪（吐尔逊·阿不都热西提）</t>
  </si>
  <si>
    <r>
      <rPr>
        <sz val="10"/>
        <rFont val="Times New Roman"/>
        <charset val="134"/>
      </rPr>
      <t>2018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月收款未计入台账</t>
    </r>
  </si>
  <si>
    <r>
      <rPr>
        <sz val="10"/>
        <rFont val="宋体"/>
        <charset val="134"/>
      </rPr>
      <t>检查</t>
    </r>
    <r>
      <rPr>
        <sz val="10"/>
        <rFont val="Times New Roman"/>
        <charset val="134"/>
      </rPr>
      <t>2018-10-2#</t>
    </r>
    <r>
      <rPr>
        <sz val="10"/>
        <rFont val="宋体"/>
        <charset val="134"/>
      </rPr>
      <t>凭证</t>
    </r>
  </si>
  <si>
    <t>A1-3-302</t>
  </si>
  <si>
    <t>努尔郎·毛拉吾提</t>
  </si>
  <si>
    <t>A1-3-401</t>
  </si>
  <si>
    <t>居麦克·麦麦提(艾热提·米基提)</t>
  </si>
  <si>
    <t>A1-3-402</t>
  </si>
  <si>
    <t>阿孜古力·托合提</t>
  </si>
  <si>
    <t>A1-3-501</t>
  </si>
  <si>
    <t>吐尔逊·阿布拉</t>
  </si>
  <si>
    <t>A1-3-502</t>
  </si>
  <si>
    <t>图尔贡·阿西尔</t>
  </si>
  <si>
    <t>A1-3-601</t>
  </si>
  <si>
    <t>再吐尼汗·肉孜（阿不力米提·卡地尔）</t>
  </si>
  <si>
    <t>A1-3-602</t>
  </si>
  <si>
    <t>热西丹·卡合尔曼</t>
  </si>
  <si>
    <t>A2-1-201</t>
  </si>
  <si>
    <t>古丽阿依木·吐尼亚孜</t>
  </si>
  <si>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月账面已退还房款，台账未记录</t>
    </r>
  </si>
  <si>
    <t>A2-1-202</t>
  </si>
  <si>
    <t>古尼沙汗·托乎提</t>
  </si>
  <si>
    <t>A2-1-203</t>
  </si>
  <si>
    <t>麦热木尼沙汗·提来木</t>
  </si>
  <si>
    <t>A2-1-301</t>
  </si>
  <si>
    <t>阿迪力·托合提</t>
  </si>
  <si>
    <t>A2-1-302</t>
  </si>
  <si>
    <t>木合旦·亚森（阿里木江·吐尔逊）</t>
  </si>
  <si>
    <t>A2-1-303</t>
  </si>
  <si>
    <t>沙吾提·艾海提改为阿依吐尔迪·吐尼亚孜</t>
  </si>
  <si>
    <t>A2-1-401</t>
  </si>
  <si>
    <t>阿不拉·赛买提</t>
  </si>
  <si>
    <t>A2-1-402</t>
  </si>
  <si>
    <t>麦麦提·赛麦提</t>
  </si>
  <si>
    <t>A2-1-403</t>
  </si>
  <si>
    <t>奥斯曼江·玉苏甫</t>
  </si>
  <si>
    <t>A2-1-501</t>
  </si>
  <si>
    <t>艾萨江·胡达拜迪</t>
  </si>
  <si>
    <t>A2-1-502</t>
  </si>
  <si>
    <t>热西提·肉孜</t>
  </si>
  <si>
    <t>A2-1-503</t>
  </si>
  <si>
    <t>艾海提·艾提</t>
  </si>
  <si>
    <t>A2-1-601</t>
  </si>
  <si>
    <t>胡热木·塔瓦尔（阿布来提·吐尼亚孜）</t>
  </si>
  <si>
    <t>A2-1-602</t>
  </si>
  <si>
    <t>图尔贡·阿卜拉</t>
  </si>
  <si>
    <t>A2-1-603</t>
  </si>
  <si>
    <t>阿依努热姆·杰力力</t>
  </si>
  <si>
    <t>A2-2-201</t>
  </si>
  <si>
    <t>艾热提·艾海提</t>
  </si>
  <si>
    <t>A2-2-202</t>
  </si>
  <si>
    <t>布阿依先木·哈里克</t>
  </si>
  <si>
    <t>A2-2-203</t>
  </si>
  <si>
    <t>吾斯曼·艾买提</t>
  </si>
  <si>
    <t>A2-2-301</t>
  </si>
  <si>
    <t>龚维江</t>
  </si>
  <si>
    <t>A2-2-302</t>
  </si>
  <si>
    <t>茹仙古丽·肉孜（吐尔逊江·玉苏甫江）</t>
  </si>
  <si>
    <t>A2-2-303</t>
  </si>
  <si>
    <t>达吾提·马木提</t>
  </si>
  <si>
    <t>A2-2-401</t>
  </si>
  <si>
    <t>阿布多拉·阿布力孜</t>
  </si>
  <si>
    <t>A2-2-402</t>
  </si>
  <si>
    <t>艾则孜·扎克尔</t>
  </si>
  <si>
    <t>A2-2-403</t>
  </si>
  <si>
    <t>麦尔比艳姆·阿皮孜</t>
  </si>
  <si>
    <t>A2-2-501</t>
  </si>
  <si>
    <t>阿比力孜·沙买提</t>
  </si>
  <si>
    <t>A2-2-502</t>
  </si>
  <si>
    <t>合丽切木·乃麦提（肉孜古力·吐逊）</t>
  </si>
  <si>
    <t>A2-2-503</t>
  </si>
  <si>
    <t>曹春莲</t>
  </si>
  <si>
    <t>A2-2-601</t>
  </si>
  <si>
    <t>卡哈尔·沙依都拉</t>
  </si>
  <si>
    <t>A2-2-602</t>
  </si>
  <si>
    <t>穆萨·阿卜力米提（玉山·艾麦提）</t>
  </si>
  <si>
    <t>A2-2-603</t>
  </si>
  <si>
    <t>图尔贡·库尔班</t>
  </si>
  <si>
    <t>A2-3-201</t>
  </si>
  <si>
    <t>吐尼萨克孜·沙依木</t>
  </si>
  <si>
    <t>A2-3-202</t>
  </si>
  <si>
    <t>木扎帕尔·玉素甫江</t>
  </si>
  <si>
    <t>A2-3-203</t>
  </si>
  <si>
    <t>玉苏甫江·哈瓦拉</t>
  </si>
  <si>
    <t>A2-3-301</t>
  </si>
  <si>
    <t>吐洪·阿巴斯</t>
  </si>
  <si>
    <t>A2-3-302</t>
  </si>
  <si>
    <t>喀斯木·艾则木（艾克然木·吐尔逊）</t>
  </si>
  <si>
    <t>A2-3-303</t>
  </si>
  <si>
    <t>艾克拜尔江·吐尔洪</t>
  </si>
  <si>
    <t>A2-3-401</t>
  </si>
  <si>
    <t>艾麦尔·麦提尼亚孜</t>
  </si>
  <si>
    <t>A2-3-402</t>
  </si>
  <si>
    <t>托合尼亚孜·亚森</t>
  </si>
  <si>
    <t>A2-3-403</t>
  </si>
  <si>
    <t>吐鲁洪·麦麦提</t>
  </si>
  <si>
    <t>A2-3-501</t>
  </si>
  <si>
    <t>麦尔耶姆·托合提</t>
  </si>
  <si>
    <t>A2-3-502</t>
  </si>
  <si>
    <t>图迪喀日·吾麦尔</t>
  </si>
  <si>
    <t>A2-3-503</t>
  </si>
  <si>
    <t>艾力亚尔·阿布迪格尼</t>
  </si>
  <si>
    <t>A2-3-601</t>
  </si>
  <si>
    <t>麦亥麦尼亚孜·吐尼亚孜</t>
  </si>
  <si>
    <t>A2-3-602</t>
  </si>
  <si>
    <t>吾斯曼·阿布代提（图尔洪·斯迪克）</t>
  </si>
  <si>
    <t>A2-3-603</t>
  </si>
  <si>
    <t>热合曼·买买提</t>
  </si>
  <si>
    <t>A3-1-201</t>
  </si>
  <si>
    <t>阿不拉·买买提</t>
  </si>
  <si>
    <t>A3-1-202</t>
  </si>
  <si>
    <t>吐尔洪·吐尔孙</t>
  </si>
  <si>
    <t>A3-1-203</t>
  </si>
  <si>
    <t>阿卜敦拉提普·谢尔旦</t>
  </si>
  <si>
    <t>A3-1-301</t>
  </si>
  <si>
    <t>奥力牙尔·尼孜艾买提，买合木提·牙生</t>
  </si>
  <si>
    <t>A3-1-302</t>
  </si>
  <si>
    <t>艾科木·奥司满</t>
  </si>
  <si>
    <t>A3-1-303</t>
  </si>
  <si>
    <t>阿布都热依木·吐尔逊</t>
  </si>
  <si>
    <t>A3-1-401</t>
  </si>
  <si>
    <t>阿不都热依木·阿木提</t>
  </si>
  <si>
    <t>A3-1-402</t>
  </si>
  <si>
    <t>沙热木·阿布力孜</t>
  </si>
  <si>
    <t>A3-1-403</t>
  </si>
  <si>
    <t>艾麦提江·图拉克</t>
  </si>
  <si>
    <t>A3-1-501</t>
  </si>
  <si>
    <t>木塔力甫·吐尔洪</t>
  </si>
  <si>
    <t>A3-1-502</t>
  </si>
  <si>
    <t>阿依木萨·阿布拉（艾沙·艾合买提）</t>
  </si>
  <si>
    <t>A3-1-503</t>
  </si>
  <si>
    <t>麦吾兰·麦麦提</t>
  </si>
  <si>
    <t>A3-1-601</t>
  </si>
  <si>
    <t>库尔班·努尔麦麦提</t>
  </si>
  <si>
    <t>A3-1-602</t>
  </si>
  <si>
    <t>阿布都热依木·托合提</t>
  </si>
  <si>
    <t>A3-1-603</t>
  </si>
  <si>
    <t>瓦哈甫·阿布都克热木</t>
  </si>
  <si>
    <t>A3-2-201</t>
  </si>
  <si>
    <t>古哈尔克孜·亚森</t>
  </si>
  <si>
    <t>A3-2-202</t>
  </si>
  <si>
    <t>阿依先木·热合曼</t>
  </si>
  <si>
    <t>A3-2-203</t>
  </si>
  <si>
    <t>罕克孜·亚森</t>
  </si>
  <si>
    <r>
      <rPr>
        <sz val="10"/>
        <rFont val="Times New Roman"/>
        <charset val="134"/>
      </rPr>
      <t>2021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12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1#</t>
    </r>
    <r>
      <rPr>
        <sz val="10"/>
        <rFont val="宋体"/>
        <charset val="134"/>
      </rPr>
      <t>凭证调整</t>
    </r>
    <r>
      <rPr>
        <sz val="10"/>
        <rFont val="Times New Roman"/>
        <charset val="134"/>
      </rPr>
      <t>5000</t>
    </r>
    <r>
      <rPr>
        <sz val="10"/>
        <rFont val="宋体"/>
        <charset val="134"/>
      </rPr>
      <t>元导致</t>
    </r>
  </si>
  <si>
    <r>
      <rPr>
        <sz val="10"/>
        <rFont val="宋体"/>
        <charset val="134"/>
      </rPr>
      <t>查看调账原因</t>
    </r>
  </si>
  <si>
    <t>A3-2-301</t>
  </si>
  <si>
    <t>吾斯曼·阿巴白克</t>
  </si>
  <si>
    <t>A3-2-302</t>
  </si>
  <si>
    <t>海尔尼沙·阿吾提</t>
  </si>
  <si>
    <t>A3-2-303</t>
  </si>
  <si>
    <t>托合提·买买提</t>
  </si>
  <si>
    <t>A3-2-401</t>
  </si>
  <si>
    <t>毛兰江·吐尼牙孜</t>
  </si>
  <si>
    <t>A3-2-402</t>
  </si>
  <si>
    <t>古尼沙汗·买买提</t>
  </si>
  <si>
    <t>A3-2-403</t>
  </si>
  <si>
    <t>肉孜·赛麦提</t>
  </si>
  <si>
    <t>A3-2-501</t>
  </si>
  <si>
    <t>艾买尔·艾沙，艾尔肯·艾买提</t>
  </si>
  <si>
    <t>A3-2-502</t>
  </si>
  <si>
    <t>热孜瓦尼古力·巴吐尔</t>
  </si>
  <si>
    <t>A3-2-503</t>
  </si>
  <si>
    <t>买买提·吾许尔</t>
  </si>
  <si>
    <t>A3-2-601</t>
  </si>
  <si>
    <t>布哈尼丁·热扎克</t>
  </si>
  <si>
    <t>A3-2-602</t>
  </si>
  <si>
    <t>穆海拜提·亚森</t>
  </si>
  <si>
    <t>A3-2-603</t>
  </si>
  <si>
    <t>阿布都外力·托合提</t>
  </si>
  <si>
    <t>A3-3-201</t>
  </si>
  <si>
    <t>吐荪·托合提、热西提·麦吾兰</t>
  </si>
  <si>
    <t>A3-3-202</t>
  </si>
  <si>
    <t>吐逊古丽·艾麦尔</t>
  </si>
  <si>
    <t>A3-3-203</t>
  </si>
  <si>
    <t>吐尼亚孜·托合尼亚孜</t>
  </si>
  <si>
    <t>A3-3-301</t>
  </si>
  <si>
    <t>阿不来提·依明</t>
  </si>
  <si>
    <t>A3-3-302</t>
  </si>
  <si>
    <t>古力努尔·麦麦提</t>
  </si>
  <si>
    <t>A3-3-303</t>
  </si>
  <si>
    <t>阿依加马力·肉孜</t>
  </si>
  <si>
    <t>A3-3-401</t>
  </si>
  <si>
    <t>艾尔肯·吐尔洪</t>
  </si>
  <si>
    <t>A3-3-402</t>
  </si>
  <si>
    <t>阿布都萨拉木·库瓦万</t>
  </si>
  <si>
    <t>A3-3-403</t>
  </si>
  <si>
    <t>努尔麦麦提·尕依提</t>
  </si>
  <si>
    <t>A3-3-501</t>
  </si>
  <si>
    <t>A3-3-502</t>
  </si>
  <si>
    <t>左力胡马·司马义</t>
  </si>
  <si>
    <r>
      <rPr>
        <sz val="10"/>
        <rFont val="宋体"/>
        <charset val="134"/>
      </rPr>
      <t>与</t>
    </r>
    <r>
      <rPr>
        <sz val="10"/>
        <rFont val="Times New Roman"/>
        <charset val="134"/>
      </rPr>
      <t>A4-2-202</t>
    </r>
    <r>
      <rPr>
        <sz val="10"/>
        <rFont val="宋体"/>
        <charset val="134"/>
      </rPr>
      <t>的</t>
    </r>
    <r>
      <rPr>
        <sz val="10"/>
        <rFont val="Times New Roman"/>
        <charset val="134"/>
      </rPr>
      <t>5000</t>
    </r>
    <r>
      <rPr>
        <sz val="10"/>
        <rFont val="宋体"/>
        <charset val="134"/>
      </rPr>
      <t>元挂错房号</t>
    </r>
  </si>
  <si>
    <t>A3-3-503</t>
  </si>
  <si>
    <t>苏比努尔·牙生</t>
  </si>
  <si>
    <t>A3-3-601</t>
  </si>
  <si>
    <t>吾麦尔江·吾斯曼</t>
  </si>
  <si>
    <t>A3-3-602</t>
  </si>
  <si>
    <t>牙生·尼牙孜</t>
  </si>
  <si>
    <r>
      <rPr>
        <sz val="10"/>
        <rFont val="宋体"/>
        <charset val="134"/>
      </rPr>
      <t>账面多收</t>
    </r>
    <r>
      <rPr>
        <sz val="10"/>
        <rFont val="Times New Roman"/>
        <charset val="134"/>
      </rPr>
      <t>6000</t>
    </r>
    <r>
      <rPr>
        <sz val="10"/>
        <rFont val="宋体"/>
        <charset val="134"/>
      </rPr>
      <t>元，检查</t>
    </r>
    <r>
      <rPr>
        <sz val="10"/>
        <rFont val="Times New Roman"/>
        <charset val="134"/>
      </rPr>
      <t>2018-7-22#</t>
    </r>
    <r>
      <rPr>
        <sz val="10"/>
        <rFont val="宋体"/>
        <charset val="134"/>
      </rPr>
      <t>收款单位是否正确，</t>
    </r>
    <r>
      <rPr>
        <sz val="10"/>
        <rFont val="Times New Roman"/>
        <charset val="134"/>
      </rPr>
      <t>2019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3-34#</t>
    </r>
    <r>
      <rPr>
        <sz val="10"/>
        <rFont val="宋体"/>
        <charset val="134"/>
      </rPr>
      <t>调整至哪里？</t>
    </r>
  </si>
  <si>
    <t>A3-3-603</t>
  </si>
  <si>
    <t>阿依妮娅孜·亚森</t>
  </si>
  <si>
    <t>A4-1-201</t>
  </si>
  <si>
    <t>吐尔逊古丽·吾休尔</t>
  </si>
  <si>
    <t>A4-1-202</t>
  </si>
  <si>
    <t>萨拉木·如孜</t>
  </si>
  <si>
    <t>A4-1-301</t>
  </si>
  <si>
    <t>帕特木汗·奥斯曼</t>
  </si>
  <si>
    <t>A4-1-302</t>
  </si>
  <si>
    <t>阿合旦木·拜合提</t>
  </si>
  <si>
    <r>
      <rPr>
        <sz val="10"/>
        <rFont val="宋体"/>
        <charset val="134"/>
      </rPr>
      <t>账面多收</t>
    </r>
    <r>
      <rPr>
        <sz val="10"/>
        <rFont val="Times New Roman"/>
        <charset val="134"/>
      </rPr>
      <t>5000</t>
    </r>
    <r>
      <rPr>
        <sz val="10"/>
        <rFont val="宋体"/>
        <charset val="134"/>
      </rPr>
      <t>元，检查</t>
    </r>
    <r>
      <rPr>
        <sz val="10"/>
        <rFont val="Times New Roman"/>
        <charset val="134"/>
      </rPr>
      <t>2018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22#</t>
    </r>
    <r>
      <rPr>
        <sz val="10"/>
        <rFont val="宋体"/>
        <charset val="134"/>
      </rPr>
      <t>收款单位是否正确</t>
    </r>
  </si>
  <si>
    <t>A4-1-401</t>
  </si>
  <si>
    <t>麦合木提·图尔迪</t>
  </si>
  <si>
    <t>A4-1-402</t>
  </si>
  <si>
    <t>A4-1-501</t>
  </si>
  <si>
    <t>依马木·吐尼亚孜</t>
  </si>
  <si>
    <t>A4-1-502</t>
  </si>
  <si>
    <t>阿布迪维力·艾合麦提</t>
  </si>
  <si>
    <t>A4-1-601</t>
  </si>
  <si>
    <t>艾孜麦提·麦麦提</t>
  </si>
  <si>
    <t>A4-1-602</t>
  </si>
  <si>
    <t>阿布迪克热木·玉散</t>
  </si>
  <si>
    <t>A4-2-201</t>
  </si>
  <si>
    <r>
      <rPr>
        <sz val="10"/>
        <rFont val="Times New Roman"/>
        <charset val="134"/>
      </rPr>
      <t>2018</t>
    </r>
    <r>
      <rPr>
        <sz val="10"/>
        <rFont val="宋体"/>
        <charset val="134"/>
      </rPr>
      <t>年收到定金计入其他应付款，检查是否转预收账款</t>
    </r>
  </si>
  <si>
    <t>A4-2-202</t>
  </si>
  <si>
    <t>吐尔洪·托乎尼亚孜</t>
  </si>
  <si>
    <r>
      <rPr>
        <sz val="10"/>
        <rFont val="宋体"/>
        <charset val="134"/>
      </rPr>
      <t>与</t>
    </r>
    <r>
      <rPr>
        <sz val="10"/>
        <rFont val="Times New Roman"/>
        <charset val="134"/>
      </rPr>
      <t>A3-3-502</t>
    </r>
    <r>
      <rPr>
        <sz val="10"/>
        <rFont val="宋体"/>
        <charset val="134"/>
      </rPr>
      <t>的</t>
    </r>
    <r>
      <rPr>
        <sz val="10"/>
        <rFont val="Times New Roman"/>
        <charset val="134"/>
      </rPr>
      <t>5000</t>
    </r>
    <r>
      <rPr>
        <sz val="10"/>
        <rFont val="宋体"/>
        <charset val="134"/>
      </rPr>
      <t>元挂错房号</t>
    </r>
  </si>
  <si>
    <t>A4-2-301</t>
  </si>
  <si>
    <t>帕旦木·萨木萨克</t>
  </si>
  <si>
    <t>A4-2-302</t>
  </si>
  <si>
    <t>坎吉汗·艾米尔拉</t>
  </si>
  <si>
    <t>A4-2-401</t>
  </si>
  <si>
    <t>玉苏甫·玉山</t>
  </si>
  <si>
    <t>A4-2-402</t>
  </si>
  <si>
    <t>阿力木·图尔荪</t>
  </si>
  <si>
    <t>A4-2-501</t>
  </si>
  <si>
    <t>木尼然木·巴吐尔</t>
  </si>
  <si>
    <t>A4-2-502</t>
  </si>
  <si>
    <t>玉山·吾斯曼</t>
  </si>
  <si>
    <t>A4-2-601</t>
  </si>
  <si>
    <t>亥尼萨·阿布都克然木</t>
  </si>
  <si>
    <t>A4-2-602</t>
  </si>
  <si>
    <t>加娜汗·吐尔地</t>
  </si>
  <si>
    <t>A4-3-201</t>
  </si>
  <si>
    <t>阿巴斯·阿吾提</t>
  </si>
  <si>
    <t>A4-3-202</t>
  </si>
  <si>
    <t>约尔古丽·达尼亚</t>
  </si>
  <si>
    <t>A4-3-301</t>
  </si>
  <si>
    <t>努尔曼·麦麦提</t>
  </si>
  <si>
    <t>A4-3-302</t>
  </si>
  <si>
    <t>努尔比亚·阿不拉</t>
  </si>
  <si>
    <t>A4-3-401</t>
  </si>
  <si>
    <t>热汗古力·麦麦提</t>
  </si>
  <si>
    <t>A4-3-402</t>
  </si>
  <si>
    <t>凯萨尔·艾麦尔</t>
  </si>
  <si>
    <t>A4-3-501</t>
  </si>
  <si>
    <t>阿布力克木·阿曼</t>
  </si>
  <si>
    <t>A4-3-502</t>
  </si>
  <si>
    <t>吐尔逊·沙依提</t>
  </si>
  <si>
    <t>A4-3-601</t>
  </si>
  <si>
    <t>阿布来提·阿布拉</t>
  </si>
  <si>
    <t>A4-3-602</t>
  </si>
  <si>
    <t>阿卜杜合力力·谢尔旦</t>
  </si>
  <si>
    <t>A4-4-201</t>
  </si>
  <si>
    <t>帕提古力·亚生</t>
  </si>
  <si>
    <t>A4-4-202</t>
  </si>
  <si>
    <t>布萨热木·吐尔逊</t>
  </si>
  <si>
    <t>A4-4-301</t>
  </si>
  <si>
    <t>阿布力克木·阿不迪克然木</t>
  </si>
  <si>
    <t>A4-4-302</t>
  </si>
  <si>
    <t>阿卜杜热伊木·阿卜来提</t>
  </si>
  <si>
    <t>A4-4-401</t>
  </si>
  <si>
    <t>木卡热甫·库都斯</t>
  </si>
  <si>
    <t>A4-4-402</t>
  </si>
  <si>
    <t>图尔洪·阿卜杜瓦伊提</t>
  </si>
  <si>
    <t>A4-4-501</t>
  </si>
  <si>
    <t>吐尔迪·麦麦提</t>
  </si>
  <si>
    <t>A4-4-502</t>
  </si>
  <si>
    <t>艾沙·木塔力甫</t>
  </si>
  <si>
    <t>A4-4-601</t>
  </si>
  <si>
    <t>佐然木·萨吾提</t>
  </si>
  <si>
    <t>A4-4-602</t>
  </si>
  <si>
    <t>艾斯克尔·艾买提</t>
  </si>
  <si>
    <t>A4-5-201</t>
  </si>
  <si>
    <t>多力坤·牙森</t>
  </si>
  <si>
    <t>A4-5-202</t>
  </si>
  <si>
    <t>阿斯古力·尼亚孜</t>
  </si>
  <si>
    <t>A4-5-301</t>
  </si>
  <si>
    <t>库尔班江·阿布力肯木</t>
  </si>
  <si>
    <t>A4-5-302</t>
  </si>
  <si>
    <t>麦合木提·麦麦提</t>
  </si>
  <si>
    <t>A4-5-401</t>
  </si>
  <si>
    <t>努尔麦麦提·库尔班</t>
  </si>
  <si>
    <t>A4-5-402</t>
  </si>
  <si>
    <t>古合尔尼沙·托合提</t>
  </si>
  <si>
    <t>A4-5-501</t>
  </si>
  <si>
    <t>古丽加玛丽·克依木</t>
  </si>
  <si>
    <t>A4-5-502</t>
  </si>
  <si>
    <t>斯拉吉丁·艾合麦提</t>
  </si>
  <si>
    <t>A4-5-601</t>
  </si>
  <si>
    <t xml:space="preserve"> 图尔贡·依迪日斯</t>
  </si>
  <si>
    <t>A4-5-602</t>
  </si>
  <si>
    <t>艾山·麦提尼亚孜</t>
  </si>
  <si>
    <t>A4-6-201</t>
  </si>
  <si>
    <t>古丽尼萨·麦麦提</t>
  </si>
  <si>
    <t>A4-6-202</t>
  </si>
  <si>
    <t>阿比代姆·克热木(布尼亚孜汗·达尼亚)</t>
  </si>
  <si>
    <t>A4-6-301</t>
  </si>
  <si>
    <t>热依汗古丽·毛拉麦提</t>
  </si>
  <si>
    <t>A4-6-302</t>
  </si>
  <si>
    <t>莫敏·热西提</t>
  </si>
  <si>
    <t>A4-6-401</t>
  </si>
  <si>
    <t>吐达洪·吐松</t>
  </si>
  <si>
    <r>
      <rPr>
        <sz val="10"/>
        <rFont val="宋体"/>
        <charset val="134"/>
      </rPr>
      <t>多收的逾期房贷</t>
    </r>
  </si>
  <si>
    <r>
      <rPr>
        <sz val="10"/>
        <rFont val="宋体"/>
        <charset val="134"/>
      </rPr>
      <t>房款已回完，还会产生利息？</t>
    </r>
  </si>
  <si>
    <t>A4-6-402</t>
  </si>
  <si>
    <t>吾尔尼萨 ·库尔班</t>
  </si>
  <si>
    <t>A4-6-501</t>
  </si>
  <si>
    <t>艾合提·热合曼</t>
  </si>
  <si>
    <t>A4-6-502</t>
  </si>
  <si>
    <t>阿布力米提·艾麦尔</t>
  </si>
  <si>
    <t>A4-6-601</t>
  </si>
  <si>
    <t>卡斯木·吐尔洪</t>
  </si>
  <si>
    <t>A4-6-602</t>
  </si>
  <si>
    <t>托合提·艾麦尔</t>
  </si>
  <si>
    <t>A5-1-201</t>
  </si>
  <si>
    <t>库尔班·毛尼亚孜</t>
  </si>
  <si>
    <r>
      <rPr>
        <sz val="10"/>
        <rFont val="宋体"/>
        <charset val="134"/>
      </rPr>
      <t>调整账面挂错房号导致（</t>
    </r>
    <r>
      <rPr>
        <sz val="10"/>
        <rFont val="Times New Roman"/>
        <charset val="134"/>
      </rPr>
      <t>A5-1-501)</t>
    </r>
  </si>
  <si>
    <t>A5-1-202</t>
  </si>
  <si>
    <t>阿力吐尼沙汗·卡迪尔</t>
  </si>
  <si>
    <t>A5-1-301</t>
  </si>
  <si>
    <t>热依木江·吾甫尔</t>
  </si>
  <si>
    <t>A5-1-302</t>
  </si>
  <si>
    <t>阿依仙姆·热麦提</t>
  </si>
  <si>
    <t>A5-1-401</t>
  </si>
  <si>
    <t>阿布都尼亚孜·阿合尼亚孜</t>
  </si>
  <si>
    <t>A5-1-402</t>
  </si>
  <si>
    <t>麦麦提·托合尼牙孜</t>
  </si>
  <si>
    <t>A5-1-501</t>
  </si>
  <si>
    <t>阿布迪热克甫·麦合苏木、赛米·赛米提</t>
  </si>
  <si>
    <r>
      <rPr>
        <sz val="10"/>
        <rFont val="宋体"/>
        <charset val="134"/>
      </rPr>
      <t>调整账面挂错房号导致（</t>
    </r>
    <r>
      <rPr>
        <sz val="10"/>
        <rFont val="Times New Roman"/>
        <charset val="134"/>
      </rPr>
      <t>A5-1-201)</t>
    </r>
  </si>
  <si>
    <t>A5-1-502</t>
  </si>
  <si>
    <t>热合曼·尼亚孜</t>
  </si>
  <si>
    <t>A5-1-601</t>
  </si>
  <si>
    <t>艾斯卡尔·牙生</t>
  </si>
  <si>
    <r>
      <rPr>
        <sz val="10"/>
        <rFont val="宋体"/>
        <charset val="134"/>
      </rPr>
      <t>房号挂错导致的差异（</t>
    </r>
    <r>
      <rPr>
        <sz val="10"/>
        <rFont val="Times New Roman"/>
        <charset val="134"/>
      </rPr>
      <t>A5-1-602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</si>
  <si>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房源表未统计</t>
    </r>
  </si>
  <si>
    <t>A5-1-602</t>
  </si>
  <si>
    <t>艾买尔·吐木尔</t>
  </si>
  <si>
    <r>
      <rPr>
        <sz val="10"/>
        <rFont val="宋体"/>
        <charset val="134"/>
      </rPr>
      <t>房号挂错导致的差异（</t>
    </r>
    <r>
      <rPr>
        <sz val="10"/>
        <rFont val="Times New Roman"/>
        <charset val="134"/>
      </rPr>
      <t>A5-1-601</t>
    </r>
    <r>
      <rPr>
        <sz val="10"/>
        <rFont val="宋体"/>
        <charset val="134"/>
      </rPr>
      <t>）</t>
    </r>
  </si>
  <si>
    <t>A5-2-201</t>
  </si>
  <si>
    <t>苏里塔尼·吐尔迪</t>
  </si>
  <si>
    <t>A5-2-202</t>
  </si>
  <si>
    <t>阿依孜米古丽·艾合麦提</t>
  </si>
  <si>
    <t>A5-2-301</t>
  </si>
  <si>
    <t>艾克热木·艾肯</t>
  </si>
  <si>
    <r>
      <rPr>
        <sz val="10"/>
        <rFont val="Times New Roman"/>
        <charset val="134"/>
      </rPr>
      <t>130000</t>
    </r>
    <r>
      <rPr>
        <sz val="10"/>
        <rFont val="宋体"/>
        <charset val="134"/>
      </rPr>
      <t>回款，计入应收账款见：</t>
    </r>
    <r>
      <rPr>
        <sz val="10"/>
        <rFont val="Times New Roman"/>
        <charset val="134"/>
      </rPr>
      <t>2023-6-10#</t>
    </r>
    <r>
      <rPr>
        <sz val="10"/>
        <rFont val="宋体"/>
        <charset val="134"/>
      </rPr>
      <t>凭证</t>
    </r>
  </si>
  <si>
    <t>A5-2-302</t>
  </si>
  <si>
    <t>吐尔逊·麦提尼牙孜</t>
  </si>
  <si>
    <r>
      <rPr>
        <sz val="10"/>
        <rFont val="Times New Roman"/>
        <charset val="134"/>
      </rPr>
      <t>185000</t>
    </r>
    <r>
      <rPr>
        <sz val="10"/>
        <rFont val="宋体"/>
        <charset val="134"/>
      </rPr>
      <t>回款，计入应收账款见：</t>
    </r>
    <r>
      <rPr>
        <sz val="10"/>
        <rFont val="Times New Roman"/>
        <charset val="134"/>
      </rPr>
      <t>2023-6-8#</t>
    </r>
    <r>
      <rPr>
        <sz val="10"/>
        <rFont val="宋体"/>
        <charset val="134"/>
      </rPr>
      <t>凭证</t>
    </r>
  </si>
  <si>
    <t>A5-2-401</t>
  </si>
  <si>
    <t>亚森·伊迪日斯</t>
  </si>
  <si>
    <t>A5-2-402</t>
  </si>
  <si>
    <t>麦麦提·谢克库尔班</t>
  </si>
  <si>
    <t>A5-2-501</t>
  </si>
  <si>
    <t>艾尼瓦尔·求戈</t>
  </si>
  <si>
    <t>A5-2-502</t>
  </si>
  <si>
    <t>艾麦提·马木提</t>
  </si>
  <si>
    <t>A5-2-601</t>
  </si>
  <si>
    <t>麦力开木·吾斯曼</t>
  </si>
  <si>
    <t>A5-2-602</t>
  </si>
  <si>
    <t>赛麦提·艾麦提</t>
  </si>
  <si>
    <t>A5-3-201</t>
  </si>
  <si>
    <t>居麦克孜·托乎尼亚孜</t>
  </si>
  <si>
    <t>A5-3-202</t>
  </si>
  <si>
    <t>托合尼牙孜·牙生</t>
  </si>
  <si>
    <t>A5-3-301</t>
  </si>
  <si>
    <t>穆乃外尔·麦麦提</t>
  </si>
  <si>
    <t>A5-3-302</t>
  </si>
  <si>
    <t>阿力木江·阿西尔</t>
  </si>
  <si>
    <t>A5-3-401</t>
  </si>
  <si>
    <t>麦尼孜热古丽·阿吉</t>
  </si>
  <si>
    <t>A5-3-402</t>
  </si>
  <si>
    <t>艾力·吐尔迪</t>
  </si>
  <si>
    <t>A5-3-501</t>
  </si>
  <si>
    <t>阿巴斯·阿布都卡迪尔，玛热亚木·马木提</t>
  </si>
  <si>
    <t>A5-3-502</t>
  </si>
  <si>
    <t>阿不都麦麦提·吐尔逊</t>
  </si>
  <si>
    <t>A5-3-601</t>
  </si>
  <si>
    <t>阿迪力·阿吉</t>
  </si>
  <si>
    <t>A5-3-602</t>
  </si>
  <si>
    <t>艾买尔·吐木尔，沙吾提·托合提</t>
  </si>
  <si>
    <t>A6-1-101</t>
  </si>
  <si>
    <t>买买提·吾加木尼牙孜</t>
  </si>
  <si>
    <t>A6-1-102</t>
  </si>
  <si>
    <t>艾尼瓦尔·斯拉音</t>
  </si>
  <si>
    <t>A6-1-201</t>
  </si>
  <si>
    <t>艾合麦提·吐合尼亚孜</t>
  </si>
  <si>
    <t>A6-1-202</t>
  </si>
  <si>
    <t>艾麦尔江·麦麦提</t>
  </si>
  <si>
    <t>A6-1-301</t>
  </si>
  <si>
    <t>卡哈尔·玉苏甫</t>
  </si>
  <si>
    <t>A6-1-302</t>
  </si>
  <si>
    <t>热比叶姆·喀迪尔、穆萨·艾则孜</t>
  </si>
  <si>
    <t>A6-1-401</t>
  </si>
  <si>
    <t>祖丽胡玛尔·赛买提</t>
  </si>
  <si>
    <t>A6-1-402</t>
  </si>
  <si>
    <t>阿努然木·牙生</t>
  </si>
  <si>
    <t>A6-1-501</t>
  </si>
  <si>
    <t>祖力胡马·吐尔洪</t>
  </si>
  <si>
    <t>A6-1-502</t>
  </si>
  <si>
    <t>热依汗·牙生</t>
  </si>
  <si>
    <t>A6-1-601</t>
  </si>
  <si>
    <t>依布拉依木·尕依提</t>
  </si>
  <si>
    <t>A6-1-602</t>
  </si>
  <si>
    <t>库尔班·阿布力米提</t>
  </si>
  <si>
    <t>A6-2-101</t>
  </si>
  <si>
    <t>奥热依木·吐合提</t>
  </si>
  <si>
    <t>A6-2-102</t>
  </si>
  <si>
    <t>艾合麦提·热合曼</t>
  </si>
  <si>
    <t>A6-2-201</t>
  </si>
  <si>
    <t>热纳古力·麦麦提</t>
  </si>
  <si>
    <t>A6-2-202</t>
  </si>
  <si>
    <t>艾买提·热合曼</t>
  </si>
  <si>
    <t>A6-2-301</t>
  </si>
  <si>
    <t>麦合木提·艾白都拉</t>
  </si>
  <si>
    <t>A6-2-302</t>
  </si>
  <si>
    <t>吐逊江·阿布都拉</t>
  </si>
  <si>
    <t>A6-2-401</t>
  </si>
  <si>
    <t>莫明·阿布都艾尼</t>
  </si>
  <si>
    <t>A6-2-402</t>
  </si>
  <si>
    <t>帕坦木·艾合麦提</t>
  </si>
  <si>
    <t>A6-2-501</t>
  </si>
  <si>
    <t>艾尼外尔·麦麦提</t>
  </si>
  <si>
    <t>A6-2-502</t>
  </si>
  <si>
    <t>艾尼瓦尔·艾合麦提</t>
  </si>
  <si>
    <t>A6-2-601</t>
  </si>
  <si>
    <t>肉孜·吐尼亚孜更名成阿依祖克热·艾尔肯</t>
  </si>
  <si>
    <t>A6-2-602</t>
  </si>
  <si>
    <t>阿布都玉苏甫·亚亚，玉散·吐尔洪</t>
  </si>
  <si>
    <t>A7-1-101</t>
  </si>
  <si>
    <t>热伊莱·阿巴拜科日</t>
  </si>
  <si>
    <t>A7-1-102</t>
  </si>
  <si>
    <t>多来提·叶克牙</t>
  </si>
  <si>
    <t>A7-1-201</t>
  </si>
  <si>
    <t>努力曼·肉孜</t>
  </si>
  <si>
    <t>A7-1-202</t>
  </si>
  <si>
    <t>艾米热汗·马木提</t>
  </si>
  <si>
    <t>A7-1-301</t>
  </si>
  <si>
    <t>阿依图热姆·麦麦提尼亚孜</t>
  </si>
  <si>
    <t>A7-1-302</t>
  </si>
  <si>
    <t>依扎提古力·玉山</t>
  </si>
  <si>
    <t>A7-1-401</t>
  </si>
  <si>
    <t>阿迪力·图尔荪</t>
  </si>
  <si>
    <t>A7-1-402</t>
  </si>
  <si>
    <t>乌斯曼·依斯热依力/不胡热·吐尔逊</t>
  </si>
  <si>
    <t>A7-1-501</t>
  </si>
  <si>
    <t>艾尔肯江·吐尔逊</t>
  </si>
  <si>
    <t>A7-1-502</t>
  </si>
  <si>
    <t>玉苏甫·吐尔逊</t>
  </si>
  <si>
    <t>A7-1-601</t>
  </si>
  <si>
    <t>阿布迪尼亚孜·吐尼亚孜</t>
  </si>
  <si>
    <t>A7-1-602</t>
  </si>
  <si>
    <t>麦合木提·亚森</t>
  </si>
  <si>
    <t>A7-2-101</t>
  </si>
  <si>
    <t>阿布都拉·木塔力甫</t>
  </si>
  <si>
    <t>A7-2-102</t>
  </si>
  <si>
    <t>古丽米热·吐尔逊</t>
  </si>
  <si>
    <t>A7-2-201</t>
  </si>
  <si>
    <t>达吾提卡迪·阿不都克然木</t>
  </si>
  <si>
    <t>A7-2-202</t>
  </si>
  <si>
    <t>阿依努尔·胡都尤木</t>
  </si>
  <si>
    <t>A7-2-301</t>
  </si>
  <si>
    <t>阿布都亥力力·吐尔洪</t>
  </si>
  <si>
    <t>A7-2-302</t>
  </si>
  <si>
    <t>玉素甫·珀拉提</t>
  </si>
  <si>
    <t>A7-2-401</t>
  </si>
  <si>
    <t>阿依先木·沙吾提于山江·吐尼牙孜</t>
  </si>
  <si>
    <t>A7-2-402</t>
  </si>
  <si>
    <t>阿依古力·依明</t>
  </si>
  <si>
    <t>A7-2-501</t>
  </si>
  <si>
    <t>布沙热木·吐拉吾东、阿力木·图尔迪</t>
  </si>
  <si>
    <t>A7-2-502</t>
  </si>
  <si>
    <t>艾合麦提·库尔班</t>
  </si>
  <si>
    <t>A7-2-601</t>
  </si>
  <si>
    <t>吾斯曼江·玉山</t>
  </si>
  <si>
    <t>A7-2-602</t>
  </si>
  <si>
    <t>吐尔孙·吐米尔</t>
  </si>
  <si>
    <t>A7-3-101</t>
  </si>
  <si>
    <t>阿曼古力·阿布力米提</t>
  </si>
  <si>
    <t>A7-3-102</t>
  </si>
  <si>
    <t>阿不拉江·阿力木</t>
  </si>
  <si>
    <t>A7-3-201</t>
  </si>
  <si>
    <t>比沙来木·吐来克</t>
  </si>
  <si>
    <t>A7-3-202</t>
  </si>
  <si>
    <t>阿布都沙拉木·肉孜</t>
  </si>
  <si>
    <t>A7-3-301</t>
  </si>
  <si>
    <t>热依汉古丽·热合曼</t>
  </si>
  <si>
    <t>A7-3-302</t>
  </si>
  <si>
    <t>阿卜杜热吉·吐尔逊</t>
  </si>
  <si>
    <t>A7-3-401</t>
  </si>
  <si>
    <t>图尔荪江·阿卜拉</t>
  </si>
  <si>
    <t>A7-3-402</t>
  </si>
  <si>
    <t>李丹阳</t>
  </si>
  <si>
    <t>A7-3-501</t>
  </si>
  <si>
    <t>阿卜力克木·许库尔，帕旦木·艾，艾沙·依斯坎目尔</t>
  </si>
  <si>
    <t>A7-3-502</t>
  </si>
  <si>
    <t>麦合木提·图尔荪</t>
  </si>
  <si>
    <t>A7-3-601</t>
  </si>
  <si>
    <t>吐尔逊江·吐尔洪</t>
  </si>
  <si>
    <t>A7-3-602</t>
  </si>
  <si>
    <t>亚森·萨拉木</t>
  </si>
  <si>
    <t>A8-1-101</t>
  </si>
  <si>
    <t>帕尔哈提·尔肯</t>
  </si>
  <si>
    <t>A8-1-102</t>
  </si>
  <si>
    <t>库尔班·托合提</t>
  </si>
  <si>
    <t>A8-1-103</t>
  </si>
  <si>
    <t>巴哈古丽·沙吾东</t>
  </si>
  <si>
    <t>A8-1-104</t>
  </si>
  <si>
    <t>左合热·木拉提</t>
  </si>
  <si>
    <t>A8-1-201</t>
  </si>
  <si>
    <t>木塔力甫·艾买提</t>
  </si>
  <si>
    <t>A8-1-202</t>
  </si>
  <si>
    <t>沙阿代提·阿布拉</t>
  </si>
  <si>
    <r>
      <rPr>
        <sz val="10"/>
        <rFont val="宋体"/>
        <charset val="134"/>
      </rPr>
      <t>账面</t>
    </r>
    <r>
      <rPr>
        <sz val="10"/>
        <rFont val="Times New Roman"/>
        <charset val="134"/>
      </rPr>
      <t>2022-3-11#</t>
    </r>
    <r>
      <rPr>
        <sz val="10"/>
        <rFont val="宋体"/>
        <charset val="134"/>
      </rPr>
      <t>凭证已收到房款</t>
    </r>
    <r>
      <rPr>
        <sz val="10"/>
        <rFont val="Times New Roman"/>
        <charset val="134"/>
      </rPr>
      <t>143000</t>
    </r>
    <r>
      <rPr>
        <sz val="10"/>
        <rFont val="宋体"/>
        <charset val="134"/>
      </rPr>
      <t>，查证附件</t>
    </r>
  </si>
  <si>
    <t>A8-1-203</t>
  </si>
  <si>
    <t>帕尔哈提·玉素甫</t>
  </si>
  <si>
    <t>A8-1-204</t>
  </si>
  <si>
    <t>亚库普·达吾提</t>
  </si>
  <si>
    <t>A8-1-301</t>
  </si>
  <si>
    <t>海丽且木·阿不都热哈曼</t>
  </si>
  <si>
    <t>A8-1-302</t>
  </si>
  <si>
    <t>努尔尼沙·伊卜拉伊木更名成吐拉汗·依斯热依力</t>
  </si>
  <si>
    <t>A8-1-303</t>
  </si>
  <si>
    <t>帕孜来提·帕尔哈提</t>
  </si>
  <si>
    <t>A8-1-304</t>
  </si>
  <si>
    <t>阿热孜古丽·托合提</t>
  </si>
  <si>
    <t>A8-1-401</t>
  </si>
  <si>
    <t>木热迪力·艾尼瓦尔</t>
  </si>
  <si>
    <t>A8-1-402</t>
  </si>
  <si>
    <t>吐尔逊麦麦提·托胡提，艾克拜尔·胡都尤木拜迪</t>
  </si>
  <si>
    <t>A8-1-403</t>
  </si>
  <si>
    <t>穆萨·托合提</t>
  </si>
  <si>
    <t>A8-1-404</t>
  </si>
  <si>
    <t>艾尼瓦尔·吾休尔</t>
  </si>
  <si>
    <t>A8-1-501</t>
  </si>
  <si>
    <t>阿曼古力·吐尔洪</t>
  </si>
  <si>
    <t>A8-1-502</t>
  </si>
  <si>
    <t>亚森·阿布都热合曼，哈丽代姆·奥斯曼</t>
  </si>
  <si>
    <t>A8-1-503</t>
  </si>
  <si>
    <t>古丽努尔·吾斯曼，阿卜杜柯然木·阿卜杜喀迪尔</t>
  </si>
  <si>
    <t>A8-1-504</t>
  </si>
  <si>
    <t>麦合木提·托合提尼亚孜</t>
  </si>
  <si>
    <t>A8-1-601</t>
  </si>
  <si>
    <t>艾合麦提·乌斯曼</t>
  </si>
  <si>
    <t>A8-1-602</t>
  </si>
  <si>
    <t>凯赛尔·艾比卜拉</t>
  </si>
  <si>
    <t>A8-1-603</t>
  </si>
  <si>
    <t>图尔荪古丽·巴拉提</t>
  </si>
  <si>
    <t>A8-1-604</t>
  </si>
  <si>
    <t>阿地力·阿不力孜，热汗古丽·阿皮孜</t>
  </si>
  <si>
    <t>A8-2-101</t>
  </si>
  <si>
    <t>阿依古力·阿吾提</t>
  </si>
  <si>
    <t>A8-2-102</t>
  </si>
  <si>
    <t>艾沙江·阿不都热西提</t>
  </si>
  <si>
    <t>A8-2-103</t>
  </si>
  <si>
    <t>合来克·斯迪克</t>
  </si>
  <si>
    <t>A8-2-104</t>
  </si>
  <si>
    <t>阿布力米提·吐尼亚孜</t>
  </si>
  <si>
    <t>A8-2-201</t>
  </si>
  <si>
    <t>吾守尔·阿合尼亚孜</t>
  </si>
  <si>
    <t>A8-2-202</t>
  </si>
  <si>
    <t>亚森·依斯马依力</t>
  </si>
  <si>
    <t>A8-2-203</t>
  </si>
  <si>
    <t>艾力·帕孜力</t>
  </si>
  <si>
    <t>A8-2-204</t>
  </si>
  <si>
    <t>阿布都热合曼·艾散</t>
  </si>
  <si>
    <t>A8-2-301</t>
  </si>
  <si>
    <t>海丽齐古丽·吾斯曼</t>
  </si>
  <si>
    <r>
      <rPr>
        <sz val="10"/>
        <rFont val="宋体"/>
        <charset val="134"/>
      </rPr>
      <t>确认其调整是否正确</t>
    </r>
  </si>
  <si>
    <t>A8-2-302</t>
  </si>
  <si>
    <t>哈里克·沙吾提</t>
  </si>
  <si>
    <t>A8-2-303</t>
  </si>
  <si>
    <t>阿卜杜拉·阿布都热依木</t>
  </si>
  <si>
    <t>A8-2-304</t>
  </si>
  <si>
    <t>热艳古丽·热合曼</t>
  </si>
  <si>
    <t>A8-2-401</t>
  </si>
  <si>
    <t>牙生·司马依</t>
  </si>
  <si>
    <t>A8-2-402</t>
  </si>
  <si>
    <t>玛依热·麦麦提</t>
  </si>
  <si>
    <t>A8-2-403</t>
  </si>
  <si>
    <t>麦尔丹·莫尼亚孜</t>
  </si>
  <si>
    <t>A8-2-404</t>
  </si>
  <si>
    <t>塔依尔·麦麦提</t>
  </si>
  <si>
    <t>A8-2-501</t>
  </si>
  <si>
    <t>巴哈尔古丽·阿卜都热合曼</t>
  </si>
  <si>
    <t>A8-2-502</t>
  </si>
  <si>
    <t>热娜古丽·阿布都买买提</t>
  </si>
  <si>
    <t>A8-2-503</t>
  </si>
  <si>
    <t>吾甫尔·阿布都苏甫尔</t>
  </si>
  <si>
    <t>A8-2-504</t>
  </si>
  <si>
    <t>阿布都尼亚孜·依明</t>
  </si>
  <si>
    <t>A8-2-601</t>
  </si>
  <si>
    <t>木合旦尔·米吉提</t>
  </si>
  <si>
    <t>A8-2-602</t>
  </si>
  <si>
    <t>肉孜·斯拉木</t>
  </si>
  <si>
    <t>A8-2-603</t>
  </si>
  <si>
    <t>阿斯叶木·依明</t>
  </si>
  <si>
    <t>A8-2-604</t>
  </si>
  <si>
    <t>布瓦吉尔·依米尔</t>
  </si>
  <si>
    <t>A9-1-101</t>
  </si>
  <si>
    <t>阿比热·吐鲁洪</t>
  </si>
  <si>
    <t>A9-1-102</t>
  </si>
  <si>
    <t>努日古力·艾则孜，萨吉代姆·居麦</t>
  </si>
  <si>
    <t>A9-1-103</t>
  </si>
  <si>
    <t>努尔比叶木·伊斯热衣木</t>
  </si>
  <si>
    <t>A9-1-104</t>
  </si>
  <si>
    <t>迪力穆拉提·司马义更名肉克艳木·麦提尼亚孜</t>
  </si>
  <si>
    <t>A9-1-201</t>
  </si>
  <si>
    <t>阿曼古力·吐尔逊</t>
  </si>
  <si>
    <t>A9-1-202</t>
  </si>
  <si>
    <t>古扎努尔·库尔班，艾孜孜·阿布都热依木</t>
  </si>
  <si>
    <t>A9-1-203</t>
  </si>
  <si>
    <t>阿依木尼萨克孜·于努斯</t>
  </si>
  <si>
    <t>A9-1-204</t>
  </si>
  <si>
    <t>麦合木提·托合提，帕提古丽·马木提</t>
  </si>
  <si>
    <t>A9-1-301</t>
  </si>
  <si>
    <t>亚森·麦麦提、吐尔迪·麦提尼亚孜</t>
  </si>
  <si>
    <t>A9-1-302</t>
  </si>
  <si>
    <t>艾合麦提·吐尔孙</t>
  </si>
  <si>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10#</t>
    </r>
    <r>
      <rPr>
        <sz val="10"/>
        <rFont val="宋体"/>
        <charset val="134"/>
      </rPr>
      <t>回款</t>
    </r>
    <r>
      <rPr>
        <sz val="10"/>
        <rFont val="Times New Roman"/>
        <charset val="134"/>
      </rPr>
      <t>17</t>
    </r>
    <r>
      <rPr>
        <sz val="10"/>
        <rFont val="宋体"/>
        <charset val="134"/>
      </rPr>
      <t>万，查证售房总价款</t>
    </r>
  </si>
  <si>
    <t>A9-1-303</t>
  </si>
  <si>
    <t>古力尼萨汗·玉山</t>
  </si>
  <si>
    <t>A9-1-304</t>
  </si>
  <si>
    <t>A9-1-401</t>
  </si>
  <si>
    <t>艾力江·吐尔地</t>
  </si>
  <si>
    <t>A9-1-402</t>
  </si>
  <si>
    <t>阿卜力克木·吾卜力</t>
  </si>
  <si>
    <t>A9-1-403</t>
  </si>
  <si>
    <t>麦麦提·托合提</t>
  </si>
  <si>
    <t>A9-1-404</t>
  </si>
  <si>
    <t>古丽加马丽·依马木尼亚孜</t>
  </si>
  <si>
    <t>A9-1-501</t>
  </si>
  <si>
    <t>麦合木提·吐尔逊</t>
  </si>
  <si>
    <t>A9-1-502</t>
  </si>
  <si>
    <t>哈力旦木·马木提</t>
  </si>
  <si>
    <t>A9-1-503</t>
  </si>
  <si>
    <t>艾海提·吾斯曼</t>
  </si>
  <si>
    <t>A9-1-504</t>
  </si>
  <si>
    <t>亚森·艾散</t>
  </si>
  <si>
    <t>A9-1-601</t>
  </si>
  <si>
    <t>肉孜·亚森</t>
  </si>
  <si>
    <t>A9-1-602</t>
  </si>
  <si>
    <t>艾散·木太里甫</t>
  </si>
  <si>
    <t>A9-1-603</t>
  </si>
  <si>
    <t>巴拉提·肉孜</t>
  </si>
  <si>
    <t>A9-1-604</t>
  </si>
  <si>
    <t>努尔尼沙·托合逊</t>
  </si>
  <si>
    <t>A9-2-101</t>
  </si>
  <si>
    <t>吐尔逊·居麦克</t>
  </si>
  <si>
    <t>A9-2-102</t>
  </si>
  <si>
    <t>努日曼古丽·毛力尼亚孜</t>
  </si>
  <si>
    <t>A9-2-103</t>
  </si>
  <si>
    <t>王瑞锋</t>
  </si>
  <si>
    <t>A9-2-104</t>
  </si>
  <si>
    <t>阿依努汗·阿布都热西提</t>
  </si>
  <si>
    <t>A9-2-201</t>
  </si>
  <si>
    <t>古力米热·阿布力米提，古力纳尔·阿吾提</t>
  </si>
  <si>
    <t>A9-2-202</t>
  </si>
  <si>
    <t>艾麦提江·赛麦提</t>
  </si>
  <si>
    <t>A9-2-203</t>
  </si>
  <si>
    <t>麦合木提·艾则孜，阿色古力·海力力</t>
  </si>
  <si>
    <t>A9-2-204</t>
  </si>
  <si>
    <t>麦合莫提·麦麦提</t>
  </si>
  <si>
    <t>A9-2-301</t>
  </si>
  <si>
    <t>阿依加马力·吐尼牙孜</t>
  </si>
  <si>
    <t>A9-2-302</t>
  </si>
  <si>
    <t>艾山江·吐尔地</t>
  </si>
  <si>
    <t>A9-2-303</t>
  </si>
  <si>
    <t>阿孜古力·吐亚尼亚孜</t>
  </si>
  <si>
    <t>A9-2-304</t>
  </si>
  <si>
    <t>萨妮古丽·克然木</t>
  </si>
  <si>
    <t>A9-2-401</t>
  </si>
  <si>
    <t>温切姆·玉苏普</t>
  </si>
  <si>
    <t>A9-2-402</t>
  </si>
  <si>
    <t>艾力凯木·乃买提</t>
  </si>
  <si>
    <t>A9-2-403</t>
  </si>
  <si>
    <t>阿不都吉力里·阿不都热西提</t>
  </si>
  <si>
    <t>A9-2-404</t>
  </si>
  <si>
    <t>艾合麦提·艾克拜尔</t>
  </si>
  <si>
    <t>A9-2-501</t>
  </si>
  <si>
    <t>艾尔肯·吾布力</t>
  </si>
  <si>
    <t>A9-2-502</t>
  </si>
  <si>
    <t>吾斯曼·麦麦提</t>
  </si>
  <si>
    <t>A9-2-503</t>
  </si>
  <si>
    <t>古力米热·艾合麦提，艾克拜尔江·艾买尔</t>
  </si>
  <si>
    <t>A9-2-504</t>
  </si>
  <si>
    <t>阿布都如苏力·阿不都尼亚孜</t>
  </si>
  <si>
    <t>A9-2-601</t>
  </si>
  <si>
    <t>亚森·马木克</t>
  </si>
  <si>
    <t>A9-2-602</t>
  </si>
  <si>
    <t>帕塔木·麦麦提</t>
  </si>
  <si>
    <t>A9-2-603</t>
  </si>
  <si>
    <t>艾萨·阿合尼亚孜</t>
  </si>
  <si>
    <t>A9-2-604</t>
  </si>
  <si>
    <t>吐逊·赛麦提，麦麦提·斯拉木</t>
  </si>
  <si>
    <t>A13-1-101</t>
  </si>
  <si>
    <t>古力娜扎尔·司马依</t>
  </si>
  <si>
    <t>A13-1-102</t>
  </si>
  <si>
    <t>依明·阿比力孜</t>
  </si>
  <si>
    <t>A13-1-201</t>
  </si>
  <si>
    <t>阿布都艾尼·阿布都热合曼</t>
  </si>
  <si>
    <t>A13-1-202</t>
  </si>
  <si>
    <t>尼亚孜·依米尔</t>
  </si>
  <si>
    <t>A13-1-301</t>
  </si>
  <si>
    <t>托合提·依比热依木</t>
  </si>
  <si>
    <t>A13-1-302</t>
  </si>
  <si>
    <t>吐尔逊江·木沙</t>
  </si>
  <si>
    <t>A13-1-401</t>
  </si>
  <si>
    <t>阿布都热依木·吾斯曼</t>
  </si>
  <si>
    <t>A13-1-402</t>
  </si>
  <si>
    <t>艾买尔·托乎提</t>
  </si>
  <si>
    <t>A13-1-501</t>
  </si>
  <si>
    <t>努尔比艳·麦麦提，图尔荪·图尔迪</t>
  </si>
  <si>
    <t>A13-1-502</t>
  </si>
  <si>
    <t>毛拉依明·依迪热斯</t>
  </si>
  <si>
    <t>A13-1-601</t>
  </si>
  <si>
    <t>木萨江·木台里甫</t>
  </si>
  <si>
    <t>A13-1-602</t>
  </si>
  <si>
    <t>吐尔逊·阿不都热依木</t>
  </si>
  <si>
    <t>A13-2-101</t>
  </si>
  <si>
    <t>帕尔哈提·阿不都热西提</t>
  </si>
  <si>
    <t>A13-2-102</t>
  </si>
  <si>
    <t>龚雪</t>
  </si>
  <si>
    <t>A13-2-201</t>
  </si>
  <si>
    <t>米热古力·库尔班，依力哈木·依明</t>
  </si>
  <si>
    <t>A13-2-202</t>
  </si>
  <si>
    <t>玉山江·里提甫</t>
  </si>
  <si>
    <t>A13-2-301</t>
  </si>
  <si>
    <t>买合木提·牙生，麦吾拉尼·木沙</t>
  </si>
  <si>
    <t>A13-2-302</t>
  </si>
  <si>
    <t>麦尔耶姆·阿卜拉</t>
  </si>
  <si>
    <t>A13-2-401</t>
  </si>
  <si>
    <t>古丽加玛丽·安外尔</t>
  </si>
  <si>
    <t>A13-2-402</t>
  </si>
  <si>
    <t>托黑提·克热木</t>
  </si>
  <si>
    <t>A13-2-501</t>
  </si>
  <si>
    <t>安外尔·图尼亚孜</t>
  </si>
  <si>
    <t>A13-2-502</t>
  </si>
  <si>
    <t>阿力木·赛麦提</t>
  </si>
  <si>
    <t>A13-2-601</t>
  </si>
  <si>
    <t>阿日普·图尔荪</t>
  </si>
  <si>
    <t>A13-2-602</t>
  </si>
  <si>
    <t>依明江·亚森</t>
  </si>
  <si>
    <t>A1-101</t>
  </si>
  <si>
    <t>阿斯艳·祖努</t>
  </si>
  <si>
    <t>A1-102</t>
  </si>
  <si>
    <t>亚尔艾力·吐热克</t>
  </si>
  <si>
    <t>A1-103</t>
  </si>
  <si>
    <t>玉苏甫·尧力达西</t>
  </si>
  <si>
    <t>A1-104</t>
  </si>
  <si>
    <t>吐尔地·达吾提</t>
  </si>
  <si>
    <t>A1-105</t>
  </si>
  <si>
    <t>阿依古丽·孜牙吾东</t>
  </si>
  <si>
    <t>A1-106</t>
  </si>
  <si>
    <t>牙生江·艾衣提</t>
  </si>
  <si>
    <t>A1-107</t>
  </si>
  <si>
    <t>吐尔逊古力·玉素甫</t>
  </si>
  <si>
    <t>A1-108</t>
  </si>
  <si>
    <t>阿迪来·艾尼瓦尔</t>
  </si>
  <si>
    <t>A1-109</t>
  </si>
  <si>
    <t>阿依努尔·托合提</t>
  </si>
  <si>
    <t>A1-110</t>
  </si>
  <si>
    <t>艾买尔·那买提</t>
  </si>
  <si>
    <t>A1-111</t>
  </si>
  <si>
    <t>A1-112</t>
  </si>
  <si>
    <t>A2-101</t>
  </si>
  <si>
    <t>A2-102</t>
  </si>
  <si>
    <t>A2-103</t>
  </si>
  <si>
    <t>艾合买提·吐乎提</t>
  </si>
  <si>
    <t>A2-104</t>
  </si>
  <si>
    <t>木塔力甫·麦麦提</t>
  </si>
  <si>
    <t>A2-105</t>
  </si>
  <si>
    <t>艾合麦提·依木拉木孜</t>
  </si>
  <si>
    <t>A2-106</t>
  </si>
  <si>
    <t>阿米娜木·托乎提</t>
  </si>
  <si>
    <t>A2-107</t>
  </si>
  <si>
    <t>古力拜合热木·麦提尼亚孜</t>
  </si>
  <si>
    <t>A2-108</t>
  </si>
  <si>
    <t>吐尼亚孜·肉孜</t>
  </si>
  <si>
    <t>A2-109</t>
  </si>
  <si>
    <t>玉山·阿布都外力</t>
  </si>
  <si>
    <t>A2-110</t>
  </si>
  <si>
    <r>
      <rPr>
        <sz val="10"/>
        <rFont val="宋体"/>
        <charset val="134"/>
      </rPr>
      <t>未售</t>
    </r>
  </si>
  <si>
    <t>A2-111</t>
  </si>
  <si>
    <t>吐汗·夏木西</t>
  </si>
  <si>
    <t>A2-112</t>
  </si>
  <si>
    <t>西尔艾力·克木西（何良）</t>
  </si>
  <si>
    <t>A2-113</t>
  </si>
  <si>
    <t>卡哈尔·阿布都外力</t>
  </si>
  <si>
    <t>A2-114</t>
  </si>
  <si>
    <t>阿不都克热木·阿布都热合曼</t>
  </si>
  <si>
    <t>A2-115</t>
  </si>
  <si>
    <t>A2-116</t>
  </si>
  <si>
    <t>米热古丽·阿布都热依木（图拉比耶姆·麦麦提）</t>
  </si>
  <si>
    <t>A2-117</t>
  </si>
  <si>
    <t>A3-101</t>
  </si>
  <si>
    <t>A3-102</t>
  </si>
  <si>
    <t>阿曼古力·吐尼亚孜</t>
  </si>
  <si>
    <t>A3-103</t>
  </si>
  <si>
    <t>艾尼瓦尔·甫拉提</t>
  </si>
  <si>
    <t>A3-104</t>
  </si>
  <si>
    <t>A3-105</t>
  </si>
  <si>
    <t>A3-106</t>
  </si>
  <si>
    <t>塔依尔·吾斯曼</t>
  </si>
  <si>
    <t>A3-107</t>
  </si>
  <si>
    <t>艾热提·麦麦提</t>
  </si>
  <si>
    <t>A3-108</t>
  </si>
  <si>
    <t>麦合木提·艾麦提改为阿卜拉·阿卜力孜</t>
  </si>
  <si>
    <t>A3-109</t>
  </si>
  <si>
    <t>努尔麦麦提·莫拉库万</t>
  </si>
  <si>
    <t>A3-110</t>
  </si>
  <si>
    <t>库尔班·托合尼亚孜</t>
  </si>
  <si>
    <t>A3-111</t>
  </si>
  <si>
    <t>齐曼古力·阿布都热合曼（吐尼亚孜·托合尼牙孜）</t>
  </si>
  <si>
    <t>A3-112</t>
  </si>
  <si>
    <t>玉苏甫·吐尔孙(吐尼亚孜·托合尼亚孜)</t>
  </si>
  <si>
    <t>A3-113</t>
  </si>
  <si>
    <t>吐尔逊·阿巴斯</t>
  </si>
  <si>
    <t>A3-114</t>
  </si>
  <si>
    <t>艾斯克尔·艾麦尔</t>
  </si>
  <si>
    <t>A3-115</t>
  </si>
  <si>
    <t>A3-116</t>
  </si>
  <si>
    <t>多力坤·吐尼亚孜</t>
  </si>
  <si>
    <t>A3-117</t>
  </si>
  <si>
    <t>江凯</t>
  </si>
  <si>
    <t>A4-101</t>
  </si>
  <si>
    <r>
      <rPr>
        <sz val="9"/>
        <rFont val="宋体"/>
        <charset val="134"/>
      </rPr>
      <t>肉孜古力</t>
    </r>
    <r>
      <rPr>
        <sz val="9"/>
        <rFont val="Times New Roman"/>
        <charset val="0"/>
      </rPr>
      <t>·</t>
    </r>
    <r>
      <rPr>
        <sz val="9"/>
        <rFont val="宋体"/>
        <charset val="134"/>
      </rPr>
      <t>艾买提</t>
    </r>
  </si>
  <si>
    <t>A4-102</t>
  </si>
  <si>
    <t>古丽孜巴·努尔麦麦提</t>
  </si>
  <si>
    <t>A4-103</t>
  </si>
  <si>
    <t>A4-104</t>
  </si>
  <si>
    <t>巴哈一丁·吾斯曼</t>
  </si>
  <si>
    <t>A4-105</t>
  </si>
  <si>
    <t>阿斯艳木·喀地尔</t>
  </si>
  <si>
    <t>A4-106</t>
  </si>
  <si>
    <t>A4-107</t>
  </si>
  <si>
    <t>A4-108</t>
  </si>
  <si>
    <t>哈力旦木·蒋麦提</t>
  </si>
  <si>
    <t>A4-109</t>
  </si>
  <si>
    <t>热依汉古丽·麦麦提</t>
  </si>
  <si>
    <t>A4-110</t>
  </si>
  <si>
    <t>A4-111</t>
  </si>
  <si>
    <t>A4-112</t>
  </si>
  <si>
    <t>巴哈尔古力·阿西木</t>
  </si>
  <si>
    <t>A4-113</t>
  </si>
  <si>
    <t>艾尼瓦尔·达吾提</t>
  </si>
  <si>
    <t>A4-114</t>
  </si>
  <si>
    <t>A4-115</t>
  </si>
  <si>
    <t>热依汗古丽·亚森</t>
  </si>
  <si>
    <t>A4-116</t>
  </si>
  <si>
    <t>A4-117</t>
  </si>
  <si>
    <t>A4-118</t>
  </si>
  <si>
    <t>马芸</t>
  </si>
  <si>
    <t>A4-119</t>
  </si>
  <si>
    <t>A4-120</t>
  </si>
  <si>
    <t>A4-121</t>
  </si>
  <si>
    <t>A4-122</t>
  </si>
  <si>
    <t>A4-123</t>
  </si>
  <si>
    <t>A4-124</t>
  </si>
  <si>
    <t>A4-125</t>
  </si>
  <si>
    <t>A4-126</t>
  </si>
  <si>
    <t>A5-101</t>
  </si>
  <si>
    <t>亚生·艾则孜</t>
  </si>
  <si>
    <t>A5-102</t>
  </si>
  <si>
    <t>阿米娜木·乌斯曼</t>
  </si>
  <si>
    <t>A5-103</t>
  </si>
  <si>
    <t>A5-104</t>
  </si>
  <si>
    <t>A5-105</t>
  </si>
  <si>
    <t>A5-106</t>
  </si>
  <si>
    <t>A5-107</t>
  </si>
  <si>
    <t>A5-108</t>
  </si>
  <si>
    <t>A5-109</t>
  </si>
  <si>
    <t>A5-110</t>
  </si>
  <si>
    <t>A5-111</t>
  </si>
  <si>
    <t>A5-112</t>
  </si>
  <si>
    <t>A5-113</t>
  </si>
  <si>
    <t>A5-114</t>
  </si>
  <si>
    <t>A5-115</t>
  </si>
  <si>
    <t>A14-101</t>
  </si>
  <si>
    <t>阿衣加马力·沙吾提</t>
  </si>
  <si>
    <t>A14-102</t>
  </si>
  <si>
    <t>安瓦尔·托胡提</t>
  </si>
  <si>
    <t>A14-103</t>
  </si>
  <si>
    <t>古力阿依先·库万</t>
  </si>
  <si>
    <t>A14-104</t>
  </si>
  <si>
    <t>吐尔洪·吐尔迪</t>
  </si>
  <si>
    <t>A14-105</t>
  </si>
  <si>
    <t>迪丽拜尔·胡杜尤木拜尔迪</t>
  </si>
  <si>
    <t>A14-106</t>
  </si>
  <si>
    <t>月热麦提·艾力</t>
  </si>
  <si>
    <t>A14-107</t>
  </si>
  <si>
    <t>值班室</t>
  </si>
  <si>
    <t>A14-108</t>
  </si>
  <si>
    <t>肉孜古力·尼亚孜</t>
  </si>
  <si>
    <t>A14-201</t>
  </si>
  <si>
    <t>王宏恩</t>
  </si>
  <si>
    <r>
      <rPr>
        <sz val="10"/>
        <rFont val="宋体"/>
        <charset val="134"/>
      </rPr>
      <t>账面调整错误</t>
    </r>
  </si>
  <si>
    <t>A14-202</t>
  </si>
  <si>
    <t>账簿</t>
  </si>
  <si>
    <t>年</t>
  </si>
  <si>
    <t>月</t>
  </si>
  <si>
    <t>凭证号</t>
  </si>
  <si>
    <t>摘要</t>
  </si>
  <si>
    <t>科目代码</t>
  </si>
  <si>
    <t>科目名称</t>
  </si>
  <si>
    <t>借</t>
  </si>
  <si>
    <t>贷</t>
  </si>
  <si>
    <t>单位代码</t>
  </si>
  <si>
    <t>单位名称</t>
  </si>
  <si>
    <t>确认后的房号</t>
  </si>
  <si>
    <t>贷方计算后的含税金额</t>
  </si>
  <si>
    <t>新疆通力房地产开发有限公司阿克苏分公司</t>
  </si>
  <si>
    <t>退房款俞琦原附件在10月7号单</t>
  </si>
  <si>
    <t>2004</t>
  </si>
  <si>
    <t>预收帐款</t>
  </si>
  <si>
    <t>0006</t>
  </si>
  <si>
    <t>15-A-1001俞琦</t>
  </si>
  <si>
    <t>武杰购房预付款</t>
  </si>
  <si>
    <t>0021</t>
  </si>
  <si>
    <t>15#-B座-1103武杰</t>
  </si>
  <si>
    <t>塔依尔购房预付款</t>
  </si>
  <si>
    <t>0022</t>
  </si>
  <si>
    <t>A15-802</t>
  </si>
  <si>
    <t>退段毅购房定金（3019）</t>
  </si>
  <si>
    <t>0019</t>
  </si>
  <si>
    <t>A座-1102房-段毅</t>
  </si>
  <si>
    <t>收多浪小镇购房款</t>
  </si>
  <si>
    <t>0023</t>
  </si>
  <si>
    <t>阿克苏城乡建设发展集团有限公司</t>
  </si>
  <si>
    <t>城投公司支付房款</t>
  </si>
  <si>
    <t>城投公司付多浪小镇房款</t>
  </si>
  <si>
    <t>收到多浪小镇购房款</t>
  </si>
  <si>
    <t>调11月43#凭证</t>
  </si>
  <si>
    <t>收多浪小镇廉租房房款</t>
  </si>
  <si>
    <t>0024</t>
  </si>
  <si>
    <t>阿克苏市城镇住房保障管理办公室</t>
  </si>
  <si>
    <t>收20套廉租房房款</t>
  </si>
  <si>
    <t>收多浪廉租房房款</t>
  </si>
  <si>
    <t>收工程款</t>
  </si>
  <si>
    <t>收财政局多浪房款</t>
  </si>
  <si>
    <t>借款转预收</t>
  </si>
  <si>
    <t>0073</t>
  </si>
  <si>
    <t>0074</t>
  </si>
  <si>
    <t>0075</t>
  </si>
  <si>
    <t>0076</t>
  </si>
  <si>
    <t>0077</t>
  </si>
  <si>
    <t>0078</t>
  </si>
  <si>
    <t>0079</t>
  </si>
  <si>
    <t>0080</t>
  </si>
  <si>
    <t>0081</t>
  </si>
  <si>
    <t>0082</t>
  </si>
  <si>
    <t>0083</t>
  </si>
  <si>
    <t>0084</t>
  </si>
  <si>
    <t>0085</t>
  </si>
  <si>
    <t>0086</t>
  </si>
  <si>
    <t>0087</t>
  </si>
  <si>
    <t>0088</t>
  </si>
  <si>
    <t>0089</t>
  </si>
  <si>
    <t>0090</t>
  </si>
  <si>
    <t>0091</t>
  </si>
  <si>
    <t>收艾海提C11-1-402房款</t>
  </si>
  <si>
    <t>0026</t>
  </si>
  <si>
    <t>收阿布都萨拉木C8-1-502房款</t>
  </si>
  <si>
    <t>0027</t>
  </si>
  <si>
    <t>收阿依尼尕尔C11-1-401房款</t>
  </si>
  <si>
    <t>0028</t>
  </si>
  <si>
    <t>收玉山C11-2-601房款</t>
  </si>
  <si>
    <t>0029</t>
  </si>
  <si>
    <t>收玉苏甫C11-1-502房款</t>
  </si>
  <si>
    <t>0030</t>
  </si>
  <si>
    <t>收C11-1-501奇曼古丽.吐热克房款</t>
  </si>
  <si>
    <t>0031</t>
  </si>
  <si>
    <t>C9-3-201艾斯麦提</t>
  </si>
  <si>
    <t>0032</t>
  </si>
  <si>
    <t>C11-1-502玉苏莆房款</t>
  </si>
  <si>
    <t>C11-3-601阿孜古丽</t>
  </si>
  <si>
    <t>0033</t>
  </si>
  <si>
    <t>C11-1-501奇曼古力</t>
  </si>
  <si>
    <t>C11-1-602托合提</t>
  </si>
  <si>
    <t>0034</t>
  </si>
  <si>
    <t>C11-2-501吾麦尔江</t>
  </si>
  <si>
    <t>0035</t>
  </si>
  <si>
    <t>C11-1-601艾亥提</t>
  </si>
  <si>
    <t>0036</t>
  </si>
  <si>
    <t>C11-4-602马木提卡热</t>
  </si>
  <si>
    <t>0037</t>
  </si>
  <si>
    <t>C11-3-501帕尔哈提玉山</t>
  </si>
  <si>
    <t>0038</t>
  </si>
  <si>
    <t>C11-4-502努尔尼沙</t>
  </si>
  <si>
    <t>0039</t>
  </si>
  <si>
    <t>C11-2-602阿不迪玉苏莆</t>
  </si>
  <si>
    <t>0040</t>
  </si>
  <si>
    <t>C11-1-602托合提巴拉提</t>
  </si>
  <si>
    <t>C11-3-602艾尔肯麦提尼亚孜</t>
  </si>
  <si>
    <t>0044</t>
  </si>
  <si>
    <t>C11-3-502多力困</t>
  </si>
  <si>
    <t>0043</t>
  </si>
  <si>
    <t>C11-3-602艾尔肯</t>
  </si>
  <si>
    <t>C11-4-601努尔比牙</t>
  </si>
  <si>
    <t>0046</t>
  </si>
  <si>
    <t>C11-2-502肉孜阿吾尔</t>
  </si>
  <si>
    <t>0047</t>
  </si>
  <si>
    <t>C11-2-502肉孜阿吾提</t>
  </si>
  <si>
    <t>C8-1-602艾亥提</t>
  </si>
  <si>
    <t>0049</t>
  </si>
  <si>
    <t>C11-4-501买买提</t>
  </si>
  <si>
    <t>0050</t>
  </si>
  <si>
    <t>C8-3-601依明江</t>
  </si>
  <si>
    <t>0051</t>
  </si>
  <si>
    <t>C11-4-601肉孜买买提</t>
  </si>
  <si>
    <t>C8-2-601买买提艾力</t>
  </si>
  <si>
    <t>0052</t>
  </si>
  <si>
    <t>退C11-4-601努尔比牙木</t>
  </si>
  <si>
    <t>退C8-1-502阿布都萨拉木</t>
  </si>
  <si>
    <t>C11-3-501阿尤普</t>
  </si>
  <si>
    <t>C11-2-601玉山托乎提</t>
  </si>
  <si>
    <t>C11-4-501麦合木提</t>
  </si>
  <si>
    <t>C11-2-401吐鲁洪江</t>
  </si>
  <si>
    <t>0053</t>
  </si>
  <si>
    <t>C11-2-502肉孜.阿吾提</t>
  </si>
  <si>
    <t>C11-3-401麦麦提.毛拉依明</t>
  </si>
  <si>
    <t>0054</t>
  </si>
  <si>
    <t>C11-2-402阿不都克热木</t>
  </si>
  <si>
    <t>0055</t>
  </si>
  <si>
    <t>C8-1-502买买提.毛拉麦提</t>
  </si>
  <si>
    <t>C11-4-401木哈拜提</t>
  </si>
  <si>
    <t>0056</t>
  </si>
  <si>
    <t>C8-3-501古则努尔</t>
  </si>
  <si>
    <t>0057</t>
  </si>
  <si>
    <t>C8-2-401哈力木拉提</t>
  </si>
  <si>
    <t>0058</t>
  </si>
  <si>
    <t>C8-2-501木斯帕塔</t>
  </si>
  <si>
    <t>0059</t>
  </si>
  <si>
    <t>C11-3-402莫合塔尔</t>
  </si>
  <si>
    <t>0060</t>
  </si>
  <si>
    <t>C7-3-401麦麦提</t>
  </si>
  <si>
    <t>0061</t>
  </si>
  <si>
    <t>C8-1-402玉山</t>
  </si>
  <si>
    <t>0062</t>
  </si>
  <si>
    <t>C8-2-501牙尔买哈买提</t>
  </si>
  <si>
    <t>C11-4-402居麦克孜</t>
  </si>
  <si>
    <t>0063</t>
  </si>
  <si>
    <t>C8-3-401麦麦提</t>
  </si>
  <si>
    <t>0064</t>
  </si>
  <si>
    <t>C8-2-602托乎尼牙孜</t>
  </si>
  <si>
    <t>0065</t>
  </si>
  <si>
    <t>C11-1-202托合尼亚孜</t>
  </si>
  <si>
    <t>0066</t>
  </si>
  <si>
    <t>C8-2-602托乎尼亚孜</t>
  </si>
  <si>
    <t>C11-3-401麦麦提</t>
  </si>
  <si>
    <t xml:space="preserve">C11-1-502玉素甫 </t>
  </si>
  <si>
    <t>C8-1-502买买提</t>
  </si>
  <si>
    <t>C11-2-402阿布都克热木</t>
  </si>
  <si>
    <t>C11-1-201米吉提·吐尔逊</t>
  </si>
  <si>
    <t>0067</t>
  </si>
  <si>
    <t>C8-1-402玉山·尼亚孜</t>
  </si>
  <si>
    <t>C11-2-201库尔班江拜尔拉</t>
  </si>
  <si>
    <t>0068</t>
  </si>
  <si>
    <t>C11-1-201布沙热木热合曼</t>
  </si>
  <si>
    <t>C11-1-502玉苏莆麦麦提</t>
  </si>
  <si>
    <t>C7-3-501托合提·吐尔逊</t>
  </si>
  <si>
    <t>0069</t>
  </si>
  <si>
    <t>C7-3-201莫合塔尔·达吾提</t>
  </si>
  <si>
    <t>0070</t>
  </si>
  <si>
    <t>C7-3-402麦麦提艾力·如孜</t>
  </si>
  <si>
    <t>0071</t>
  </si>
  <si>
    <t>C11-4-602马木提·卡热</t>
  </si>
  <si>
    <t>C13-3-303玛依热·肉孜</t>
  </si>
  <si>
    <t>0072</t>
  </si>
  <si>
    <t>C11-2-201库尔班江·拜尔拉</t>
  </si>
  <si>
    <t>C8-3-601依明江·吐尔迪</t>
  </si>
  <si>
    <t>c11-2-202胡杜玉木·如则</t>
  </si>
  <si>
    <t>0092</t>
  </si>
  <si>
    <t>c11-2-202</t>
  </si>
  <si>
    <t>c11-3-201阿不来提·阿不拉拜地</t>
  </si>
  <si>
    <t>0093</t>
  </si>
  <si>
    <t>c11-3-201</t>
  </si>
  <si>
    <t>c11-2-302艾沙江·阿力甫</t>
  </si>
  <si>
    <t>0094</t>
  </si>
  <si>
    <t>c11-2-302</t>
  </si>
  <si>
    <t>C11-1-102木沙·艾麦尔</t>
  </si>
  <si>
    <t>0095</t>
  </si>
  <si>
    <t>C11-3-202吐尔洪·乃麦提</t>
  </si>
  <si>
    <t>0096</t>
  </si>
  <si>
    <t>C4-2-601麦热耶姆·艾麦提</t>
  </si>
  <si>
    <t>0097</t>
  </si>
  <si>
    <t>C8-2-502帕坦木·艾麦提</t>
  </si>
  <si>
    <t>0098</t>
  </si>
  <si>
    <t>C11-2-502肉孜·阿吾提</t>
  </si>
  <si>
    <t>C11-1-301麦热牙木·艾麦尔</t>
  </si>
  <si>
    <t>0099</t>
  </si>
  <si>
    <t>C11-4-401木哈拜提·胡达拜提</t>
  </si>
  <si>
    <t>C11-1-302莫合旦尔·艾合旦木</t>
  </si>
  <si>
    <t>0100</t>
  </si>
  <si>
    <t>C11-4-502努尔尼沙·艾山</t>
  </si>
  <si>
    <t>C8-1-602艾亥提·巴拉提</t>
  </si>
  <si>
    <t>A11-4-602吐尔逊古力·拖黑提</t>
  </si>
  <si>
    <t>0101</t>
  </si>
  <si>
    <t>C3-3-401迪力夏提</t>
  </si>
  <si>
    <t>0102</t>
  </si>
  <si>
    <t>C8-1-202巴吐尔·艾买提</t>
  </si>
  <si>
    <t>0103</t>
  </si>
  <si>
    <t>C11-2-302艾沙江·阿力甫</t>
  </si>
  <si>
    <t>C7-2-501麦尔旦·达尼亚</t>
  </si>
  <si>
    <t>0104</t>
  </si>
  <si>
    <t>C11-3-301阿卜杜许库尔</t>
  </si>
  <si>
    <t>0105</t>
  </si>
  <si>
    <t>C3-3-502玛依热·肉孜</t>
  </si>
  <si>
    <t>0106</t>
  </si>
  <si>
    <t>c3-3-402木瓦汗·木沙</t>
  </si>
  <si>
    <t>0107</t>
  </si>
  <si>
    <t>c13-3-303阿尔祖古丽·巴伍敦</t>
  </si>
  <si>
    <t>c8-3-201图尔荪·麦麦提</t>
  </si>
  <si>
    <t>0108</t>
  </si>
  <si>
    <t>c7-2-502亚克甫·亚森</t>
  </si>
  <si>
    <t>0109</t>
  </si>
  <si>
    <t>c11-4-201牙力昆江·吾斯曼</t>
  </si>
  <si>
    <t>0110</t>
  </si>
  <si>
    <t>c3-2-502艾山·吐尔洪</t>
  </si>
  <si>
    <t>0115</t>
  </si>
  <si>
    <t>c3-3-402吾布力·牙生</t>
  </si>
  <si>
    <t>c3-2-402买合木提·卡迪尔</t>
  </si>
  <si>
    <t>0128</t>
  </si>
  <si>
    <t>c11-4-302依斯玛依力</t>
  </si>
  <si>
    <t>0111</t>
  </si>
  <si>
    <t>c8-2-201阿布都热合曼·乌斯曼</t>
  </si>
  <si>
    <t>0112</t>
  </si>
  <si>
    <t>c11-4-302依斯玛依力·喀斯木</t>
  </si>
  <si>
    <t>c11-4-301阿依吐热汗·吾许尔</t>
  </si>
  <si>
    <t>0113</t>
  </si>
  <si>
    <t>c8-1-601阿依古丽·吾斯曼</t>
  </si>
  <si>
    <t>0114</t>
  </si>
  <si>
    <t>c11-4-202艾麦尔·努尔克</t>
  </si>
  <si>
    <t>0116</t>
  </si>
  <si>
    <t>c3-3-502玛依热·肉孜</t>
  </si>
  <si>
    <t>c3-3-401迪力夏提·木热提</t>
  </si>
  <si>
    <t>c11-1-102木沙·艾麦尔</t>
  </si>
  <si>
    <t>c3-3-501玉山·吐热克</t>
  </si>
  <si>
    <t>0117</t>
  </si>
  <si>
    <t>c11-3-202吐尔洪·乃麦提</t>
  </si>
  <si>
    <t>c11-2-301吐尔逊·如斯坦木</t>
  </si>
  <si>
    <t>0118</t>
  </si>
  <si>
    <t>c7-1-502艾合买提·胡达拜地</t>
  </si>
  <si>
    <t>0119</t>
  </si>
  <si>
    <t>c11-3-302吐拉克孜·萨依木</t>
  </si>
  <si>
    <t>0120</t>
  </si>
  <si>
    <t>C7-1-401麦麦提斯迪克·那斯尔</t>
  </si>
  <si>
    <t>0121</t>
  </si>
  <si>
    <t>c13-3-402阿依古丽·艾麦尔</t>
  </si>
  <si>
    <t>0122</t>
  </si>
  <si>
    <t>c11-2-101吐尔逊古丽·吐尔迪</t>
  </si>
  <si>
    <t>0123</t>
  </si>
  <si>
    <t>c11-1-101麦尔巴哈·托合尼亚孜</t>
  </si>
  <si>
    <t>0124</t>
  </si>
  <si>
    <t>c11-4-102麦麦提阿卜拉·艾麦提</t>
  </si>
  <si>
    <t>0125</t>
  </si>
  <si>
    <t>c4-1-602图尔荪·达伍提</t>
  </si>
  <si>
    <t>0126</t>
  </si>
  <si>
    <t>c7-1-402妮亚斯罕·阿卜杜外力</t>
  </si>
  <si>
    <t>0127</t>
  </si>
  <si>
    <t>c3-2-402换为c7-2-402</t>
  </si>
  <si>
    <t>0129</t>
  </si>
  <si>
    <t>c11-3-102阿米娜木·亚生</t>
  </si>
  <si>
    <t>0130</t>
  </si>
  <si>
    <t>c3-2-402麦合木提·卡迪尔</t>
  </si>
  <si>
    <t>c7-2-202赛米江·阿里木</t>
  </si>
  <si>
    <t>0131</t>
  </si>
  <si>
    <t>c11-3-101阿卜杜许库尔·努尔麦麦提</t>
  </si>
  <si>
    <t>0132</t>
  </si>
  <si>
    <t>c4-1-601约赛尹·玉苏普艾麦提</t>
  </si>
  <si>
    <t>0133</t>
  </si>
  <si>
    <t>c3-3-201阿布都热西提·阿布都克然木</t>
  </si>
  <si>
    <t>0134</t>
  </si>
  <si>
    <t>c11-1-302莫合旦尔·艾合旦木</t>
  </si>
  <si>
    <t>c13-3-203巴哈尔·阿卜杜外力</t>
  </si>
  <si>
    <t>0135</t>
  </si>
  <si>
    <t>c7-3-502阿孜古力·阿布都艾尼</t>
  </si>
  <si>
    <t>0136</t>
  </si>
  <si>
    <t>C3-2-401肉孜·艾买提</t>
  </si>
  <si>
    <t>0162</t>
  </si>
  <si>
    <t>c11-2-502肉孜·阿吾提</t>
  </si>
  <si>
    <t>C8-2-301那买提·阿依甫</t>
  </si>
  <si>
    <t>0138</t>
  </si>
  <si>
    <t>C13-3-201阿斯亚姆·艾克力</t>
  </si>
  <si>
    <t>0139</t>
  </si>
  <si>
    <t>C4-2-602努尔艾力·依明</t>
  </si>
  <si>
    <t>0140</t>
  </si>
  <si>
    <t>C7-1-402依麻木尼牙孜·吐逊</t>
  </si>
  <si>
    <t>C13-3-503亚库甫·玉山</t>
  </si>
  <si>
    <t>0141</t>
  </si>
  <si>
    <t>C3-3-402木瓦汗·木沙</t>
  </si>
  <si>
    <t>C11-3-201阿不来提·阿不拉拜地</t>
  </si>
  <si>
    <t>C4-3-602买买提·毛尼牙孜</t>
  </si>
  <si>
    <t>0142</t>
  </si>
  <si>
    <t>C7-1-201吾斯曼·吾守尔</t>
  </si>
  <si>
    <t>0143</t>
  </si>
  <si>
    <t>C3-1-502牙生江·马木提</t>
  </si>
  <si>
    <t>0144</t>
  </si>
  <si>
    <t>C11-4-102麦麦提阿卜拉·艾麦提</t>
  </si>
  <si>
    <t>C4-3-202如先古丽·牙生</t>
  </si>
  <si>
    <t>0145</t>
  </si>
  <si>
    <t>换据（C7-3-402换为C7-1-501）</t>
  </si>
  <si>
    <t>0146</t>
  </si>
  <si>
    <t>C8-1-302布亥尔且木·胡达拜迪</t>
  </si>
  <si>
    <t>0147</t>
  </si>
  <si>
    <t>C7-2-401哈尼克孜·麦麦提</t>
  </si>
  <si>
    <t>0148</t>
  </si>
  <si>
    <t>C7-3-102吐热古丽·阿西木</t>
  </si>
  <si>
    <t>0149</t>
  </si>
  <si>
    <t>C11-4-101麦合木提·阿卜力克木</t>
  </si>
  <si>
    <t>0150</t>
  </si>
  <si>
    <t>C7-3-402古丽加玛丽</t>
  </si>
  <si>
    <t>C7-3-202麦合木提·恰瓦尔</t>
  </si>
  <si>
    <t>0151</t>
  </si>
  <si>
    <t>C11-1-401阿依尕尔·木塔力甫</t>
  </si>
  <si>
    <t>C4-1-601阿孜古·吐鲁洪</t>
  </si>
  <si>
    <t>C11-4-301阿依吐热汗·吾许尔</t>
  </si>
  <si>
    <t>C11-4-202艾麦尔·努尔克</t>
  </si>
  <si>
    <t>C3-2-502艾山·吐尔洪</t>
  </si>
  <si>
    <t>C8-3-201图尔荪·麦麦提</t>
  </si>
  <si>
    <t>C3-2-202阿曼古丽·艾尔肯</t>
  </si>
  <si>
    <t>0152</t>
  </si>
  <si>
    <t>C8-2-201阿布都热合曼</t>
  </si>
  <si>
    <t>C11-4-302依斯玛依力</t>
  </si>
  <si>
    <t>C11-2-301吐尔逊</t>
  </si>
  <si>
    <t>C3-3-501玉山·吐热克</t>
  </si>
  <si>
    <t>C7-2-502亚克甫·亚森</t>
  </si>
  <si>
    <t>C11-2-302艾沙江</t>
  </si>
  <si>
    <t>C11-2-202胡杜玉木·如则</t>
  </si>
  <si>
    <t>C7-3-302克热木</t>
  </si>
  <si>
    <t>0153</t>
  </si>
  <si>
    <t>C7-3-301牙生·热依木</t>
  </si>
  <si>
    <t>0154</t>
  </si>
  <si>
    <t>c8-2-301那买提</t>
  </si>
  <si>
    <t>C7-1-202巴哈古力</t>
  </si>
  <si>
    <t>0155</t>
  </si>
  <si>
    <t>C7-3-502阿孜古力·阿布都艾尼</t>
  </si>
  <si>
    <t>C7-3-401麦麦提·米尔夏提</t>
  </si>
  <si>
    <t>C13-3-103麦尔旦·达尼亚</t>
  </si>
  <si>
    <t>0156</t>
  </si>
  <si>
    <t>C7-2-402阿里木江</t>
  </si>
  <si>
    <t>C7-1-501阿不力克木</t>
  </si>
  <si>
    <t>C7-3-502热孜瓦古力</t>
  </si>
  <si>
    <t>C4-3-601吐尔逊·肉苏</t>
  </si>
  <si>
    <t>0157</t>
  </si>
  <si>
    <t>0175</t>
  </si>
  <si>
    <t>转款明细表</t>
  </si>
  <si>
    <t>0275</t>
  </si>
  <si>
    <t>0276</t>
  </si>
  <si>
    <t>0277</t>
  </si>
  <si>
    <t>0278</t>
  </si>
  <si>
    <t>0279</t>
  </si>
  <si>
    <t>0280</t>
  </si>
  <si>
    <t>0281</t>
  </si>
  <si>
    <t>0282</t>
  </si>
  <si>
    <t>0283</t>
  </si>
  <si>
    <t>0284</t>
  </si>
  <si>
    <t>0285</t>
  </si>
  <si>
    <t>0286</t>
  </si>
  <si>
    <t>0287</t>
  </si>
  <si>
    <t>0288</t>
  </si>
  <si>
    <t>0289</t>
  </si>
  <si>
    <t>0290</t>
  </si>
  <si>
    <t>0291</t>
  </si>
  <si>
    <t>0292</t>
  </si>
  <si>
    <t>0293</t>
  </si>
  <si>
    <t>0294</t>
  </si>
  <si>
    <t>0295</t>
  </si>
  <si>
    <t>0296</t>
  </si>
  <si>
    <t>0297</t>
  </si>
  <si>
    <t>退款依据，查证此笔收款分录</t>
  </si>
  <si>
    <t>0298</t>
  </si>
  <si>
    <t>0299</t>
  </si>
  <si>
    <t>0300</t>
  </si>
  <si>
    <t>0301</t>
  </si>
  <si>
    <t>0302</t>
  </si>
  <si>
    <t>0303</t>
  </si>
  <si>
    <t>0304</t>
  </si>
  <si>
    <t>0305</t>
  </si>
  <si>
    <t>0306</t>
  </si>
  <si>
    <t>0307</t>
  </si>
  <si>
    <t>C7-3-402古丽加玛丽换为C13-3-101艾买尔江</t>
  </si>
  <si>
    <t>0158</t>
  </si>
  <si>
    <t>C8-1-601阿依古丽乌斯曼换为C4-3-601吐尔逊</t>
  </si>
  <si>
    <t>C13-3-101艾买尔江·托合提</t>
  </si>
  <si>
    <t>C13-3-301穆合塔尔·奥布力</t>
  </si>
  <si>
    <t>0159</t>
  </si>
  <si>
    <t>C3-2-201赛米江·阿里木</t>
  </si>
  <si>
    <t>0160</t>
  </si>
  <si>
    <t>A11-4-402亚森·赛买提</t>
  </si>
  <si>
    <t>0164</t>
  </si>
  <si>
    <t>C13-3-203古力皮亚木</t>
  </si>
  <si>
    <t>C13-3-401赛麦提·麦麦提</t>
  </si>
  <si>
    <t>0161</t>
  </si>
  <si>
    <t>C13-3-303阿尔祖古丽·巴伍敦</t>
  </si>
  <si>
    <t>C13-3-103艾姆热泽·阿勒玛斯</t>
  </si>
  <si>
    <t>C8-3-301努尔敦·图尔荪</t>
  </si>
  <si>
    <t>0163</t>
  </si>
  <si>
    <t>C13-3-103艾姆热汗</t>
  </si>
  <si>
    <t>退C7-3-301房款</t>
  </si>
  <si>
    <t>退C7-1-502房款</t>
  </si>
  <si>
    <t>退C7-3-302房款</t>
  </si>
  <si>
    <t>退C7-1-402房款</t>
  </si>
  <si>
    <t>退C7-1-201房款</t>
  </si>
  <si>
    <t>退13-3-203房款</t>
  </si>
  <si>
    <t>C13-3-402阿依古丽·艾麦尔</t>
  </si>
  <si>
    <t>C7-2-202换为C3-2-201</t>
  </si>
  <si>
    <t>C13-3-102阿力木·赛麦提</t>
  </si>
  <si>
    <t>0165</t>
  </si>
  <si>
    <t>退C7-3-202麦合木提房款</t>
  </si>
  <si>
    <t>退C7-1-401麦麦提斯地克房款</t>
  </si>
  <si>
    <t>C4-1-602图尔迪·图尔荪</t>
  </si>
  <si>
    <t>C8-1-102艾布拉·阿力木</t>
  </si>
  <si>
    <t>0166</t>
  </si>
  <si>
    <t>C13-3-202吾甫尔·赛地</t>
  </si>
  <si>
    <t>0167</t>
  </si>
  <si>
    <t>C4-1-502努尔尼沙·也克亚</t>
  </si>
  <si>
    <t>0168</t>
  </si>
  <si>
    <t>A11-4-401阿曼古丽·艾合坦木</t>
  </si>
  <si>
    <t>0169</t>
  </si>
  <si>
    <t>C3-2-501斯依提·阿卜都热依木</t>
  </si>
  <si>
    <t>0170</t>
  </si>
  <si>
    <t>退C7-1-202房款</t>
  </si>
  <si>
    <t>C11-2-101吐尔逊古丽</t>
  </si>
  <si>
    <t>C11-4-201牙力昆江·吾斯曼</t>
  </si>
  <si>
    <t>退C13-3-103房款</t>
  </si>
  <si>
    <t>退C7-2-501房款</t>
  </si>
  <si>
    <t>C8-2-101艾尔肯·麦合木提</t>
  </si>
  <si>
    <t>0171</t>
  </si>
  <si>
    <t>C13-3-302托胡提·吐瓦尔</t>
  </si>
  <si>
    <t>0172</t>
  </si>
  <si>
    <t>C13-3-403茂兰江·阿布都休库尔</t>
  </si>
  <si>
    <t>0173</t>
  </si>
  <si>
    <t>C11-1-101麦尔哈巴·托合尼亚孜</t>
  </si>
  <si>
    <t>退C7-3-102房款吐热古力·阿西木</t>
  </si>
  <si>
    <t>C7-2-202合里力·马木提</t>
  </si>
  <si>
    <t>C8-3-101阿斯亚姆·艾克力</t>
  </si>
  <si>
    <t>0174</t>
  </si>
  <si>
    <t>C13-3-201换为C8-3-101</t>
  </si>
  <si>
    <t>C11-3-102阿米娜木·亚生</t>
  </si>
  <si>
    <t>C11-2-102热合曼·毛尼亚孜</t>
  </si>
  <si>
    <t>C11-4-101麦合木提·阿不力克木</t>
  </si>
  <si>
    <t>C11-3-101阿卜杜许库尔</t>
  </si>
  <si>
    <t>C13-3-302换为C13-3-201托乎提·吐瓦尔</t>
  </si>
  <si>
    <t>C13-3-201托乎提·吐瓦尔</t>
  </si>
  <si>
    <t>C13-3-302阿迪力·玉素甫</t>
  </si>
  <si>
    <t>C3-3-201阿布都热西提</t>
  </si>
  <si>
    <t>C8-3-301努尔敦·图尔荪房款</t>
  </si>
  <si>
    <t>C4-2-501麦麦提·库尔班房款</t>
  </si>
  <si>
    <t>0176</t>
  </si>
  <si>
    <t>C7-2-501热娜古力·吐尔逊</t>
  </si>
  <si>
    <t>C7-3-501阿布都萨拉木·阿布都热合曼</t>
  </si>
  <si>
    <t>C4-1-501阿布都卡得·阿布都克然木</t>
  </si>
  <si>
    <t>0177</t>
  </si>
  <si>
    <t>C7-3-402托合旦木尼亚孜·玉山</t>
  </si>
  <si>
    <t>退C3-2-401房款</t>
  </si>
  <si>
    <t>C4-2-501买买提·库尔班</t>
  </si>
  <si>
    <t>C11-4-501库尔班·托合提</t>
  </si>
  <si>
    <t>C4-1-501阿不都卡得·阿不都克然木</t>
  </si>
  <si>
    <t>C4-2-502吐尔逊阿依·吐尔逊</t>
  </si>
  <si>
    <t>0178</t>
  </si>
  <si>
    <t>C4-1-402如孜·吐尔迪</t>
  </si>
  <si>
    <t>0179</t>
  </si>
  <si>
    <t>退C11-2-102张振龙房款</t>
  </si>
  <si>
    <t>C11-1-402帕加合提·托克逊房款</t>
  </si>
  <si>
    <t>C4-3-501卡合曼·玉苏普房款</t>
  </si>
  <si>
    <t>0180</t>
  </si>
  <si>
    <t>C3-2-202阿曼古丽·艾尔肯房款</t>
  </si>
  <si>
    <t>C11-3-602艾尔肯·麦提尼亚孜房款</t>
  </si>
  <si>
    <t>C7-1-502吐尔逊古丽·米吉提房款</t>
  </si>
  <si>
    <t>C4-3-501卡合尔曼·玉苏普</t>
  </si>
  <si>
    <t>A11-4-402亚森·赛麦提</t>
  </si>
  <si>
    <t>C13-3-402阿衣古力·艾麦尔</t>
  </si>
  <si>
    <t>C13-3-201托胡提·吐瓦尔</t>
  </si>
  <si>
    <t>C7-3-401买买提·米尔夏提</t>
  </si>
  <si>
    <t>C11-1-202托合尼亚孜·吐尼亚孜房款</t>
  </si>
  <si>
    <t>C4-2-401阿卜力孜·伊斯拉木房款</t>
  </si>
  <si>
    <t>0182</t>
  </si>
  <si>
    <t>C3-2-402麦合木提·卡迪尔房款</t>
  </si>
  <si>
    <t>C3-2-402买合木提·卡迪尔房款</t>
  </si>
  <si>
    <t>C13-3-101艾买尔江·托合提房款</t>
  </si>
  <si>
    <t>C7-2-502亚克甫·亚森房款</t>
  </si>
  <si>
    <t>C7-2-202合里力·马木提房款</t>
  </si>
  <si>
    <t>C13-3-301穆合塔尔·奥布力房款</t>
  </si>
  <si>
    <t>C11-3-202吐尔逊·乃麦提房款</t>
  </si>
  <si>
    <t>调2016年8月14#、原房号C11-4-501改为c8-2-601</t>
  </si>
  <si>
    <t>调2016年12月19#、原房号C13-3-303改为C3-3-502</t>
  </si>
  <si>
    <t>C11-4-201牙力昆江·吾斯曼房款</t>
  </si>
  <si>
    <t>C4-3-502穆萨江·如则房款</t>
  </si>
  <si>
    <t>0183</t>
  </si>
  <si>
    <t>C13-3-401赛麦提·麦麦提房款</t>
  </si>
  <si>
    <t>C8-2-501牙尔买哈买提·米吉提房款</t>
  </si>
  <si>
    <t>退C7-3-501房款</t>
  </si>
  <si>
    <t>C7-3-502热孜瓦古力·麦提尼亚孜</t>
  </si>
  <si>
    <t>C11-1-102木沙·艾麦尔房款</t>
  </si>
  <si>
    <t>C4-3-501卡合尔曼·玉苏莆房款</t>
  </si>
  <si>
    <t>C13-3-401塞尔提·麦麦提房款</t>
  </si>
  <si>
    <t>退房款C4-1-402</t>
  </si>
  <si>
    <t>C4-2-502吐尔逊阿依·吐尔逊房款</t>
  </si>
  <si>
    <t>C7-2-501热娜古力·吐尔逊房款</t>
  </si>
  <si>
    <t>A11-4-401阿热孜古丽·吐尼亚孜房款</t>
  </si>
  <si>
    <t>C7-3-402托合旦木尼亚孜·玉山房款</t>
  </si>
  <si>
    <t>C4-1-501阿不都卡得·阿不都克然木房款</t>
  </si>
  <si>
    <t>C7-3-501阿布都萨拉木·阿布都热合曼房款</t>
  </si>
  <si>
    <t>C11-1-302凯比努尔·托乎提房款</t>
  </si>
  <si>
    <t>C4-1-202莫明·尕依斯房款</t>
  </si>
  <si>
    <t>0184</t>
  </si>
  <si>
    <t>C13-3-203古力皮亚木·沙吾提房款</t>
  </si>
  <si>
    <t>C4-1-602图尔迪·吐尔逊房款</t>
  </si>
  <si>
    <t>C7-1-502吐尔孙古力·米吉提房款</t>
  </si>
  <si>
    <t>C7-2-401哈尼克孜·麦麦提房款</t>
  </si>
  <si>
    <t>C7-1-402艾合麦提·热亥甫房款</t>
  </si>
  <si>
    <t>C7-1-401阿吾提·尼亚孜房款</t>
  </si>
  <si>
    <t>C4-2-402木合塔尔·吐尔地房款</t>
  </si>
  <si>
    <t>0186</t>
  </si>
  <si>
    <t>C4-3-401刘吉朝房款</t>
  </si>
  <si>
    <t>0187</t>
  </si>
  <si>
    <t>C7-3-202艾尔肯·买合买提房款</t>
  </si>
  <si>
    <t>换据C8-2-101换C7-3-202</t>
  </si>
  <si>
    <t>C8-2-101依马木`麦麦提房款</t>
  </si>
  <si>
    <t>C8-2-101依马木·麦麦提房款</t>
  </si>
  <si>
    <t>C7-3-302吐尼沙汗·托合尼亚孜房款</t>
  </si>
  <si>
    <t>C3-1-401麦尔燕木·毛拉麦提房款</t>
  </si>
  <si>
    <t>0188</t>
  </si>
  <si>
    <t>C3-1-402阿不拉江·库尔班</t>
  </si>
  <si>
    <t>0189</t>
  </si>
  <si>
    <t>A11-1-401阿布都克热木·阿布都热合曼房款</t>
  </si>
  <si>
    <t>0190</t>
  </si>
  <si>
    <t>收C11-4-601阿布都萨拉木·萨吾提房款</t>
  </si>
  <si>
    <t>收C11-3-102阿米娜木·亚生房款</t>
  </si>
  <si>
    <t>C4-3-502阿曼古丽·托合提房款</t>
  </si>
  <si>
    <t>A11-3-402吐拉汗·达尼房款</t>
  </si>
  <si>
    <t>0191</t>
  </si>
  <si>
    <t>C3-1-202玉苏甫·依明房款</t>
  </si>
  <si>
    <t>0192</t>
  </si>
  <si>
    <t>C3-1-501阿布都赛麦提·肉孜房款</t>
  </si>
  <si>
    <t>0193</t>
  </si>
  <si>
    <t>C13-3-503亚库甫·玉山房款</t>
  </si>
  <si>
    <t>内部转往来-C4-1-502</t>
  </si>
  <si>
    <t>A11-4-201艾麦提·肉则</t>
  </si>
  <si>
    <t>0221</t>
  </si>
  <si>
    <t>A11-4-202艾合提·吐尼牙孜房款</t>
  </si>
  <si>
    <t>0194</t>
  </si>
  <si>
    <t>C4-1-202莫明·尕意思房款</t>
  </si>
  <si>
    <t>C7-1-202穆萨·图尔迪房款</t>
  </si>
  <si>
    <t>C7-3-202艾尔肯·麦合麦提房款</t>
  </si>
  <si>
    <t>A11-4-202艾尔提·吐尼牙孜房款</t>
  </si>
  <si>
    <t>退抵账房C4-2-401(杨晓青）房款</t>
  </si>
  <si>
    <t>C7-2-402阿里木江·提力瓦地房款</t>
  </si>
  <si>
    <t>A11-2-202图尔荪·毛拉麦提房款</t>
  </si>
  <si>
    <t>0195</t>
  </si>
  <si>
    <t>C11-1-402艾尼瓦尔·吾斯曼房款</t>
  </si>
  <si>
    <t>C7-1-301乌斯曼江·玉山房款</t>
  </si>
  <si>
    <t>0196</t>
  </si>
  <si>
    <t>C7-3-502热孜瓦古力·麦提尼亚孜房款</t>
  </si>
  <si>
    <t>C7-1-401阿吾曼·尼亚孜房款</t>
  </si>
  <si>
    <t>C4-2-402米丽凯姆·托合提房款</t>
  </si>
  <si>
    <t>收C4-3-401房款</t>
  </si>
  <si>
    <t>收A11-1-401房款</t>
  </si>
  <si>
    <t>收C4-1-402房款</t>
  </si>
  <si>
    <t>收C7-1-201房款</t>
  </si>
  <si>
    <t>收C8-2-101房款</t>
  </si>
  <si>
    <t>收C8-2-102房款</t>
  </si>
  <si>
    <t>0197</t>
  </si>
  <si>
    <t>收A11-2-201房款</t>
  </si>
  <si>
    <t>0198</t>
  </si>
  <si>
    <t>收C5-1-602房款</t>
  </si>
  <si>
    <t>0199</t>
  </si>
  <si>
    <t>收C7-1-402艾合麦提·热亥甫房款</t>
  </si>
  <si>
    <t>收C4-3-602买买提·毛尼牙孜房款</t>
  </si>
  <si>
    <t>收C4-3-202艾力江·木合塔尔房款</t>
  </si>
  <si>
    <t>收C7-1-202穆萨·图尔迪房款</t>
  </si>
  <si>
    <t>收C5-2-602努尔·依米提房款</t>
  </si>
  <si>
    <t>0200</t>
  </si>
  <si>
    <t>收C4-1-402程学广房款</t>
  </si>
  <si>
    <t>收C4-1-201麦麦提·肉孜房款</t>
  </si>
  <si>
    <t>0201</t>
  </si>
  <si>
    <t>收A11-1-202玉苏莆·吐拉克房款</t>
  </si>
  <si>
    <t>0202</t>
  </si>
  <si>
    <t>收C5-2-401艾斯克尔·达吾提房款</t>
  </si>
  <si>
    <t>0203</t>
  </si>
  <si>
    <t>收C5-2-402亚尔艾力·牙生房款</t>
  </si>
  <si>
    <t>0204</t>
  </si>
  <si>
    <t>收C7-3-301艾海提·依马木房款</t>
  </si>
  <si>
    <t>收C7-2-502亚克甫·亚森房款</t>
  </si>
  <si>
    <t>收C5-2-601吐尔逊·那斯尔房款</t>
  </si>
  <si>
    <t>0205</t>
  </si>
  <si>
    <t>收C4-2-202古力尼沙·吐迪房款</t>
  </si>
  <si>
    <t>0206</t>
  </si>
  <si>
    <t>收A11-4-102艾合买提·图尼亚孜房款</t>
  </si>
  <si>
    <t>0207</t>
  </si>
  <si>
    <t>收C3-3-202托合提·斯马依/热比亚木·吾甫尔房款</t>
  </si>
  <si>
    <t>0208</t>
  </si>
  <si>
    <t>收05-1-502亚森·塔提力克房款</t>
  </si>
  <si>
    <t>0209</t>
  </si>
  <si>
    <t>收C7-2-302再努热姆·约麦尔房款</t>
  </si>
  <si>
    <t>0210</t>
  </si>
  <si>
    <t>收C3-3-202托合提·斯马依房款</t>
  </si>
  <si>
    <t>收C3-1-201艾麦提·图木尔房款</t>
  </si>
  <si>
    <t>0211</t>
  </si>
  <si>
    <t>收C5-3-601巴哈尔古力·图尼亚孜</t>
  </si>
  <si>
    <t>0212</t>
  </si>
  <si>
    <t>收A11-4-301哈尼扎但木·马木提房款</t>
  </si>
  <si>
    <t>0213</t>
  </si>
  <si>
    <t>收A11-4-301哈尼扎旦木·马木提房款</t>
  </si>
  <si>
    <t>收C5-1-202阿布都热合曼·库万房款</t>
  </si>
  <si>
    <t>0214</t>
  </si>
  <si>
    <t>收C4-2-201热萨莱提·图尔荪房款</t>
  </si>
  <si>
    <t>0215</t>
  </si>
  <si>
    <t>收C5-2-502库万江·赛麦提房款</t>
  </si>
  <si>
    <t>0216</t>
  </si>
  <si>
    <t>收C5-1-402阿迪力·艾海提房款</t>
  </si>
  <si>
    <t>0217</t>
  </si>
  <si>
    <t>收A11-4-101吐尼亚孜·麦提尼亚孜房款</t>
  </si>
  <si>
    <t>0218</t>
  </si>
  <si>
    <t>收A11-4-202艾合提·吐尼亚孜房款</t>
  </si>
  <si>
    <t>收A11-4-102艾合买提·吐尼亚孜房款</t>
  </si>
  <si>
    <t>收C6-1-201吐尔洪·麦亥麦提房款</t>
  </si>
  <si>
    <t>0219</t>
  </si>
  <si>
    <t>收C8-2-501牙尔买哈买提·米吉克房款</t>
  </si>
  <si>
    <t>收C5-2-501阿不里克木·毛尼牙孜房款</t>
  </si>
  <si>
    <t>0220</t>
  </si>
  <si>
    <t>收C5-3-501古丽尼沙汗·吾布力房款</t>
  </si>
  <si>
    <t>0242</t>
  </si>
  <si>
    <t>C8-3-102吐尔洪·托乎尼牙孜房款</t>
  </si>
  <si>
    <t>0222</t>
  </si>
  <si>
    <t>C8-2-402阿卜拉·阿卜力孜房款</t>
  </si>
  <si>
    <t>0223</t>
  </si>
  <si>
    <t>C5-1-502亚森·塔提力克房款</t>
  </si>
  <si>
    <t>C5-3-201吾斯曼·吾守尔房款</t>
  </si>
  <si>
    <t>0224</t>
  </si>
  <si>
    <t>C7-1-201玉苏莆·吾布力房款</t>
  </si>
  <si>
    <t>C5-1-602喀斯木·克热木房款</t>
  </si>
  <si>
    <t>C3-1-201阿孜古丽·克热木房款</t>
  </si>
  <si>
    <t>C4-3-201依皮宰木·依司热依木房款</t>
  </si>
  <si>
    <t>0225</t>
  </si>
  <si>
    <t>C3-3-502玛依热·肉孜房款</t>
  </si>
  <si>
    <t>C8-2-102阿曼古丽·阿布都房款</t>
  </si>
  <si>
    <t>C4-2-201热萨莱提·图尔荪房款</t>
  </si>
  <si>
    <t>C4-3-201依皮宰木·依司热依力房款</t>
  </si>
  <si>
    <t>C5-1-202阿布都热合曼·库万房款</t>
  </si>
  <si>
    <t>C6-2-402麦麦提明·麦提瓦柯房款</t>
  </si>
  <si>
    <t>0226</t>
  </si>
  <si>
    <t>C5-2-502库万江·赛买提房款</t>
  </si>
  <si>
    <t>C6-2-401麦麦提艾力·麦提瓦柯房款</t>
  </si>
  <si>
    <t>0227</t>
  </si>
  <si>
    <t>C3-3-202托合提·斯马依房款</t>
  </si>
  <si>
    <t>C7-3-301艾海提·伊马木房款</t>
  </si>
  <si>
    <t>C5-2-401艾斯克尔·达吾提房款</t>
  </si>
  <si>
    <t>C5-2-402亚尔艾力·牙生房款</t>
  </si>
  <si>
    <t>C5-2-601吐逊·那斯江房款</t>
  </si>
  <si>
    <t>C4-1-302阿力木·麦提尼牙孜房款</t>
  </si>
  <si>
    <t>0228</t>
  </si>
  <si>
    <t>C6-1-201吐尔洪·麦亥麦提房款</t>
  </si>
  <si>
    <t>C4-1-301吐尔逊·麦提尼牙孜房款</t>
  </si>
  <si>
    <t>0229</t>
  </si>
  <si>
    <t>C71-302祖丽皮耶·麦麦提房款</t>
  </si>
  <si>
    <t>0230</t>
  </si>
  <si>
    <t>C8-3-202阿布都萨拉木·阿布都热合曼房款</t>
  </si>
  <si>
    <t>0231</t>
  </si>
  <si>
    <t>A11-1-301艾合麦提·依马木尼亚孜房款</t>
  </si>
  <si>
    <t>0232</t>
  </si>
  <si>
    <t>C5-1-601艾山·胡加木尼亚孜房款</t>
  </si>
  <si>
    <t>0233</t>
  </si>
  <si>
    <t>C7-3-502热孜瓦古力·麦提尼牙孜房款</t>
  </si>
  <si>
    <t>C8-3-402库尔班·艾萨房款</t>
  </si>
  <si>
    <t>0234</t>
  </si>
  <si>
    <t>C6-1-402依力哈力·阿不都瓦依提房款</t>
  </si>
  <si>
    <t>0235</t>
  </si>
  <si>
    <t>C6-1-401居曼·铁木尔房款</t>
  </si>
  <si>
    <t>0236</t>
  </si>
  <si>
    <t>A11-3-302木塔力甫·木合旦房款</t>
  </si>
  <si>
    <t>0237</t>
  </si>
  <si>
    <t>A12-2-201麦麦提·阿吾提房款</t>
  </si>
  <si>
    <t>0238</t>
  </si>
  <si>
    <t>A12-1-202如孜·托胡提房款</t>
  </si>
  <si>
    <t>0239</t>
  </si>
  <si>
    <t>A11-1-302帕特木·沙依木房款</t>
  </si>
  <si>
    <t>0240</t>
  </si>
  <si>
    <t>C5-3-602阿迪力·阿力木房款</t>
  </si>
  <si>
    <t>0241</t>
  </si>
  <si>
    <t>C7-2-201托乎提·芭塔克房款</t>
  </si>
  <si>
    <t>0137</t>
  </si>
  <si>
    <t>C8-1-202巴吐尔·艾买提房款</t>
  </si>
  <si>
    <t>A12-4-202努尔麦麦提·阿不都尼亚孜房款</t>
  </si>
  <si>
    <t>0243</t>
  </si>
  <si>
    <t>A12-1-401库尔班·阿里木房款</t>
  </si>
  <si>
    <t>0244</t>
  </si>
  <si>
    <t>A12-1-101依米尔江·托乎尼亚孜房款</t>
  </si>
  <si>
    <t>0245</t>
  </si>
  <si>
    <t>A11-2-302约尔尼萨汗·依马木尼亚孜房款</t>
  </si>
  <si>
    <t>0246</t>
  </si>
  <si>
    <t>A12-2-401阿力木·阿合尼亚孜房款</t>
  </si>
  <si>
    <t>0247</t>
  </si>
  <si>
    <t>C5-1-201巴克热·达吾提房款</t>
  </si>
  <si>
    <t>0248</t>
  </si>
  <si>
    <t>C6-1-101阿迪力·吐尼亚孜房款</t>
  </si>
  <si>
    <t>0249</t>
  </si>
  <si>
    <t>C7-2-301阿提开姆·拜合提房款</t>
  </si>
  <si>
    <t>0250</t>
  </si>
  <si>
    <t>C6-1-502莫合塔尔·库尔班房款</t>
  </si>
  <si>
    <t>0251</t>
  </si>
  <si>
    <t>A12-5-202阿合尼亚孜·托胡尼亚孜房款</t>
  </si>
  <si>
    <t>0252</t>
  </si>
  <si>
    <t>C6-1-501阿布都尼亚孜·恰瓦尔房款</t>
  </si>
  <si>
    <t>0253</t>
  </si>
  <si>
    <t>前房主已退款，差额部分确认收入</t>
  </si>
  <si>
    <t>A12-3-102托胡提·塔瓦台库力房款</t>
  </si>
  <si>
    <t>0254</t>
  </si>
  <si>
    <t>A12-1-302阿依古力·托胡提房款</t>
  </si>
  <si>
    <t>0255</t>
  </si>
  <si>
    <t>A12-3-202艾麦提·巴腊提房款</t>
  </si>
  <si>
    <t>0256</t>
  </si>
  <si>
    <t>A12-4-201夏扎旦·库尔班房款</t>
  </si>
  <si>
    <t>0257</t>
  </si>
  <si>
    <t>C8-1-201阿布都热依木·乌斯曼房款</t>
  </si>
  <si>
    <t>0258</t>
  </si>
  <si>
    <t>A12-2-501曼苏尔·麦麦提房款</t>
  </si>
  <si>
    <t>0259</t>
  </si>
  <si>
    <t>A12-5-201吐尔逊·托乎提房款</t>
  </si>
  <si>
    <t>0260</t>
  </si>
  <si>
    <t>A11-4-201艾麦提·肉孜房款</t>
  </si>
  <si>
    <t>C3-1-402阿不拉江·库尔班房款</t>
  </si>
  <si>
    <t>A12-1-201吐尼亚孜·托合尼亚孜房款</t>
  </si>
  <si>
    <t>0261</t>
  </si>
  <si>
    <t>C8-1-401吐逊古力·毛尼亚孜房款</t>
  </si>
  <si>
    <t>0262</t>
  </si>
  <si>
    <t>C6-1-402依加合力·阿不都瓦依提房款</t>
  </si>
  <si>
    <t>C5-3-501古丽尼沙汗·吾布力房款</t>
  </si>
  <si>
    <t>C4-1-401艾山·达依木房款</t>
  </si>
  <si>
    <t>0263</t>
  </si>
  <si>
    <t>C4-3-402阿迪力·苏力里房款</t>
  </si>
  <si>
    <t>0264</t>
  </si>
  <si>
    <t>C5-3-202图尔荪·艾麦提房款</t>
  </si>
  <si>
    <t>0265</t>
  </si>
  <si>
    <t>A12-4-202努尔·麦麦提房款</t>
  </si>
  <si>
    <t>A12-1-402吾吉利·妮萨房款</t>
  </si>
  <si>
    <t>0266</t>
  </si>
  <si>
    <t>A12-2-402艾尔肯·库万房款</t>
  </si>
  <si>
    <t>0267</t>
  </si>
  <si>
    <t>C11-4-602马木提·卡热房款</t>
  </si>
  <si>
    <t>A12-5-102帕旦木·艾合旦房款</t>
  </si>
  <si>
    <t>0268</t>
  </si>
  <si>
    <t>A11-3-102黑力且木·艾依提房款</t>
  </si>
  <si>
    <t>0269</t>
  </si>
  <si>
    <t>C5-3-601巴哈尔古力·吐尼亚孜房款</t>
  </si>
  <si>
    <t>A12-1-502依里艾尔·艾斯凯尔房款</t>
  </si>
  <si>
    <t>0270</t>
  </si>
  <si>
    <t>C4-2-302玉山·乌斯曼房款</t>
  </si>
  <si>
    <t>0271</t>
  </si>
  <si>
    <t>A12-1-102乌斯曼·达吾提房款</t>
  </si>
  <si>
    <t>0272</t>
  </si>
  <si>
    <t>C8-2-302玉山江·艾麦尔房款</t>
  </si>
  <si>
    <t>0273</t>
  </si>
  <si>
    <t>C6-2-501阿不都如苏力·阿不都热西木房款</t>
  </si>
  <si>
    <t>0274</t>
  </si>
  <si>
    <t>A12-2-601吾不力·吐热房款</t>
  </si>
  <si>
    <t>0308</t>
  </si>
  <si>
    <t>A11-4-102艾合买提·图尼亚孜房款</t>
  </si>
  <si>
    <t>A12-3-201阿不都拉·阿里木房款</t>
  </si>
  <si>
    <t>0309</t>
  </si>
  <si>
    <t>A12-1-602麦亥木提江·阿布都克然木房款</t>
  </si>
  <si>
    <t>0310</t>
  </si>
  <si>
    <t>C8-1-301阿不都拉·为力房款</t>
  </si>
  <si>
    <t>0311</t>
  </si>
  <si>
    <t>A12-3-302艾尼瓦尔·乃麦提房款</t>
  </si>
  <si>
    <t>0312</t>
  </si>
  <si>
    <t>A12-4-402玉素甫·买买提房款</t>
  </si>
  <si>
    <t>0313</t>
  </si>
  <si>
    <t>A12-2-202巴哈尔古力·亚库甫房款</t>
  </si>
  <si>
    <t>0314</t>
  </si>
  <si>
    <t>退款蓝字入账借贷方虚增</t>
  </si>
  <si>
    <t>C5-1-402阿迪力·艾海提房款</t>
  </si>
  <si>
    <t>A11-4-301哈尼扎但木·马木提房款</t>
  </si>
  <si>
    <t>C3-3-301艾麦尔·亚森房款</t>
  </si>
  <si>
    <t>0315</t>
  </si>
  <si>
    <t>C5-2-501阿布拉·肉孜房款</t>
  </si>
  <si>
    <t>C6-2-202亚库甫·阿布都惹依木房款</t>
  </si>
  <si>
    <t>0316</t>
  </si>
  <si>
    <t>C6-2-101阿依吐热木·库尔班房款</t>
  </si>
  <si>
    <t>0317</t>
  </si>
  <si>
    <t>C6-1-302艾合麦提·如孜房款</t>
  </si>
  <si>
    <t>0318</t>
  </si>
  <si>
    <t>A11-3-101艾力·尤努司房款</t>
  </si>
  <si>
    <t>0320</t>
  </si>
  <si>
    <t>A12-4-601麦合木提·吾休尔房款</t>
  </si>
  <si>
    <t>0321</t>
  </si>
  <si>
    <t>A12-5-601麦麦提·托合提房款</t>
  </si>
  <si>
    <t>0322</t>
  </si>
  <si>
    <t>C4-2-602努尔艾力·依明房款</t>
  </si>
  <si>
    <t>A12-3-602苏里塔尼·吐尔迪房款</t>
  </si>
  <si>
    <t>0323</t>
  </si>
  <si>
    <t>A12-3-602苏里塔尼·吐尔迪</t>
  </si>
  <si>
    <t>C5-1-502亚森·塔提力克</t>
  </si>
  <si>
    <t>C7-2-302再努热姆·约麦尔</t>
  </si>
  <si>
    <t>C11-1-401阿依尼尕尔·木塔力甫房款</t>
  </si>
  <si>
    <t>C8-1-301为力·热依木房款</t>
  </si>
  <si>
    <t>C5-1-601阿依努尔·牙生房款</t>
  </si>
  <si>
    <t>C7-2-201托乎提·色塔克房款</t>
  </si>
  <si>
    <t>A12-2-401阿力木·阿合尼牙孜房款</t>
  </si>
  <si>
    <t>C5-1-402阿迪力·艾海提首付还款</t>
  </si>
  <si>
    <t>C6-1-201吐尔洪·买亥麦提房款</t>
  </si>
  <si>
    <t>C6-1-101艾力·麦提萨吾提房款</t>
  </si>
  <si>
    <t>A12-1-502克热木·阿不力孜房款</t>
  </si>
  <si>
    <t>A12-4-602玉苏甫·阿不都热合曼房款</t>
  </si>
  <si>
    <t>0324</t>
  </si>
  <si>
    <t>C4-1-302阿力木·麦提尼亚孜房款</t>
  </si>
  <si>
    <t>C7-3-101吐孙·托合尼亚孜房款</t>
  </si>
  <si>
    <t>0325</t>
  </si>
  <si>
    <t>C6-2-502艾买吐逊·阿不拉房款</t>
  </si>
  <si>
    <t>0326</t>
  </si>
  <si>
    <t>C5-3-402阿木提江·马木提房款</t>
  </si>
  <si>
    <t>0327</t>
  </si>
  <si>
    <t>C6-1-401亚尔艾力·于散房款</t>
  </si>
  <si>
    <t>A11-4-101吐尼亚孜·麦提尼亚孜房款</t>
  </si>
  <si>
    <t>A12-5-102艾尼·阿卜力提普房款</t>
  </si>
  <si>
    <t>A12-1-601吐尔地·卡地尔房款</t>
  </si>
  <si>
    <t>0328</t>
  </si>
  <si>
    <t>A12-5-402麦麦提·左布东房款</t>
  </si>
  <si>
    <t>0329</t>
  </si>
  <si>
    <t>A12-5-102艾尼·阿卜力提房款</t>
  </si>
  <si>
    <t>A12-5-601艾合麦提·马木提房款</t>
  </si>
  <si>
    <t>C5-3-501艾尼瓦江·艾海提房款</t>
  </si>
  <si>
    <t>A11-3-301布维散木·托合尼亚孜房款</t>
  </si>
  <si>
    <t>C6-2-501阿不都如苏力·阿不都热西提房款</t>
  </si>
  <si>
    <t>退抵账房C7-2-201房款</t>
  </si>
  <si>
    <t>A12-1-101依米尔江·托乎尼牙孜房款</t>
  </si>
  <si>
    <t>C7-3-201莫合塔尔·达吾提房款</t>
  </si>
  <si>
    <t>C3-1-201艾麦提·图木尔房款</t>
  </si>
  <si>
    <t>A11-2-201木塔力甫·艾木都拉房款</t>
  </si>
  <si>
    <t>A12-4-602玉苏甫·阿不都热合曼</t>
  </si>
  <si>
    <t>C7-3-102艾合麦提·吐尼牙孜房款</t>
  </si>
  <si>
    <t>C4-2-301阿布拉江·吾布力房款</t>
  </si>
  <si>
    <t>0330</t>
  </si>
  <si>
    <t>C5-2-502库万江·赛麦提建行放贷款</t>
  </si>
  <si>
    <t>C5-3-202图尔荪·艾麦提建行放贷款</t>
  </si>
  <si>
    <t>C8-2-101依马木·麦麦提建行放贷款</t>
  </si>
  <si>
    <t>A12-1-401库尔班·阿里木建行放贷款</t>
  </si>
  <si>
    <t>C6-2-401麦麦提艾力·麦提瓦柯建行放贷</t>
  </si>
  <si>
    <t>C6-2-402麦麦提明·麦提瓦柯建行放贷款</t>
  </si>
  <si>
    <t>C6-1-201吐尔洪·买亥麦提建行放贷款</t>
  </si>
  <si>
    <t>C5-1-202吾古兰木·艾克力建行放贷款</t>
  </si>
  <si>
    <t>C5-2-602努尔·依米提建行放贷款</t>
  </si>
  <si>
    <t>C4-1-402程学广建行放贷款</t>
  </si>
  <si>
    <t>C4-1-401艾山·达依木建行放贷款</t>
  </si>
  <si>
    <t>A12-2-601阿布都肉苏力·托合逊房款</t>
  </si>
  <si>
    <t>C5-3-401木合塔尔·阿木提房款</t>
  </si>
  <si>
    <t>0331</t>
  </si>
  <si>
    <t>A12-3-402吐孙·麦麦提房款</t>
  </si>
  <si>
    <t>0332</t>
  </si>
  <si>
    <t>A11-3-101艾力·尤努司建行放贷款</t>
  </si>
  <si>
    <t>C5-2-501阿布拉·肉孜建行放贷款</t>
  </si>
  <si>
    <t>A11-4-201艾麦提·肉则建行放贷款</t>
  </si>
  <si>
    <t>C8-3-102吐尔洪·托乎尼牙孜建行放贷款</t>
  </si>
  <si>
    <t>A11-1-202玉苏普·图拉克建行放贷款</t>
  </si>
  <si>
    <t>A11-1-202玉苏普·图拉克房款</t>
  </si>
  <si>
    <t>C4-3-201依皮宰木·依司热依力首付还款</t>
  </si>
  <si>
    <t>C5-3-601巴哈尔古力·吐尼牙孜房款</t>
  </si>
  <si>
    <t>A11-1-202玉苏普·图拉克首付还款</t>
  </si>
  <si>
    <t>C11-3-302吐拉克孜·萨依木建行放贷款</t>
  </si>
  <si>
    <t>A11-3-402吐拉汗·达尼建行放贷款</t>
  </si>
  <si>
    <t>C5-2-502库万江·赛麦提首付还款</t>
  </si>
  <si>
    <t>A12-1-501陈建华房款</t>
  </si>
  <si>
    <t>0333</t>
  </si>
  <si>
    <t>收C7-2-502亚克甫·亚森首付还款</t>
  </si>
  <si>
    <t>收C5-2-602努尔·依米提首付还款</t>
  </si>
  <si>
    <t>收A12-3-502艾孜孜·木萨房款</t>
  </si>
  <si>
    <t>0334</t>
  </si>
  <si>
    <t>收A11-3-302木塔力甫·木合旦首付还款</t>
  </si>
  <si>
    <t>收C3-1-402阿不拉江·库尔班房款</t>
  </si>
  <si>
    <t>C3-1-302艾尼瓦尔·青甫拉提房款</t>
  </si>
  <si>
    <t>0335</t>
  </si>
  <si>
    <t>A12-4-502吐尔洪江·艾则孜房款</t>
  </si>
  <si>
    <t>0336</t>
  </si>
  <si>
    <t>收A12-4-601买买江·艾山房款</t>
  </si>
  <si>
    <t>收A12-4-501托合提尼亚孜·图尼亚孜房款</t>
  </si>
  <si>
    <t>0337</t>
  </si>
  <si>
    <t>收A12-1-301木萨·阿布拉房款</t>
  </si>
  <si>
    <t>0338</t>
  </si>
  <si>
    <t>收A12-3-202艾麦提·巴腊提房款</t>
  </si>
  <si>
    <t>收A12-5-501买麦提·托乎提房款</t>
  </si>
  <si>
    <t>0339</t>
  </si>
  <si>
    <t>收A12-5-301依明·奥斯曼房款</t>
  </si>
  <si>
    <t>0340</t>
  </si>
  <si>
    <t>收C4-2-301阿布拉江·吾布力房款</t>
  </si>
  <si>
    <t>收C3-1-501热合曼江·玉苏甫江房款</t>
  </si>
  <si>
    <t>收C3-1-302艾尼瓦尔·青甫拉提房款</t>
  </si>
  <si>
    <t>收C5-3-402阿木提江·马木提房款</t>
  </si>
  <si>
    <t>收C6-1-202艾麦尔·玉山房款</t>
  </si>
  <si>
    <t>0341</t>
  </si>
  <si>
    <t>检查是否挂错房号</t>
  </si>
  <si>
    <t>收C6-2-302</t>
  </si>
  <si>
    <t>0342</t>
  </si>
  <si>
    <t>收C6-1-301吐尔逊·阿不都热西提房款</t>
  </si>
  <si>
    <t>0343</t>
  </si>
  <si>
    <t>收15-A-704努尔艾力·尼加提房款</t>
  </si>
  <si>
    <t>0344</t>
  </si>
  <si>
    <t>15-A-704</t>
  </si>
  <si>
    <t>收A12-2-501曼苏尔·麦麦提房款</t>
  </si>
  <si>
    <t>收12-4-602玉苏甫·阿不都热合曼房款</t>
  </si>
  <si>
    <t>收C6-1-101艾力·麦提萨吾提房款</t>
  </si>
  <si>
    <t>收A11-2-101木沙·阿木提房款</t>
  </si>
  <si>
    <t>0345</t>
  </si>
  <si>
    <t>收A11-1-101托乎提·麦木太克房款</t>
  </si>
  <si>
    <t>0346</t>
  </si>
  <si>
    <t>收C6-1-402依力哈力·阿不都瓦依提房款</t>
  </si>
  <si>
    <t>收A12-5-501买提·托乎提房款</t>
  </si>
  <si>
    <t>支付工程款</t>
  </si>
  <si>
    <t>收C4-2-602努尔艾力·依明房款</t>
  </si>
  <si>
    <t>C6-2-502艾买尔吐逊·阿不拉房款</t>
  </si>
  <si>
    <t>收C4-1-302阿力木·麦提尼亚孜</t>
  </si>
  <si>
    <t>收A12-4-502吐尔洪江·艾则孜房款</t>
  </si>
  <si>
    <t>退A12-2-601房款</t>
  </si>
  <si>
    <t>收A12-5-102艾尼·阿卜力提普</t>
  </si>
  <si>
    <t>收A12-4-401阿布都萨拉木·艾麦尔房款</t>
  </si>
  <si>
    <t>0348</t>
  </si>
  <si>
    <t>收A12-5-401阿布都赛麦提·艾麦尔</t>
  </si>
  <si>
    <t>0349</t>
  </si>
  <si>
    <t>收A12-5-402麦麦提·左布东房款</t>
  </si>
  <si>
    <t>收A12-1-601吐尔地·卡地尔房款</t>
  </si>
  <si>
    <t>收C5-2-302努尔麦麦提·吐尔地房款</t>
  </si>
  <si>
    <t>0350</t>
  </si>
  <si>
    <t>收C5-2-302努尔麦麦提房款</t>
  </si>
  <si>
    <t>收C6-2-302艾合买提江房款</t>
  </si>
  <si>
    <t>收C6-2-502艾买尔吐逊房款</t>
  </si>
  <si>
    <t>收C5-2-301艾合麦提房款</t>
  </si>
  <si>
    <t>0351</t>
  </si>
  <si>
    <t>收C4-2-301阿布拉江房款</t>
  </si>
  <si>
    <t>收A12-4-401阿布都萨拉木房款</t>
  </si>
  <si>
    <t>收A12-5-401阿布都赛麦提·艾麦尔房款</t>
  </si>
  <si>
    <t>收A12-1-201吐尼亚孜房款</t>
  </si>
  <si>
    <t>收C3-1-302艾尼瓦尔房款</t>
  </si>
  <si>
    <t>收A12-4-502吐尔洪江房款</t>
  </si>
  <si>
    <t>收A12-5-302左热古力·依明房款</t>
  </si>
  <si>
    <t>0353</t>
  </si>
  <si>
    <t>收C5-1-302巴哈尔古丽·尼牙孜房款</t>
  </si>
  <si>
    <t>0352</t>
  </si>
  <si>
    <t>收C4-3-401刘猛房款</t>
  </si>
  <si>
    <t>收A12-5-502艾合买·吾不力提房款</t>
  </si>
  <si>
    <t>0362</t>
  </si>
  <si>
    <t>收C8-3-502李珍霞房款</t>
  </si>
  <si>
    <t>0354</t>
  </si>
  <si>
    <t>收C6-1-401亚尔艾力·于散房款</t>
  </si>
  <si>
    <t>收C8-2-202巴拉提·吐尔洪房款</t>
  </si>
  <si>
    <t>0355</t>
  </si>
  <si>
    <t>收C3-3-301艾麦尔·亚森首付还款</t>
  </si>
  <si>
    <t>收到C8-2-202巴拉提·吐尔洪房款</t>
  </si>
  <si>
    <t>收到A12-5-202阿合尼亚孜·拖胡尼亚孜</t>
  </si>
  <si>
    <t>收C5-2-202外力江·艾力房款</t>
  </si>
  <si>
    <t>0357</t>
  </si>
  <si>
    <t>收C5-2-301艾合麦提·麦麦提房款</t>
  </si>
  <si>
    <t>收C5-1-301巴哈尔古丽·尼亚孜</t>
  </si>
  <si>
    <t xml:space="preserve">收C6-2-302艾合买提江·吐尼亚孜房款 </t>
  </si>
  <si>
    <t>收A12-4-402努尔曼姑·阿卜力米提</t>
  </si>
  <si>
    <t>收C5-3-401木尔提扎·艾则孜房款</t>
  </si>
  <si>
    <t>收A11--1-101佐热力·亚森放贷款</t>
  </si>
  <si>
    <t>收A12-4-601买买江·艾山放贷房款</t>
  </si>
  <si>
    <t>收A12-2-601阿布都肉苏·托合逊放贷房款</t>
  </si>
  <si>
    <t>收C5-3-402阿木提江·马木提</t>
  </si>
  <si>
    <t>收A12-5-301热娜古丽·米吉提放贷房款</t>
  </si>
  <si>
    <t>收C3-1-501热合曼江·玉苏甫江放贷房款</t>
  </si>
  <si>
    <t>收C7-3-302汗扎旦姆·孜亚吾冬房款</t>
  </si>
  <si>
    <t>收A12-4-602玉苏甫·阿布都热合曼房款</t>
  </si>
  <si>
    <t>收A12-3-502艾孜孜·木萨建行放贷房款</t>
  </si>
  <si>
    <t>收C5-2-302努尔麦麦提·吐尔地建行放贷房款</t>
  </si>
  <si>
    <t>收A11-1-302奥斯曼·阿吾提房款</t>
  </si>
  <si>
    <t>收A12-3-101吾热古丽·斯买日房款</t>
  </si>
  <si>
    <t>0360</t>
  </si>
  <si>
    <t>收C6-2-201阿依先木·马木提房款</t>
  </si>
  <si>
    <t>0361</t>
  </si>
  <si>
    <t>收A12-2-101佐热古丽·吐尼亚孜房款</t>
  </si>
  <si>
    <t>0358</t>
  </si>
  <si>
    <t>收买买提·托乎提工行放贷房款</t>
  </si>
  <si>
    <t>收A12-5-502艾合买提·吾不力房款</t>
  </si>
  <si>
    <t>收A3-3-302艾合买提·吾不力房款</t>
  </si>
  <si>
    <t>收A12-4-301阿迪力江·艾麦提房款</t>
  </si>
  <si>
    <t>0364</t>
  </si>
  <si>
    <t>收A12-4-302安外尔·热合曼房款</t>
  </si>
  <si>
    <t>0365</t>
  </si>
  <si>
    <t>收A12-2-301克热木·依德日斯房款</t>
  </si>
  <si>
    <t>0366</t>
  </si>
  <si>
    <t>收A12-3-101吾热古力·斯买日房款</t>
  </si>
  <si>
    <t>收C3-1-202玉苏甫江·吐尔逊房款</t>
  </si>
  <si>
    <t>收A12-3-402房款</t>
  </si>
  <si>
    <t xml:space="preserve">收C11-1-301房款 </t>
  </si>
  <si>
    <t>收A12-5-602房款</t>
  </si>
  <si>
    <t>0367</t>
  </si>
  <si>
    <t>收A12-4-502房款</t>
  </si>
  <si>
    <t>收C5-2-202房款</t>
  </si>
  <si>
    <t>收A12-3-101房款</t>
  </si>
  <si>
    <t>收C8-3-502房款</t>
  </si>
  <si>
    <t>收A12-2-502艾合买提·马不力房款</t>
  </si>
  <si>
    <t>收C5-3-601伊买尔·萨吾尔房款</t>
  </si>
  <si>
    <t>收A12-3-501张建中房款</t>
  </si>
  <si>
    <t>0368</t>
  </si>
  <si>
    <t>收C5-3-601伊麦尔·萨吾尔房款</t>
  </si>
  <si>
    <t>收A12-4-502吐尔洪江·艾则孜首付还款</t>
  </si>
  <si>
    <t>收C5-3-502穆萨·如则房款</t>
  </si>
  <si>
    <t>0369</t>
  </si>
  <si>
    <t>收A11-2-102艾麦尔·依斯拉木房款</t>
  </si>
  <si>
    <t>0370</t>
  </si>
  <si>
    <t>收A12-4-402努尔曼姑·阿卜力米提房款</t>
  </si>
  <si>
    <t>收C4-2-302玉山·乌斯曼房款</t>
  </si>
  <si>
    <t>收A12-1-102乌斯曼·达吾提房款</t>
  </si>
  <si>
    <t>收A12-5-201阿娜古丽·吐逊房款，原2017.12.29 86#姓名吐尔逊</t>
  </si>
  <si>
    <t>收A12-3-501张建中工行放贷款</t>
  </si>
  <si>
    <t>收A12-3-402努尔古丽·托乎提工行放贷款</t>
  </si>
  <si>
    <t>收A12-4-301阿迪力江·艾麦提工行放贷款</t>
  </si>
  <si>
    <t>收C5-1-202阿布都热合曼·库万首付还款</t>
  </si>
  <si>
    <t>收A12-1-601吐尔地·卡地尔首付还款</t>
  </si>
  <si>
    <t>收C11-1-301麦热牙木·艾麦尔建行放贷款</t>
  </si>
  <si>
    <t>收A12-4-602玉苏甫·阿不都热合曼首付还款</t>
  </si>
  <si>
    <t>收C7-3-302汗扎旦姆·孜亚吾冬建行放贷款</t>
  </si>
  <si>
    <t>收C5-3-301吐尔逊希克·如孜房款</t>
  </si>
  <si>
    <t>0372</t>
  </si>
  <si>
    <t>收C8-2-302玉山江·艾麦尔房款</t>
  </si>
  <si>
    <t>收A12-1-501陈建华房款</t>
  </si>
  <si>
    <t>收A12-4-302安外尔·热合曼工行放贷款</t>
  </si>
  <si>
    <t>收C5-3-502穆萨·如则工行放贷款</t>
  </si>
  <si>
    <t>收A12-5-602克合尔·库尔班建行放贷款</t>
  </si>
  <si>
    <t>收A12-1-301钟文彬房款</t>
  </si>
  <si>
    <t>收C5-3-601伊麦尔·萨吾尔工行放贷款</t>
  </si>
  <si>
    <t>收C5-3-301吐尔逊希克·如孜建行放贷款</t>
  </si>
  <si>
    <t>收C8-2-502帕坦木·艾麦提房款</t>
  </si>
  <si>
    <t>收A12-2-502张林房款</t>
  </si>
  <si>
    <t>0373</t>
  </si>
  <si>
    <t>收C3-2-301西日甫江·阿不来提房款</t>
  </si>
  <si>
    <t>0385</t>
  </si>
  <si>
    <t>收A12-5-201阿娜古丽·吐逊房款</t>
  </si>
  <si>
    <t>收A12-1-501陈健华工行放贷款</t>
  </si>
  <si>
    <t>收A10-2-502艾力卡木江·艾麦提房款</t>
  </si>
  <si>
    <t>0386</t>
  </si>
  <si>
    <t>收A12-4-301阿迪力江·艾麦提首付还款</t>
  </si>
  <si>
    <t>收C6-1-102艾斯卡尔·吐尼亚孜房款</t>
  </si>
  <si>
    <t>0387</t>
  </si>
  <si>
    <t>收C7-1-102玛依拉·吐尔逊房款</t>
  </si>
  <si>
    <t>0388</t>
  </si>
  <si>
    <t>收C4-3-301哈力旦·阿木提房款</t>
  </si>
  <si>
    <t>0389</t>
  </si>
  <si>
    <t>收C3-3-301艾麦尔·亚森房款</t>
  </si>
  <si>
    <t>收A12-3-601阿卜杜艾尼·萨吾提房款</t>
  </si>
  <si>
    <t>0390</t>
  </si>
  <si>
    <t>收A12-2-602艾科拜尔·艾海提房款</t>
  </si>
  <si>
    <t>0391</t>
  </si>
  <si>
    <t>收A12-2-301克热木·伊德日斯房款</t>
  </si>
  <si>
    <t>收C6-2-301图尔荪·坎吉房款</t>
  </si>
  <si>
    <t>0392</t>
  </si>
  <si>
    <t>收A12-3-501张建中首付还款</t>
  </si>
  <si>
    <t>收C8-2-202古力克孜·喀日建行放贷款</t>
  </si>
  <si>
    <t>收C6-2-201西热艾力·马木提房款</t>
  </si>
  <si>
    <t>收A12-1-402麦麦提·乃曼房款</t>
  </si>
  <si>
    <t>收A12-4-101塔吉古丽·麦合苏木房款</t>
  </si>
  <si>
    <t>0393</t>
  </si>
  <si>
    <t>收A12-1-302阿曼古力·麦麦提尼牙孜房款</t>
  </si>
  <si>
    <t>收C4-1-301阿不都赛买提·托乎提房款</t>
  </si>
  <si>
    <t>收A12-5-101艾克拜尔·依与木房款</t>
  </si>
  <si>
    <t>0394</t>
  </si>
  <si>
    <t>收C3-3-302阿曼古力·吐尔逊房款</t>
  </si>
  <si>
    <t>0395</t>
  </si>
  <si>
    <t>收C4-2-601塔依尔江·艾麦提房款</t>
  </si>
  <si>
    <t>收A12-1-202吐拉克孜·艾买尔房款</t>
  </si>
  <si>
    <t>收A12-5-101艾克拜尔·依马木房款</t>
  </si>
  <si>
    <t>收C4-3-301赛塔浑·司德克建行放贷款</t>
  </si>
  <si>
    <t>收A12-3-301阿布拉克热木·麦提尼亚孜房款</t>
  </si>
  <si>
    <t>0396</t>
  </si>
  <si>
    <t>收C11-1-502奇曼古力·吐热克公积金贷款</t>
  </si>
  <si>
    <t>收A12-4-102乎尔西旦木·阿不都热依木房款</t>
  </si>
  <si>
    <t>0397</t>
  </si>
  <si>
    <t>收C13-3-403艾麦尔·麦合木提房款</t>
  </si>
  <si>
    <t>收C11-1-601艾亥提·萨木萨克公积金放贷</t>
  </si>
  <si>
    <t>退C8-3-101阿斯亚姆·艾克力房款</t>
  </si>
  <si>
    <t>收C3-2-301西日甫江·阿不来提公积金放贷款</t>
  </si>
  <si>
    <t>收C8-2-102阿曼古力·阿布都房款</t>
  </si>
  <si>
    <t>收C7-1-101伊卜拉伊木·麦麦提房款</t>
  </si>
  <si>
    <t>0398</t>
  </si>
  <si>
    <t>收A12-2-602艾克拜尔·艾亥提房款</t>
  </si>
  <si>
    <t>收C3-101于山·买买提商铺款</t>
  </si>
  <si>
    <t>0399</t>
  </si>
  <si>
    <t>收C3-101于山买买提商铺款</t>
  </si>
  <si>
    <t>收C3-103、3-104、3-102阿力木江·牙生商铺款</t>
  </si>
  <si>
    <t>0405</t>
  </si>
  <si>
    <t>0406</t>
  </si>
  <si>
    <t>0407</t>
  </si>
  <si>
    <t>退A12-2-101佐热古丽·吐尼亚孜房款</t>
  </si>
  <si>
    <t>收A12-1-301钟文彬建行放贷款</t>
  </si>
  <si>
    <t>收C2-110艾合麦提江·图拉克房款</t>
  </si>
  <si>
    <t>0402</t>
  </si>
  <si>
    <t>收C2-111艾合麦提江·图拉克商铺款</t>
  </si>
  <si>
    <t>0403</t>
  </si>
  <si>
    <t>收C3-107海日古丽·尼亚孜商铺款</t>
  </si>
  <si>
    <t>0404</t>
  </si>
  <si>
    <t>收C3-101艾合麦提江·图拉克商铺款</t>
  </si>
  <si>
    <t>收C3-113先木西努尔·木塔力甫商铺款</t>
  </si>
  <si>
    <t>0408</t>
  </si>
  <si>
    <t>收C8-1-501玉素甫·吐尔洪房款</t>
  </si>
  <si>
    <t>0409</t>
  </si>
  <si>
    <t>收柔鲜古丽·麦麦提C4-110、4-111商铺款</t>
  </si>
  <si>
    <t>0401</t>
  </si>
  <si>
    <t>0400</t>
  </si>
  <si>
    <t>收C16-102努尔东·买苏木商铺款</t>
  </si>
  <si>
    <t>0410</t>
  </si>
  <si>
    <t>收C2-112古力先·如孜商铺款</t>
  </si>
  <si>
    <t>0411</t>
  </si>
  <si>
    <t>收C16-105亚力昆·艾买尔商铺款</t>
  </si>
  <si>
    <t>0424</t>
  </si>
  <si>
    <t>收C3-109托木尔·吐迪商铺款</t>
  </si>
  <si>
    <t>0413</t>
  </si>
  <si>
    <t>收C7-2-402阿里木江·提力瓦力地房款</t>
  </si>
  <si>
    <t>收C16-102努尔东·买苏木房款</t>
  </si>
  <si>
    <t>收C3-102阿力木江·牙生商铺款</t>
  </si>
  <si>
    <t>收C3-106阿尔孜古力·买提尼亚孜商铺款</t>
  </si>
  <si>
    <t>0414</t>
  </si>
  <si>
    <t>收C4-110柔鲜古丽·麦麦提商铺款</t>
  </si>
  <si>
    <t>收C3-2-401肉孜·艾买提房款</t>
  </si>
  <si>
    <t>收C4-111柔鲜古丽·麦麦提商铺款</t>
  </si>
  <si>
    <t>收C3-3-302阿曼古力·吐尔逊建行放贷款</t>
  </si>
  <si>
    <t>收C4-1-301阿不都赛买提·托乎提建行放贷款</t>
  </si>
  <si>
    <t>收A12-4-102阿不都热依木·沙地克建行放贷款</t>
  </si>
  <si>
    <t>收A12-5-101艾克拜尔·依马木建行放贷款</t>
  </si>
  <si>
    <t>收A12-4-101塔吉古丽·麦合苏木建行放贷款</t>
  </si>
  <si>
    <t>收A12-1-202吐拉克孜·艾买尔建行放贷款</t>
  </si>
  <si>
    <t>收A12-2-301克热木·伊德日斯建行放贷款</t>
  </si>
  <si>
    <t>收C3-106米日万古力·吾加木尼亚孜房款</t>
  </si>
  <si>
    <t>收C3-105阿力木江·阿吾提商铺款</t>
  </si>
  <si>
    <t>0415</t>
  </si>
  <si>
    <t>收C3-110阿力米热·亚力昆商铺款</t>
  </si>
  <si>
    <t>0416</t>
  </si>
  <si>
    <t>收C2-112古力先·如孜房款</t>
  </si>
  <si>
    <t>收A12-3-601阿卜杜艾尼·萨伍提建行放贷款</t>
  </si>
  <si>
    <t>收A12-2-602艾科拜尔·艾海提建行放贷款</t>
  </si>
  <si>
    <t>收A12-2-502张林建行放贷款</t>
  </si>
  <si>
    <t>收C8-1-501玉素甫·吐尔洪建行放贷款</t>
  </si>
  <si>
    <t>收C3-1-402阿不拉江·库尔班建行放贷款</t>
  </si>
  <si>
    <t>收C2-109玉米提·提依甫商铺款</t>
  </si>
  <si>
    <t>0417</t>
  </si>
  <si>
    <t>收C3-108吐克孜·托合提商铺款</t>
  </si>
  <si>
    <t>0418</t>
  </si>
  <si>
    <t>收C8-2-502巴哈尔古力·苏甫尔建行放贷款</t>
  </si>
  <si>
    <t>收C5-111木台力甫·莫合塔尔商铺款</t>
  </si>
  <si>
    <t>0419</t>
  </si>
  <si>
    <t>收C5-110木台力甫·莫合塔尔商铺款</t>
  </si>
  <si>
    <t>0420</t>
  </si>
  <si>
    <t>收C5-113麦麦江·艾力亚斯商铺款</t>
  </si>
  <si>
    <t>0421</t>
  </si>
  <si>
    <t>收C16-202尼加提·阿布都赛米房款</t>
  </si>
  <si>
    <t>0422</t>
  </si>
  <si>
    <t>收C16-103尼加提·阿布都赛米商铺款</t>
  </si>
  <si>
    <t>0412</t>
  </si>
  <si>
    <t>收C2-101乔力帕汗·居麦商铺款</t>
  </si>
  <si>
    <t>0423</t>
  </si>
  <si>
    <t>收C16-101古力米热·阿吾提商铺款</t>
  </si>
  <si>
    <t>0425</t>
  </si>
  <si>
    <t>收C7-2-402阿里木江·提力瓦力地建行放贷款</t>
  </si>
  <si>
    <t>收C3-104阿力木江·牙生建行放贷款</t>
  </si>
  <si>
    <t>收C3-102阿力木江·牙生建行放贷款</t>
  </si>
  <si>
    <t>收C3-103阿力木江·牙生建行放贷款</t>
  </si>
  <si>
    <t>收C4-110柔鲜古丽·麦麦提建行放贷款</t>
  </si>
  <si>
    <t>收C4-111柔鲜古丽·麦麦提建行放贷款</t>
  </si>
  <si>
    <t>退C4-2-601麦热耶姆·艾麦提房款定金</t>
  </si>
  <si>
    <t>收C3-110阿力米热·亚里坤商铺款</t>
  </si>
  <si>
    <t>收C3-2-401肉孜·艾买提建行放贷款</t>
  </si>
  <si>
    <t>收C2-110艾合麦提江·图拉克商铺款</t>
  </si>
  <si>
    <t>收C4-113杨希军商铺款</t>
  </si>
  <si>
    <t>0426</t>
  </si>
  <si>
    <t>收C8-1-401吐逊古力·毛尼亚孜房款</t>
  </si>
  <si>
    <t>收C6-2-101萨吾提·毛尼牙孜房款</t>
  </si>
  <si>
    <t>收C3-2-302麦麦提·司马依力房款</t>
  </si>
  <si>
    <t>0427</t>
  </si>
  <si>
    <t>退C5-1-502亚森·塔提力克房款往来</t>
  </si>
  <si>
    <t>收C3-108艾克拜尔·亚生商铺款</t>
  </si>
  <si>
    <t>收C2-104吐尼亚孜·托合尼牙孜商铺款</t>
  </si>
  <si>
    <t>0428</t>
  </si>
  <si>
    <t>收C6-2-102古丽米热·热合曼房款</t>
  </si>
  <si>
    <t>0429</t>
  </si>
  <si>
    <t>收C16-101、C16-102古丽米热·阿吾提商铺款</t>
  </si>
  <si>
    <t>收C5-102刘吉朝商铺款</t>
  </si>
  <si>
    <t>0430</t>
  </si>
  <si>
    <t>收C5-103刘吉朝商铺款</t>
  </si>
  <si>
    <t>0431</t>
  </si>
  <si>
    <t>收C6-1-302沙迪克·沙迪尔房款</t>
  </si>
  <si>
    <t>收C4-3-402刘吉朝房款</t>
  </si>
  <si>
    <t>收A12-3-201塔依尔、C6-2-301、C7-2-102于山买买提房款</t>
  </si>
  <si>
    <t>收A12-3-201、C6-2-301、C7-2-102于山买买提房款</t>
  </si>
  <si>
    <t>0432</t>
  </si>
  <si>
    <t>收C7-2-102于山·买买提房款</t>
  </si>
  <si>
    <t>收A12-3-601阿卜杜艾尼·萨伍提房款</t>
  </si>
  <si>
    <t>收C6-2-102古力米热·热合曼房款</t>
  </si>
  <si>
    <t>收C3-112阿瓦汗·艾麦提商铺款</t>
  </si>
  <si>
    <t>0433</t>
  </si>
  <si>
    <t>收C3-111阿瓦汗·艾麦提商铺款</t>
  </si>
  <si>
    <t>0434</t>
  </si>
  <si>
    <t>退C9-1-101阿合尼亚孜·麦麦提明房款</t>
  </si>
  <si>
    <t>退C6-1-501帕旦木·麦麦提房款</t>
  </si>
  <si>
    <t>退A12-1-602麦亥木提江·阿布都克然木房款</t>
  </si>
  <si>
    <t>收C2-108月来木·卡地尔房款</t>
  </si>
  <si>
    <t>0435</t>
  </si>
  <si>
    <t>收A12-2-302米尔扎艾合麦提·阿卜杜房款</t>
  </si>
  <si>
    <t>0436</t>
  </si>
  <si>
    <t>收C2-106阿瓦汗·艾麦提商铺款</t>
  </si>
  <si>
    <t>0437</t>
  </si>
  <si>
    <t>收C2-107阿瓦汗·艾麦提商铺款</t>
  </si>
  <si>
    <t>0438</t>
  </si>
  <si>
    <t>收C3-112阿瓦汉·艾麦提商铺款</t>
  </si>
  <si>
    <t>收C2-102阿瓦古丽·图尼亚孜商铺款</t>
  </si>
  <si>
    <t>0439</t>
  </si>
  <si>
    <t>C2-102</t>
  </si>
  <si>
    <t>收C2-103阿瓦古丽·图尼亚孜商铺款</t>
  </si>
  <si>
    <t>0440</t>
  </si>
  <si>
    <t>C2-103</t>
  </si>
  <si>
    <t>收A12-2-302米尔扎艾合麦提·阿卜杜如苏力房款</t>
  </si>
  <si>
    <t>退C9-3-302赵山房款</t>
  </si>
  <si>
    <t>收C2-101木塔力甫·吐逊房款</t>
  </si>
  <si>
    <t>收C3-105阿力木江·阿吾提房款</t>
  </si>
  <si>
    <t>收C5-103刘吉朝房款</t>
  </si>
  <si>
    <t>收C6-2-202艾尔肯·吐尼亚孜房款</t>
  </si>
  <si>
    <t>收A12-1-201吐尼亚孜·托合尼亚孜房款</t>
  </si>
  <si>
    <t>收C2-10艾合麦提江·图拉克房款</t>
  </si>
  <si>
    <t>0441</t>
  </si>
  <si>
    <t>C2-10</t>
  </si>
  <si>
    <t>收C16-105亚力昆·艾买尔房款</t>
  </si>
  <si>
    <t>收C5-1-301吐鲁洪·吐逊房款</t>
  </si>
  <si>
    <t>0442</t>
  </si>
  <si>
    <t>退C11-1-402房款</t>
  </si>
  <si>
    <t>收C7-1-101房款往来</t>
  </si>
  <si>
    <t>收A12-2-302房款往来</t>
  </si>
  <si>
    <t>退C13-3-403毛兰江·阿布都休库尔房款</t>
  </si>
  <si>
    <t>结转收入</t>
  </si>
  <si>
    <t>退款后差额结转？</t>
  </si>
  <si>
    <t>2020</t>
  </si>
  <si>
    <t>1</t>
  </si>
  <si>
    <t>收艾尔肯·吐尼牙孜C6-2-202住宅建行放贷款</t>
  </si>
  <si>
    <t>收阿娜古丽·吐逊A12-5-201住宅现金</t>
  </si>
  <si>
    <t>收阿卜杜艾尼·萨伍提A12-3-601住宅现金</t>
  </si>
  <si>
    <t>收晋焉芬C6-2-301住宅往来款</t>
  </si>
  <si>
    <t>退于山·买买提C6-2-301住宅款</t>
  </si>
  <si>
    <t>3</t>
  </si>
  <si>
    <t>收古力先·如孜C2-112商铺现金36000刷卡24000</t>
  </si>
  <si>
    <t>收艾科拜尔·亚生C3-108商铺现金</t>
  </si>
  <si>
    <t>收赛麦提·沙吾提C4-112商铺现金</t>
  </si>
  <si>
    <t>收刘吉朝C4-3-402住宅刷卡</t>
  </si>
  <si>
    <t>麦麦提·吐尼亚孜C6-2-102往来款</t>
  </si>
  <si>
    <t>收吐尔迪·沙吾提C7-1-102住宅现金19000刷卡11592</t>
  </si>
  <si>
    <t>收吐尔迪·沙吾提C7-1-102住宅现金</t>
  </si>
  <si>
    <t>收麦合木提·艾拜都拉A12-3-401住宅现金</t>
  </si>
  <si>
    <t>收麦合木提·艾拜都拉A12-3-401住宅刷卡</t>
  </si>
  <si>
    <t>麦合木提·艾拜都拉A4-6-601换为A12-3-401</t>
  </si>
  <si>
    <t>收吐尼亚孜·托合尼牙孜C2-104商铺现金</t>
  </si>
  <si>
    <t>收于山·买买提换成依明·牙生C2-105商铺现金</t>
  </si>
  <si>
    <t>收吐逊古力·艾海提C4-109住宅现金1000刷卡125000</t>
  </si>
  <si>
    <t>C4-109</t>
  </si>
  <si>
    <t>收吐逊古力·艾海提C4-109商铺往来款</t>
  </si>
  <si>
    <t>收赛麦提·沙吾提C4-104商铺现金</t>
  </si>
  <si>
    <t>C4-104</t>
  </si>
  <si>
    <t>收亚库甫·阿布都热依木C5-3-302住宅现金162刷卡50000</t>
  </si>
  <si>
    <t>收刘吉朝C5-102商铺刷卡</t>
  </si>
  <si>
    <t>4</t>
  </si>
  <si>
    <t>收艾尔肯·吐尼亚孜C6-2-202住宅现金</t>
  </si>
  <si>
    <t>收艾尔肯·吐尼牙孜C6-2-202住宅刷卡</t>
  </si>
  <si>
    <t>调2018年1月18#凭证亚库甫·阿布都热依木C6-2-202换成C5-3-302</t>
  </si>
  <si>
    <t>艾合麦提·麦麦提C1-102商铺往来款</t>
  </si>
  <si>
    <t>收吐逊江·艾山C4-3-302住宅现金3354刷卡77000</t>
  </si>
  <si>
    <t>吐逊江·艾山C4-3-302住宅往来款</t>
  </si>
  <si>
    <t>吐尔迪·沙吾提C7-1-102住宅往来款</t>
  </si>
  <si>
    <t>收买尔吾力·阿西木C8-3-602住宅刷卡</t>
  </si>
  <si>
    <t>收买尔吾力·阿西木C8-3-602住宅现金</t>
  </si>
  <si>
    <t>买尔吾力·阿西木C8-3-602住宅往来款</t>
  </si>
  <si>
    <t>收艾科拜尔·艾海提A12-2-602住宅刷卡</t>
  </si>
  <si>
    <t>莫台力甫·艾拉克A12-3-301住宅往来款</t>
  </si>
  <si>
    <t>收莫台力甫·艾拉克A12-3-301住宅刷卡</t>
  </si>
  <si>
    <t>艾合麦提·麦麦提C1-101商铺往来款</t>
  </si>
  <si>
    <t>收依明·牙生C2-105商铺现金</t>
  </si>
  <si>
    <t>亚库甫·阿布都热依木C5-3-302住宅往来款</t>
  </si>
  <si>
    <t>收吐鲁洪·吐逊C5-1-301住宅现金</t>
  </si>
  <si>
    <t>吐鲁洪·吐逊C5-1-301住宅往来款</t>
  </si>
  <si>
    <t>收吐尔逊希克·如孜C5-3-301住宅现金</t>
  </si>
  <si>
    <t>收阿曼古力·阿布都C8-2-102住宅刷卡</t>
  </si>
  <si>
    <t>5</t>
  </si>
  <si>
    <t>收古丽巴赫·艾拉C5-1-501住宅款刷卡</t>
  </si>
  <si>
    <t>调2018年3月61#凭证怡和15-A-704房款</t>
  </si>
  <si>
    <t>C1-102商铺往来款</t>
  </si>
  <si>
    <t>收于山·买买提C3-101商铺款现金</t>
  </si>
  <si>
    <t>收赛麦提·艾山C6-1-202住宅款刷卡</t>
  </si>
  <si>
    <t>A12-3-401住宅往来款</t>
  </si>
  <si>
    <t>收麦合木提·艾拜都拉A12-3-401住宅款现金2000刷卡1000</t>
  </si>
  <si>
    <t>收A12-3-301住宅往来款</t>
  </si>
  <si>
    <t>收麦麦提·阿吾提A12-2-201住宅款刷卡</t>
  </si>
  <si>
    <t>C1-101住宅往来款</t>
  </si>
  <si>
    <t>收吐逊古丽·艾海提C4-109商铺款现金300刷卡7700</t>
  </si>
  <si>
    <t>收吐逊古力·艾海提C4-109商铺款现金2800刷卡1200</t>
  </si>
  <si>
    <t>收亚库甫·阿布都热依木C5-3-302住宅款现金</t>
  </si>
  <si>
    <t>收阿依古力·吐尼牙孜换成阿吾提·达吾提C7-2-101住宅款现金</t>
  </si>
  <si>
    <t>6</t>
  </si>
  <si>
    <t>收艾合麦提江·图拉克C2-111商铺款现金</t>
  </si>
  <si>
    <t>收古丽巴赫·艾拉C5-1-501住宅往来款</t>
  </si>
  <si>
    <t>收C4-3-302吐逊江·艾山住宅款现金</t>
  </si>
  <si>
    <t>收麦合木提·艾拜都拉A12-3-401住宅款刷卡</t>
  </si>
  <si>
    <t>收阿依左克热·居麦克更名成努丽古丽·居买克A12-2-402住宅款现金</t>
  </si>
  <si>
    <t>收阿尔孜古力·麦提尼亚孜C3-106商铺款刷卡</t>
  </si>
  <si>
    <t>收阿布都爱尼·牙生C4-108商铺款刷卡</t>
  </si>
  <si>
    <t>C4-108</t>
  </si>
  <si>
    <t>收齐曼古丽·巴拉提C5-3-401住宅款现金</t>
  </si>
  <si>
    <t>收阿吾提·达吾提C7-2-101住宅款刷卡</t>
  </si>
  <si>
    <t>7</t>
  </si>
  <si>
    <t>收古力麦热木·尼亚孜C5-1-502住宅款刷卡</t>
  </si>
  <si>
    <t>收古力麦热木·尼亚孜C5-1-502住宅阿克苏通力往来款</t>
  </si>
  <si>
    <t>支C4-2-501麦麦提·库尔班多交房款往来款</t>
  </si>
  <si>
    <t>收吐热汗·库尔班C6-1-301住宅款现金</t>
  </si>
  <si>
    <t>收吐热汗·库尔班C6-1-501住宅款现金</t>
  </si>
  <si>
    <t>收买尔吾力·阿西木C8-3-602住宅款现金</t>
  </si>
  <si>
    <t>A1-1-401换成A12-1-202</t>
  </si>
  <si>
    <t>收艾克拜尔·麦麦提A12-3-102住宅阿克苏通力往来款</t>
  </si>
  <si>
    <t>收依明·牙生C2-105商铺款现金</t>
  </si>
  <si>
    <t>收阿卜杜柯然木·阿卜杜喀迪尔C4-107商铺款现金10000刷卡117325</t>
  </si>
  <si>
    <t>收吐鲁洪·吐逊C5-1-301住宅款现金</t>
  </si>
  <si>
    <t>收米尔万古丽·库尔班C9-2-401住宅款现金</t>
  </si>
  <si>
    <t>收买买提·阿不来提C9-3-202住宅款现金更名吐尔逊·多来提</t>
  </si>
  <si>
    <t>收吐热汗·库尔班A12-4-201住宅款现金</t>
  </si>
  <si>
    <t>收巴哈尔古力·亚库甫A12-2-202住宅款现金</t>
  </si>
  <si>
    <t>收买买提·阿不来提
C3-1-301住宅款现金改名托合提拜戈·玉苏普</t>
  </si>
  <si>
    <t>收阿吾提·达吾提C7-2-101住宅阿克苏通力往来款</t>
  </si>
  <si>
    <t>收吐热汗·库尔班更名为克热木·阿不力孜又更名成阿依孜木·赛麦提A12-3-302住宅款现金</t>
  </si>
  <si>
    <t>收克热木·阿不力孜更名成阿依孜木·赛麦提A12-3-302住宅款刷卡</t>
  </si>
  <si>
    <t>8</t>
  </si>
  <si>
    <t>收艾克拜尔·麦麦提A12-3-102住宅刷卡</t>
  </si>
  <si>
    <t>收吐尼牙孜·莫力库尔班C9-3-302住宅款现金</t>
  </si>
  <si>
    <t>收努丽古丽·居买克A12-2-402住宅现金123388，刷卡80000</t>
  </si>
  <si>
    <t>9</t>
  </si>
  <si>
    <t>收赛麦提·艾山C6-1-202住宅款现金</t>
  </si>
  <si>
    <t>收卡迪·尔丹A12-1-602住宅款现金</t>
  </si>
  <si>
    <t>收依明·牙生C2-105建行放贷往来款</t>
  </si>
  <si>
    <t>收吐逊古力·艾海提C4-109商铺款现金4000刷卡11000</t>
  </si>
  <si>
    <t>收阿卜杜柯然木·阿卜杜喀迪尔C4-107建行放贷往来款</t>
  </si>
  <si>
    <t>收亚库甫·阿不都热依木C5-3-302住宅款现金</t>
  </si>
  <si>
    <t>收肉布拉·艾麦尔C8-1-601住宅款刷卡</t>
  </si>
  <si>
    <t>收克热木·阿不力孜A12-1-502住宅款现金</t>
  </si>
  <si>
    <t>收古丽米热·阿吾提C16-102建行放贷往来款</t>
  </si>
  <si>
    <t>收托合提拜戈·玉苏普C3-1-301住宅款现金</t>
  </si>
  <si>
    <t>收托合提拜戈·玉苏普C3-1-301建行放贷往来款</t>
  </si>
  <si>
    <t>收阿依孜木·赛麦提A12-3-302住宅款现金</t>
  </si>
  <si>
    <t>收阿依孜木·赛麦提A12-3-302建行放贷往来款</t>
  </si>
  <si>
    <t>收古丽米热·阿吾提C16-101建行放贷往来款</t>
  </si>
  <si>
    <t>10</t>
  </si>
  <si>
    <t>收阿力木·吐尼亚孜C8-1-101住宅款现金</t>
  </si>
  <si>
    <t>收阿力木·吐尼亚孜C9-1-101住宅款现金更名肉孜·玉山C9-1-101</t>
  </si>
  <si>
    <t>收阿娜古丽·赛麦提A12-1-602住宅款刷卡</t>
  </si>
  <si>
    <t>收阿娜古丽·赛麦提A12-1-602住宅款现金、刷卡</t>
  </si>
  <si>
    <t>收阿克苏通力达吾提·依肯木C9-2-401房款往来</t>
  </si>
  <si>
    <t>收吐尔逊·多来提C9-3-202住宅款刷卡</t>
  </si>
  <si>
    <t>收吐尔逊·多来提C9-3-202住宅款现金12850、刷卡140000</t>
  </si>
  <si>
    <t>收阿克苏通力吐尼牙孜C9-3-302房款往来</t>
  </si>
  <si>
    <t>收古丽齐曼·巴拉提C5-3-401住宅款现金</t>
  </si>
  <si>
    <t>收阿力木·吐尼亚孜C8-1-201住宅款现金</t>
  </si>
  <si>
    <t>收王明芬C8-3-302住宅款现金</t>
  </si>
  <si>
    <t>11</t>
  </si>
  <si>
    <t>收巴哈尔古丽·苏甫尔C8-2-502住宅款现金</t>
  </si>
  <si>
    <t>收吐尔迪·沙吾提C7-1-102住宅款现金</t>
  </si>
  <si>
    <t>收阿克苏通力肉布拉·艾麦尔C8-1-601住宅往来款</t>
  </si>
  <si>
    <t>收阿克苏通力王明芬C8-3-302住宅往来款</t>
  </si>
  <si>
    <t>12</t>
  </si>
  <si>
    <t>结转2020年多浪一期发票收入C4-3-402</t>
  </si>
  <si>
    <t>结转2020年多浪一期发票收入C5-1-501</t>
  </si>
  <si>
    <t>结转2020年多浪一期发票收入C5-1-502</t>
  </si>
  <si>
    <t>收肉孜·玉山C9-1-101住宅款现金</t>
  </si>
  <si>
    <t>结转2020年多浪一期发票收入A12-5-201</t>
  </si>
  <si>
    <t>结转2020年多浪一期发票收入C1-102</t>
  </si>
  <si>
    <t>收麦合木提·艾拜都拉A12-3-401住宅款现金</t>
  </si>
  <si>
    <t>结转2020年多浪一期发票收入A12-3-301</t>
  </si>
  <si>
    <t>结转2020年多浪一期发票收入A12-1-602</t>
  </si>
  <si>
    <t>结转2020年多浪一期发票收入C1-101</t>
  </si>
  <si>
    <t>收阿克苏通力C6-1-102房款往来</t>
  </si>
  <si>
    <t>结转2020年多浪一期发票收入C8-1-601</t>
  </si>
  <si>
    <t>结转2020年多浪一期发票收入C3-1-301</t>
  </si>
  <si>
    <t>结转2020年多浪一期发票收入C4-108</t>
  </si>
  <si>
    <t>结转2020年多浪一期发票收入C5-102</t>
  </si>
  <si>
    <t>结转2020年多浪一期发票收入C7-2-101</t>
  </si>
  <si>
    <t>结转2020年多浪一期发票收入A12-3-302</t>
  </si>
  <si>
    <t>2021</t>
  </si>
  <si>
    <t>收C6-1-301毛力如孜·阿皮孜往来款</t>
  </si>
  <si>
    <t>收C6-1-301毛力如孜·阿皮孜住宅款刷卡</t>
  </si>
  <si>
    <t>收C2-104吐尔洪江·库尔班商铺款</t>
  </si>
  <si>
    <t>收C4-106阿曼古丽·阿卜杜喀迪尔商铺款</t>
  </si>
  <si>
    <t>C4-106</t>
  </si>
  <si>
    <t>收A12-1-502克热木·阿不力孜住宅款刷卡</t>
  </si>
  <si>
    <t>收C8-3-302王明芬往来款</t>
  </si>
  <si>
    <t>2</t>
  </si>
  <si>
    <t>收阿克苏通力多浪一期C9-1-101肉孜·玉山住宅款-建行放贷往来款</t>
  </si>
  <si>
    <t>收阿克苏通力多浪一期C6-1-301住宅款-建行放贷往来款</t>
  </si>
  <si>
    <t>收多浪一期C6-1-501麦麦提·图尼亚孜住宅款-刷卡</t>
  </si>
  <si>
    <t>收多浪一期A12-3-401麦合木提·艾拜都拉住宅款-现金</t>
  </si>
  <si>
    <t>收多浪一期C4-105艾合麦提·吐尔逊住宅款-刷卡</t>
  </si>
  <si>
    <t>C4-105</t>
  </si>
  <si>
    <t>收阿克苏通力多浪一期C4-2-302吾热古丽·吐尔逊往来款</t>
  </si>
  <si>
    <t>收多浪一期C2-112古力先·如孜商铺款</t>
  </si>
  <si>
    <t>结转多浪一期C2-112收入</t>
  </si>
  <si>
    <t>结转多浪一期C8-1-101收入</t>
  </si>
  <si>
    <t>结转多浪一期C9-1-101收入</t>
  </si>
  <si>
    <t>结转C9-1-101发票收入</t>
  </si>
  <si>
    <t>冲已结转C9-1-101收入</t>
  </si>
  <si>
    <t>收多浪一期A11-2-102刘伊住宅款现金</t>
  </si>
  <si>
    <t>结转多浪一期C16-104收入</t>
  </si>
  <si>
    <t>收多浪一期C16-104热合曼·吐尼亚孜住宅款现金</t>
  </si>
  <si>
    <t>收多浪一期C2-110艾合麦提江·图拉克住宅款现金</t>
  </si>
  <si>
    <t>结转多浪一期C2-110收入</t>
  </si>
  <si>
    <t>结转C4-3-302发票收入</t>
  </si>
  <si>
    <t>冲已结转C4-3-302收入</t>
  </si>
  <si>
    <t>冲已结转C4-2-501收入</t>
  </si>
  <si>
    <t>结转多浪一期C6-1-301收入</t>
  </si>
  <si>
    <t>结转C6-1-301发票收入</t>
  </si>
  <si>
    <t>冲已结转C6-1-301收入</t>
  </si>
  <si>
    <t>结转多浪一期C6-1-501收入</t>
  </si>
  <si>
    <t>结转C9-2-502发票收入</t>
  </si>
  <si>
    <t>冲已结转C9-2-502收入</t>
  </si>
  <si>
    <t>结转C9-2-501发票收入</t>
  </si>
  <si>
    <t>冲已结转C9-2-501收入</t>
  </si>
  <si>
    <t>结转多浪一期A12-3-401收入</t>
  </si>
  <si>
    <t>结转多浪一期C2-104收入</t>
  </si>
  <si>
    <t>结转多浪一期C4-106收入</t>
  </si>
  <si>
    <t>收多浪一期C4-106阿曼古丽·阿卜杜喀迪尔商铺款刷卡</t>
  </si>
  <si>
    <t>结转C9-2-302发票收入</t>
  </si>
  <si>
    <t>结转C5-1-301发票收入</t>
  </si>
  <si>
    <t>冲已结转C5-1-301收入</t>
  </si>
  <si>
    <t>结转C9-2-401发票收入</t>
  </si>
  <si>
    <t>结转C9-3-501发票收入</t>
  </si>
  <si>
    <t>冲已结转C9-3-501收入</t>
  </si>
  <si>
    <t>结转C9-2-301发票收入</t>
  </si>
  <si>
    <t>冲已结转C9-2-301收入</t>
  </si>
  <si>
    <t>结转A12-2-402发票收入</t>
  </si>
  <si>
    <t>结转多浪一期A12-1-502收入</t>
  </si>
  <si>
    <t>收多浪一期C16-105亚力昆·艾买尔住宅款现金</t>
  </si>
  <si>
    <t>结转多浪一期C16-105收入</t>
  </si>
  <si>
    <t>结C16-105发票收入</t>
  </si>
  <si>
    <t>冲已结转C16-105收入</t>
  </si>
  <si>
    <t>结转多浪一期C3-106收入</t>
  </si>
  <si>
    <t>结转C3-06发票收入</t>
  </si>
  <si>
    <t>冲已结转C3-106收入</t>
  </si>
  <si>
    <t>收多浪一期C4-105艾合麦提·吐尔逊商铺款</t>
  </si>
  <si>
    <t>结转多浪一期C4-105收入</t>
  </si>
  <si>
    <t>收多浪一期C4-105艾合麦提·吐尔逊住宅款现金阿克苏通力往来</t>
  </si>
  <si>
    <t>结转多浪一期C4-2-302收入</t>
  </si>
  <si>
    <t>收多浪一期C4-2-302吾热古丽·吐尔逊住宅款现金</t>
  </si>
  <si>
    <t>结转多浪一期C5-3-301收入</t>
  </si>
  <si>
    <t>收多浪一期C5-3-401古丽齐曼·巴拉提住宅款</t>
  </si>
  <si>
    <t>结转多浪一期C5-3-401收入</t>
  </si>
  <si>
    <t>结转C5-3-401发票收入</t>
  </si>
  <si>
    <t>冲已结转C5-3-401收入</t>
  </si>
  <si>
    <t>结转多浪一期C8-3-302收入</t>
  </si>
  <si>
    <t>结转C8-3-302发票收入</t>
  </si>
  <si>
    <t>冲已结转C8-3-302收入</t>
  </si>
  <si>
    <t>结转A11-4-602发票收入</t>
  </si>
  <si>
    <t>冲已结转A11-4-602收入</t>
  </si>
  <si>
    <t>冲减已结转收入</t>
  </si>
  <si>
    <t>收多浪一期A11-2-102阿克苏通力往来款</t>
  </si>
  <si>
    <t>收多浪一期C3-101于山·买买提商铺款</t>
  </si>
  <si>
    <t>收多浪一期C5-101帕旦木·沙吾提住宅款刷卡</t>
  </si>
  <si>
    <t>C5-001</t>
  </si>
  <si>
    <t>收多浪一期C6-1-501麦麦提·图尼亚孜住宅款建行放贷阿克苏通力往来</t>
  </si>
  <si>
    <t>调2020年10月5#凭证阿力木·吐尼亚孜C8-1-201转C8-1-101室5000元</t>
  </si>
  <si>
    <t>收A11-2-102西热力·麦麦提住宅款阿克苏通力往来</t>
  </si>
  <si>
    <t>调2021年3月6#凭证刘伊多浪一期A11-2-102转阿克苏通力公司多浪三期A7-2-101室10000元</t>
  </si>
  <si>
    <t>收C3-101于山·买买提商铺款刷卡</t>
  </si>
  <si>
    <t>调阿克苏通力2019年12月63#凭证A2-1-301转C3-101商铺5000元</t>
  </si>
  <si>
    <t>收A12-3-401麦合木提·艾拜都拉住宅款现金</t>
  </si>
  <si>
    <t>调阿克苏通力2020年12月149#凭证A3-112转A1-1-301室5000元，应由A3-112转阿克苏分公司C2-104</t>
  </si>
  <si>
    <t>调2019年1月22#凭证A3-111转阿克苏分公司C2-104商铺5000元</t>
  </si>
  <si>
    <t>结转C2-104发票收入</t>
  </si>
  <si>
    <t>冲C2-104已结转收入</t>
  </si>
  <si>
    <t>收A12-4-201艾合麦提·麦木提力住宅款刷卡</t>
  </si>
  <si>
    <t>收A12-1-502克热木·阿不力孜住宅款阿克苏通力往来</t>
  </si>
  <si>
    <t>结转A12-1-502发票收入</t>
  </si>
  <si>
    <t>冲A12-1-502已结转收入</t>
  </si>
  <si>
    <t>收C8-1-201吐尼萨克孜·吐尔逊住宅款刷卡</t>
  </si>
  <si>
    <t>收C8-1-201吐尼萨克孜·吐尔逊住宅款阿克苏通力往来</t>
  </si>
  <si>
    <t>结转A1-3-501发票收入</t>
  </si>
  <si>
    <t>冲A1-3-501已结转收入</t>
  </si>
  <si>
    <t>收多浪小镇A11-2-102西热力·麦麦提住宅款公积金放贷阿克苏通力往来</t>
  </si>
  <si>
    <t>收多浪一期C7-1-102吐尔迪·沙吾提住宅款刷卡</t>
  </si>
  <si>
    <t>收多浪一期C4-109吐逊古力·商铺款刷卡</t>
  </si>
  <si>
    <t>收多浪小镇A12-4-201艾合麦提·麦木提力住宅款阿克苏通力往来</t>
  </si>
  <si>
    <t>收多浪小镇C8-1-201吐尼萨克孜·吐尔逊住宅款公积金放贷阿克苏通力往来</t>
  </si>
  <si>
    <t>结转多浪小镇一期C4-113发票收入</t>
  </si>
  <si>
    <t>冲多浪小镇一期C4-113已结转收入</t>
  </si>
  <si>
    <t>支付阿克苏通力房地产A12-2-101往来款</t>
  </si>
  <si>
    <t>结转多浪小镇一期A11-1-201发票收入</t>
  </si>
  <si>
    <t>冲多浪小镇一期A11-1-201已结转收入</t>
  </si>
  <si>
    <t>结转多浪小镇一期A12-1-402发票收入</t>
  </si>
  <si>
    <t>冲多浪小镇一期A12-1-402已结转收入</t>
  </si>
  <si>
    <t>支付阿克苏通力房地产C5-101往来款</t>
  </si>
  <si>
    <t>结转多浪小镇一期A12-4-201发票收入</t>
  </si>
  <si>
    <t>冲多浪小镇一期A12-4-201已结转收入</t>
  </si>
  <si>
    <t>结转多浪小镇一期A12-1-102发票收入</t>
  </si>
  <si>
    <t>冲多浪小镇一期A12-1-102已结转收入</t>
  </si>
  <si>
    <t>结转多浪小镇一期C9-2-201发票收入</t>
  </si>
  <si>
    <t>冲多浪小镇一期C9-2-201已结转收入</t>
  </si>
  <si>
    <t>调2017年12月记114#、2018年3月记20#凭证、2018年8月记10#凭证C4-2-302玉山·乌斯曼改为A12-2-101阿不都沙拉木·阿不都热衣提</t>
  </si>
  <si>
    <t>结转A12-2-101发票收入</t>
  </si>
  <si>
    <t>调A12-2-101预收</t>
  </si>
  <si>
    <t>结转C11-4-602发票收入</t>
  </si>
  <si>
    <t>冲减已结转C11-4-602发票收入</t>
  </si>
  <si>
    <t>结转C4-109发票收入</t>
  </si>
  <si>
    <t>调C4-109预收</t>
  </si>
  <si>
    <t>预收C17热合木江·司马义购房款</t>
  </si>
  <si>
    <t>C17</t>
  </si>
  <si>
    <t>调整房号C5-001与C5-101房号预收</t>
  </si>
  <si>
    <t>调整C3-3-402面积差</t>
  </si>
  <si>
    <t>结转C13-3-403收入</t>
  </si>
  <si>
    <t>2022</t>
  </si>
  <si>
    <t>收多浪小镇C3-107补面积差金额</t>
  </si>
  <si>
    <t>调整2019年12月38号凭证结转的收入</t>
  </si>
  <si>
    <t>结转C3-107艾沙江·肉孜收入</t>
  </si>
  <si>
    <t>调整C3-107以前年度价税分离预收</t>
  </si>
  <si>
    <t>蓝字调整税款导致的虚增</t>
  </si>
  <si>
    <t>预收C6-2-102麦麦提·吐尼牙孜房款</t>
  </si>
  <si>
    <t>预收C8-1-101古力努尔·麦麦提房款</t>
  </si>
  <si>
    <t>预收C2-02铺阿瓦古丽·吐尼亚孜面积补差款</t>
  </si>
  <si>
    <t>预收C2-03铺阿瓦古丽·图尼亚孜面积补差款</t>
  </si>
  <si>
    <t>调整2019年12月结转C3-2-301收入</t>
  </si>
  <si>
    <t>结转C3-2-301收入</t>
  </si>
  <si>
    <t>结转3月份收入</t>
  </si>
  <si>
    <t>预收多浪小镇C5-107木哈拜提·沙力房款</t>
  </si>
  <si>
    <t>预收多浪小镇古丽米热·热合曼C6-2-102房款</t>
  </si>
  <si>
    <t>预收多浪小镇C8-1-101古力努尔·麦麦提房款</t>
  </si>
  <si>
    <t>结转C8-1-101收入</t>
  </si>
  <si>
    <t>预收多浪小镇C5-109房款</t>
  </si>
  <si>
    <t>预收多浪小镇C5-106沙吾提·赛麦提房款</t>
  </si>
  <si>
    <t>预收多浪小镇古丽娜尔·木沙C1-103商铺房款</t>
  </si>
  <si>
    <t>预收多浪小镇C1-105阿布拉·阿布都热依木商铺款刷卡手续费</t>
  </si>
  <si>
    <t>预收多浪小镇C1-105阿布拉·阿布都热依木商铺款</t>
  </si>
  <si>
    <t>预收多浪小镇C8-3-101古力亚尔·艾肯房款</t>
  </si>
  <si>
    <t>结转收入.</t>
  </si>
  <si>
    <t>预收C1-103古丽娜尔·木沙房款</t>
  </si>
  <si>
    <t>收到C-17商铺房款</t>
  </si>
  <si>
    <t>支付艾萨江·艾麦尔C3-2-202面积差款</t>
  </si>
  <si>
    <t>收到多浪小镇A12-2-202库尔班房款</t>
  </si>
  <si>
    <t>结转9月收入（发票号01934943）</t>
  </si>
  <si>
    <t>艾克拜尔·依马木</t>
  </si>
  <si>
    <t>结转9月收入（发票号01893541)</t>
  </si>
  <si>
    <t>结转9月收入（发票号01893540)</t>
  </si>
  <si>
    <t>结转9月收入（发票号01893539)</t>
  </si>
  <si>
    <t>收到C4-101/102/103阿力木江·阿吾提商铺款</t>
  </si>
  <si>
    <t>C4-101-103</t>
  </si>
  <si>
    <t>结转9月收入（发票号01934942）</t>
  </si>
  <si>
    <t>结转9月收入（发票号01934944)</t>
  </si>
  <si>
    <t>重复结转收入</t>
  </si>
  <si>
    <t>结转9月收入（发票号01934941）</t>
  </si>
  <si>
    <t>退A12-2-202房款（未下贷）</t>
  </si>
  <si>
    <t>结转A11-1-502开票收入（01934945）</t>
  </si>
  <si>
    <t>收到多浪小镇C1-103商铺款</t>
  </si>
  <si>
    <t>2023</t>
  </si>
  <si>
    <t>冲减2019年12月结转收入</t>
  </si>
  <si>
    <t>补录入2022年7月4#凭证未计入的POS机刷卡费用</t>
  </si>
  <si>
    <t>之前计提销项全额冲回预收账款</t>
  </si>
  <si>
    <t>收到A12-2-202吐尔洪江·吐拉克房款（换购房者）</t>
  </si>
  <si>
    <t>结转A12-1-301钟文彬房款收入（01934948）</t>
  </si>
  <si>
    <t>退多浪一期C3-2-201面积差房款</t>
  </si>
  <si>
    <t>结转C3-2-201赛米江·阿里木房款收入（01934947）</t>
  </si>
  <si>
    <t>开具负数发票C3-2-201赛米江·阿里木房款收入（019349476）</t>
  </si>
  <si>
    <t>收到阿力木江·阿吾提交来多浪小镇C4-101-103商铺款</t>
  </si>
  <si>
    <t>收到阿力木江·阿吾提交来多浪小镇C4-102、103商铺款</t>
  </si>
  <si>
    <t>收到亚里坤交来多浪小镇C区-3-10铺面补交面积差款</t>
  </si>
  <si>
    <t>C3-10</t>
  </si>
  <si>
    <t>结转3月开票收入（01934950）</t>
  </si>
  <si>
    <t>结转3月开票收入（01934949）</t>
  </si>
  <si>
    <t>收到热艳古丽·阿布都热合曼交来多浪C5-105商铺款</t>
  </si>
  <si>
    <t>收多浪小镇C1-103古丽娜尔·木沙商铺款转预收</t>
  </si>
  <si>
    <t>4-4结转本月收入（发票号01977142）</t>
  </si>
  <si>
    <t>4-4结转本月收入（发票号01977143）</t>
  </si>
  <si>
    <t>4-4结转本月收入（发票号01977141）20年已计提销项税</t>
  </si>
  <si>
    <t>4-4结转本月收入（发票号01934954）打印报废但系统忘记作废，下月红冲</t>
  </si>
  <si>
    <t>4-4结转本月收入（发票号01934953）</t>
  </si>
  <si>
    <t>4-4结转本月收入（发票号01934952）</t>
  </si>
  <si>
    <t>5-7收到多浪小镇C5-112商铺定金</t>
  </si>
  <si>
    <t>5-3结转5月开票收入（01977145）</t>
  </si>
  <si>
    <t>5-2收到古丽娜尔交来C1-103商铺款</t>
  </si>
  <si>
    <t>调整2022年12月8#凭证预收核算维度</t>
  </si>
  <si>
    <t>蓝字入账借贷方虚增</t>
  </si>
  <si>
    <t>5-1收到多浪小镇C9-3-302阿布拉江房款</t>
  </si>
  <si>
    <t>5-3结转5月开票收入（01977144）</t>
  </si>
  <si>
    <t>结转未计提销项税</t>
  </si>
  <si>
    <t>5-3结转5月开票收入（01977146）</t>
  </si>
  <si>
    <t>5-6支付多浪小镇C3-3-401面积差款</t>
  </si>
  <si>
    <t>6-4收到多浪小镇C17号商铺款（刷卡2笔分期付款）</t>
  </si>
  <si>
    <t>7-7收到阿依先木交来多浪小镇C5-108商铺定金</t>
  </si>
  <si>
    <t>7-8收到阿依先木交来多浪小镇C5-104商铺定金</t>
  </si>
  <si>
    <t>7-4结转收入开具发票（01977149）</t>
  </si>
  <si>
    <t>7-3收到依明交来多浪小镇C2-05面积差</t>
  </si>
  <si>
    <t>7-4（01977148）（补交面积差后重新开具发票）</t>
  </si>
  <si>
    <t>7-13补记阿克苏通力代新疆分公司退C9-3-302房款</t>
  </si>
  <si>
    <t>退款时冲减销项税</t>
  </si>
  <si>
    <t>7-11收到多浪小镇C1-105商铺款（换据并换人库尔班）</t>
  </si>
  <si>
    <t>8-3收到牙乎莆江C5-108商铺款</t>
  </si>
  <si>
    <t>多浪小镇C5-108商铺定金购买人由阿依先木换为牙乎莆江</t>
  </si>
  <si>
    <t>蓝字调整房号借贷方虚增</t>
  </si>
  <si>
    <t>8-2收到努尔艾力交来多浪小镇C1-104商铺定金款</t>
  </si>
  <si>
    <t>日期</t>
  </si>
  <si>
    <t>凭证字</t>
  </si>
  <si>
    <t>借方金额</t>
  </si>
  <si>
    <t>贷方金额</t>
  </si>
  <si>
    <t>2023/9/30</t>
  </si>
  <si>
    <t>记</t>
  </si>
  <si>
    <t>9-2收到阿力木江交来多浪小镇C4-102/103商铺款</t>
  </si>
  <si>
    <t>9-2收到古丽马热木交来多浪小镇C4-101商铺款</t>
  </si>
  <si>
    <t>2023/11/1</t>
  </si>
  <si>
    <t>补记阿克苏通力22年3月25#凭证预收多浪小镇A12-3-401房款</t>
  </si>
  <si>
    <t>补记阿克苏通力22年6月30#凭证预收多浪小镇C8-3-101房款</t>
  </si>
  <si>
    <t>2023/11/27</t>
  </si>
  <si>
    <t>收多浪小镇库尔班·许库尔C1-105商铺款</t>
  </si>
  <si>
    <t>收到古丽娜尔·木沙多浪小镇C1-103商铺款</t>
  </si>
  <si>
    <t>2023/12/31</t>
  </si>
  <si>
    <t>收到多浪小镇C5-105商铺款</t>
  </si>
  <si>
    <t>部门代码</t>
  </si>
  <si>
    <t>部门名称</t>
  </si>
  <si>
    <t>阿克苏通力房地产开发有限公司</t>
  </si>
  <si>
    <t>还通力房产公司款</t>
  </si>
  <si>
    <t>204</t>
  </si>
  <si>
    <t>0001</t>
  </si>
  <si>
    <t>0004</t>
  </si>
  <si>
    <t>康泰公寓</t>
  </si>
  <si>
    <t>0002</t>
  </si>
  <si>
    <t>7-2-802房款</t>
  </si>
  <si>
    <t>0003</t>
  </si>
  <si>
    <t>借款转房款</t>
  </si>
  <si>
    <t>0005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</si>
  <si>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</si>
  <si>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</si>
  <si>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</si>
  <si>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</si>
  <si>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</si>
  <si>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</si>
  <si>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</si>
  <si>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</si>
  <si>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</si>
  <si>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</si>
  <si>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</si>
  <si>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</si>
  <si>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0020</t>
  </si>
  <si>
    <t>0025</t>
  </si>
  <si>
    <t>0041</t>
  </si>
  <si>
    <t>0042</t>
  </si>
  <si>
    <t>0045</t>
  </si>
  <si>
    <t>0048</t>
  </si>
  <si>
    <t>收王金川康泰1-5-201-614房款</t>
  </si>
  <si>
    <t>1#楼2-6层</t>
  </si>
  <si>
    <t>公司本部</t>
  </si>
  <si>
    <t>收陈现忠康泰2-3-202房款</t>
  </si>
  <si>
    <t>2-3-202房款</t>
  </si>
  <si>
    <t>7-1-902房款</t>
  </si>
  <si>
    <t>4-2-601、7-3-901、7-3-802</t>
  </si>
  <si>
    <t>收王金川康泰1-5-201-614</t>
  </si>
  <si>
    <t>7-2-701房款</t>
  </si>
  <si>
    <t>2-2-102款</t>
  </si>
  <si>
    <t>2-1-601、4-2-603、7-1-202、7-1-502</t>
  </si>
  <si>
    <t>7-1-802房款</t>
  </si>
  <si>
    <t>7-1-501房款</t>
  </si>
  <si>
    <t>7-3-902房款</t>
  </si>
  <si>
    <t>4-3-603房款</t>
  </si>
  <si>
    <t>调2014年12月53#凭证，调整房号</t>
  </si>
  <si>
    <t>收1#楼2-6层款</t>
  </si>
  <si>
    <t>通力房产垫付工程款</t>
  </si>
  <si>
    <t>1-1-902、7-2-601</t>
  </si>
  <si>
    <t>还通力房产阿克苏分公司款</t>
  </si>
  <si>
    <t>1#楼2-6层房款</t>
  </si>
  <si>
    <t>收1-1-802谭见辉款</t>
  </si>
  <si>
    <t>1#楼2-6层款</t>
  </si>
  <si>
    <t>收多浪小镇房款</t>
  </si>
  <si>
    <t>多浪小镇廉租房</t>
  </si>
  <si>
    <t>收程玲杰住房贷款1-3-201</t>
  </si>
  <si>
    <t>收7-3-601房款</t>
  </si>
  <si>
    <t>收曾陈1-4-601房款</t>
  </si>
  <si>
    <t>收余传明1-4-402房款</t>
  </si>
  <si>
    <t>收赵晓杰5-4-702房款</t>
  </si>
  <si>
    <t>收成正1-4-502房款</t>
  </si>
  <si>
    <t>收樊浪1-1-301房款</t>
  </si>
  <si>
    <t>收郑琼芳5-3-901房款</t>
  </si>
  <si>
    <t>收张昌远住房贷款1-2-302</t>
  </si>
  <si>
    <t>1-1-104、1-1-105</t>
  </si>
  <si>
    <t>收李小华住房贷款1-4-501</t>
  </si>
  <si>
    <t>收毛礼思住房贷款1-1-502</t>
  </si>
  <si>
    <t>收李祥辉住房贷款1-4-602</t>
  </si>
  <si>
    <t>收吴海燕住房贷款1-2-402</t>
  </si>
  <si>
    <t>收张树敏住房贷款1-2-201</t>
  </si>
  <si>
    <t>收闫志明住房贷款6-4-401</t>
  </si>
  <si>
    <t>收涂修胜1-1-302房款</t>
  </si>
  <si>
    <t>收丁俊美5-4-301房款</t>
  </si>
  <si>
    <t>收王潇宁1-1-1101房款</t>
  </si>
  <si>
    <t>收徐跃5-3-301房款</t>
  </si>
  <si>
    <t>收李保林5-4-901房款</t>
  </si>
  <si>
    <t>收曹宛新5-3-602房款</t>
  </si>
  <si>
    <t>收蒲养波个人贷款1-1-401</t>
  </si>
  <si>
    <t>1-101-102王金川房款</t>
  </si>
  <si>
    <t>7-1-501杨晓虎房款</t>
  </si>
  <si>
    <t>收5-5-304葛洪武房款</t>
  </si>
  <si>
    <t>收7-3-201陆隆芹房款</t>
  </si>
  <si>
    <t>收5-1-203杜红霞房款</t>
  </si>
  <si>
    <t>收5-5-202刘玮房款</t>
  </si>
  <si>
    <t>收3-2-101何晓波房款</t>
  </si>
  <si>
    <t>收7-1-702张爱红工行贷款房款</t>
  </si>
  <si>
    <t>收5-1-301焦小雄房款</t>
  </si>
  <si>
    <t>收5-4-1101王书艳房款</t>
  </si>
  <si>
    <t>收7-3-601孙毅房款</t>
  </si>
  <si>
    <t>收6-2-101王国红房款</t>
  </si>
  <si>
    <t>收5-1-404赛马提房款</t>
  </si>
  <si>
    <t>1-4-201万雅琪</t>
  </si>
  <si>
    <t>1-1-1102王来来</t>
  </si>
  <si>
    <t>6-3-101董新辉</t>
  </si>
  <si>
    <t>1-4-402余传明</t>
  </si>
  <si>
    <t>1-4-502李清珍</t>
  </si>
  <si>
    <t>1-2-401杨菊修</t>
  </si>
  <si>
    <t>1-1-801王志香</t>
  </si>
  <si>
    <t>1-3-601孙红超</t>
  </si>
  <si>
    <t>1-1-302涂川疆</t>
  </si>
  <si>
    <t>1-1-701赵小亚</t>
  </si>
  <si>
    <t>1-3-602吴秀凤</t>
  </si>
  <si>
    <t>1-1-201雍宁宁</t>
  </si>
  <si>
    <t>1-4-202鲁茂全</t>
  </si>
  <si>
    <t>1-3-302侯琼</t>
  </si>
  <si>
    <t>4-2-602王雨</t>
  </si>
  <si>
    <t>1-1-501李敏</t>
  </si>
  <si>
    <t>1-1-202卿银霞</t>
  </si>
  <si>
    <t>1-1-402刘兴辉</t>
  </si>
  <si>
    <t>1-3-402王小刚</t>
  </si>
  <si>
    <t>0319</t>
  </si>
  <si>
    <t>5-3-1102李珊珊房款</t>
  </si>
  <si>
    <t>5-3-402王闲</t>
  </si>
  <si>
    <t>5-5-202刘玮</t>
  </si>
  <si>
    <t>5-1-203杜红霞</t>
  </si>
  <si>
    <t>7-4-202梁玉花</t>
  </si>
  <si>
    <t>7-2-502余论简</t>
  </si>
  <si>
    <t>7-2-801陈伟</t>
  </si>
  <si>
    <t>1-1-1001唐浩</t>
  </si>
  <si>
    <t>7-2-501王兵</t>
  </si>
  <si>
    <t>0185</t>
  </si>
  <si>
    <t>7-1-602程中原</t>
  </si>
  <si>
    <t>1-4-401赵小弟</t>
  </si>
  <si>
    <t>7-3-401晋连军</t>
  </si>
  <si>
    <t>7-5-102王旭</t>
  </si>
  <si>
    <t>7-5-201董燕霞</t>
  </si>
  <si>
    <t>1-1-901尚康力</t>
  </si>
  <si>
    <t>7-1-801李爱梅</t>
  </si>
  <si>
    <t>7-1-402王军元</t>
  </si>
  <si>
    <t>7-3-301徐凤英</t>
  </si>
  <si>
    <t>7-2-802韩林周</t>
  </si>
  <si>
    <t>3-2-101何晓波</t>
  </si>
  <si>
    <t>1-1-1101王潇宇</t>
  </si>
  <si>
    <t>财政拨款（多浪公租房72套）</t>
  </si>
  <si>
    <t>多浪小镇公租房72套</t>
  </si>
  <si>
    <t>5-2-1102邓正华</t>
  </si>
  <si>
    <t>5-4-501赵洪芳</t>
  </si>
  <si>
    <t>5-2-1101邓正华</t>
  </si>
  <si>
    <t>1-101、1-102、1-103房王金川</t>
  </si>
  <si>
    <t>7-2-301王岩</t>
  </si>
  <si>
    <t>7-2-802退汪永洁房款</t>
  </si>
  <si>
    <t>7-1-501退房胡朝辉</t>
  </si>
  <si>
    <t>1-1-302退久安消防房款</t>
  </si>
  <si>
    <t>7-3-401退房青松建化</t>
  </si>
  <si>
    <t>1-1-801退房青松建化</t>
  </si>
  <si>
    <t>6-3-101退房杨华迪（杨兰斌）</t>
  </si>
  <si>
    <t>7-3-902宋建智</t>
  </si>
  <si>
    <t>5-4-202黄建峰</t>
  </si>
  <si>
    <t>5-3-202冯兰英</t>
  </si>
  <si>
    <t>5-5-301赵秀琴</t>
  </si>
  <si>
    <t>1-4-301李建国</t>
  </si>
  <si>
    <t>6-2-601周杨</t>
  </si>
  <si>
    <t>退7-2-301房款-高新公司</t>
  </si>
  <si>
    <t>5-4-1102甘娇</t>
  </si>
  <si>
    <t>7-3-601孙毅</t>
  </si>
  <si>
    <t>5-4-902换据</t>
  </si>
  <si>
    <t>7-3-402白凤明</t>
  </si>
  <si>
    <t>退7-2-501润禾房款</t>
  </si>
  <si>
    <t>7-2-402任莲桥</t>
  </si>
  <si>
    <t>5-2-502刘志洋</t>
  </si>
  <si>
    <t>5-4-502袁洪升</t>
  </si>
  <si>
    <t>退1-1-1001润禾房款</t>
  </si>
  <si>
    <t>6-2-101王国红</t>
  </si>
  <si>
    <t>5-3-502葛伟</t>
  </si>
  <si>
    <t>5-4-302韩磊</t>
  </si>
  <si>
    <t>5-1-304尚国元</t>
  </si>
  <si>
    <t>5-1-401杨小芳</t>
  </si>
  <si>
    <t>1-3-301张小营</t>
  </si>
  <si>
    <t>5-4-601何存钱</t>
  </si>
  <si>
    <t>退7-3-902宋建智</t>
  </si>
  <si>
    <t>调6月37#凭证</t>
  </si>
  <si>
    <t>4-3-202冯强</t>
  </si>
  <si>
    <t>5-3-602曹宛新</t>
  </si>
  <si>
    <t>5-3-401杨友英</t>
  </si>
  <si>
    <t>5-1-701阮宏梅</t>
  </si>
  <si>
    <t>5-3-501刘德升</t>
  </si>
  <si>
    <t>5-2-302向敬</t>
  </si>
  <si>
    <t>5-4-301丁俊美</t>
  </si>
  <si>
    <t>5-3-1102李珊珊</t>
  </si>
  <si>
    <t>5-3-802田苗</t>
  </si>
  <si>
    <t>5-4-901李保林</t>
  </si>
  <si>
    <t>5-1-404赛买提</t>
  </si>
  <si>
    <t xml:space="preserve">5-4-501赵洪芳 </t>
  </si>
  <si>
    <t>5-1-501廖先琼</t>
  </si>
  <si>
    <t>5-1-701阮红梅</t>
  </si>
  <si>
    <t>5-3-901郑琼芳</t>
  </si>
  <si>
    <t>7-1-501胡朝晖退房款</t>
  </si>
  <si>
    <t>5-3-301徐跃</t>
  </si>
  <si>
    <t>5-4-1101王书梅</t>
  </si>
  <si>
    <t>7-2-402退房款</t>
  </si>
  <si>
    <t>5-3-302黄仁红</t>
  </si>
  <si>
    <t>7-1-501杨晓虎</t>
  </si>
  <si>
    <t>5-5-304葛洪武</t>
  </si>
  <si>
    <t>5-2-1101刘伟云</t>
  </si>
  <si>
    <t>5-2-1102刘伟云</t>
  </si>
  <si>
    <t>退康泰公寓住户房款</t>
  </si>
  <si>
    <t>康泰住户</t>
  </si>
  <si>
    <t>5-3-1002换据</t>
  </si>
  <si>
    <t>5-3-502葛丽萍</t>
  </si>
  <si>
    <t>7-1-601莫玉蓉</t>
  </si>
  <si>
    <t>5-1-601王荣梅</t>
  </si>
  <si>
    <t>5-5-203曹小怏</t>
  </si>
  <si>
    <t>5-4-801杨青云</t>
  </si>
  <si>
    <t>7-2-601陈静娜</t>
  </si>
  <si>
    <t>5-3-202冯兰英（王计雨）</t>
  </si>
  <si>
    <t>5-4-201梁春艳</t>
  </si>
  <si>
    <t>5-1-202许红</t>
  </si>
  <si>
    <t>5-2-302何敬</t>
  </si>
  <si>
    <t>5-1-301焦小雄</t>
  </si>
  <si>
    <t>5-2-501阳远珍</t>
  </si>
  <si>
    <t>5-4-701梁焕焕</t>
  </si>
  <si>
    <t>5-1-1101肖萍</t>
  </si>
  <si>
    <t>5-3-701吴红体</t>
  </si>
  <si>
    <t>5-1-203郎享斌（杜红霞）</t>
  </si>
  <si>
    <t>5-3-902刘丹</t>
  </si>
  <si>
    <t>5-4-702赵晓杰</t>
  </si>
  <si>
    <t>5-4-802李光德</t>
  </si>
  <si>
    <t>5-5-1003张昌远</t>
  </si>
  <si>
    <t>7-2-901戚树林</t>
  </si>
  <si>
    <t>7-1-301李小辉</t>
  </si>
  <si>
    <t>1-3-202谢红梅面积补交款</t>
  </si>
  <si>
    <t>7-1-701郑家洪</t>
  </si>
  <si>
    <t>5-4-1102李大俊</t>
  </si>
  <si>
    <t>5-3-301牛春辉</t>
  </si>
  <si>
    <t>5-3-401阮盛君</t>
  </si>
  <si>
    <t>4-3-202罗刚燕</t>
  </si>
  <si>
    <t>5-3-1002郑琼芳</t>
  </si>
  <si>
    <t>5-4-502袁照勋</t>
  </si>
  <si>
    <t>7-1-202梁晓斌</t>
  </si>
  <si>
    <t>5-2-402段荣强</t>
  </si>
  <si>
    <t>5-4-401陆小平</t>
  </si>
  <si>
    <t>4-2-301闫江</t>
  </si>
  <si>
    <t>7-1-201王梦洁</t>
  </si>
  <si>
    <t>7-3-302代骄阳</t>
  </si>
  <si>
    <t>7-1-502刘虹</t>
  </si>
  <si>
    <t>5-2-301蒋兵</t>
  </si>
  <si>
    <t>7-3-701林清松</t>
  </si>
  <si>
    <t>7-1-401郭怀鸽</t>
  </si>
  <si>
    <t>7-2-201张赵峰</t>
  </si>
  <si>
    <t>7-2-602彭秀梅</t>
  </si>
  <si>
    <t>7-2-202康国生</t>
  </si>
  <si>
    <t>7-2-902王树君</t>
  </si>
  <si>
    <t>7-3-702谭晓洪</t>
  </si>
  <si>
    <t>7-1-802常芳芳</t>
  </si>
  <si>
    <t>7-1-901施海涛</t>
  </si>
  <si>
    <t>1-2-501林朝霞</t>
  </si>
  <si>
    <t>1-2-602田赞</t>
  </si>
  <si>
    <t>1-2-402吴海艳</t>
  </si>
  <si>
    <t>1-2-302张昌远</t>
  </si>
  <si>
    <t>1-2-201张树敏</t>
  </si>
  <si>
    <t>5-3-902换据</t>
  </si>
  <si>
    <t>5-3-902交房款</t>
  </si>
  <si>
    <t>5-1-1103贺力罗能武</t>
  </si>
  <si>
    <t>1-3-501王玲</t>
  </si>
  <si>
    <t>1-4-602李祥辉</t>
  </si>
  <si>
    <t>1-3-201程玲杰</t>
  </si>
  <si>
    <t>5-3-202王计雨</t>
  </si>
  <si>
    <t>5-4-1001李玉</t>
  </si>
  <si>
    <t>5-2-702唐冬梅</t>
  </si>
  <si>
    <t>5-4-602张垒</t>
  </si>
  <si>
    <t>5-4-501曾详明（赵洪芳）</t>
  </si>
  <si>
    <t>5-4-1101陈彦洁（王书梅）</t>
  </si>
  <si>
    <t>5-4-402黄小英</t>
  </si>
  <si>
    <t>7-3-502田江洲</t>
  </si>
  <si>
    <t>5-3-1101石勇</t>
  </si>
  <si>
    <t>5-1-1104王小军</t>
  </si>
  <si>
    <t>5-1-1102程龙</t>
  </si>
  <si>
    <t>5-5-303张凌颇</t>
  </si>
  <si>
    <t>4-2-101武喜荣</t>
  </si>
  <si>
    <t>退7-3-502白丹丹房款</t>
  </si>
  <si>
    <t>1-2-202杨华</t>
  </si>
  <si>
    <t>5-1-504汪双宁</t>
  </si>
  <si>
    <t>马世菊退房款</t>
  </si>
  <si>
    <t>4-2-603杨天会</t>
  </si>
  <si>
    <t>5-1-201苏永碧</t>
  </si>
  <si>
    <t>5-2-601孙理祥</t>
  </si>
  <si>
    <t>退7-1-202马世菊房款</t>
  </si>
  <si>
    <t>5-1-801龙统钢</t>
  </si>
  <si>
    <t>5-1-1103罗能武</t>
  </si>
  <si>
    <t>多浪廉租房</t>
  </si>
  <si>
    <t>5-1-604王亚茹</t>
  </si>
  <si>
    <t>5-2-202姜焕亮</t>
  </si>
  <si>
    <t>5-1-204王小喜</t>
  </si>
  <si>
    <t>调6-38#凭证-青松退房</t>
  </si>
  <si>
    <t>调6-39#凭证-青松退房</t>
  </si>
  <si>
    <t>调6-48#凭证-刘全伟退房</t>
  </si>
  <si>
    <t>调6-4#凭证-李源退房</t>
  </si>
  <si>
    <t>调5-53#凭证久安消防退房款</t>
  </si>
  <si>
    <t>收据-久安消防</t>
  </si>
  <si>
    <t>调5-22#凭证-诚达</t>
  </si>
  <si>
    <t>邹仕富、王业勇工程款据</t>
  </si>
  <si>
    <t>7-2-401杜以民工程款据</t>
  </si>
  <si>
    <t>李建国-工程款据</t>
  </si>
  <si>
    <t>乔如伟-工程款据</t>
  </si>
  <si>
    <t>润禾-工程款据</t>
  </si>
  <si>
    <t>鲜时吉-工程款据</t>
  </si>
  <si>
    <t>板材装饰-工程款据</t>
  </si>
  <si>
    <t>豆世友-工程款据</t>
  </si>
  <si>
    <t>李源严晰-工程款据</t>
  </si>
  <si>
    <t>邹仕富-工程款据</t>
  </si>
  <si>
    <t>李源-工程款据</t>
  </si>
  <si>
    <t>王业勇-工程款据</t>
  </si>
  <si>
    <t>杜以民-工程款据</t>
  </si>
  <si>
    <t>陈开阳-工程款据</t>
  </si>
  <si>
    <t>青松-工程款据</t>
  </si>
  <si>
    <t>大雄砖厂-工程款据</t>
  </si>
  <si>
    <t>胡宝志-工程款据</t>
  </si>
  <si>
    <t>尚振安-工程款据</t>
  </si>
  <si>
    <t>海王星-工程款据</t>
  </si>
  <si>
    <t>退房款-杜以民</t>
  </si>
  <si>
    <t>王金川房款1#楼2-6层</t>
  </si>
  <si>
    <t>5-2-701马世菊退房款</t>
  </si>
  <si>
    <t>5-3-1001刘中友</t>
  </si>
  <si>
    <t>5-2-602刘鑫</t>
  </si>
  <si>
    <t>5-2-701刘贵峰</t>
  </si>
  <si>
    <t>5-1-901周平花</t>
  </si>
  <si>
    <t>0347</t>
  </si>
  <si>
    <t>1-1-601方堃</t>
  </si>
  <si>
    <t>5-4-402黄小英退房款</t>
  </si>
  <si>
    <t>退5-2-602、1-1-601房款</t>
  </si>
  <si>
    <t>调2016年11月34#凭证</t>
  </si>
  <si>
    <t>调2016年12月81#凭证</t>
  </si>
  <si>
    <t>调2016年6月5#、6月59#、5月14#、6月7#、9月26#凭证</t>
  </si>
  <si>
    <t>转款</t>
  </si>
  <si>
    <t>1-2-502田海涛</t>
  </si>
  <si>
    <t>孙广清门面房5-101</t>
  </si>
  <si>
    <t>雷良华房款1#楼-1-7</t>
  </si>
  <si>
    <t>1#楼1-7</t>
  </si>
  <si>
    <t>6-4-601石垒</t>
  </si>
  <si>
    <t>5-3-702乔永刚</t>
  </si>
  <si>
    <t>5-3-1001刘朝红</t>
  </si>
  <si>
    <t>5-1-1004罗勇</t>
  </si>
  <si>
    <t>5-1-1001罗爱民</t>
  </si>
  <si>
    <t>5-1-204齐东厚</t>
  </si>
  <si>
    <t>4-2-502艾则孜·亚森</t>
  </si>
  <si>
    <t>1-3-502安外尔·图尼亚孜</t>
  </si>
  <si>
    <t>5-3-702齐永刚</t>
  </si>
  <si>
    <t>1-3-401周亚琴</t>
  </si>
  <si>
    <t>1#1-7雷良华</t>
  </si>
  <si>
    <t>5-4-1002吴增军</t>
  </si>
  <si>
    <t>5-1-804李勇</t>
  </si>
  <si>
    <t>0356</t>
  </si>
  <si>
    <t>5-1-901周平华</t>
  </si>
  <si>
    <t>5-104-1门面房梁春艳</t>
  </si>
  <si>
    <t>5-101门面孙广涛</t>
  </si>
  <si>
    <t>1-1-701沈仁贤</t>
  </si>
  <si>
    <t>5-104-1梁春艳门面租金</t>
  </si>
  <si>
    <t>调2016年8月43#与48#凭证-雷良华</t>
  </si>
  <si>
    <t>5-5-1101李飞</t>
  </si>
  <si>
    <t>退5-1-1001七星红星机电厂房款</t>
  </si>
  <si>
    <t>李冬松、刘善学工程款</t>
  </si>
  <si>
    <t>退3-1-201房款</t>
  </si>
  <si>
    <t>退6-4-402房款</t>
  </si>
  <si>
    <t>退4-1-201房款</t>
  </si>
  <si>
    <t>退3-1-602房款</t>
  </si>
  <si>
    <t>退7-2-202房款</t>
  </si>
  <si>
    <t>退6-4-202房款</t>
  </si>
  <si>
    <t>退3-2-301房款</t>
  </si>
  <si>
    <t>退6-1-302房款</t>
  </si>
  <si>
    <t>退6-4-201房款</t>
  </si>
  <si>
    <t>退3-2-402房款</t>
  </si>
  <si>
    <t>退3-2-401房款</t>
  </si>
  <si>
    <t>退3-1-102房款</t>
  </si>
  <si>
    <t>退4-1-202房款</t>
  </si>
  <si>
    <t>退3-1-302房款</t>
  </si>
  <si>
    <t>退6-1-201房款</t>
  </si>
  <si>
    <t>退6-2-401房款</t>
  </si>
  <si>
    <t>退3-1-202房款</t>
  </si>
  <si>
    <t>退3-2-501房款</t>
  </si>
  <si>
    <t>退3-1-402房款</t>
  </si>
  <si>
    <t>退3-2-502房款</t>
  </si>
  <si>
    <t>退3-2-302房款</t>
  </si>
  <si>
    <t>退6-3-302、3-1-102、6-2-501房款</t>
  </si>
  <si>
    <t>退6-3-402、6-3-401、6-3-602房款</t>
  </si>
  <si>
    <t>退6-1-101房款</t>
  </si>
  <si>
    <t>退4-2-601房款</t>
  </si>
  <si>
    <t>退6-3-601房款</t>
  </si>
  <si>
    <t>退4-2-401房款</t>
  </si>
  <si>
    <t>退3-1-101、3-2-202房款</t>
  </si>
  <si>
    <t>退3-1-301、3-1-501、6-1-401房款</t>
  </si>
  <si>
    <t>退3-1-401、3-1-502房款</t>
  </si>
  <si>
    <t>退6-1-301房款</t>
  </si>
  <si>
    <t>退3-2-601、3-1-401房款</t>
  </si>
  <si>
    <t>退6-1-502房款</t>
  </si>
  <si>
    <t>退6-4-501房款</t>
  </si>
  <si>
    <t>5-5-503李海清</t>
  </si>
  <si>
    <t>0359</t>
  </si>
  <si>
    <t>退6-2-302房款</t>
  </si>
  <si>
    <t>退6-4-302房款</t>
  </si>
  <si>
    <t>退6-3-501房款</t>
  </si>
  <si>
    <t>退6-3-201房款</t>
  </si>
  <si>
    <t>退6-1-402房款</t>
  </si>
  <si>
    <t>退4-2-403房款</t>
  </si>
  <si>
    <t>退4-1-401房款</t>
  </si>
  <si>
    <t>退6-4-602房款</t>
  </si>
  <si>
    <t>退3-2-602房款</t>
  </si>
  <si>
    <t>退6-2-402房款</t>
  </si>
  <si>
    <t>退4-1-301房款</t>
  </si>
  <si>
    <t>退4-1-302房款</t>
  </si>
  <si>
    <t>退7-4-101房款</t>
  </si>
  <si>
    <t>1-3-502图尼亚孜·如孜</t>
  </si>
  <si>
    <t>4-2-502艾则孜·如孜</t>
  </si>
  <si>
    <t>7-1-902买合木提</t>
  </si>
  <si>
    <t>其他应付款转入应为337901元，不含税金额为321810.48</t>
  </si>
  <si>
    <t>退7-1-902卢根房款</t>
  </si>
  <si>
    <t>退6-3-301房款</t>
  </si>
  <si>
    <t>退7-4-301房款</t>
  </si>
  <si>
    <t>退6-4-502房款</t>
  </si>
  <si>
    <t>退4-3-401房款</t>
  </si>
  <si>
    <t>5-5-1104玉苏莆·吾休尔</t>
  </si>
  <si>
    <t>5-5-1103艾合买提江·阿巴拜克力</t>
  </si>
  <si>
    <t>七星红星厂工程款</t>
  </si>
  <si>
    <t>5-5-703米吉提·艾克热木</t>
  </si>
  <si>
    <t>0363</t>
  </si>
  <si>
    <t>退5-5-303张凌颇</t>
  </si>
  <si>
    <t>退6-2-502张聪房款</t>
  </si>
  <si>
    <t>雷良华房款</t>
  </si>
  <si>
    <t>5-3-1001刘朝江房款</t>
  </si>
  <si>
    <t>1-2-301代国寿房款</t>
  </si>
  <si>
    <t>5-1-901王德军房款</t>
  </si>
  <si>
    <t>6-4-601石垒房款</t>
  </si>
  <si>
    <t>5-5-1103艾合买提江·阿巴拜克力房款</t>
  </si>
  <si>
    <t>5-5-1104玉素莆·吾休尔房款</t>
  </si>
  <si>
    <t>5-1-504汪双宇房款</t>
  </si>
  <si>
    <t>1-4-401赵小弟房款</t>
  </si>
  <si>
    <t>5-3-702乔永刚房款</t>
  </si>
  <si>
    <t>5-1-804李勇房款</t>
  </si>
  <si>
    <t>5-5-601张丛伟房款</t>
  </si>
  <si>
    <t>5-5-602张丛伟房款</t>
  </si>
  <si>
    <t>5-104-1梁春艳</t>
  </si>
  <si>
    <t>5-103洪雪玲（门面房款)</t>
  </si>
  <si>
    <t>7-2-701李安伦房款</t>
  </si>
  <si>
    <t>退房款</t>
  </si>
  <si>
    <t>5-103门面房</t>
  </si>
  <si>
    <t>5-1-704雷强房款</t>
  </si>
  <si>
    <t>5-5-703米吉提·艾克热木房款</t>
  </si>
  <si>
    <t>5-5-303刘月华房款</t>
  </si>
  <si>
    <t>5-5-401/5-5-402李瑞房款</t>
  </si>
  <si>
    <t>5-5-401/5-5402</t>
  </si>
  <si>
    <t>5-5-401/5-5-402</t>
  </si>
  <si>
    <t>1-3-401艾力·塔西房款</t>
  </si>
  <si>
    <t>4-3-101高红云房款</t>
  </si>
  <si>
    <t>0374</t>
  </si>
  <si>
    <t>5-5-401.402李瑞房款</t>
  </si>
  <si>
    <t>退抵账房款7-2-701</t>
  </si>
  <si>
    <t>5-1-302休克尔·阿巴斯房款</t>
  </si>
  <si>
    <t>0376</t>
  </si>
  <si>
    <t>5-4-902王中会房款</t>
  </si>
  <si>
    <t>5-5-702丁梦楠房款</t>
  </si>
  <si>
    <t>0377</t>
  </si>
  <si>
    <t>5-5-701丁梦楠房款</t>
  </si>
  <si>
    <t>0378</t>
  </si>
  <si>
    <t>收1-3-401艾力·塔西房款</t>
  </si>
  <si>
    <t>5-5-504胡文治房款</t>
  </si>
  <si>
    <t>0379</t>
  </si>
  <si>
    <t>5-2-201曹强房款</t>
  </si>
  <si>
    <t>0380</t>
  </si>
  <si>
    <t>5-5-402张冠杰房款</t>
  </si>
  <si>
    <t>付抵账房5-3-702房款</t>
  </si>
  <si>
    <t>5-5-401张冠杰房款</t>
  </si>
  <si>
    <t>5-5-501张孝新房款</t>
  </si>
  <si>
    <t>0382</t>
  </si>
  <si>
    <t>5-5-502张孝新房款</t>
  </si>
  <si>
    <t>0383</t>
  </si>
  <si>
    <t>5-3-901李铁军房款</t>
  </si>
  <si>
    <t>5-3-802叶阿听房款</t>
  </si>
  <si>
    <t>5-103洪雪玲房款</t>
  </si>
  <si>
    <t>收5-5-904李大国房款</t>
  </si>
  <si>
    <t>0384</t>
  </si>
  <si>
    <t>5-5-904李大国房款</t>
  </si>
  <si>
    <t>收5-1-302休克尔·阿巴斯房款</t>
  </si>
  <si>
    <t>5-3-801浦永勇房款</t>
  </si>
  <si>
    <t>5-1-402陈伟霞房款</t>
  </si>
  <si>
    <t>收二医院5-5-302房款</t>
  </si>
  <si>
    <t>5-5-1002换至5-5-302</t>
  </si>
  <si>
    <t>收5-5-804艾合麦提·依布拉依木房款</t>
  </si>
  <si>
    <t>收5-101孙广涛房款</t>
  </si>
  <si>
    <t>收5-104-1梁春艳房款</t>
  </si>
  <si>
    <t>收5-5-1102王永莲房款</t>
  </si>
  <si>
    <t>收5-5-1101王永莲房款</t>
  </si>
  <si>
    <t>收5-5-803帕力瓦尼·艾尼房款</t>
  </si>
  <si>
    <t>收5-5-1004阿力木·吐尔迪房款</t>
  </si>
  <si>
    <t>收5-5-704刘以军房款</t>
  </si>
  <si>
    <t>收5-1-403努尔杜拉·努尔麦麦提房款</t>
  </si>
  <si>
    <t>5-5-903汗扎旦木·阿合尼亚孜房款</t>
  </si>
  <si>
    <t>5-5-901杨长林房款</t>
  </si>
  <si>
    <t>5-5-902杨长林房款</t>
  </si>
  <si>
    <t>4-3-201陈秋菊房款</t>
  </si>
  <si>
    <t>5-5-1004阿力木·吐尔迪房款</t>
  </si>
  <si>
    <t>5-5-604吐尔逊·库尔房款</t>
  </si>
  <si>
    <t>5-5-704刘从军房款</t>
  </si>
  <si>
    <t>5-5-803帕力瓦尼·艾尼房款</t>
  </si>
  <si>
    <t>5-1-303麦麦提·伊萨克房款</t>
  </si>
  <si>
    <t>4-3-302沈大钢房款</t>
  </si>
  <si>
    <t>5-5-604龙玲房款</t>
  </si>
  <si>
    <t>7-3-202施永星房款</t>
  </si>
  <si>
    <t>5-5-1101王永莲房款</t>
  </si>
  <si>
    <t>5-5-1102王永莲房款</t>
  </si>
  <si>
    <t>5-5-803帕力瓦尼·艾尼 房款</t>
  </si>
  <si>
    <t>5-1-903孙爱连房款</t>
  </si>
  <si>
    <t>5-2-401何维军房款</t>
  </si>
  <si>
    <t>1-106-1王德军房款</t>
  </si>
  <si>
    <t>1-106-1</t>
  </si>
  <si>
    <t xml:space="preserve">5-5-1102王永莲房款 </t>
  </si>
  <si>
    <t>5-5-1001吕汉云房款</t>
  </si>
  <si>
    <t>5-5-1002吕汉云房款</t>
  </si>
  <si>
    <t>退5-5-604吐尔逊·库万房款</t>
  </si>
  <si>
    <t>5-5-801/802龙统平定金</t>
  </si>
  <si>
    <t>5-5-801/802</t>
  </si>
  <si>
    <t>5-5-802龙统平房款</t>
  </si>
  <si>
    <t>5-5-801龙统平房款</t>
  </si>
  <si>
    <t>5-1-602周德红房款</t>
  </si>
  <si>
    <t>退7-4-401面积差</t>
  </si>
  <si>
    <t>退7-5-401面积差</t>
  </si>
  <si>
    <t>退6-1-202面积差</t>
  </si>
  <si>
    <t>退7-4-501面积差</t>
  </si>
  <si>
    <t>退6-3-502面积差</t>
  </si>
  <si>
    <t>退7-5-301面积差</t>
  </si>
  <si>
    <t>退7-5-302面积差</t>
  </si>
  <si>
    <t>退7-5-402面积差</t>
  </si>
  <si>
    <t>退7-4-101面积差</t>
  </si>
  <si>
    <t>退7-4-502面积差</t>
  </si>
  <si>
    <t>退7-4-302面积差</t>
  </si>
  <si>
    <t>退3-2-201面积差</t>
  </si>
  <si>
    <t>退4-3-503面积差</t>
  </si>
  <si>
    <t>退6-2-301面积差</t>
  </si>
  <si>
    <t>退6-1-501面积差</t>
  </si>
  <si>
    <t>1-107雷良华商铺款</t>
  </si>
  <si>
    <t>0453</t>
  </si>
  <si>
    <t>1-107</t>
  </si>
  <si>
    <t>5-1-403努尔杜拉·努尔麦麦提房款</t>
  </si>
  <si>
    <t>收王金川门面房款</t>
  </si>
  <si>
    <t>4-3-302沈大钢建行放贷款</t>
  </si>
  <si>
    <t>5-5-902杨长林建行放贷款</t>
  </si>
  <si>
    <t>5-5-901杨长林建行放贷款</t>
  </si>
  <si>
    <t>5-5-701丁梦楠建行放贷款</t>
  </si>
  <si>
    <t>5-5-702丁梦楠建行放贷款</t>
  </si>
  <si>
    <t>4-3-201陈秋菊建行放贷款</t>
  </si>
  <si>
    <t>5-2-401何维军建行放贷款</t>
  </si>
  <si>
    <t>退5-5-1101李飞定金</t>
  </si>
  <si>
    <t>收5-1-303麦麦提·伊萨克建行放贷款</t>
  </si>
  <si>
    <t>收5-103洪雪玲首付补交款</t>
  </si>
  <si>
    <t>收5-1-602周德红房款</t>
  </si>
  <si>
    <t>收5-5-802龙统平房款</t>
  </si>
  <si>
    <t>收5-1-704雷强房款</t>
  </si>
  <si>
    <t>收5-1-603赵安琦房款</t>
  </si>
  <si>
    <t>收5-5-204宫现海房款</t>
  </si>
  <si>
    <t>收5-5-201亚森·库尔班房款</t>
  </si>
  <si>
    <t>实际房号应为5-1-802</t>
  </si>
  <si>
    <t>收5-1-803吕承国房款</t>
  </si>
  <si>
    <t>收5-1-703范丹丹房款</t>
  </si>
  <si>
    <t>收5-101孙广涛商铺还款</t>
  </si>
  <si>
    <t>收到5-5-704刘从军银行住房贷款</t>
  </si>
  <si>
    <t>收到5-104-01梁春艳商铺还款</t>
  </si>
  <si>
    <t>收5-5-604龙祥国房款</t>
  </si>
  <si>
    <t>收5-1-502贾冬梅房款</t>
  </si>
  <si>
    <t>收5-1-902张小霞房款</t>
  </si>
  <si>
    <t>收5-1-1002乔俊豪房款</t>
  </si>
  <si>
    <t>退5-2-401房款</t>
  </si>
  <si>
    <t>收1-4-401康泰公寓赵小弟房款</t>
  </si>
  <si>
    <t>收康泰公寓5-5-903汗扎旦木房款</t>
  </si>
  <si>
    <t>收5-1-802亚森·库尔班房款</t>
  </si>
  <si>
    <t>收5-3-901杨淑芳房款</t>
  </si>
  <si>
    <t>收5-5-801龙统平房款</t>
  </si>
  <si>
    <t>付工程款（康泰1#108-01）</t>
  </si>
  <si>
    <t>0511</t>
  </si>
  <si>
    <t>1-108-1</t>
  </si>
  <si>
    <t>退5-1-802亚森·库尔班房款</t>
  </si>
  <si>
    <t>收5-1-603任勇芳房款</t>
  </si>
  <si>
    <t>收5-1-603任永芳房款</t>
  </si>
  <si>
    <t>收5-103洪雪玲首付还款</t>
  </si>
  <si>
    <t>收4-2-201韩梅先房款</t>
  </si>
  <si>
    <t>收1-4-401赵小弟房款</t>
  </si>
  <si>
    <t>收1-103刘永平商铺定金款</t>
  </si>
  <si>
    <t>1-103</t>
  </si>
  <si>
    <t>收1-103刘永平商铺保证金</t>
  </si>
  <si>
    <t>收新项目多浪A区2-3-202塔依尔·萨吾特房款</t>
  </si>
  <si>
    <t>多浪小镇</t>
  </si>
  <si>
    <t>收新项目A1-1-502麦合木提·木塔力甫房款</t>
  </si>
  <si>
    <t>收5-1-1002乔俊豪工行放贷房款</t>
  </si>
  <si>
    <t>收1-103刘永平房款</t>
  </si>
  <si>
    <t>收多浪A2-1-202古丽尼沙·托乎提房款</t>
  </si>
  <si>
    <t>收多浪A3-1-302古尼沙汗·买买提</t>
  </si>
  <si>
    <t>收5-5-603孙广涛房款</t>
  </si>
  <si>
    <t>退5-1-603房款订金</t>
  </si>
  <si>
    <t>收5-5-201陈海洪房款</t>
  </si>
  <si>
    <t>收A3-1-202吐尔孙·玉散诚意金</t>
  </si>
  <si>
    <t>0443</t>
  </si>
  <si>
    <t>收5-1-902张小霞工行放贷房款</t>
  </si>
  <si>
    <t>收5-1-603任永芳工行放贷房款</t>
  </si>
  <si>
    <t>收5-1-802任中春房款</t>
  </si>
  <si>
    <t>收A3-3-302热汗古力·麦麦提诚意金</t>
  </si>
  <si>
    <t>0444</t>
  </si>
  <si>
    <t>收A1-1-201吐热克·乃麦提诚意金</t>
  </si>
  <si>
    <t>0445</t>
  </si>
  <si>
    <t>收A1-1-202阿布都依木·阿不来提诚意金</t>
  </si>
  <si>
    <t>0447</t>
  </si>
  <si>
    <t>收A1-2-501玉素普·麦麦提诚意金</t>
  </si>
  <si>
    <t>0448</t>
  </si>
  <si>
    <t>收A3-1-402沙热木·阿不力孜诚意金</t>
  </si>
  <si>
    <t>0449</t>
  </si>
  <si>
    <t>收5-1-503谭晓梅房款</t>
  </si>
  <si>
    <t>收A3-3-402阿布都萨拉木·库瓦万诚意金</t>
  </si>
  <si>
    <t>0450</t>
  </si>
  <si>
    <t>收5-104-1梁春艳首付款</t>
  </si>
  <si>
    <t>收5-1-502贾冬梅工行放贷房款</t>
  </si>
  <si>
    <t>退5-5-201房款</t>
  </si>
  <si>
    <t>银行房款4-2-201房款</t>
  </si>
  <si>
    <t>退5-5-603房款</t>
  </si>
  <si>
    <t>收5-1-503谭晓梅建行放贷款</t>
  </si>
  <si>
    <t>收5-1-802任中春建行放贷款</t>
  </si>
  <si>
    <t>收5-5-1003张昌远房款</t>
  </si>
  <si>
    <t>支康泰抵账房5-1-503回款</t>
  </si>
  <si>
    <t>收A4-6-201古力尼萨·麦麦提房款</t>
  </si>
  <si>
    <t>0472</t>
  </si>
  <si>
    <t>收5-110-1青维刚补门面款</t>
  </si>
  <si>
    <t>0462</t>
  </si>
  <si>
    <t>收城乡建设发展集团房款</t>
  </si>
  <si>
    <t>0471</t>
  </si>
  <si>
    <t>多浪小镇安置房</t>
  </si>
  <si>
    <t>收A1-2-402阿卜拉江·麦麦提伊敏房款</t>
  </si>
  <si>
    <t>0458</t>
  </si>
  <si>
    <t>收A4-6-302莫敏·热西提房款</t>
  </si>
  <si>
    <t>0463</t>
  </si>
  <si>
    <t>收A2-2-202布阿依先木·哈力克房款</t>
  </si>
  <si>
    <t>0464</t>
  </si>
  <si>
    <t>收A3-2-402古尼沙汗·买买提房款</t>
  </si>
  <si>
    <t>0465</t>
  </si>
  <si>
    <t>收A4-6-501艾合提·热合曼房款</t>
  </si>
  <si>
    <t>0466</t>
  </si>
  <si>
    <t>收A2-3-602布黑力且木·麦吐尔迪房款</t>
  </si>
  <si>
    <t>0454</t>
  </si>
  <si>
    <t>收A2-1-202古丽泥沙·托乎提房款</t>
  </si>
  <si>
    <t>收A3-3-202吐逊古丽·艾麦尔房款</t>
  </si>
  <si>
    <t>0467</t>
  </si>
  <si>
    <t>收A2-1-602图尔贡·阿卜拉房款</t>
  </si>
  <si>
    <t>0468</t>
  </si>
  <si>
    <t>收A4-3-201阿巴斯·阿吾提房款</t>
  </si>
  <si>
    <t>0469</t>
  </si>
  <si>
    <t>收A1-1号阿斯艳·祖努房款</t>
  </si>
  <si>
    <t>0470</t>
  </si>
  <si>
    <t>A1-1</t>
  </si>
  <si>
    <t>收A3-1-402沙热木·阿布力孜房款</t>
  </si>
  <si>
    <t>收A2-3-502图迪喀日·吾麦尔房款</t>
  </si>
  <si>
    <t>0473</t>
  </si>
  <si>
    <t>收A3-3-402阿布都萨拉木·库瓦万房款</t>
  </si>
  <si>
    <t>收A1-1-301库尔班·吾休尔房款</t>
  </si>
  <si>
    <t>0474</t>
  </si>
  <si>
    <t>收A1-1-502麦合木提·木塔力甫房款</t>
  </si>
  <si>
    <t>收A4-1-401麦合木提·图尔迪房款</t>
  </si>
  <si>
    <t>0475</t>
  </si>
  <si>
    <t>收A2-2-402艾则孜·扎克尔房款</t>
  </si>
  <si>
    <t>0476</t>
  </si>
  <si>
    <t>收A2-3-203玉素甫江·哈瓦拉房款</t>
  </si>
  <si>
    <t>0477</t>
  </si>
  <si>
    <t>收A1-2-202库尔班·麦麦提房款</t>
  </si>
  <si>
    <t>0478</t>
  </si>
  <si>
    <t>收A1-3-302努尔郎·毛拉吾提房款</t>
  </si>
  <si>
    <t>0479</t>
  </si>
  <si>
    <t>收A1-3-201阿斯牙木·阿吾提房款</t>
  </si>
  <si>
    <t>0480</t>
  </si>
  <si>
    <t>收A2-1-302木合旦·亚森房款</t>
  </si>
  <si>
    <t>0452</t>
  </si>
  <si>
    <t>收A4-1-202萨拉木·如孜房款</t>
  </si>
  <si>
    <t>0481</t>
  </si>
  <si>
    <t>收A1-1-501巴哈尔古力·吐尼亚孜房款</t>
  </si>
  <si>
    <t>0482</t>
  </si>
  <si>
    <t>收A2-1-502热西提·肉孜房款</t>
  </si>
  <si>
    <t>0483</t>
  </si>
  <si>
    <t>收A3-1-302艾科木·奥司满房款</t>
  </si>
  <si>
    <t>收A3-2-502热孜瓦尼古力·巴吐尔房款</t>
  </si>
  <si>
    <t>0484</t>
  </si>
  <si>
    <t>收A3-117号商铺江凯房款</t>
  </si>
  <si>
    <t>0485</t>
  </si>
  <si>
    <t>收A4-1-202阿不都萨拉木·肉孜房款</t>
  </si>
  <si>
    <t>收5-106孙会丽门面房款</t>
  </si>
  <si>
    <t>0486</t>
  </si>
  <si>
    <t>收A3-117江凯商铺定金</t>
  </si>
  <si>
    <t>收A2-1-502热西提·肉孜定金</t>
  </si>
  <si>
    <t>收1-109-2黄春阳门面房款</t>
  </si>
  <si>
    <t>0487</t>
  </si>
  <si>
    <t>1-109-2</t>
  </si>
  <si>
    <t>收A3-117江凯商铺房款</t>
  </si>
  <si>
    <t>收A3-1-203阿卜敦拉提普·谢尔旦房款</t>
  </si>
  <si>
    <t>0491</t>
  </si>
  <si>
    <t>收A2-2-302茹先古丽·肉孜房款</t>
  </si>
  <si>
    <t>0489</t>
  </si>
  <si>
    <t>支康泰4-2-201抵账房款</t>
  </si>
  <si>
    <t>收A1-1-202阿力木·肉孜房款</t>
  </si>
  <si>
    <t>收5-106孙会丽房款</t>
  </si>
  <si>
    <t>收A3-14商铺吐尔洪·吐尔孙房款</t>
  </si>
  <si>
    <t>0492</t>
  </si>
  <si>
    <t>A3-14</t>
  </si>
  <si>
    <t>收A3-12商铺玉苏甫·吐尔孙房款</t>
  </si>
  <si>
    <t>0493</t>
  </si>
  <si>
    <t>A3-12</t>
  </si>
  <si>
    <t>收A3-1-502阿依木萨·阿布拉房款</t>
  </si>
  <si>
    <t>0494</t>
  </si>
  <si>
    <t>收A1-104商铺努丽古丽·居买克房款</t>
  </si>
  <si>
    <t>0495</t>
  </si>
  <si>
    <t>收A1-105商铺艾麦提江·麦提尼亚孜房款</t>
  </si>
  <si>
    <t>0496</t>
  </si>
  <si>
    <t>收A3-2-602沙吾提·艾海提房款</t>
  </si>
  <si>
    <t>0497</t>
  </si>
  <si>
    <t>收A1-3-401居麦克·麦麦提房款</t>
  </si>
  <si>
    <t>0498</t>
  </si>
  <si>
    <t>收A4-3-202伊帕古丽·艾尼瓦尔房款</t>
  </si>
  <si>
    <t>0499</t>
  </si>
  <si>
    <t>收A4-6-202阿比代姆·克热木房款</t>
  </si>
  <si>
    <t>0500</t>
  </si>
  <si>
    <t>收A1-103商铺马木提·西力甫房款</t>
  </si>
  <si>
    <t>0501</t>
  </si>
  <si>
    <t>收A1-3-601阿不力米提·卡地尔房款</t>
  </si>
  <si>
    <t>0502</t>
  </si>
  <si>
    <t>收A2-112商铺何良定金</t>
  </si>
  <si>
    <t>0503</t>
  </si>
  <si>
    <t>收A1-2-302古丽齐曼·米热吾提房款</t>
  </si>
  <si>
    <t>0504</t>
  </si>
  <si>
    <t>收A1-1-602吐尔逊·阿布来提房款</t>
  </si>
  <si>
    <t>0505</t>
  </si>
  <si>
    <t>收5-106商铺孙会丽房款</t>
  </si>
  <si>
    <t>收A3-1-602阿布都热依木·托合提房款</t>
  </si>
  <si>
    <t>0455</t>
  </si>
  <si>
    <t>收康泰1-110刘巧丽商铺款</t>
  </si>
  <si>
    <t>0506</t>
  </si>
  <si>
    <t>1-110</t>
  </si>
  <si>
    <t>0507</t>
  </si>
  <si>
    <t>收A1-111玉素甫江·哈瓦拉房款</t>
  </si>
  <si>
    <t>0508</t>
  </si>
  <si>
    <t>收A2-2-602玉山·艾麦提房款</t>
  </si>
  <si>
    <t>0509</t>
  </si>
  <si>
    <t>收A1-1-402艾尼瓦·阿布拉房款</t>
  </si>
  <si>
    <t>0510</t>
  </si>
  <si>
    <t>收A4-3-302努尔比亚·阿不拉房款</t>
  </si>
  <si>
    <t>0512</t>
  </si>
  <si>
    <t>收A2-104木塔力甫·麦麦提商铺款</t>
  </si>
  <si>
    <t>0513</t>
  </si>
  <si>
    <t>收A2-116米热古丽·阿布都热依木商铺款</t>
  </si>
  <si>
    <t>0514</t>
  </si>
  <si>
    <t>收A3-3-302古力努尔·麦麦提房款</t>
  </si>
  <si>
    <t>收A4-5-202沙迪克·沙迪尔房款</t>
  </si>
  <si>
    <t>0515</t>
  </si>
  <si>
    <t>收A3-116多力坤·吐尼亚孜商铺款</t>
  </si>
  <si>
    <t>0516</t>
  </si>
  <si>
    <t>收A2-1-303阿依吐尔逊·吐尼亚孜房款</t>
  </si>
  <si>
    <t>0517</t>
  </si>
  <si>
    <t>收A4-4-202布萨热木·吐尔逊房款</t>
  </si>
  <si>
    <t>0518</t>
  </si>
  <si>
    <t>收A4-5-301库尔班江·阿布力肯木房款</t>
  </si>
  <si>
    <t>0519</t>
  </si>
  <si>
    <t>收A1-109阿依努尔·托合提房款</t>
  </si>
  <si>
    <t>0520</t>
  </si>
  <si>
    <t>收A2-105艾合麦提·依木拉木孜商铺款</t>
  </si>
  <si>
    <t>0521</t>
  </si>
  <si>
    <t>收A1-1-401（换成A12-1-202）希克·艾拉克房款</t>
  </si>
  <si>
    <t>0522</t>
  </si>
  <si>
    <t>收康泰4-1-402代国财房款</t>
  </si>
  <si>
    <t>收4-1-402代国财房款</t>
  </si>
  <si>
    <t>收A3-1-303阿布都热依木·吐尔逊房款</t>
  </si>
  <si>
    <t>0523</t>
  </si>
  <si>
    <t>收A3-106塔依尔·吾斯曼商铺款</t>
  </si>
  <si>
    <t>0524</t>
  </si>
  <si>
    <t>收A14-102安瓦尔·托胡提商铺款</t>
  </si>
  <si>
    <t>0615</t>
  </si>
  <si>
    <t>收A2-3-602吾斯曼·阿布代提房款</t>
  </si>
  <si>
    <t>收A2-111吐汗·夏木西商铺款</t>
  </si>
  <si>
    <t>0526</t>
  </si>
  <si>
    <t>收A3-2-602穆海拜提·亚森房款</t>
  </si>
  <si>
    <t>收A1-2-602阿曼古力·吾斯曼房款</t>
  </si>
  <si>
    <t>0527</t>
  </si>
  <si>
    <t>收A3-111吐尼亚孜·托合尼牙孜商铺款</t>
  </si>
  <si>
    <t>0528</t>
  </si>
  <si>
    <t>收A1-2-501再吐尼汗·肉孜房款</t>
  </si>
  <si>
    <t>收A2-3-202麦合木提·玉素甫江房款</t>
  </si>
  <si>
    <t>收A3-2-201阿迪拉·阿合尼亚孜房款</t>
  </si>
  <si>
    <t>0529</t>
  </si>
  <si>
    <t>收A3-2-203罕克孜·亚森房款</t>
  </si>
  <si>
    <t>0530</t>
  </si>
  <si>
    <t>收A2-106阿米娜木·托乎提商铺款</t>
  </si>
  <si>
    <t>0531</t>
  </si>
  <si>
    <t>收A2-112西尔艾力·克木西商铺款</t>
  </si>
  <si>
    <t>收A2-3-403麦热木尼沙汗·提来木房款</t>
  </si>
  <si>
    <t>0532</t>
  </si>
  <si>
    <t>收A1-2-301阿布都哈力克·依马木尼亚孜房款</t>
  </si>
  <si>
    <t>0533</t>
  </si>
  <si>
    <t>收A4-1-201吐尔逊古丽·吾休尔房款</t>
  </si>
  <si>
    <t>0534</t>
  </si>
  <si>
    <t>收A3-1-201阿不拉·买买提房款</t>
  </si>
  <si>
    <t>0488</t>
  </si>
  <si>
    <t>收A4-1-301帕特木汗·奥斯曼房款</t>
  </si>
  <si>
    <t>0617</t>
  </si>
  <si>
    <t>收A4-4-201艾尼瓦尔·亚生房款</t>
  </si>
  <si>
    <t>0536</t>
  </si>
  <si>
    <t>收A2-113卡哈尔·阿布都外力商铺款</t>
  </si>
  <si>
    <t>0537</t>
  </si>
  <si>
    <t>收A3-109努尔麦麦提·莫拉库万房款</t>
  </si>
  <si>
    <t>0538</t>
  </si>
  <si>
    <t>收A3-104托合提·买买提商铺款</t>
  </si>
  <si>
    <t>0539</t>
  </si>
  <si>
    <t>收A3-102阿曼古力·吐尼亚孜商铺款</t>
  </si>
  <si>
    <t>0540</t>
  </si>
  <si>
    <t>收A4-2-301帕旦木·萨木萨克房款</t>
  </si>
  <si>
    <t>0541</t>
  </si>
  <si>
    <t>收A2-106阿米纳木·托乎提商铺款</t>
  </si>
  <si>
    <t>收A4-2-302吾尔尼沙·吐尔迪房款</t>
  </si>
  <si>
    <t>0542</t>
  </si>
  <si>
    <t>收A3-2-303克力比努尔·买买提房款</t>
  </si>
  <si>
    <t>0543</t>
  </si>
  <si>
    <t>收A1-3-402玉素甫·买买提房款</t>
  </si>
  <si>
    <t>0544</t>
  </si>
  <si>
    <t>收A3-1-603阿孜古力·托合提房款</t>
  </si>
  <si>
    <t>0640</t>
  </si>
  <si>
    <t>收A4-3-301努尔曼·麦麦提房款</t>
  </si>
  <si>
    <t>0546</t>
  </si>
  <si>
    <t>收A3-102阿曼古力·吐尼亚孜房款</t>
  </si>
  <si>
    <t>收康泰1-103、104刘永平商铺款</t>
  </si>
  <si>
    <t>0626</t>
  </si>
  <si>
    <t>1-104</t>
  </si>
  <si>
    <t>收A3-117江凯商铺款</t>
  </si>
  <si>
    <t>收A2-109玉山·阿布都外力商铺款</t>
  </si>
  <si>
    <t>0548</t>
  </si>
  <si>
    <t>收康泰3-1-601魏凤苗房款</t>
  </si>
  <si>
    <t>收A1-2-302古丽齐曼房款</t>
  </si>
  <si>
    <t>收A3-111齐曼古力·阿布都热合曼商铺款</t>
  </si>
  <si>
    <t>收A4-4-301阿布力克木·阿不迪克然木房款</t>
  </si>
  <si>
    <t>0549</t>
  </si>
  <si>
    <t>收A4-3-302努尔比亚·阿布拉房款</t>
  </si>
  <si>
    <t>收A2-2-602玉山·麦麦提房款</t>
  </si>
  <si>
    <t>收A2-3-403麦麦提·甫丁房款</t>
  </si>
  <si>
    <t>收A3-3-602牙生·尼牙孜房款</t>
  </si>
  <si>
    <t>0457</t>
  </si>
  <si>
    <t>收A2-104木塔力甫·麦麦提房款</t>
  </si>
  <si>
    <t>收A3-1-403艾麦提江·图拉克房款</t>
  </si>
  <si>
    <t>0550</t>
  </si>
  <si>
    <t>收A2-107古力拜合热木·麦提尼亚孜商铺款</t>
  </si>
  <si>
    <t>0551</t>
  </si>
  <si>
    <t>收A4-3-202伊帕古力·艾尼瓦尔房款</t>
  </si>
  <si>
    <t>收A3-2-502热孜瓦古力·巴吐尔房款</t>
  </si>
  <si>
    <t>收A3-1-202吐尔洪·吐尔孙房款</t>
  </si>
  <si>
    <t>收A4-3-301努力曼·麦麦提房款</t>
  </si>
  <si>
    <t>收A1-108艾尼瓦尔·亚生商铺款</t>
  </si>
  <si>
    <t>0552</t>
  </si>
  <si>
    <t>收A3-12玉素甫·吐尔孙商铺款</t>
  </si>
  <si>
    <t>收A14-104吐尔洪·吐尔迪商铺款</t>
  </si>
  <si>
    <t>0554</t>
  </si>
  <si>
    <t>收A14-104吐尔洪·吐尔迪房款</t>
  </si>
  <si>
    <t>收A3-107艾热提·麦麦提商铺款</t>
  </si>
  <si>
    <t>0555</t>
  </si>
  <si>
    <t>收A3-3-602麦尔丹·亚森换房到C3-113商铺</t>
  </si>
  <si>
    <t>收A1-3-501换成房号A3-103阿巴拜克尔换名字艾尼瓦尔·甫拉提房款</t>
  </si>
  <si>
    <t>0641</t>
  </si>
  <si>
    <t>收A2-114阿布都克热木·阿布都热合曼商铺款</t>
  </si>
  <si>
    <t>0557</t>
  </si>
  <si>
    <t>收A1-105艾麦提江·麦提尼亚孜商铺款</t>
  </si>
  <si>
    <t>收A1-101阿斯艳·祖努商铺款</t>
  </si>
  <si>
    <t>0558</t>
  </si>
  <si>
    <t>收5-106孙会丽商铺款</t>
  </si>
  <si>
    <t>收A2-2-502合丽切木·乃麦提房款</t>
  </si>
  <si>
    <t>0559</t>
  </si>
  <si>
    <t>收A2-3-402阿纳尔古力·依明房款</t>
  </si>
  <si>
    <t>0560</t>
  </si>
  <si>
    <t>收A4-5-302麦合木提·麦麦提房款</t>
  </si>
  <si>
    <t>0561</t>
  </si>
  <si>
    <t>收A1-2-501玉素甫·麦麦提房款</t>
  </si>
  <si>
    <t>收A2-2-303吐热汗·司马义房款</t>
  </si>
  <si>
    <t>0562</t>
  </si>
  <si>
    <t>收A2-3-503艾力亚尔·阿布迪格尼房款</t>
  </si>
  <si>
    <t>0563</t>
  </si>
  <si>
    <t>收A2-112西尔艾力·先木西房款</t>
  </si>
  <si>
    <t>收A2-1-203麦热木尼沙汗·提来木房款</t>
  </si>
  <si>
    <t>0564</t>
  </si>
  <si>
    <t>收A1-109阿依努尔·托合提商铺款</t>
  </si>
  <si>
    <t>收A4-5-202阿斯古丽·尼亚孜房款</t>
  </si>
  <si>
    <t>收A3-108麦合木提·艾麦提房款</t>
  </si>
  <si>
    <t>0565</t>
  </si>
  <si>
    <t>收A3-3-502左力胡马·司马义房款</t>
  </si>
  <si>
    <t>0566</t>
  </si>
  <si>
    <t>收康泰3-1-601魏凤苗建行放贷款</t>
  </si>
  <si>
    <t>收A2-3-301吐洪·阿巴斯房款</t>
  </si>
  <si>
    <t>0567</t>
  </si>
  <si>
    <t>收A2-2-301龚维江房款</t>
  </si>
  <si>
    <t>0568</t>
  </si>
  <si>
    <t>收A1-3-601再吐尼汗·肉孜房款</t>
  </si>
  <si>
    <t>收A14-105赛买提江·吐尔迪商铺款</t>
  </si>
  <si>
    <t>0569</t>
  </si>
  <si>
    <t>收A14-106月热麦提·艾力商铺款</t>
  </si>
  <si>
    <t>0570</t>
  </si>
  <si>
    <t>收A2-1-502热西提·肉孜建行放贷款</t>
  </si>
  <si>
    <t>收A1-1-401肯然木·牙生房款</t>
  </si>
  <si>
    <t>收A2-3-502图迪喀日·吾麦尔建行放贷款</t>
  </si>
  <si>
    <t>收A1-2-202库尔班·麦麦提建行放贷款</t>
  </si>
  <si>
    <t>收A2-1-602图尔贡·阿卜拉建行放贷款</t>
  </si>
  <si>
    <t>收A1-1-502麦合木提·木塔力甫建行放贷款</t>
  </si>
  <si>
    <t>退康泰1-109-2黄春阳商铺款</t>
  </si>
  <si>
    <t>收A1-1-201帕旦木·阿不来提房款</t>
  </si>
  <si>
    <t>收康泰4-1-402代国财建行放贷款</t>
  </si>
  <si>
    <t>收A1-3-301吐尔逊·阿不都热西提房款</t>
  </si>
  <si>
    <t>0571</t>
  </si>
  <si>
    <t>收A4-2-401阿热孜古丽·吐尔逊房款</t>
  </si>
  <si>
    <t>0572</t>
  </si>
  <si>
    <t>收A2-2-203吾斯曼·艾买提房款</t>
  </si>
  <si>
    <t>0573</t>
  </si>
  <si>
    <t>收A4-2-602阿布拉·麦麦提房款</t>
  </si>
  <si>
    <t>0574</t>
  </si>
  <si>
    <t>收A2-2-201艾热提·艾海提房款</t>
  </si>
  <si>
    <t>0575</t>
  </si>
  <si>
    <t>收A1-104努丽古丽·居买克房款</t>
  </si>
  <si>
    <t>收A3-2-301吾斯曼·阿巴白克房款</t>
  </si>
  <si>
    <t>0576</t>
  </si>
  <si>
    <t>收A4-2-201乃买提·阿木提房款</t>
  </si>
  <si>
    <t>0577</t>
  </si>
  <si>
    <t>收康泰5-108刘巧丽商铺款</t>
  </si>
  <si>
    <t>0578</t>
  </si>
  <si>
    <t>收康泰5-2-101刘巧丽房款</t>
  </si>
  <si>
    <t>0579</t>
  </si>
  <si>
    <t>收A4-3-301努尔曼·麦麦提公积金放贷款</t>
  </si>
  <si>
    <t>收A3-1-602阿布都热依木·托合提建行放贷款</t>
  </si>
  <si>
    <t>收A1-3-201阿斯牙木·阿吾提建行放贷款</t>
  </si>
  <si>
    <t>收A4-6-201古力尼萨·麦麦提建行放贷款</t>
  </si>
  <si>
    <t>收A4-1-401麦合木提·图尔迪建行放贷款</t>
  </si>
  <si>
    <t>收A3-1-201阿不拉·买买提建行放贷款</t>
  </si>
  <si>
    <t>收A1-1-501阿布拉·坎拜尔建行放贷款</t>
  </si>
  <si>
    <t>收A4-6-501艾合提·热合曼建行放贷款</t>
  </si>
  <si>
    <t>收A1-2-302古丽齐曼·米热吾提建行放贷款</t>
  </si>
  <si>
    <t>收A4-4-301阿布力克木·阿不迪克然木建行放贷款</t>
  </si>
  <si>
    <t>收A1-1-602吐尔逊·阿布来提建行放贷款</t>
  </si>
  <si>
    <t>收A4-3-401艾沙·提力瓦里地房款</t>
  </si>
  <si>
    <t>0580</t>
  </si>
  <si>
    <t>收A3-2-202阿依先木·热合曼房款</t>
  </si>
  <si>
    <t>0581</t>
  </si>
  <si>
    <t>收A1-1-302古力巴哈尔·阿皮孜房款</t>
  </si>
  <si>
    <t>0582</t>
  </si>
  <si>
    <t>收A3-3-403努尔麦麦提·尕依提房款</t>
  </si>
  <si>
    <t>0583</t>
  </si>
  <si>
    <t>收A2-1-402阿玛尼古丽·宝丁房款</t>
  </si>
  <si>
    <t>0584</t>
  </si>
  <si>
    <t>收A2-1-403奥斯曼江·玉苏甫房款</t>
  </si>
  <si>
    <t>0585</t>
  </si>
  <si>
    <t>收A4-6-402吾尔尼萨·库尔班房款</t>
  </si>
  <si>
    <t>0604</t>
  </si>
  <si>
    <t>收A3-2-403肉孜·赛麦提房款</t>
  </si>
  <si>
    <t>0586</t>
  </si>
  <si>
    <t>收A3-2-302吾尼切木·白克热房款</t>
  </si>
  <si>
    <t>0587</t>
  </si>
  <si>
    <t>收A14-108肉孜古力·尼亚孜商铺款</t>
  </si>
  <si>
    <t>0588</t>
  </si>
  <si>
    <t>收A1-2-201阿依古力·哈斯木房款</t>
  </si>
  <si>
    <t>0589</t>
  </si>
  <si>
    <t>收A2-1-303阿依吐尔逊·吐尼亚孜公积金放贷款</t>
  </si>
  <si>
    <t>收A1-110艾买尔·那买提商铺款</t>
  </si>
  <si>
    <t>0590</t>
  </si>
  <si>
    <t>收A3-3-503苏比努尔·牙生房款</t>
  </si>
  <si>
    <t>0591</t>
  </si>
  <si>
    <t>收A4-5-201多里昆·牙森房款</t>
  </si>
  <si>
    <t>0592</t>
  </si>
  <si>
    <t>收A14-103古力阿依先·库万房款</t>
  </si>
  <si>
    <t>0593</t>
  </si>
  <si>
    <t>收A1-2-401塔依尔·吐尔逊房款</t>
  </si>
  <si>
    <t>0594</t>
  </si>
  <si>
    <t>收A4-6-202艾热提·米吉提房款</t>
  </si>
  <si>
    <t>收A3-1-402沙热木·阿布力孜建行放贷款</t>
  </si>
  <si>
    <t>收A1-2-501玉素甫·麦麦提建行放贷款</t>
  </si>
  <si>
    <t>收A3-2-602穆海拜提·亚森建行放贷款</t>
  </si>
  <si>
    <t>收A2-1-302木合旦·亚森建行放贷款</t>
  </si>
  <si>
    <t>收A4-5-302麦合木提·麦麦提建行放贷款</t>
  </si>
  <si>
    <t>收A3-1-302艾科木·奥司满建行放贷款</t>
  </si>
  <si>
    <t>收A1-3-402玉素甫·买买提建行放贷款</t>
  </si>
  <si>
    <t>收A1-3-401居麦克·麦麦提建行放贷款</t>
  </si>
  <si>
    <t>收A2-3-503艾力牙尔·阿布迪格尼建行放贷款</t>
  </si>
  <si>
    <t>收A4-1-202萨拉木·如孜建行放贷款</t>
  </si>
  <si>
    <t>调2019年5月27#凭证 A4-2-301</t>
  </si>
  <si>
    <t>调2019.6.65#凭证 A1-1-202阿布都热依木·阿不来提诚意金</t>
  </si>
  <si>
    <t>收A1-3-502图尔贡·阿西尔房款</t>
  </si>
  <si>
    <t>0596</t>
  </si>
  <si>
    <t>收A4-2-202吐尔洪·托乎尼亚孜房款</t>
  </si>
  <si>
    <t>0597</t>
  </si>
  <si>
    <t>收A14-103古力阿依先·库万商铺款</t>
  </si>
  <si>
    <t>收A2-3-302喀斯木·艾则木房款</t>
  </si>
  <si>
    <t>0598</t>
  </si>
  <si>
    <t>收A3-1-303阿不都热依木·吐尔逊房款</t>
  </si>
  <si>
    <t>收A2-3-201吐尼萨克孜·沙依木房款</t>
  </si>
  <si>
    <t>0599</t>
  </si>
  <si>
    <t>收A1-111玉素甫江·哈瓦拉商铺款</t>
  </si>
  <si>
    <t>收A2-1-202阿布都拉·那斯尔房款</t>
  </si>
  <si>
    <t>收A4-2-501木尼然木·巴吐尔房款</t>
  </si>
  <si>
    <t>0601</t>
  </si>
  <si>
    <t>收A14-101古力米热·阿吾提商铺款</t>
  </si>
  <si>
    <t>0602</t>
  </si>
  <si>
    <t>收A14-201古力米热·阿吾提商铺款</t>
  </si>
  <si>
    <t>0603</t>
  </si>
  <si>
    <t>收A3-112玉素甫·吐尔孙商铺款</t>
  </si>
  <si>
    <t>0553</t>
  </si>
  <si>
    <t>收A1-102吐热克·乃麦提商铺款</t>
  </si>
  <si>
    <t>0605</t>
  </si>
  <si>
    <t>收A1-2-601阿斯艳木·吐逊房款</t>
  </si>
  <si>
    <t>0606</t>
  </si>
  <si>
    <t>收A3-3-502吐尔迪·先木西建行放贷款</t>
  </si>
  <si>
    <t>支A1-1-201吐热克·乃麦提诚意金</t>
  </si>
  <si>
    <t>收A4-4-502艾沙·木塔力甫房款</t>
  </si>
  <si>
    <t>0607</t>
  </si>
  <si>
    <t>收A4-4-302阿卜杜热伊木·阿卜来提房款</t>
  </si>
  <si>
    <t>0608</t>
  </si>
  <si>
    <t>收A1-1-202古力扎尔·玉素甫房款</t>
  </si>
  <si>
    <t>收A3-2-301哈斯艳提·马木提房款</t>
  </si>
  <si>
    <t>收A1-3-202木塔力甫·麦麦提房款</t>
  </si>
  <si>
    <t>0456</t>
  </si>
  <si>
    <t>收A2-3-201多鲁洪江·牙生房款</t>
  </si>
  <si>
    <t>退康泰6-3-202李华生面积差额款</t>
  </si>
  <si>
    <t>收康泰1-103刘永平商铺款</t>
  </si>
  <si>
    <t>收A4-4-201帕提古力·亚生江房款</t>
  </si>
  <si>
    <t>收A3-112玉苏甫·吐尔孙商铺款</t>
  </si>
  <si>
    <t>收A2-2-602穆萨·阿卜力米提房款</t>
  </si>
  <si>
    <t>收A4-5-401努尔麦麦提·库尔班房款</t>
  </si>
  <si>
    <t>0609</t>
  </si>
  <si>
    <t>收A1-104努丽古丽·居买克商铺款</t>
  </si>
  <si>
    <t>收A3-2-402古尼沙汗·买买提建行放贷款</t>
  </si>
  <si>
    <t>收A2-1-202阿布都拉·那斯尔建行放贷款</t>
  </si>
  <si>
    <t>收A2-1-403奥斯曼江·玉苏甫建行放贷款</t>
  </si>
  <si>
    <t>收A1-3-601再吐尼汗·肉孜建行放贷款</t>
  </si>
  <si>
    <t>收A4-2-201乃买提·阿木提建行放贷款</t>
  </si>
  <si>
    <t>收A4-2-301帕旦木·萨木萨克建行放贷款</t>
  </si>
  <si>
    <t>收A4-3-201阿巴斯·阿吾提建行放贷款</t>
  </si>
  <si>
    <t>收A1-1-401肯然木·牙生建行放贷款</t>
  </si>
  <si>
    <t>收A4-6-301热依汗古丽·毛拉麦提房款</t>
  </si>
  <si>
    <t>0610</t>
  </si>
  <si>
    <t>收A3-109努尔麦麦提·莫拉库万商铺款</t>
  </si>
  <si>
    <t>收A4-3-402凯萨尔·艾麦尔房款</t>
  </si>
  <si>
    <t>0611</t>
  </si>
  <si>
    <t>收A1-112玉素甫江·哈瓦拉商铺款</t>
  </si>
  <si>
    <t>0612</t>
  </si>
  <si>
    <t>收A2-102玉素甫江·哈瓦拉商铺款</t>
  </si>
  <si>
    <t>0613</t>
  </si>
  <si>
    <t>收康泰5-108刘巧丽商铺款建行下贷款</t>
  </si>
  <si>
    <t>收A2-3-201多鲁洪江·牙生公积金放贷款</t>
  </si>
  <si>
    <t>收A1-2-602孜依尼古丽·沙吾提房款</t>
  </si>
  <si>
    <t>收A1-107吐尔逊古力·玉素甫商铺款</t>
  </si>
  <si>
    <t>0614</t>
  </si>
  <si>
    <t>收A4-1-502阿布迪维力·艾合麦提房款</t>
  </si>
  <si>
    <t>0616</t>
  </si>
  <si>
    <t>收A1-1-202古力扎尔·玉苏甫房款往来</t>
  </si>
  <si>
    <t>收A3-3-503苏比努尔·牙生房款往来</t>
  </si>
  <si>
    <t>收A4-3-202伊帕古力·艾尼瓦尔房款往来</t>
  </si>
  <si>
    <t>收A2-1-402阿玛尼古丽·宝丁房款往来</t>
  </si>
  <si>
    <t>收A4-3-302福尔哈提·吾布勒哈生房款往来</t>
  </si>
  <si>
    <t>收A3-3-403努尔麦麦提·尕依提房款往来</t>
  </si>
  <si>
    <t>收A3-2-403肉孜·赛麦提房款往来</t>
  </si>
  <si>
    <t>收康泰5-1-804杨荣房款</t>
  </si>
  <si>
    <t>收康泰5-106孙会丽商铺款</t>
  </si>
  <si>
    <t>收A2-107阿依木古力·亚生商铺款</t>
  </si>
  <si>
    <t>收A1-103玉苏甫·尧力达西商铺款</t>
  </si>
  <si>
    <t>收A5-3-202托合尼牙孜·牙生房款</t>
  </si>
  <si>
    <t>0618</t>
  </si>
  <si>
    <t>收A4-3-601阿布来提·阿布拉房款</t>
  </si>
  <si>
    <t>0619</t>
  </si>
  <si>
    <t>收A4-6-601麦合木提·艾拜都拉房款</t>
  </si>
  <si>
    <t>0620</t>
  </si>
  <si>
    <t>收A1-105阿依古丽·孜牙吾东商铺款</t>
  </si>
  <si>
    <t>收A5-1-201左热木·艾合麦提房款</t>
  </si>
  <si>
    <t>0621</t>
  </si>
  <si>
    <t>收A2-109玉山·阿布都外力房款</t>
  </si>
  <si>
    <t>支A1-1-401周斌抵账房款</t>
  </si>
  <si>
    <t>收A4-6-401吐达洪·吐松房款</t>
  </si>
  <si>
    <t>0622</t>
  </si>
  <si>
    <t>收A1-3-501吐尔逊·阿布拉房款</t>
  </si>
  <si>
    <t>0556</t>
  </si>
  <si>
    <t>收A4-1-302阿合旦木·拜合提房款</t>
  </si>
  <si>
    <t>0623</t>
  </si>
  <si>
    <t>收A4-1-502阿布迪维力·艾合麦提建行放贷款</t>
  </si>
  <si>
    <t>收A4-4-302阿卜杜热伊木·阿卜来提建行放贷款</t>
  </si>
  <si>
    <t>收A4-6-301热依汗古丽·毛拉麦提建行放贷款</t>
  </si>
  <si>
    <t>收A2-2-602穆萨·阿卜力米提建行放贷款</t>
  </si>
  <si>
    <t>收A4-3-402凯萨尔·艾麦尔建行放贷款</t>
  </si>
  <si>
    <t>收A14-106月热麦提·艾力建行放贷款</t>
  </si>
  <si>
    <t>退康泰5-1-804抵账房款</t>
  </si>
  <si>
    <t>收A4-4-302阿卜杜热依木·阿卜来提房款</t>
  </si>
  <si>
    <t>收A2-2-602古力波斯坦·艾麦尔房款</t>
  </si>
  <si>
    <t>收A4-3-602阿卜杜合力力·谢尔旦房款</t>
  </si>
  <si>
    <t>0624</t>
  </si>
  <si>
    <t>收A1-106牙生江·艾衣提商铺款</t>
  </si>
  <si>
    <t>0625</t>
  </si>
  <si>
    <t>收A2-3-303艾克拜尔江·吐尔洪房款</t>
  </si>
  <si>
    <t>0545</t>
  </si>
  <si>
    <t>收A5-1-201库尔班·毛尼亚孜建行放贷款</t>
  </si>
  <si>
    <t>收A3-1-203阿卜敦拉提普·谢尔旦建行放贷款</t>
  </si>
  <si>
    <t>收A1-107吐尔逊古力·玉素甫房款</t>
  </si>
  <si>
    <t>收A1-3-501吐尔逊·阿布拉建行放贷款</t>
  </si>
  <si>
    <t>收A1-2-602阿斯艳木·吐逊建行房贷款</t>
  </si>
  <si>
    <t>收A1-103玉苏甫·尧力达西建行放贷款</t>
  </si>
  <si>
    <t>收A3-3-203吐尼亚孜·托合尼亚孜房款</t>
  </si>
  <si>
    <t>0627</t>
  </si>
  <si>
    <t>收A3-101吐尼亚孜·托合尼亚孜房款</t>
  </si>
  <si>
    <t>0628</t>
  </si>
  <si>
    <t>收A3-2-502阿布迪克热木·阿布都尕依提建行放贷款</t>
  </si>
  <si>
    <t>收A5-3-302阿力木江·阿西尔房款</t>
  </si>
  <si>
    <t>0629</t>
  </si>
  <si>
    <t>收A2-103艾合买提·吐乎提房款</t>
  </si>
  <si>
    <t>0630</t>
  </si>
  <si>
    <t>收A14-102安瓦尔·托胡提房款</t>
  </si>
  <si>
    <t>收A2-1-601胡热木·塔瓦尔房款</t>
  </si>
  <si>
    <t>0631</t>
  </si>
  <si>
    <t>往来款A3-3-203</t>
  </si>
  <si>
    <t>往来款A1-106</t>
  </si>
  <si>
    <t>往来款A2-1-503</t>
  </si>
  <si>
    <t>0632</t>
  </si>
  <si>
    <t>往来款A2-1-301</t>
  </si>
  <si>
    <t>0633</t>
  </si>
  <si>
    <t>往来款A3-3-301</t>
  </si>
  <si>
    <t>0634</t>
  </si>
  <si>
    <t>收A2-1-503往来款</t>
  </si>
  <si>
    <t>收A2-17往来款</t>
  </si>
  <si>
    <t>0635</t>
  </si>
  <si>
    <t>A2-17</t>
  </si>
  <si>
    <t>收A2-1-201往来款</t>
  </si>
  <si>
    <t>0636</t>
  </si>
  <si>
    <t>收A1-101往来款</t>
  </si>
  <si>
    <t>收A4-101往来款</t>
  </si>
  <si>
    <t>0637</t>
  </si>
  <si>
    <t>收A4-104巴哈一丁·吾斯曼房款</t>
  </si>
  <si>
    <t>0638</t>
  </si>
  <si>
    <t>收A4-2-501木居然木·巴吐尔公积金放贷</t>
  </si>
  <si>
    <t>含税转收入</t>
  </si>
  <si>
    <t>调整金额导致的虚增</t>
  </si>
  <si>
    <t>含税结转</t>
  </si>
  <si>
    <t>5-101门面</t>
  </si>
  <si>
    <t>不含税转收入</t>
  </si>
  <si>
    <t>收阿依妮娅孜·亚森A3-3-603住宅款刷卡</t>
  </si>
  <si>
    <t>2203.01</t>
  </si>
  <si>
    <t>预收账款-房产</t>
  </si>
  <si>
    <t>收刘永平康泰1-103商铺款建行放贷</t>
  </si>
  <si>
    <t>收古力波司坦·托合提A2-3-603住宅款现金</t>
  </si>
  <si>
    <t>收麦吾兰·麦麦提A3-1-503住宅款现金5300刷卡64500</t>
  </si>
  <si>
    <t>收艾斯克尔·艾买提A4-4-602住宅款刷卡</t>
  </si>
  <si>
    <t>收阿力吐尼沙汗·卡迪尔A5-1-202住宅款现金</t>
  </si>
  <si>
    <t>收热西丹·卡合尔曼A1-3-602住宅款现金400刷卡30450</t>
  </si>
  <si>
    <t>收热西丹·卡合尔曼A1-3-602住宅款刷卡</t>
  </si>
  <si>
    <t>收阿依努热姆·杰力力A2-1-603住宅款现金100刷卡17000</t>
  </si>
  <si>
    <t>收阿依努热姆·杰力力A2-1-603住宅款现金5000、刷卡38000</t>
  </si>
  <si>
    <t>收阿依努热姆·杰力力A2-1-603住宅款现金</t>
  </si>
  <si>
    <t>收玉素甫江·哈瓦拉A2-101商铺款刷卡</t>
  </si>
  <si>
    <t>收达吾提·马木提A2-2-303住宅款刷卡</t>
  </si>
  <si>
    <t>收阿布力克木·阿曼A4-3-501住宅款现金</t>
  </si>
  <si>
    <t>收阿布迪克热木·玉散A4-1-602住宅款刷卡</t>
  </si>
  <si>
    <t>收A5-3-201居买克孜·托乎尼牙孜住宅款现金</t>
  </si>
  <si>
    <t>收居买克孜·托乎尼牙孜A5-3-201住宅款现金</t>
  </si>
  <si>
    <t>收居买克孜·托乎尼牙孜A5-3-201住宅款刷卡</t>
  </si>
  <si>
    <t>收艾合买提·吐乎提A2-103商铺款现金10000刷卡360000</t>
  </si>
  <si>
    <t>收托合提·买买提A3-2-303住宅款建行放贷</t>
  </si>
  <si>
    <t>收托合提·买买提A3-104商铺款建行放贷</t>
  </si>
  <si>
    <t>收图尔贡·依迪日斯A4-5-601住宅款刷卡</t>
  </si>
  <si>
    <t>收古丽加玛丽·克依木A4-5-501住宅款刷卡</t>
  </si>
  <si>
    <t>收阿布来提·阿布拉A4-3-601住宅建行放贷款</t>
  </si>
  <si>
    <t>收阿力木江·阿西尔A5-3-302住宅建行放贷款</t>
  </si>
  <si>
    <t>收达吾提·马木提A2-2-303住宅建行放贷款</t>
  </si>
  <si>
    <t>收阿木提·沙吾尔A3-2-202住宅建行放贷款</t>
  </si>
  <si>
    <t>收古力阿依先·库万A14-103商铺建行放贷款</t>
  </si>
  <si>
    <t>收吐达洪·吐松A4-6-401住宅建行放贷款</t>
  </si>
  <si>
    <t>收艾海提·艾提A2-1-503住宅建行放贷款</t>
  </si>
  <si>
    <t>收阿依木古力·亚生A2-107商铺建行放贷款</t>
  </si>
  <si>
    <t>收麦麦提艾力·阿卜杜克热木改名为阿娜古力·吐尼亚孜A1-1-601住宅现金</t>
  </si>
  <si>
    <t>收曹春莲A2-2-503住宅现金11000、刷卡117000</t>
  </si>
  <si>
    <t>收阿不拉·赛买提A2-1-401住宅现金</t>
  </si>
  <si>
    <t>收阿依妮娅孜·亚森A3-3-603住宅刷卡</t>
  </si>
  <si>
    <t>收亥尼萨·阿布都克然木A4-2-601住宅现金</t>
  </si>
  <si>
    <t>收亥尼萨·阿布都克然木A4-2-601住宅现金5000刷卡45000</t>
  </si>
  <si>
    <t>收热依木江·吾甫尔A5-1-301住宅现金</t>
  </si>
  <si>
    <t>收热依木江·吾甫尔A5-1-301住宅刷卡</t>
  </si>
  <si>
    <t>收库尔班·毛尼牙孜A5-1-201住宅现金</t>
  </si>
  <si>
    <t>收孙会丽康泰5-106商铺建行放贷款</t>
  </si>
  <si>
    <t>收古力波司坦·托合提A2-3-603住宅刷卡</t>
  </si>
  <si>
    <t>收西尔艾力·先木西A2-112商铺建行放贷款</t>
  </si>
  <si>
    <t>收吐鲁洪·麦麦提A2-3-403住宅刷卡</t>
  </si>
  <si>
    <t>收吐鲁洪·麦麦提A2-3-403住宅现金</t>
  </si>
  <si>
    <t>收艾孜麦提·麦麦提A4-1-601住宅刷卡</t>
  </si>
  <si>
    <t>收图尔洪·阿卜杜瓦伊提A4-4-402刷卡</t>
  </si>
  <si>
    <t>收托合提·艾麦尔A4-6-602住宅刷卡</t>
  </si>
  <si>
    <t>收吐尼沙汗·马木提更名为阿衣加马力·沙吾提A14-101商铺现金</t>
  </si>
  <si>
    <t>收阿卜敦拉提普·谢尔旦A3-1-203住宅现金</t>
  </si>
  <si>
    <t>收居麦克·艾麦提尼亚孜A1-3-602住宅建行放贷款</t>
  </si>
  <si>
    <t>收艾尔肯·吐尔洪A3-3-401住宅现金5069、刷卡93500</t>
  </si>
  <si>
    <t>收阿布都外力·托合提A3-2-603住宅刷卡</t>
  </si>
  <si>
    <t>收阿布都外力·托合提A3-2-603住宅现金</t>
  </si>
  <si>
    <t>收库尔班·麦麦提A4-1-402住宅现金</t>
  </si>
  <si>
    <t>收居买克孜·托乎尼牙孜A5-3-201住宅公积金放贷款</t>
  </si>
  <si>
    <t>收阿斯古丽·阿不力孜A5-3-202住宅公积金放贷款</t>
  </si>
  <si>
    <t>收牙生江·艾衣提A1-106商铺建行放贷款</t>
  </si>
  <si>
    <t>收古丽阿依木·吐尼亚孜A2-117商铺刷卡</t>
  </si>
  <si>
    <t>收阿迪力·托合提A2-1-301住宅刷卡</t>
  </si>
  <si>
    <t>收阿依夏木·阿布都热合曼A3-114商铺现金换名成阿依吐然木·巴拉提</t>
  </si>
  <si>
    <t>收热汗古力·麦麦提A4-3-401住宅现金</t>
  </si>
  <si>
    <t>收帕提古力·亚生江A4-4-201住宅现金</t>
  </si>
  <si>
    <t>收古丽乃孜尔·吐尼亚孜A2-108商铺刷卡</t>
  </si>
  <si>
    <t>收托合提·买买提A3-104商铺现金10000刷卡30000</t>
  </si>
  <si>
    <t>收阿依加马力·肉孜A3-3-303住宅现金</t>
  </si>
  <si>
    <t>收阿依加马力·肉孜A3-3-303住宅现金30771刷卡20000</t>
  </si>
  <si>
    <t>收瓦哈甫·阿布都克热木A3-1-603住宅现金</t>
  </si>
  <si>
    <t>收瓦哈甫·阿布都克然木A3-1-603住宅现金24100刷卡35000</t>
  </si>
  <si>
    <t>收阿不都热依木·阿木提A3-1-401住宅刷卡</t>
  </si>
  <si>
    <t>收阿不来提·依明A3-3-301住宅刷卡</t>
  </si>
  <si>
    <t>收古丽加玛丽·克依木A4-5-501建行放贷款</t>
  </si>
  <si>
    <t>收阿布都外力·托合提A4-105商铺现金</t>
  </si>
  <si>
    <t>麦合木提·艾拜都拉A4-6-601换成A12-3-401</t>
  </si>
  <si>
    <t>收穆乃外尔·麦麦提A5-3-301住宅现金</t>
  </si>
  <si>
    <t>收麦麦提艾力·阿卜杜克然木改名为阿娜古力·吐尼亚孜A1-1-601住宅现金</t>
  </si>
  <si>
    <t>收曹春莲A2-2-503住宅建行放贷款</t>
  </si>
  <si>
    <t>收阿不拉·赛买提A2-1-401住宅刷卡</t>
  </si>
  <si>
    <t>收麦尔比艳姆·阿皮孜A2-2-403住宅刷卡</t>
  </si>
  <si>
    <t>收亚森·比力克A3-3-603住宅建行放贷款</t>
  </si>
  <si>
    <t>收库尔班·托合尼亚孜A3-110商铺刷卡</t>
  </si>
  <si>
    <t>收毛兰江·吐尼牙孜A3-2-401住宅现金</t>
  </si>
  <si>
    <t>收亥尼萨·阿布都克热木A4-2-601住宅建行放贷款</t>
  </si>
  <si>
    <t>收热依木江·吾甫尔A5-1-301住宅建行放贷款</t>
  </si>
  <si>
    <t>收孙广涛康泰5-5-101住宅刷卡</t>
  </si>
  <si>
    <t>收胡热木·塔瓦尔A2-1-601住宅现金</t>
  </si>
  <si>
    <t>收塔依尔·吐尔逊A1-2-401住宅刷卡</t>
  </si>
  <si>
    <t>收塔依尔·吐尔逊A1-2-401住宅建行放贷款</t>
  </si>
  <si>
    <t>收热合曼·买买提A2-3-603住宅建行放贷款</t>
  </si>
  <si>
    <t>收吐鲁洪·麦麦提A2-3-403住宅建行放贷款</t>
  </si>
  <si>
    <t>收古丽阿依木·吐尼亚孜A2-1-201住宅刷卡</t>
  </si>
  <si>
    <t>收麦吾兰·麦麦提A3-1-503住宅建行放贷款</t>
  </si>
  <si>
    <t>收艾尼瓦尔·甫拉提A3-103商铺现金60000刷卡385000</t>
  </si>
  <si>
    <t>收艾斯克尔·艾买提A4-4-602住宅建行放贷款</t>
  </si>
  <si>
    <t>收图尔洪·阿卜杜瓦伊提A4-4-402住宅建行放贷款</t>
  </si>
  <si>
    <t>收托合提·艾麦尔A4-6-602住宅建行放贷款</t>
  </si>
  <si>
    <t>收木卡热甫·库都斯A4-4-401住宅刷卡</t>
  </si>
  <si>
    <t>收木卡热甫·库都斯A4-4-401住宅现金</t>
  </si>
  <si>
    <t>收木卡热甫·库都斯A4-4-401住宅建行放贷款</t>
  </si>
  <si>
    <t>收阿力木·图尔荪A4-2-402住宅刷卡</t>
  </si>
  <si>
    <t>收阿力木·图尔荪A4-2-402住宅建行放贷款</t>
  </si>
  <si>
    <t>收阿力木·图尔荪A4-2-402住宅现金</t>
  </si>
  <si>
    <t>收吐尔迪·麦麦提A4-4-501现金10404刷卡50000</t>
  </si>
  <si>
    <t>收吐尔逊·麦麦提A4-4-501住宅建行放贷款</t>
  </si>
  <si>
    <t>收乌斯曼·艾买提A2-2-203住宅刷卡</t>
  </si>
  <si>
    <t>收阿卜拉·阿卜力孜A3-108商铺现金6000刷卡150057</t>
  </si>
  <si>
    <t>收热西丹·卡合尔曼A1-3-602住宅现金</t>
  </si>
  <si>
    <t>收艾麦提·亚森A1-2-602住宅建行放贷款</t>
  </si>
  <si>
    <t>收艾麦提·阿合尼亚孜A1-2-502住宅现金</t>
  </si>
  <si>
    <t>收艾麦提·阿合尼亚孜A1-2-502住宅刷卡</t>
  </si>
  <si>
    <t>收阿依努热姆·杰力力A2-1-603住宅建行放贷款</t>
  </si>
  <si>
    <t>收阿依努热姆·杰力力A2-1-603住宅现金</t>
  </si>
  <si>
    <t>收艾尔肯·吐尔洪A3-3-401住宅建行放贷款</t>
  </si>
  <si>
    <t>收阿布都外力·托合提A3-2-603住宅现金30000刷卡20000</t>
  </si>
  <si>
    <t>收阿布力克木·阿曼A4-3-501住宅刷卡</t>
  </si>
  <si>
    <t>收阿布力克尔·阿曼A4-3-501住宅现金</t>
  </si>
  <si>
    <t>收阿布力克木·阿曼A4-3-501住宅建行放贷款</t>
  </si>
  <si>
    <t>收阿布迪克热木·玉散A4-1-602住宅建行放贷款</t>
  </si>
  <si>
    <t>收阿布迪克热木·玉散A4-1-602住宅现金</t>
  </si>
  <si>
    <t>收库尔班·麦麦提A4-1-402住宅刷卡</t>
  </si>
  <si>
    <t>收库尔班·麦麦提A4-1-402住宅建行放贷款</t>
  </si>
  <si>
    <t>收麦尼孜热古丽·阿吉A5-3-401住宅刷卡</t>
  </si>
  <si>
    <t>收麦尼孜热古丽·阿吉A5-3-401住宅建行放贷款</t>
  </si>
  <si>
    <t>收艾力·吐尔迪A5-3-402住宅现金6350刷卡50082</t>
  </si>
  <si>
    <t>收艾力·吐尔迪A5-3-402住宅建行放贷款</t>
  </si>
  <si>
    <t>收阿米娜木·乌斯曼A5-102、A5-103商铺现金68800刷卡31200</t>
  </si>
  <si>
    <t>收梁春艳康泰5-104-1商铺刷卡</t>
  </si>
  <si>
    <t>收张昌远康泰5-5-1003商铺现金</t>
  </si>
  <si>
    <t>收吐热克·乃麦提A1-102商铺现金9000刷卡165000</t>
  </si>
  <si>
    <t>收阿迪力·托合提A2-1-301住宅建行放贷款</t>
  </si>
  <si>
    <t>收阿迪力·托合提A2-1-301住宅现金10000刷卡40000</t>
  </si>
  <si>
    <t>收阿依吐然木·巴拉提A3-114商铺现金135000刷卡33795</t>
  </si>
  <si>
    <t>收阿依吐然木·巴拉提A3-114商铺刷卡</t>
  </si>
  <si>
    <t>收艾合买提·吐乎提A2-103商铺建行放贷款</t>
  </si>
  <si>
    <t>收艾海提·艾提A2-1-503住宅刷卡</t>
  </si>
  <si>
    <t>收托合提·买买提A3-104商铺现金</t>
  </si>
  <si>
    <t>收阿依加马力·肉孜A3-3-303住宅建行放贷款</t>
  </si>
  <si>
    <t>收瓦哈甫·阿布都克热木A3-1-603住宅建行放贷款</t>
  </si>
  <si>
    <t>收阿不都热衣木·阿木提A3-1-401住宅建行放贷款</t>
  </si>
  <si>
    <t>收图尔贡·依迪日斯A4-5-601住宅建行放贷款</t>
  </si>
  <si>
    <t>收古丽加玛丽·克依木A4-5-501住宅现金</t>
  </si>
  <si>
    <t>收麦合木提·艾拜都拉A4-6-601住宅建行放贷款</t>
  </si>
  <si>
    <t>收卡斯木·吐尔洪A4-6-601住宅刷卡</t>
  </si>
  <si>
    <t>收穆乃外尔·麦麦提A5-3-301住宅现金22000刷卡237338</t>
  </si>
  <si>
    <t>收阿布都尼亚孜·阿合尼亚孜A5-1-401住宅现金</t>
  </si>
  <si>
    <t>收阿布都尼亚孜·阿合尼亚孜A5-1-401住宅刷卡</t>
  </si>
  <si>
    <t>收阿布都尼亚孜·阿合尼亚孜A5-1-401住宅建行放贷款</t>
  </si>
  <si>
    <t>收刘永平、阮晚娥康泰1-104商铺转账</t>
  </si>
  <si>
    <t>收阿娜古力·吐尼亚孜A1-1-601住宅款刷卡</t>
  </si>
  <si>
    <t>收阿娜古力·吐尼亚孜A1-1-601住宅款现金</t>
  </si>
  <si>
    <t>收玉苏甫·吐尼亚孜A1-1-601住宅款建行放贷</t>
  </si>
  <si>
    <t>收阿不拉·赛买提A2-1-401住宅款建行放贷</t>
  </si>
  <si>
    <t>收库尔班·托合尼亚孜A3-110商铺款刷卡</t>
  </si>
  <si>
    <t>收库尔班·托合尼亚孜A3-110商铺款建行放贷</t>
  </si>
  <si>
    <t>收古合尔尼沙·托合提A4-5-402住宅款现金20000刷卡82721</t>
  </si>
  <si>
    <t>收胡热木·塔瓦尔A2-1-601住宅款现金</t>
  </si>
  <si>
    <t>收艾孜麦提·麦麦提A4-1-601住宅款建行放贷</t>
  </si>
  <si>
    <t>收吐尔逊·麦麦提A4-4-501住宅款现金</t>
  </si>
  <si>
    <t>收阿布力米提·艾麦尔A4-6-502住宅款现金9404刷卡41000</t>
  </si>
  <si>
    <t>收阿力吐尼沙汗·卡迪尔A5-1-202住宅款建行放贷</t>
  </si>
  <si>
    <t>收阿卜敦拉提普·谢尔旦A3-1-203住宅款现金</t>
  </si>
  <si>
    <t>收阿卜拉·阿卜力孜A3-108商铺款刷卡</t>
  </si>
  <si>
    <t>收阿卜拉·阿卜力孜A3-108商铺款建行放贷</t>
  </si>
  <si>
    <t>收艾麦提·阿合尼亚孜A1-2-502住宅款建行放贷</t>
  </si>
  <si>
    <t>收艾力·吐尔迪A5-3-402住宅款现金</t>
  </si>
  <si>
    <t>收阿米娜木·乌斯曼A5-103商铺款现金</t>
  </si>
  <si>
    <t>收康泰5-2-101刘巧丽商铺款刷卡</t>
  </si>
  <si>
    <t>收亚尔艾力·吐热克A1-102商铺款建行放贷</t>
  </si>
  <si>
    <t>收艾尼瓦尔·沙迪克A4-3-401住宅款建行放贷</t>
  </si>
  <si>
    <t>收古丽乃孜尔·吐尼亚孜A2-108商铺款刷卡</t>
  </si>
  <si>
    <t>收古丽乃孜尔·吐尼亚孜A2-108商铺款建行放贷</t>
  </si>
  <si>
    <t>调2020年4月24#凭证A4-6-601转到A12-3-401</t>
  </si>
  <si>
    <t>收吐尔逊古丽·吾休尔A4-1-201住宅款现金</t>
  </si>
  <si>
    <t>收依马木·吐尼亚孜A4-1-501住宅款刷卡</t>
  </si>
  <si>
    <t>收麦尔比艳姆·阿皮孜A2-2-403住宅款公积金放贷</t>
  </si>
  <si>
    <t>收古合尔尼沙·托合提A4-5-402住宅款建行放贷</t>
  </si>
  <si>
    <t>收阿布来提·吐尼亚孜A2-1-601住宅款建行放贷</t>
  </si>
  <si>
    <t>收胡热木·塔瓦尔A2-1-601住宅款刷卡</t>
  </si>
  <si>
    <t>收图尔洪·阿卜杜瓦依提A4-4-402住宅款现金</t>
  </si>
  <si>
    <t>收阿力木·图尔荪A4-2-402住宅款现金</t>
  </si>
  <si>
    <t>收阿布力米提·艾麦尔A4-6-502住宅款建行放贷</t>
  </si>
  <si>
    <t>调2019年12月5#凭证A1-2-602转到A1-2-601</t>
  </si>
  <si>
    <t>收玉素甫江·哈瓦拉A2-101商铺款建行放贷</t>
  </si>
  <si>
    <t>C8-1-201转到A5-3-201</t>
  </si>
  <si>
    <t>收帕特木汗·奥斯曼A4-1-301住宅款现金</t>
  </si>
  <si>
    <t>收玉苏甫·玉山A4-2-401住宅款刷卡</t>
  </si>
  <si>
    <t>收玉素甫江·哈瓦拉A1-111住宅款建行放贷</t>
  </si>
  <si>
    <t>收阿依加马力·肉孜A3-3-303住宅款现金</t>
  </si>
  <si>
    <t>收阿依木萨·阿布拉A3-1-502住宅款现金</t>
  </si>
  <si>
    <t>收卡斯木·吐尔洪A4-6-601住宅款建行放贷</t>
  </si>
  <si>
    <t>收依马木·吐尼亚孜A4-1-501住宅款建行放贷</t>
  </si>
  <si>
    <t>收阿依仙姆·热麦提A5-1-302住宅款现金</t>
  </si>
  <si>
    <t>C6-1-301转到A1-3-301住宅</t>
  </si>
  <si>
    <t>收吐鲁洪·麦麦提A2-3-403住宅款</t>
  </si>
  <si>
    <t>收吐尔逊·沙依提A4-3-502住宅款刷卡</t>
  </si>
  <si>
    <t>收阿衣加马力·沙吾提A14-101商铺款</t>
  </si>
  <si>
    <t>收孙爱莲康泰5-1-903住宅款现金</t>
  </si>
  <si>
    <t>调2019年1月12#凭证A1-1-401转到A12-1-202</t>
  </si>
  <si>
    <t>调2019年10月54#凭证支A1-1-401周斌抵账房款</t>
  </si>
  <si>
    <t>收佐热木·萨吾提A4-4-601住宅款</t>
  </si>
  <si>
    <t>收玉苏甫·玉山A4-2-401住宅款建行放贷</t>
  </si>
  <si>
    <t>收阿合旦木·拜合提A4-1-302住宅款建行放贷</t>
  </si>
  <si>
    <t>收坎吉汗·艾米尔拉A4-2-302住宅款</t>
  </si>
  <si>
    <t>收阿不都热依木·阿木提A3-1-401住宅款</t>
  </si>
  <si>
    <t>收哈力旦木·艾麦提A4-108商铺款刷卡</t>
  </si>
  <si>
    <t>收古丽米热木·阿布都热合曼A4-5-602住宅款现金3343刷卡60500</t>
  </si>
  <si>
    <t>收古力米热木·阿布都热合曼A4-5-602住宅款现金2000</t>
  </si>
  <si>
    <t>收阿依仙姆·热麦提A5-1-302住宅款刷卡</t>
  </si>
  <si>
    <t>收图荪·恰瓦尔A5-1-601住宅款现金19600刷卡45400</t>
  </si>
  <si>
    <t>收托合提·艾麦尔A4-6-602住宅现金</t>
  </si>
  <si>
    <t>收吐尔逊·沙依提A4-3-502住宅建行放贷款</t>
  </si>
  <si>
    <t>调账2020.7-118#阿斯古丽·尼亚孜A4-5-202住宅公积金放贷</t>
  </si>
  <si>
    <t>收图荪·恰瓦尔A5-1-601住宅现金</t>
  </si>
  <si>
    <t>收阿布迪热克甫·麦合苏木A5-1-501住宅款刷卡</t>
  </si>
  <si>
    <t>收阿依努尔·胡都尤木A9-2-203住宅款刷卡转A7-2-202</t>
  </si>
  <si>
    <t>收努尔比叶木·伊斯热衣木A9-1-103住宅款刷卡</t>
  </si>
  <si>
    <t>收阿衣加马力·沙吾提A14-101商铺款建行放贷</t>
  </si>
  <si>
    <t>收麦合木提·艾白都拉A6-2-301住宅款刷卡</t>
  </si>
  <si>
    <t>收热依汗·牙生A6-1-502住宅款现金</t>
  </si>
  <si>
    <t>收艾合麦提·热合曼A6-2-102住宅款刷卡</t>
  </si>
  <si>
    <t>收托合提·依比热依木A13-1-301住宅款刷卡</t>
  </si>
  <si>
    <t>收库尔班·麦麦提A4-1-402住宅款现金</t>
  </si>
  <si>
    <t>收张昌远康泰5-5-1003住宅款现金</t>
  </si>
  <si>
    <t>收阿布都沙拉木·肉孜A7-3-202住宅款现金20000刷卡80000</t>
  </si>
  <si>
    <t>收艾力江·吐尔地A9-1-401住宅款现金</t>
  </si>
  <si>
    <t>收艾山·麦提尼亚孜A4-5-602住宅款建行放贷</t>
  </si>
  <si>
    <t>收阿布都尼亚孜·阿合尼亚孜A5-1-401住宅款现金</t>
  </si>
  <si>
    <t>收阿依仙姆·热麦提A5-1-302住宅款公积金放贷</t>
  </si>
  <si>
    <t>收刘永平康泰1-104商铺款现金</t>
  </si>
  <si>
    <t>收木塔力甫·艾买提A8-1-201住宅款刷卡</t>
  </si>
  <si>
    <t>收哈里克·沙吾提A8-2-302住宅款现金</t>
  </si>
  <si>
    <t>收图尔贡·阿西尔A1-3-502住宅款现金</t>
  </si>
  <si>
    <t>调2019年7月4#凭证</t>
  </si>
  <si>
    <t>调2019年7月69#凭证</t>
  </si>
  <si>
    <t>调2019年8月6#凭证</t>
  </si>
  <si>
    <t>调2019年10月24#凭证</t>
  </si>
  <si>
    <t>调2019年10月31#凭证</t>
  </si>
  <si>
    <t>调2019年1月19#凭证</t>
  </si>
  <si>
    <t>调2019年3月6#凭证</t>
  </si>
  <si>
    <t>调2019年9月4#凭证</t>
  </si>
  <si>
    <t>调2019年3月36#凭证</t>
  </si>
  <si>
    <t>调2019年5月5#凭证</t>
  </si>
  <si>
    <t>调2019年7月12#凭证</t>
  </si>
  <si>
    <t>调2019年5月17#凭证</t>
  </si>
  <si>
    <t>调2019年7月33#凭证</t>
  </si>
  <si>
    <t>调2019年4月2#凭证</t>
  </si>
  <si>
    <t>调2019年6月9#凭证</t>
  </si>
  <si>
    <t>调2019年8月45#凭证</t>
  </si>
  <si>
    <t>调2019年10月27#凭证</t>
  </si>
  <si>
    <t>调2019年7月7#凭证</t>
  </si>
  <si>
    <t>调2019年8月11#凭证</t>
  </si>
  <si>
    <t>调2019年10月15#凭证</t>
  </si>
  <si>
    <t>调2019年10月20#凭证</t>
  </si>
  <si>
    <t>收亥尼萨·阿布都克热木A4-2-601住宅款现金</t>
  </si>
  <si>
    <t>调2019年11月65#凭证</t>
  </si>
  <si>
    <t>调2019年6月20#凭证</t>
  </si>
  <si>
    <t>调2019年7月25#凭证</t>
  </si>
  <si>
    <t>调2019年7月37#凭证</t>
  </si>
  <si>
    <t>调2019年8月1#凭证</t>
  </si>
  <si>
    <t>调2019年10月29#凭证</t>
  </si>
  <si>
    <t>收热依木江·吾甫尔A5-1-301住宅款刷卡</t>
  </si>
  <si>
    <t>调2019年10月26#凭证</t>
  </si>
  <si>
    <t>调2019年12月1#凭证</t>
  </si>
  <si>
    <t>调2018年12月12#凭证</t>
  </si>
  <si>
    <t>调整金额，未见回款，挂账房号错误</t>
  </si>
  <si>
    <t>收艾米热汗·马木提A7-1-202住宅款现金10000、刷卡10000</t>
  </si>
  <si>
    <t>收阿依努尔·胡都尤木A7-2-202住宅款刷卡</t>
  </si>
  <si>
    <t>收玉苏甫·吐尔逊A7-1-502住宅款刷卡</t>
  </si>
  <si>
    <t>收热依汉古丽·热合曼A7-3-301住宅款刷卡</t>
  </si>
  <si>
    <t>收布瓦吉尔·依米尔A8-2-604住宅款现金</t>
  </si>
  <si>
    <t>收布瓦吉尔·依米尔A8-2-604住宅款刷卡</t>
  </si>
  <si>
    <t>收麦合木提·艾则孜A9-2-203住宅款现金</t>
  </si>
  <si>
    <t>收吐尔逊·居麦克A9-2-101住宅款现金</t>
  </si>
  <si>
    <t>收萨妮古丽·克然木A9-2-304住宅款现金</t>
  </si>
  <si>
    <t>收吾斯曼·麦麦提A9-2-502住宅款现金</t>
  </si>
  <si>
    <t>收吾斯曼·麦麦提A9-2-502住宅款刷卡</t>
  </si>
  <si>
    <t>收帕塔木·麦麦提A9-2-602住宅款刷卡</t>
  </si>
  <si>
    <t>收依明·阿比力孜A13-1-102住宅款现金</t>
  </si>
  <si>
    <t>收木萨江·木台里甫A13-1-601住宅款现金</t>
  </si>
  <si>
    <t>收帕旦木·艾合旦、阿布拉江·达吾提A13-1-201住宅款刷卡</t>
  </si>
  <si>
    <t>调2019年9月21#凭证</t>
  </si>
  <si>
    <t>调2019年9月27#凭证</t>
  </si>
  <si>
    <t>调2019年12月3#凭证</t>
  </si>
  <si>
    <t>调2018年11月4#凭证</t>
  </si>
  <si>
    <t>调2018年11月6#凭证</t>
  </si>
  <si>
    <t>调2019年10月22#凭证</t>
  </si>
  <si>
    <t>调2019年12月39#凭证</t>
  </si>
  <si>
    <t>调2019年12月72#凭证</t>
  </si>
  <si>
    <t>调2019年12月73#凭证</t>
  </si>
  <si>
    <t>调2019年1月2#凭证</t>
  </si>
  <si>
    <t>调2019年3月17#凭证</t>
  </si>
  <si>
    <t>调2019年1月3#凭证</t>
  </si>
  <si>
    <t>调2019年3月15#凭证</t>
  </si>
  <si>
    <t>调2019年9月6#凭证</t>
  </si>
  <si>
    <t>调2019年9月22#凭证</t>
  </si>
  <si>
    <t>调2019年1月6#凭证</t>
  </si>
  <si>
    <t>调2019年6月22#凭证</t>
  </si>
  <si>
    <t>调2018年11月8#凭证</t>
  </si>
  <si>
    <t>调2019年2月23#凭证</t>
  </si>
  <si>
    <t>调2019年5月33#凭证</t>
  </si>
  <si>
    <t>调2019年2月9#凭证</t>
  </si>
  <si>
    <t>调2019年3月4#凭证</t>
  </si>
  <si>
    <t>调2019年5月27#凭证</t>
  </si>
  <si>
    <t>调2019年7月1#凭证</t>
  </si>
  <si>
    <t>调2019年8月50#凭证</t>
  </si>
  <si>
    <t>调2019年8月59#凭证</t>
  </si>
  <si>
    <t>调2019年12月10#凭证</t>
  </si>
  <si>
    <t>调2018年10月32#凭证</t>
  </si>
  <si>
    <t>调2018年11月69#凭证</t>
  </si>
  <si>
    <t>调2019年5月36#凭证</t>
  </si>
  <si>
    <t>收肉孜古力·尼亚孜A14-108住宅款现金310000、刷卡170000</t>
  </si>
  <si>
    <t>调2019年6月23#凭证</t>
  </si>
  <si>
    <t>调2019年7月38#凭证</t>
  </si>
  <si>
    <t>调2019年6月36#凭证</t>
  </si>
  <si>
    <t>调2019年5月8#凭证</t>
  </si>
  <si>
    <t>调2019年5月9#凭证</t>
  </si>
  <si>
    <t>调2019年1月10#凭证</t>
  </si>
  <si>
    <t>调2019年4月19#凭证</t>
  </si>
  <si>
    <t>调2019年10月18#凭证</t>
  </si>
  <si>
    <t>调2019年6月28#凭证</t>
  </si>
  <si>
    <t>调2019年6月29#凭证</t>
  </si>
  <si>
    <t>调2019年11月6#凭证</t>
  </si>
  <si>
    <t>调2019年9月10#凭证</t>
  </si>
  <si>
    <t>调2018年12月75#凭证</t>
  </si>
  <si>
    <t>调2019年7月34#凭证</t>
  </si>
  <si>
    <t>调2018年6月6#凭证</t>
  </si>
  <si>
    <t>调2018年11月7#凭证</t>
  </si>
  <si>
    <t>调2019年4月7#凭证</t>
  </si>
  <si>
    <t>调2019年4月40#凭证</t>
  </si>
  <si>
    <t>调2019年1月31#凭证</t>
  </si>
  <si>
    <t>调2019年7月11#凭证</t>
  </si>
  <si>
    <t>调2018年11月12#凭证</t>
  </si>
  <si>
    <t>调2019年11月61#凭证</t>
  </si>
  <si>
    <t>调2018年12月34#凭证</t>
  </si>
  <si>
    <t>调2019年4月31#凭证</t>
  </si>
  <si>
    <t>调2019年4月32#凭证</t>
  </si>
  <si>
    <t>调2019年5月24#凭证</t>
  </si>
  <si>
    <t>调2019年8月55#凭证</t>
  </si>
  <si>
    <t>调2018年12月37#凭证</t>
  </si>
  <si>
    <t>调2019年1月29#凭证</t>
  </si>
  <si>
    <t>调2019年4月16#凭证</t>
  </si>
  <si>
    <t>调2019年1月30#凭证</t>
  </si>
  <si>
    <t>调2019年3月14#凭证</t>
  </si>
  <si>
    <t>调2019年12月67#凭证</t>
  </si>
  <si>
    <t>调2018年12月70#凭证</t>
  </si>
  <si>
    <t>调2019年3月13#凭证</t>
  </si>
  <si>
    <t>调2019年6月16#凭证</t>
  </si>
  <si>
    <t>调2019年8月46#凭证</t>
  </si>
  <si>
    <t>调2019年11月17#凭证</t>
  </si>
  <si>
    <t>调2019年11月64#凭证</t>
  </si>
  <si>
    <t>调2019年2月6#凭证</t>
  </si>
  <si>
    <t>调2019年9月8#凭证</t>
  </si>
  <si>
    <t>调2019年1月25#凭证</t>
  </si>
  <si>
    <t>调2019年3月16#凭证</t>
  </si>
  <si>
    <t>调2019年3月34#凭证</t>
  </si>
  <si>
    <t>调2019年6月38#凭证</t>
  </si>
  <si>
    <t>收阿布力米提·艾麦尔A4-6-502住宅款现金</t>
  </si>
  <si>
    <t>收阿布力米提·艾麦尔A4-6-502住宅款刷卡</t>
  </si>
  <si>
    <t>调2019年12月70#凭证</t>
  </si>
  <si>
    <t>调2019年12月71#凭证</t>
  </si>
  <si>
    <t>调2019年9月9#凭证</t>
  </si>
  <si>
    <t>调2019年9月13#凭证</t>
  </si>
  <si>
    <t>调2019年9月14#凭证</t>
  </si>
  <si>
    <t>调2019年11月19#凭证</t>
  </si>
  <si>
    <t>收吐热古力·阿西木A4-109商铺款现金转到艾合麦提·艾克拜尔A9-2-404</t>
  </si>
  <si>
    <t>调2019年12月14#凭证</t>
  </si>
  <si>
    <t>收阿不都麦麦提·吐尔逊A5-3-502住宅款刷卡</t>
  </si>
  <si>
    <t>收阿不都麦麦提·吐尔逊多浪二期A5-3-502住宅款刷卡</t>
  </si>
  <si>
    <t>调2019年7月20#凭证</t>
  </si>
  <si>
    <t>调2019年1月17#凭证</t>
  </si>
  <si>
    <t>调2019年9月23#凭证</t>
  </si>
  <si>
    <t>调2019年9月26#凭证</t>
  </si>
  <si>
    <t>调2019年12月16#凭证</t>
  </si>
  <si>
    <t>收热依汗·牙生多浪三期A6-1-502住宅款刷卡</t>
  </si>
  <si>
    <t>收热依汗·牙生A6-1-502住宅款刷卡</t>
  </si>
  <si>
    <t>收热比叶姆·喀迪尔A6-1-302住宅款现金转穆萨·艾则孜A6-1-302</t>
  </si>
  <si>
    <t>收热比叶姆·喀迪尔A6-1-302住宅款刷卡转穆萨·艾则孜A6-1-302</t>
  </si>
  <si>
    <t>收穆萨·艾则孜A6-1-302住宅款刷卡</t>
  </si>
  <si>
    <t>收达吾提卡迪·阿不都克然木A7-2-201住宅款刷卡</t>
  </si>
  <si>
    <t>收努力曼·肉孜A7-1-201住宅款刷卡</t>
  </si>
  <si>
    <t>收艾力·帕孜力A8-2-203住宅款现金</t>
  </si>
  <si>
    <t>收阿布都热合曼·艾散A8-2-204住宅款现金81744、刷卡40000</t>
  </si>
  <si>
    <t>收木热迪力·艾尼瓦尔A8-1-401住宅款刷卡</t>
  </si>
  <si>
    <t>收木热迪力·艾尼瓦尔A8-1-401住宅款现金70000、刷卡108000</t>
  </si>
  <si>
    <t>收帕尔哈提·尔肯A8-1-101住宅款刷卡</t>
  </si>
  <si>
    <t>收阿布都尼亚孜·依明A8-2-504住宅款刷卡</t>
  </si>
  <si>
    <t>收努尔尼沙·托合逊A9-1-604住宅款现金</t>
  </si>
  <si>
    <t>收哈力旦木·马木提A9-1-502住宅款刷卡</t>
  </si>
  <si>
    <t>收哈力旦木·马木提A9-1-502住宅款现金</t>
  </si>
  <si>
    <t>收艾海提·吾斯曼A9-1-503住宅款刷卡</t>
  </si>
  <si>
    <t>收阿孜古力·吐亚尼亚孜A9-2-303住宅款现金1800、刷卡1485</t>
  </si>
  <si>
    <t>收麦麦提·图尼亚孜A9-2-403住宅款刷卡换成肉孜古力·尼亚孜A14-108</t>
  </si>
  <si>
    <t>收亚森·麦麦提A9-1-301住宅款刷卡</t>
  </si>
  <si>
    <t>收艾力凯木·乃买提A9-2-402住宅款现金167100、刷卡5300</t>
  </si>
  <si>
    <t>收艾尔肯·吾布力A9-2-501住宅款刷卡</t>
  </si>
  <si>
    <t>收玉山江·里提甫A13-2-202住宅款刷卡</t>
  </si>
  <si>
    <t>收吐尔洪·莫尼亚孜A13-2-301住宅款刷卡</t>
  </si>
  <si>
    <t>调2019年7月28#凭证</t>
  </si>
  <si>
    <t>调2019年8月9#凭证</t>
  </si>
  <si>
    <t>调2019年1月12#凭证</t>
  </si>
  <si>
    <t>调2019年4月36#凭证</t>
  </si>
  <si>
    <t>调2019年5月18#凭证</t>
  </si>
  <si>
    <t>调2019年8月61#凭证</t>
  </si>
  <si>
    <t>调2019年10月54#凭证</t>
  </si>
  <si>
    <t>调2018年10月38#凭证</t>
  </si>
  <si>
    <t>调2019年3月39#凭证</t>
  </si>
  <si>
    <t>调2019年12月68#凭证</t>
  </si>
  <si>
    <t>调2019年6月3#凭证</t>
  </si>
  <si>
    <t>调2019年9月17#凭证</t>
  </si>
  <si>
    <t>调2019年11月5#凭证</t>
  </si>
  <si>
    <t>调2019年6月24#凭证</t>
  </si>
  <si>
    <t>调2019年8月7#凭证</t>
  </si>
  <si>
    <t>调2019年11月13#凭证</t>
  </si>
  <si>
    <t>调2019年5月12#凭证</t>
  </si>
  <si>
    <t>调2019年11月12#凭证</t>
  </si>
  <si>
    <t>调2018年11月14#凭证</t>
  </si>
  <si>
    <t>调2018年11月19#凭证</t>
  </si>
  <si>
    <t>调2019年6月43#凭证</t>
  </si>
  <si>
    <t>调2019年6月10#凭证</t>
  </si>
  <si>
    <t>调2019年9月32#凭证</t>
  </si>
  <si>
    <t>调2019年7月10#凭证</t>
  </si>
  <si>
    <t>调2019年8月13#凭证</t>
  </si>
  <si>
    <t>调2019年9月19#凭证</t>
  </si>
  <si>
    <t>调2018年6月5#凭证</t>
  </si>
  <si>
    <t>调2019年1月24#凭证</t>
  </si>
  <si>
    <t>调2019年4月3#凭证</t>
  </si>
  <si>
    <t>调2018年11月45#凭证</t>
  </si>
  <si>
    <t>调2018年12月2#凭证</t>
  </si>
  <si>
    <t>调2019年10月25#凭证</t>
  </si>
  <si>
    <t>调2019年11月3#凭证</t>
  </si>
  <si>
    <t>调2019年11月7#凭证</t>
  </si>
  <si>
    <t>调2019年12月2#凭证</t>
  </si>
  <si>
    <t>调2019年4月22#凭证</t>
  </si>
  <si>
    <t>调2019年3月33#凭证</t>
  </si>
  <si>
    <t>调2019年4月17#凭证</t>
  </si>
  <si>
    <t>调2019年1月22#凭证</t>
  </si>
  <si>
    <t>调2019年3月3#凭证</t>
  </si>
  <si>
    <t>调2019年7月3#凭证</t>
  </si>
  <si>
    <t>调2018年10月35#凭证</t>
  </si>
  <si>
    <t>调2019年6月14#凭证</t>
  </si>
  <si>
    <t>调2019年12月69#凭证</t>
  </si>
  <si>
    <t>调2018年11月15#凭证</t>
  </si>
  <si>
    <t>调2018年11月23#凭证</t>
  </si>
  <si>
    <t>调2019年6月49#凭证</t>
  </si>
  <si>
    <t>调2019年7月5#凭证</t>
  </si>
  <si>
    <t>调2019年10月28#凭证</t>
  </si>
  <si>
    <t>调2019年1月8#凭证</t>
  </si>
  <si>
    <t>调2019年6月27#凭证</t>
  </si>
  <si>
    <t>调2019年7月70#凭证</t>
  </si>
  <si>
    <t>调2019年10月32#凭证</t>
  </si>
  <si>
    <t>调2019年4月33#凭证</t>
  </si>
  <si>
    <t>调2019年11月20#凭证</t>
  </si>
  <si>
    <t>调2019年1月21#凭证</t>
  </si>
  <si>
    <t>调2019年9月20#凭证</t>
  </si>
  <si>
    <t>调2019年10月5#凭证</t>
  </si>
  <si>
    <t>调2019年10月6#凭证</t>
  </si>
  <si>
    <t>调2019年12月5#凭证</t>
  </si>
  <si>
    <t>调2018年12月7#凭证</t>
  </si>
  <si>
    <t>调2018年12月40#凭证</t>
  </si>
  <si>
    <t>调2019年3月38#凭证</t>
  </si>
  <si>
    <t>调2019年5月11#凭证</t>
  </si>
  <si>
    <t>调2019年10月21#凭证</t>
  </si>
  <si>
    <t>调2018年11月13#凭证</t>
  </si>
  <si>
    <t>调2019年5月31#凭证</t>
  </si>
  <si>
    <t>调2019年4月14#凭证</t>
  </si>
  <si>
    <t>调2019年1月28#凭证</t>
  </si>
  <si>
    <t>调2019年2月10#凭证</t>
  </si>
  <si>
    <t>调2019年1月7#凭证</t>
  </si>
  <si>
    <t>调2019年6月1#凭证</t>
  </si>
  <si>
    <t>调2019年6月25#凭证</t>
  </si>
  <si>
    <t>调2018年10月36#凭证</t>
  </si>
  <si>
    <t>调2019年4月39#凭证</t>
  </si>
  <si>
    <t>调2019年11月70#凭证</t>
  </si>
  <si>
    <t>调2019年6月2#凭证</t>
  </si>
  <si>
    <t>调2019年10月4#凭证</t>
  </si>
  <si>
    <t>调2019年10月11#凭证</t>
  </si>
  <si>
    <t>调2019年10月17#凭证</t>
  </si>
  <si>
    <t>调2019年12月41#凭证</t>
  </si>
  <si>
    <t>调2019年12月42#凭证</t>
  </si>
  <si>
    <t>调2019年12月9#凭证</t>
  </si>
  <si>
    <t>调2018年6月27#凭证</t>
  </si>
  <si>
    <t>调2019年2月1#凭证</t>
  </si>
  <si>
    <t>调2019年3月26#凭证</t>
  </si>
  <si>
    <t>调2019年6月13#凭证</t>
  </si>
  <si>
    <t>调2019年9月5#凭证</t>
  </si>
  <si>
    <t>调2019年12月12#凭证</t>
  </si>
  <si>
    <t>调2019年1月15#凭证</t>
  </si>
  <si>
    <t>调2019年7月9#凭证</t>
  </si>
  <si>
    <t>调2018年6月44#凭证</t>
  </si>
  <si>
    <t>调2018年10月39#凭证</t>
  </si>
  <si>
    <t>调2019年3月72#凭证</t>
  </si>
  <si>
    <t>调2019年4月4#凭证</t>
  </si>
  <si>
    <t>调2019年6月40#凭证</t>
  </si>
  <si>
    <t>调2018年11月20#凭证</t>
  </si>
  <si>
    <t>调2019年3月25#凭证</t>
  </si>
  <si>
    <t>调2019年5月42#凭证</t>
  </si>
  <si>
    <t>调2019年8月47#凭证</t>
  </si>
  <si>
    <t>调2019年12月11#凭证</t>
  </si>
  <si>
    <t>调2018年12月8#凭证</t>
  </si>
  <si>
    <t>调2019年1月20#凭证</t>
  </si>
  <si>
    <t>调2019年4月25#凭证</t>
  </si>
  <si>
    <t>调2019年6月42#凭证</t>
  </si>
  <si>
    <t>调2019年12月8#凭证</t>
  </si>
  <si>
    <t>调2019年12月60#凭证</t>
  </si>
  <si>
    <t>调2018年6月40#凭证</t>
  </si>
  <si>
    <t>调2019年1月4#凭证</t>
  </si>
  <si>
    <t>调2019年11月11#凭证</t>
  </si>
  <si>
    <t>调2018年6月47#凭证</t>
  </si>
  <si>
    <t>调2018年11月3#凭证</t>
  </si>
  <si>
    <t>调2019年3月2#凭证</t>
  </si>
  <si>
    <t>调2019年7月30#凭证</t>
  </si>
  <si>
    <t>调2019年8月49#凭证</t>
  </si>
  <si>
    <t>收佐热木·萨吾提A4-4-601住宅款现金</t>
  </si>
  <si>
    <t>调2019年1月5#凭证</t>
  </si>
  <si>
    <t>调2019年4月21#凭证</t>
  </si>
  <si>
    <t>调2019年4月35#凭证</t>
  </si>
  <si>
    <t>调2019年6月17#凭证</t>
  </si>
  <si>
    <t>调2019年6月18#凭证</t>
  </si>
  <si>
    <t>调2019年5月22#凭证</t>
  </si>
  <si>
    <t>调2019年8月58#凭证</t>
  </si>
  <si>
    <t>调2019年5月16#凭证</t>
  </si>
  <si>
    <t>调2019年7月35#凭证</t>
  </si>
  <si>
    <t>调2018年10月37#凭证</t>
  </si>
  <si>
    <t>调2019年4月23#凭证</t>
  </si>
  <si>
    <t>调2019年8月60#凭证</t>
  </si>
  <si>
    <t>调2019年1月1#凭证</t>
  </si>
  <si>
    <t>调2019年3月12#凭证</t>
  </si>
  <si>
    <t>调2019年6月4#凭证</t>
  </si>
  <si>
    <t>调2019年7月68#凭证</t>
  </si>
  <si>
    <t>调2019年9月33#凭证</t>
  </si>
  <si>
    <t>调2019年3月7#凭证</t>
  </si>
  <si>
    <t>调2019年3月8#凭证</t>
  </si>
  <si>
    <t>调2019年3月24#凭证</t>
  </si>
  <si>
    <t>调2019年5月38#凭证</t>
  </si>
  <si>
    <t>调2019年6月32#凭证</t>
  </si>
  <si>
    <t>调2019年8月8#凭证</t>
  </si>
  <si>
    <t>调2019年10月14#凭证</t>
  </si>
  <si>
    <t>调2019年1月9#凭证</t>
  </si>
  <si>
    <t>调2019年2月21#凭证</t>
  </si>
  <si>
    <t>调2019年9月7#凭证</t>
  </si>
  <si>
    <t>调2019年11月16#凭证</t>
  </si>
  <si>
    <t>调2019年10月13#凭证</t>
  </si>
  <si>
    <t>调2019年10月23#凭证</t>
  </si>
  <si>
    <t>收阿依先木·吐尼牙孜A5-102商铺款刷卡</t>
  </si>
  <si>
    <t>收阿依先木·吐尼牙孜A5-102商铺款现金</t>
  </si>
  <si>
    <t>收阿依先木·吐尼牙孜A5-103商铺款刷卡</t>
  </si>
  <si>
    <t>调2019年6月35#凭证</t>
  </si>
  <si>
    <t>调2019年6月37#凭证</t>
  </si>
  <si>
    <t>调2019年7月6#凭证</t>
  </si>
  <si>
    <t>调2019年7月21#凭证</t>
  </si>
  <si>
    <t>收张昌远康泰5-5-1003房款</t>
  </si>
  <si>
    <t>收艾麦尔江·麦麦提A6-1-202住宅款刷卡</t>
  </si>
  <si>
    <t>收艾麦尔江·麦麦提A6-1-202住宅款现金29000、刷卡20262</t>
  </si>
  <si>
    <t>收阿布都沙拉木·肉孜A7-3-202住宅款现金10900、刷卡59100</t>
  </si>
  <si>
    <t>收阿布都沙拉木·肉孜A7-3-202住宅款刷卡</t>
  </si>
  <si>
    <t>收海丽且木·阿不都热哈曼A8-1-301住宅款</t>
  </si>
  <si>
    <t>收海丽且木·阿不都热合曼A8-1-301住宅款现金</t>
  </si>
  <si>
    <t>收热艳古丽·热合曼A8-2-304住宅款现金</t>
  </si>
  <si>
    <t>收热艳古丽·热合曼多浪三期A8-2-304住宅款刷卡</t>
  </si>
  <si>
    <t>收阿斯叶木·依明A8-2-603住宅款现金</t>
  </si>
  <si>
    <t>收阿斯叶木·依明A8-2-603住宅款刷卡</t>
  </si>
  <si>
    <t>收阿曼古力·吐尔洪A8-1-501住宅款刷卡</t>
  </si>
  <si>
    <t>收艾力江·吐尔地A9-1-401住宅款现金500、刷卡49500</t>
  </si>
  <si>
    <t>收艾斯牙尔·莫敏A9-1-403住宅款现金</t>
  </si>
  <si>
    <t>收巴拉提·肉孜A9-1-603住宅款现金30000、刷卡20000</t>
  </si>
  <si>
    <t>收艾合麦提·艾克拜尔
A9-2-404住宅款刷卡</t>
  </si>
  <si>
    <t>收阿米南木·巴拉提A13-1-101住宅款刷卡</t>
  </si>
  <si>
    <t>调2019年11月66#凭证</t>
  </si>
  <si>
    <t>调2019年12月61#凭证</t>
  </si>
  <si>
    <t>调2019年7月26#凭证</t>
  </si>
  <si>
    <t>调2019年3月28#凭证</t>
  </si>
  <si>
    <t>调2019年4月11#凭证</t>
  </si>
  <si>
    <t>调2019年4月12#凭证</t>
  </si>
  <si>
    <t>调2019年5月15#凭证</t>
  </si>
  <si>
    <t>调2019年6月15#凭证</t>
  </si>
  <si>
    <t>调2019年11月1#凭证</t>
  </si>
  <si>
    <t>调2018年6月41#凭证</t>
  </si>
  <si>
    <t>调2019年5月1#凭证</t>
  </si>
  <si>
    <t>调2019年5月3#凭证</t>
  </si>
  <si>
    <t>调2019年5月6#凭证</t>
  </si>
  <si>
    <t>调2019年7月48#凭证</t>
  </si>
  <si>
    <t>调2018年6月42#凭证</t>
  </si>
  <si>
    <t>调2018年11月64#凭证</t>
  </si>
  <si>
    <t>调2019年6月12#凭证</t>
  </si>
  <si>
    <t>调2019年7月2#凭证</t>
  </si>
  <si>
    <t>调2019年8月3#凭证</t>
  </si>
  <si>
    <t>调2019年9月29#凭证</t>
  </si>
  <si>
    <t>调2018年12月41#凭证</t>
  </si>
  <si>
    <t>调2019年2月17#凭证</t>
  </si>
  <si>
    <t>调2019年5月39#凭证</t>
  </si>
  <si>
    <t>调2018年11月11#凭证</t>
  </si>
  <si>
    <t>调2019年4月38#凭证</t>
  </si>
  <si>
    <t>调2018年12月38#凭证</t>
  </si>
  <si>
    <t>调2018年12月39#凭证</t>
  </si>
  <si>
    <t>调2019年3月1#凭证</t>
  </si>
  <si>
    <t>调2019年3月5#凭证</t>
  </si>
  <si>
    <t>调2019年5月37#凭证</t>
  </si>
  <si>
    <t>调2018年6月43#凭证</t>
  </si>
  <si>
    <t>调2019年1月23#凭证</t>
  </si>
  <si>
    <t>调2019年4月9#凭证</t>
  </si>
  <si>
    <t>调2019年5月25#凭证</t>
  </si>
  <si>
    <t>调2019年6月41#凭证</t>
  </si>
  <si>
    <t>调2018年12月9#凭证</t>
  </si>
  <si>
    <t>调2019年2月3#凭证</t>
  </si>
  <si>
    <t>调2019年4月1#凭证</t>
  </si>
  <si>
    <t>调2019年4月29#凭证</t>
  </si>
  <si>
    <t>调2019年6月47#凭证</t>
  </si>
  <si>
    <t>调2019年12月66#凭证</t>
  </si>
  <si>
    <t>调2019年12月63#凭证</t>
  </si>
  <si>
    <t>调2018年6月10#凭证</t>
  </si>
  <si>
    <t>调2018年10月34#凭证</t>
  </si>
  <si>
    <t>调2019年7月15#凭证</t>
  </si>
  <si>
    <t>调2019年8月53#凭证</t>
  </si>
  <si>
    <t>调2019年4月18#凭证</t>
  </si>
  <si>
    <t>调2019年5月14#凭证</t>
  </si>
  <si>
    <t>调2019年6月34#凭证</t>
  </si>
  <si>
    <t>调2019年11月8#凭证</t>
  </si>
  <si>
    <t>调2019年6月11#凭证</t>
  </si>
  <si>
    <t>调2019年8月54#凭证</t>
  </si>
  <si>
    <t>调2018年10月29#凭证</t>
  </si>
  <si>
    <t>调2019年4月30#凭证</t>
  </si>
  <si>
    <t>调2019年5月4#凭证</t>
  </si>
  <si>
    <t>调2018年11月46#凭证</t>
  </si>
  <si>
    <t>调2019年3月19#凭证</t>
  </si>
  <si>
    <t>调2019年5月2#凭证</t>
  </si>
  <si>
    <t>调2019年6月30#凭证</t>
  </si>
  <si>
    <t>调2018年11月9#凭证</t>
  </si>
  <si>
    <t>调2019年11月67#凭证</t>
  </si>
  <si>
    <t>调2019年4月28#凭证</t>
  </si>
  <si>
    <t>调2019年4月15#凭证</t>
  </si>
  <si>
    <t>调2019年4月27#凭证</t>
  </si>
  <si>
    <t>调2019年6月48#凭证</t>
  </si>
  <si>
    <t>调2019年2月26#凭证</t>
  </si>
  <si>
    <t>调2019年3月37#凭证</t>
  </si>
  <si>
    <t>调2019年5月40#凭证</t>
  </si>
  <si>
    <t>调2019年10月33#凭证</t>
  </si>
  <si>
    <t>调2018年12月3#凭证</t>
  </si>
  <si>
    <t>调2019年2月8#凭证</t>
  </si>
  <si>
    <t>调2019年2月20#凭证</t>
  </si>
  <si>
    <t>调2019年1月16#凭证</t>
  </si>
  <si>
    <t>调2018年11月21#凭证</t>
  </si>
  <si>
    <t>调2018年11月36#凭证</t>
  </si>
  <si>
    <t>调2018年11月44#凭证</t>
  </si>
  <si>
    <t>调2019年2月25#凭证</t>
  </si>
  <si>
    <t>调2019年5月93#凭证</t>
  </si>
  <si>
    <t>调2019年5月20#凭证</t>
  </si>
  <si>
    <t>调2019年5月21#凭证</t>
  </si>
  <si>
    <t>调2019年7月13#凭证</t>
  </si>
  <si>
    <t>调2019年8月4#凭证</t>
  </si>
  <si>
    <t>调2019年6月21#凭证</t>
  </si>
  <si>
    <t>调2019年7月16#凭证</t>
  </si>
  <si>
    <t>调2019年9月35#凭证</t>
  </si>
  <si>
    <t>调2019年4月24#凭证</t>
  </si>
  <si>
    <t>调2019年7月31#凭证</t>
  </si>
  <si>
    <t>调2019年11月2#凭证</t>
  </si>
  <si>
    <t>调2019年11月10#凭证</t>
  </si>
  <si>
    <t>调2019年5月41#凭证</t>
  </si>
  <si>
    <t>调2019年7月19#凭证</t>
  </si>
  <si>
    <t>收帕提古力·亚生A4-4-201住宅款现金</t>
  </si>
  <si>
    <t>调2019年2月4#凭证</t>
  </si>
  <si>
    <t>调2019年2月18#凭证</t>
  </si>
  <si>
    <t>调2019年8月42#凭证</t>
  </si>
  <si>
    <t>调2019年8月44#凭证</t>
  </si>
  <si>
    <t>调2019年10月19#凭证</t>
  </si>
  <si>
    <t>调2019年2月2#凭证</t>
  </si>
  <si>
    <t>调2019年5月10#凭证</t>
  </si>
  <si>
    <t>调2019年11月9#凭证</t>
  </si>
  <si>
    <t>调2019年11月73#凭证</t>
  </si>
  <si>
    <t>调2019年2月11#凭证</t>
  </si>
  <si>
    <t>调2019年7月17#凭证</t>
  </si>
  <si>
    <t>调2019年7月27#凭证</t>
  </si>
  <si>
    <t>调2019年12月76#凭证</t>
  </si>
  <si>
    <t>调2018年12月10#凭证</t>
  </si>
  <si>
    <t>调2019年3月22#凭证</t>
  </si>
  <si>
    <t>调2019年5月26#凭证</t>
  </si>
  <si>
    <t>调2019年8月10#凭证</t>
  </si>
  <si>
    <t>调2019年9月31#凭证</t>
  </si>
  <si>
    <t>调2018年12月11#凭证</t>
  </si>
  <si>
    <t>调2019年6月39#凭证</t>
  </si>
  <si>
    <t>调2018年10月28#凭证</t>
  </si>
  <si>
    <t>调2019年6月33#凭证</t>
  </si>
  <si>
    <t>调2019年8月12#凭证</t>
  </si>
  <si>
    <t>调2018年12月69#凭证</t>
  </si>
  <si>
    <t>调2019年7月14#凭证</t>
  </si>
  <si>
    <t>调2019年9月12#凭证</t>
  </si>
  <si>
    <t>调2019年10月9#凭证</t>
  </si>
  <si>
    <t>调2019年12月6#凭证</t>
  </si>
  <si>
    <t>调2018年12月6#凭证</t>
  </si>
  <si>
    <t>调2019年5月19#凭证</t>
  </si>
  <si>
    <t>调2019年8月51#凭证</t>
  </si>
  <si>
    <t>调2018年11月16#凭证</t>
  </si>
  <si>
    <t>调2019年5月35#凭证</t>
  </si>
  <si>
    <t>调2018年10月27#凭证</t>
  </si>
  <si>
    <t>调2019年7月36#凭证</t>
  </si>
  <si>
    <t>调2019年2月13#凭证</t>
  </si>
  <si>
    <t>调2019年3月23#凭证</t>
  </si>
  <si>
    <t>调2019年6月46#凭证</t>
  </si>
  <si>
    <t>调2019年7月8#凭证</t>
  </si>
  <si>
    <t>调2019年9月16#凭证</t>
  </si>
  <si>
    <t>调2019年3月35#凭证</t>
  </si>
  <si>
    <t>调2019年11月4#凭证</t>
  </si>
  <si>
    <t>调2019年12月4#凭证</t>
  </si>
  <si>
    <t>调2019年12月15#凭证</t>
  </si>
  <si>
    <t>调2019年12月62#凭证</t>
  </si>
  <si>
    <t>调2019年12月65#凭证</t>
  </si>
  <si>
    <t>调2019年3月21#凭证</t>
  </si>
  <si>
    <t>调2019年3月32#凭证</t>
  </si>
  <si>
    <t>调2019年10月8#凭证</t>
  </si>
  <si>
    <t>调2019年9月11#凭证</t>
  </si>
  <si>
    <t>调2019年1月11#凭证</t>
  </si>
  <si>
    <t>调2019年1月27#凭证</t>
  </si>
  <si>
    <t>调2019年2月5#凭证</t>
  </si>
  <si>
    <t>调2019年2月16#凭证</t>
  </si>
  <si>
    <t>调2018年11月17#凭证</t>
  </si>
  <si>
    <t>调2018年11月22#凭证</t>
  </si>
  <si>
    <t>调2018年11月37#凭证</t>
  </si>
  <si>
    <t>调2019年4月34#凭证</t>
  </si>
  <si>
    <t>调2018年11月10#凭证</t>
  </si>
  <si>
    <t>调2019年12月7#凭证</t>
  </si>
  <si>
    <t>调2018年11月1#凭证</t>
  </si>
  <si>
    <t>调2018年11月5#凭证</t>
  </si>
  <si>
    <t>调2019年4月37#凭证</t>
  </si>
  <si>
    <t>调2018年10月33#凭证</t>
  </si>
  <si>
    <t>调2019年1月18#凭证</t>
  </si>
  <si>
    <t>调2019年3月18#凭证</t>
  </si>
  <si>
    <t>调2019年10月30#凭证</t>
  </si>
  <si>
    <t>调2019年2月12#凭证</t>
  </si>
  <si>
    <t>调2019年2月19#凭证</t>
  </si>
  <si>
    <t>调2019年3月10#凭证</t>
  </si>
  <si>
    <t>调2019年2月7#凭证</t>
  </si>
  <si>
    <t>调2019年10月10#凭证</t>
  </si>
  <si>
    <t>调2019年2月14#凭证</t>
  </si>
  <si>
    <t>调2019年12月64#凭证</t>
  </si>
  <si>
    <t>调2018年12月5#凭证</t>
  </si>
  <si>
    <t>调2019年6月5#凭证</t>
  </si>
  <si>
    <t>调2019年9月3#凭证</t>
  </si>
  <si>
    <t>调2018年12月4#凭证</t>
  </si>
  <si>
    <t>调2019年3月29#凭证</t>
  </si>
  <si>
    <t>调2019年7月22#凭证</t>
  </si>
  <si>
    <t>调2019年7月23#凭证</t>
  </si>
  <si>
    <t>调2019年8月43#凭证</t>
  </si>
  <si>
    <t>调2019年9月1#凭证</t>
  </si>
  <si>
    <t>调2019年9月2#凭证</t>
  </si>
  <si>
    <t>调2019年3月11#凭证</t>
  </si>
  <si>
    <t>调2019年5月34#凭证</t>
  </si>
  <si>
    <t>调2018年6月11#凭证</t>
  </si>
  <si>
    <t>调2018年11月18#凭证</t>
  </si>
  <si>
    <t>调2019年2月24#凭证</t>
  </si>
  <si>
    <t>调2019年4月5#凭证</t>
  </si>
  <si>
    <t>调2019年6月45#凭证</t>
  </si>
  <si>
    <t>调2019年3月20#凭证</t>
  </si>
  <si>
    <t>调2019年4月6#凭证</t>
  </si>
  <si>
    <t>调2019年7月32#凭证</t>
  </si>
  <si>
    <t>调2018年12月44#凭证</t>
  </si>
  <si>
    <t>调2019年3月9#凭证</t>
  </si>
  <si>
    <t>调2019年5月30#凭证</t>
  </si>
  <si>
    <t>调2019年1月26#凭证</t>
  </si>
  <si>
    <t>调2019年3月40#凭证</t>
  </si>
  <si>
    <t>调2019年7月29#凭证</t>
  </si>
  <si>
    <t>调2018年10月30#凭证</t>
  </si>
  <si>
    <t>调2019年8月52#凭证</t>
  </si>
  <si>
    <t>调2019年6月8#凭证</t>
  </si>
  <si>
    <t>调2019年6月19#凭证</t>
  </si>
  <si>
    <t>调2019年9月34#凭证</t>
  </si>
  <si>
    <t>调2019年6月31#凭证</t>
  </si>
  <si>
    <t>调2019年7月18#凭证</t>
  </si>
  <si>
    <t>调2019年9月30#凭证</t>
  </si>
  <si>
    <t>调2019年10月16#凭证</t>
  </si>
  <si>
    <t>调2019年1月32#凭证</t>
  </si>
  <si>
    <t>调2019年7月24#凭证</t>
  </si>
  <si>
    <t>调2019年10月12#凭证</t>
  </si>
  <si>
    <t>调2019年9月24#凭证</t>
  </si>
  <si>
    <t>调2019年9月25#凭证</t>
  </si>
  <si>
    <t>调2019年9月28#凭证</t>
  </si>
  <si>
    <t>调2019年11月14#凭证</t>
  </si>
  <si>
    <t>调2019年12月13#凭证</t>
  </si>
  <si>
    <t>调2019年2月15#凭证</t>
  </si>
  <si>
    <t>调2019年3月27#凭证</t>
  </si>
  <si>
    <t>调2019年5月13#凭证</t>
  </si>
  <si>
    <t>调2019年5月29#凭证</t>
  </si>
  <si>
    <t>调2019年8月2#凭证</t>
  </si>
  <si>
    <t>调2019年8月5#凭证</t>
  </si>
  <si>
    <t>调2019年11月15#凭证</t>
  </si>
  <si>
    <t>调2019年11月62#凭证</t>
  </si>
  <si>
    <t>调2019年4月8#凭证</t>
  </si>
  <si>
    <t>调2019年4月10#凭证</t>
  </si>
  <si>
    <t>调2019年6月44#凭证</t>
  </si>
  <si>
    <t>调2019年8月48#凭证</t>
  </si>
  <si>
    <t>调2019年9月18#凭证</t>
  </si>
  <si>
    <t>调2019年10月3#凭证</t>
  </si>
  <si>
    <t>调2019年11月18#凭证</t>
  </si>
  <si>
    <t>调2019年11月63#凭证</t>
  </si>
  <si>
    <t>调2018年10月18#凭证</t>
  </si>
  <si>
    <t>调2018年11月2#凭证</t>
  </si>
  <si>
    <t>调2019年5月32#凭证</t>
  </si>
  <si>
    <t>调2019年3月30#凭证</t>
  </si>
  <si>
    <t>调2019年3月31#凭证</t>
  </si>
  <si>
    <t>调2019年10月7#凭证</t>
  </si>
  <si>
    <t>调2019年11月69#凭证</t>
  </si>
  <si>
    <t>调2019年6月6#凭证</t>
  </si>
  <si>
    <t>收比沙来木·吐来克A7-3-201住宅款现金</t>
  </si>
  <si>
    <t>收多来提·叶克牙A7-1-102住宅款刷卡</t>
  </si>
  <si>
    <t>收多来提·叶克牙A7-1-102住宅款现金7400刷卡43600</t>
  </si>
  <si>
    <t>收哈里克·沙吾提A8-2-302住宅款现金5000、刷卡41000</t>
  </si>
  <si>
    <t>收哈里克·沙吾提A8-2-302住宅款现金5100、刷卡2071</t>
  </si>
  <si>
    <t>收库尔班·托合提A8-1-102住宅款现金20000、刷卡20000</t>
  </si>
  <si>
    <t>收库尔班·托合提A8-1-102住宅款刷卡</t>
  </si>
  <si>
    <t>收库尔班·托合提A8-1-102住宅款现金</t>
  </si>
  <si>
    <t>收沙阿代提·阿布拉A8-1-202住宅款刷卡</t>
  </si>
  <si>
    <t>收麦尔丹·莫尼亚孜A8-2-403住宅款刷卡</t>
  </si>
  <si>
    <t>收麦尔丹·莫尼亚孜A8-2-403住宅款刷卡7829</t>
  </si>
  <si>
    <t>收麦尔丹·麦麦提A8-2-403住宅款刷卡</t>
  </si>
  <si>
    <t>收布萨热木·阿布来提A9-2-103住宅款现金转阿布拉江·达吾提A13-1-201</t>
  </si>
  <si>
    <t>收麦合木提·吐尔逊A9-1-501住宅款现金</t>
  </si>
  <si>
    <t>收麦合木提·吐尔逊A9-1-501住宅款刷卡</t>
  </si>
  <si>
    <t>A13-1-104</t>
  </si>
  <si>
    <t>收阿布迪热克甫·麦合苏木多浪二期A5-1-501住宅款刷卡</t>
  </si>
  <si>
    <t>收孙广涛康泰5-5-101住宅款电汇</t>
  </si>
  <si>
    <t>收艾合麦提·热合曼多浪三期A6-2-102住宅款刷卡</t>
  </si>
  <si>
    <t>收艾尼外尔·麦麦提多浪三期A6-2-501住宅款现金</t>
  </si>
  <si>
    <t>收艾米热汗·马木提多浪三期A7-1-202住宅款现金</t>
  </si>
  <si>
    <t>收艾米热汗·马木提多浪三期A7-1-202住宅款刷卡</t>
  </si>
  <si>
    <t>收阿依努尔·胡都尤木多浪三期A7-2-202住宅款刷卡</t>
  </si>
  <si>
    <t>收玉苏甫·吐尔逊多浪三期A7-1-502住宅建行放贷款</t>
  </si>
  <si>
    <t>收热依汉古丽·热合曼多浪三期A7-3-301住宅款现金</t>
  </si>
  <si>
    <t>收热伊莱·阿巴拜科日多浪三期A7-1-101住宅款现金190000刷卡69463.97</t>
  </si>
  <si>
    <t>收吐尔逊江·吐尔洪多浪三期A7-3-601住宅款刷卡</t>
  </si>
  <si>
    <t>收布瓦吉尔·依米尔多浪三期A8-2-604住宅款现金</t>
  </si>
  <si>
    <t>收麦合木提·艾则孜多浪三期A9-2-203住宅款刷卡</t>
  </si>
  <si>
    <t>收吐尔逊·居麦克多浪三期A9-2-101住宅款现金</t>
  </si>
  <si>
    <t>收萨妮古丽·克然木多浪三期A9-2-304住宅款现金20734刷卡80000</t>
  </si>
  <si>
    <t>收木萨江·木台里甫多浪三期A13-1-601住宅款刷卡</t>
  </si>
  <si>
    <t>收阿力木·赛麦提多浪三期A13-2-502住宅款刷卡</t>
  </si>
  <si>
    <t>调2020年8月7#凭证约然木·阿合尼亚孜A9-1-201住宅入会费现金换成肉孜古力·尼亚孜多浪二期A14-108</t>
  </si>
  <si>
    <t>收热西提·麦吾兰多浪二期A3-3-201住宅款刷卡</t>
  </si>
  <si>
    <t>收阿不都麦麦提·吐尔逊多浪二期A5-3-502住宅建行放贷款</t>
  </si>
  <si>
    <t>收麦麦提·托合尼牙孜多浪二期A5-1-402住宅款刷卡</t>
  </si>
  <si>
    <t>收玛依拉·麦麦提多浪三期A8-2-402住宅款刷卡</t>
  </si>
  <si>
    <t>收玛依热·麦麦提多浪三期A8-2-402住宅款刷卡</t>
  </si>
  <si>
    <t>收孙广涛康泰2-3-401住宅款电汇</t>
  </si>
  <si>
    <t>收麦合木提·艾白都拉多浪三期A6-2-301住宅建行放贷款</t>
  </si>
  <si>
    <t>收穆萨·艾则孜多浪三期A6-1-302住宅款现金</t>
  </si>
  <si>
    <t>收鲁吐布拉·木塔甫多浪三期A6-2-101住宅款现金</t>
  </si>
  <si>
    <t>收达吾提卡热·阿不都克热木多浪三期A7-2-201住宅款建行放贷款</t>
  </si>
  <si>
    <t>收努力曼·肉孜多浪三期A7-1-201住宅款刷卡</t>
  </si>
  <si>
    <t>收帕尔哈提·尔肯多浪三期A8-1-101住宅款刷卡</t>
  </si>
  <si>
    <t>收阿布力米提·吐尼亚孜多浪三期A8-2-104住宅款现金2400刷卡7600</t>
  </si>
  <si>
    <t>收奥屯古丽·阿不来提多浪三期A8-1-601住宅款刷卡</t>
  </si>
  <si>
    <t>收塔依尔·麦麦提多浪三期A8-2-404住宅款刷卡</t>
  </si>
  <si>
    <t>收吐尔迪·麦提尼亚孜多浪三期A9-1-301住宅款现金</t>
  </si>
  <si>
    <t>收麦合莫提·麦麦提多浪三期A9-2-204住宅款刷卡</t>
  </si>
  <si>
    <t>收托合提·依比热依木多浪三期A13-1-301住宅款现金</t>
  </si>
  <si>
    <t>收艾麦尔·麦提尼亚孜多浪二期A2-3-401住宅款现金31000刷卡69000</t>
  </si>
  <si>
    <t>收阿曼古力·阿布力米提多浪小镇三期A7-3-101住宅款现金</t>
  </si>
  <si>
    <t>收热艳古丽·热合曼多浪三期A8-2-304住宅建行放贷款</t>
  </si>
  <si>
    <t>收吾甫尔·阿布都苏甫尔多浪三期A8-2-503住宅款刷卡</t>
  </si>
  <si>
    <t>收艾斯开尔·莫敏多浪三期A9-1-403住宅款刷卡</t>
  </si>
  <si>
    <t>收艾合麦提·艾克拜尔多浪三期A9-2-404住宅款刷卡</t>
  </si>
  <si>
    <t>收阿依努汗·阿布都热西提多浪三期A9-2-104住宅款现金1000刷卡224000</t>
  </si>
  <si>
    <t>收阿米南木·巴拉提多浪三期A13-1-101住宅款刷卡</t>
  </si>
  <si>
    <t>收尼亚孜·依米尔多浪三期A13-1-202住宅款现金</t>
  </si>
  <si>
    <t>收努尔麦麦提·依布热依木多浪三期A13-2-302</t>
  </si>
  <si>
    <t>收努尔麦麦提·依布热依木多浪三期A13-2-302住宅款刷卡</t>
  </si>
  <si>
    <t>收阿布多拉·阿布力孜多浪二期A2-2-401住宅款刷卡</t>
  </si>
  <si>
    <t>收阿布多拉·阿布力孜多浪二期A2-2-401住宅款现金6000刷卡85000</t>
  </si>
  <si>
    <t>收阿布都拉·木塔力甫多浪三期A7-2-101住宅款现金1000刷卡4000</t>
  </si>
  <si>
    <t>收阿布都拉·木塔力甫多浪三期A7-2-101住宅款刷卡</t>
  </si>
  <si>
    <t>收凯赛尔·艾比卜拉多浪三期A8-1-602住宅款刷卡</t>
  </si>
  <si>
    <t>收亚森·阿布都热合曼多浪三期A8-1-502住宅款刷卡</t>
  </si>
  <si>
    <t>收赛迪古丽·托合提多浪三期A9-2-103住宅款现金</t>
  </si>
  <si>
    <t>收亚森·艾散多浪三期A9-1-504住宅款现金</t>
  </si>
  <si>
    <t>收亚森·艾散多浪三期A9-1-504住宅款现金76000刷卡50000</t>
  </si>
  <si>
    <t>收肉孜·亚森多浪三期A9-1-601住宅款刷卡</t>
  </si>
  <si>
    <t>收阿曼古力·吐尔逊多浪三期A9-1-201住宅款刷卡</t>
  </si>
  <si>
    <t>收吐尔逊江·木沙多浪三期A13-1-302住宅款现金</t>
  </si>
  <si>
    <t>结转2020年多浪二期A1-5#、14#楼项目A1-1-601收入</t>
  </si>
  <si>
    <t>结转2020年多浪二期A1-5#、14#楼项目A2-2-503收入</t>
  </si>
  <si>
    <t>结转2020年多浪二期A1-5#、14#楼项目A2-1-401收入</t>
  </si>
  <si>
    <t>调2018年10月20#凭证</t>
  </si>
  <si>
    <t>调2018年11月60#凭证</t>
  </si>
  <si>
    <t>结转2020年多浪二期A1-5#、14#楼项目A2-111收入</t>
  </si>
  <si>
    <t>调2018年10月16#凭证</t>
  </si>
  <si>
    <t>调2018年9月36#凭证</t>
  </si>
  <si>
    <t>结转2020年多浪二期A1-5#、14#楼项目A3-110收入</t>
  </si>
  <si>
    <t>收多浪二期A3-3-501卡哈尔·沙依都拉住宅款现金</t>
  </si>
  <si>
    <t>调2020年12月3#凭证调2018年8月2#A4-5-402转A4-6-302</t>
  </si>
  <si>
    <t>调2018年8月2#凭证</t>
  </si>
  <si>
    <t>结转2020年多浪二期A1-5#、14#楼项目A4-5-402收入</t>
  </si>
  <si>
    <t>调2020年1月4#凭证收刘永平1-103商铺</t>
  </si>
  <si>
    <t>结转康泰公寓项目2020年发票收入</t>
  </si>
  <si>
    <t>调2020年11月52#凭证收孙广涛康泰5-5-101房款</t>
  </si>
  <si>
    <t>调2020年4月80#凭证收孙广涛5-5-101商铺</t>
  </si>
  <si>
    <t>调2020年9月46#凭证</t>
  </si>
  <si>
    <t>调2020年9月20#凭证</t>
  </si>
  <si>
    <t>调2020年9月59#凭证</t>
  </si>
  <si>
    <t>调2020年10月76#凭证</t>
  </si>
  <si>
    <t>调2020年7月39#凭证</t>
  </si>
  <si>
    <t>调2020年9月51#凭证</t>
  </si>
  <si>
    <t>收多浪三期A7-2-202阿依努尔·胡都尤木住宅款公积金放贷</t>
  </si>
  <si>
    <t>调2020年9月18#凭证</t>
  </si>
  <si>
    <t>结转2020年多浪三期6-9#、13#楼项目A7-2-202收入</t>
  </si>
  <si>
    <t>结转2020年多浪三期6-9#、13#楼项目A7-1-502收入</t>
  </si>
  <si>
    <t>调2020年7月28#凭证</t>
  </si>
  <si>
    <t>调2020年7月46#凭证</t>
  </si>
  <si>
    <t>调2020年8月11#凭证</t>
  </si>
  <si>
    <t>调2020年8月16#凭证</t>
  </si>
  <si>
    <t>调2020年9月47#凭证</t>
  </si>
  <si>
    <t>调2020年7月31#凭证</t>
  </si>
  <si>
    <t>调2020年7月12#凭证</t>
  </si>
  <si>
    <t>调2020年10月75#凭证</t>
  </si>
  <si>
    <t>收多浪三期A7-3-601吐尔逊江·吐尔洪住宅款建行放贷</t>
  </si>
  <si>
    <t>调2020年9月2#凭证</t>
  </si>
  <si>
    <t>结转2020年多浪三期6-9#、13#楼项目A7-3-601收入</t>
  </si>
  <si>
    <t>收多浪三期A13-2-502阿力木·赛麦提、A7-1-302依扎提古丽·玉山住宅款</t>
  </si>
  <si>
    <t>调2020年9月57#凭证</t>
  </si>
  <si>
    <t>结转2020年多浪三期6-9#、13#楼项目A7-1-302收入</t>
  </si>
  <si>
    <t>收多浪三期A7-1-402乌斯曼·依斯热依力住宅款</t>
  </si>
  <si>
    <t>收多浪三期A7-3-302阿卜杜热吉·图尔逊、A8-2-604布瓦吉尔·依米尔住宅款</t>
  </si>
  <si>
    <t>调2020年7月19#凭证</t>
  </si>
  <si>
    <t>调2020年7月4#凭证</t>
  </si>
  <si>
    <t>调2020年9月31#凭证</t>
  </si>
  <si>
    <t>调2020年7月41#凭证</t>
  </si>
  <si>
    <t>收多浪三期A8-2-502热娜古丽·阿布都买买提住宅款</t>
  </si>
  <si>
    <t>调2020年9月12#凭证</t>
  </si>
  <si>
    <t>调2020年11月61#凭证</t>
  </si>
  <si>
    <t>调2020年7月20#凭证</t>
  </si>
  <si>
    <t>结转2020年多浪三期6-9#、13#楼项目A9-2-203收入</t>
  </si>
  <si>
    <t>收多浪三期A9-1-103努尔比叶木·伊斯热衣木住宅款建行放贷</t>
  </si>
  <si>
    <t>调2020年6月50#凭证</t>
  </si>
  <si>
    <t>调2020年9月35#凭证</t>
  </si>
  <si>
    <t>调2020年9月94#凭证</t>
  </si>
  <si>
    <t>结转2020年多浪三期6-9#、13#楼项目A9-1-103收入</t>
  </si>
  <si>
    <t>收多浪三期A9-2-101吐尔逊·居麦克住宅款</t>
  </si>
  <si>
    <t>调2020年7月53#凭证</t>
  </si>
  <si>
    <t>调2020年7月29#凭证</t>
  </si>
  <si>
    <t>收多浪三期A9-2-502吾斯曼·麦麦提住宅款建行放贷</t>
  </si>
  <si>
    <t>调2020年9月3#凭证</t>
  </si>
  <si>
    <t>结转2020年多浪三期6-9#、13#楼项目A9-2-502收入</t>
  </si>
  <si>
    <t>调2020年9月7#凭证</t>
  </si>
  <si>
    <t>调2020年9月53#凭证</t>
  </si>
  <si>
    <t>调2020年7月16#凭证</t>
  </si>
  <si>
    <t>调2020年11月66#凭证</t>
  </si>
  <si>
    <t>收多浪三期A9-1-104迪力穆拉提·司马义住宅款现金</t>
  </si>
  <si>
    <t>调2020年7月45#凭证</t>
  </si>
  <si>
    <t>收多浪三期A9-2-503古力米热·艾合麦提住宅款现金</t>
  </si>
  <si>
    <t>收多浪三期A9-2-604麦麦提·斯拉木住宅款</t>
  </si>
  <si>
    <t>收多浪三期A13-1-601木萨江·木台里甫住宅款现金</t>
  </si>
  <si>
    <t>调2020年7月43#凭证</t>
  </si>
  <si>
    <t>调2020年7月47#凭证</t>
  </si>
  <si>
    <t>调2020年9月11#凭证</t>
  </si>
  <si>
    <t>调2020年9月41#凭证</t>
  </si>
  <si>
    <t>收多浪三期A13-2-101帕尔哈提·阿不都热西提住宅款现金</t>
  </si>
  <si>
    <t>调2020年7月17#凭证</t>
  </si>
  <si>
    <t>调2020年7月32#凭证</t>
  </si>
  <si>
    <t>调2020年7月14#凭证</t>
  </si>
  <si>
    <t>结转2020年多浪二期A1-5#、14#楼项目A1-107收入</t>
  </si>
  <si>
    <t>调2020年12月3#凭证A3-112转A1-1-301</t>
  </si>
  <si>
    <t>结转2020年多浪二期A1-5#、14#楼项目A1-1-301收入</t>
  </si>
  <si>
    <t>调2018年8月23#凭证</t>
  </si>
  <si>
    <t>调2019年9月43#凭证</t>
  </si>
  <si>
    <t>调2018年8月7#凭证</t>
  </si>
  <si>
    <t>调2019年1月35#凭证</t>
  </si>
  <si>
    <t>调2018年10月21#凭证</t>
  </si>
  <si>
    <t>调2018年10月15#凭证</t>
  </si>
  <si>
    <t>调2018年9月40#凭证</t>
  </si>
  <si>
    <t>结转2020年多浪二期A1-5#、14#楼项目A4-6-501收入</t>
  </si>
  <si>
    <t>调2020年10月36#凭证麦麦提·图尼亚孜A9-2-403住宅款刷卡换成肉孜古力·尼亚孜多浪二期A14-108</t>
  </si>
  <si>
    <t>结转2020年多浪二期A1-5#、14#楼项目A14-108收入</t>
  </si>
  <si>
    <t>调2018年8月11#凭证</t>
  </si>
  <si>
    <t>调2018年11月27#凭证</t>
  </si>
  <si>
    <t>结转2020年多浪二期A1-5#、14#楼项目A1-2-401收入</t>
  </si>
  <si>
    <t>调2018年10月2#凭证</t>
  </si>
  <si>
    <t>调2018年8月1#凭证</t>
  </si>
  <si>
    <t>调2018年10月47#凭证</t>
  </si>
  <si>
    <t>调2018年9月7#凭证</t>
  </si>
  <si>
    <t>调2018年7月42#凭证</t>
  </si>
  <si>
    <t>结转2020年多浪二期A1-5#、14#楼项目A1-112收入</t>
  </si>
  <si>
    <t>调2018年8月47#凭证</t>
  </si>
  <si>
    <t>调2019年4月79#凭证</t>
  </si>
  <si>
    <t>调2019年2月39#凭证</t>
  </si>
  <si>
    <t>结转2020年多浪二期A1-5#、14#楼项目A2-3-403收入</t>
  </si>
  <si>
    <t>调2018年8月16#凭证</t>
  </si>
  <si>
    <t>结转2020年多浪二期A1-5#、14#楼项目A3-1-503收入</t>
  </si>
  <si>
    <t>调2019年3月35#凭证A3-103</t>
  </si>
  <si>
    <t>结转2020年多浪二期A1-5#、14#楼项目A3-103收入</t>
  </si>
  <si>
    <t>调2018年7月22#凭证</t>
  </si>
  <si>
    <t>收多浪二期A3-3-201热西提·麦吾兰住宅款</t>
  </si>
  <si>
    <t>调2020年9月26#凭证</t>
  </si>
  <si>
    <t>结转2020年多浪二期A1-5#、14#楼项目A4-4-602收入</t>
  </si>
  <si>
    <t>结转2020年多浪二期A1-5#、14#楼项目A4-1-601收入</t>
  </si>
  <si>
    <t>结转2020年多浪二期A1-5#、14#楼项目A4-4-402收入</t>
  </si>
  <si>
    <t>结转2020年多浪二期A1-5#、14#楼项目A4-2-402收入</t>
  </si>
  <si>
    <t>结转2020年多浪二期A1-5#、14#楼项目A4-4-501收入</t>
  </si>
  <si>
    <t>结转2020年多浪二期A1-5#、14#楼项目A4-3-502收入</t>
  </si>
  <si>
    <t>调2020年10月2#凭证吐热古力·阿西木A4-109商铺款现金转到艾合麦提·艾克拜尔A9-2-404</t>
  </si>
  <si>
    <t>结转2020年多浪二期A1-5#、14#楼项目A5-1-202收入</t>
  </si>
  <si>
    <t>结转2020年多浪二期A1-5#、14#楼项目A5-3-502收入</t>
  </si>
  <si>
    <t>收多浪二期A5-1-402如先古丽·吐尼亚孜住宅款现金</t>
  </si>
  <si>
    <t>调2020年7月23#凭证</t>
  </si>
  <si>
    <t>调2020年7月24#凭证</t>
  </si>
  <si>
    <t>调2020年7月30#凭证</t>
  </si>
  <si>
    <t>调2020年7月13#凭证</t>
  </si>
  <si>
    <t>调2020年8月19#凭证</t>
  </si>
  <si>
    <t>调2020年9月62#凭证</t>
  </si>
  <si>
    <t>调2020年11月60#凭证</t>
  </si>
  <si>
    <t>结转2020年多浪二期A1-5#、14#楼项目A14-101收入</t>
  </si>
  <si>
    <t>调2020年11月51#凭证收孙广涛康泰2-3-401房款</t>
  </si>
  <si>
    <t>调2020年7月70#凭证收孙爱莲5-1-903</t>
  </si>
  <si>
    <t>调2020年9月77#凭证收孙爱莲5-1-903</t>
  </si>
  <si>
    <t>调2020年9月25#凭证</t>
  </si>
  <si>
    <t>调2020年9月54#凭证</t>
  </si>
  <si>
    <t>收多浪三期A6-1-502热依汗·牙生住宅建行放贷款</t>
  </si>
  <si>
    <t>调2020年7月48#凭证</t>
  </si>
  <si>
    <t>调2020年9月36#凭证</t>
  </si>
  <si>
    <t>调2020年8月6#凭证</t>
  </si>
  <si>
    <t>调2020年8月14#凭证</t>
  </si>
  <si>
    <t>调2020年9月9#凭证</t>
  </si>
  <si>
    <t>调2020年9月49#凭证</t>
  </si>
  <si>
    <t>调2020年9月60#凭证</t>
  </si>
  <si>
    <t>结转2020年多浪三期6-9#、13#楼项目A6-1-302收入</t>
  </si>
  <si>
    <t>收多浪三期A6-2-101鲁吐布拉·木塔力甫住宅款</t>
  </si>
  <si>
    <t>调2020年9月16#凭证</t>
  </si>
  <si>
    <t>调2020年9月19#凭证</t>
  </si>
  <si>
    <t>调2020年9月24#凭证</t>
  </si>
  <si>
    <t>收多浪三期A6-2-601肉孜·吐尼亚孜住宅款</t>
  </si>
  <si>
    <t>调2020年9月100#凭证</t>
  </si>
  <si>
    <t>调2020年9月98#凭证</t>
  </si>
  <si>
    <t>调2020年8月18#凭证</t>
  </si>
  <si>
    <t>收多浪三期A7-1-201努力曼·肉孜住宅款公积金放贷</t>
  </si>
  <si>
    <t>结转2020年多浪三期6-9#、13#楼项目A7-1-201收入</t>
  </si>
  <si>
    <t>调2020年7月10#凭证</t>
  </si>
  <si>
    <t>调2020年9月23#凭证</t>
  </si>
  <si>
    <t>收多浪三期A7-3-401图尔荪江住宅款现金</t>
  </si>
  <si>
    <t>收多浪三期A7-1-401吐尔洪·萨迪尔住宅款</t>
  </si>
  <si>
    <t>调2020年9月61#凭证</t>
  </si>
  <si>
    <t>调2020年7月8#凭证</t>
  </si>
  <si>
    <t>调2020年9月97#凭证孜克尔亚·吐尔逊A8-1-401入会费未退</t>
  </si>
  <si>
    <t>结转2020年多浪三期6-9#、13#楼项目A8-1-401收入</t>
  </si>
  <si>
    <t>收多浪三期A8-1-101帕尔哈提·尔肯住宅款建行放贷</t>
  </si>
  <si>
    <t>调2020年9月5#凭证阿依孜木·玉素甫A8-1-101入会费未退</t>
  </si>
  <si>
    <t>调2020年9月8#凭证</t>
  </si>
  <si>
    <t>结转2020年多浪三期6-9#、13#楼项目A8-1-101收入</t>
  </si>
  <si>
    <t>收多浪三期A8-2-104阿布力米提·吐尼亚孜住宅款</t>
  </si>
  <si>
    <t>调2020年9月39#凭证</t>
  </si>
  <si>
    <t>结转2020年多浪三期6-9#、13#楼项目A8-1-601收入</t>
  </si>
  <si>
    <t>调2020年7月25#凭证</t>
  </si>
  <si>
    <t>调2020年6月49#凭证</t>
  </si>
  <si>
    <t>调2020年7月55#凭证</t>
  </si>
  <si>
    <t>调2020年9月10#凭证</t>
  </si>
  <si>
    <t>调2020年9月13#凭证</t>
  </si>
  <si>
    <t>调2020年9月14#凭证</t>
  </si>
  <si>
    <t>调2020年9月29#凭证</t>
  </si>
  <si>
    <t>调2020年9月32#凭证</t>
  </si>
  <si>
    <t>调2020年9月52#凭证</t>
  </si>
  <si>
    <t>收多浪三期A8-1-402吐尔逊麦麦提·托胡提住宅款现金</t>
  </si>
  <si>
    <t>收多浪三期A8-2-504阿布都尼亚孜·依明住宅款建行放贷</t>
  </si>
  <si>
    <t>调2020年7月50#凭证</t>
  </si>
  <si>
    <t>调2020年9月68#凭证</t>
  </si>
  <si>
    <t>结转2020年多浪三期6-9#、13#楼项目A8-2-504收入</t>
  </si>
  <si>
    <t>收努日曼古丽·毛力尼亚孜多浪三期A9-2-102住宅款现金</t>
  </si>
  <si>
    <t>调2020年9月64#凭证</t>
  </si>
  <si>
    <t>调2020年7月22#凭证</t>
  </si>
  <si>
    <t>调2020年9月48#凭证</t>
  </si>
  <si>
    <t>调2020年9月22#凭证</t>
  </si>
  <si>
    <t>调2020年9月28#凭证</t>
  </si>
  <si>
    <t>结转2020年多浪三期6-9#、13#楼项目A9-1-502收入</t>
  </si>
  <si>
    <t>收多浪三期A9-1-503艾海提·吾斯曼住宅款建行放贷</t>
  </si>
  <si>
    <t>调2020年7月6#凭证</t>
  </si>
  <si>
    <t>调2020年8月10#凭证</t>
  </si>
  <si>
    <t>调2020年9月33#凭证</t>
  </si>
  <si>
    <t>调2020年9月67#凭证</t>
  </si>
  <si>
    <t>收多浪三期A9-1-301吐尔迪·麦提尼亚孜住宅款</t>
  </si>
  <si>
    <t>调2020年9月21#凭证</t>
  </si>
  <si>
    <t>调2020年9月56#凭证</t>
  </si>
  <si>
    <t>结转2020年多浪三期6-9#、13#楼项目A9-2-402收入</t>
  </si>
  <si>
    <t>调2020年7月7#凭证</t>
  </si>
  <si>
    <t>结转2020年多浪三期6-9#、13#楼项目A9-2-501收入</t>
  </si>
  <si>
    <t>调2020年7月26#凭证</t>
  </si>
  <si>
    <t>调2020年7月27#凭证</t>
  </si>
  <si>
    <t>结转2020年多浪三期6-9#、13#楼项目A9-2-204收入</t>
  </si>
  <si>
    <t>收多浪三期A9-2-601亚森·马木克住宅款现金</t>
  </si>
  <si>
    <t>收A9-2-601亚森·马木克住宅款</t>
  </si>
  <si>
    <t>收多浪三期A9-2-504阿布都如苏力·阿不都尼亚孜住宅款现金</t>
  </si>
  <si>
    <t>收多浪三期A9-1-404古丽加马丽·依马木尼亚孜住宅款现金</t>
  </si>
  <si>
    <t>收多浪三期A13-1-301托合提·依比热依木住宅款</t>
  </si>
  <si>
    <t>调2020年9月55#凭证</t>
  </si>
  <si>
    <t>调2020年9月45#凭证</t>
  </si>
  <si>
    <t>结转2020年多浪三期6-9#、13#楼项目A13-2-202收入</t>
  </si>
  <si>
    <t>收多浪三期A13-2-402托黑提·克热木住宅款</t>
  </si>
  <si>
    <t>调2018年9月44#凭证</t>
  </si>
  <si>
    <t>调2018年10月24#凭证</t>
  </si>
  <si>
    <t>调2018年9月19#凭证</t>
  </si>
  <si>
    <t>结转2020年多浪二期A1-5#、14#楼项目A1-101收入</t>
  </si>
  <si>
    <t>调2018年7月3#凭证</t>
  </si>
  <si>
    <t>调2018年9月37#凭证</t>
  </si>
  <si>
    <t>调2019年7月51#凭证</t>
  </si>
  <si>
    <t>调2018年7月33#凭证</t>
  </si>
  <si>
    <t>调2018年7月13#凭证</t>
  </si>
  <si>
    <t>结转2020年多浪二期A1-5#、14#楼项目A1-3-202收入</t>
  </si>
  <si>
    <t>调2018年9月20#凭证</t>
  </si>
  <si>
    <t>调2019年2月40#凭证</t>
  </si>
  <si>
    <t>调2018年8月24#凭证</t>
  </si>
  <si>
    <t>调2019年2月33#凭证</t>
  </si>
  <si>
    <t>调2018年8月34#凭证</t>
  </si>
  <si>
    <t>调2019年4月78#凭证</t>
  </si>
  <si>
    <t>调2018年8月33#凭证</t>
  </si>
  <si>
    <t>调2019年10月34#凭证</t>
  </si>
  <si>
    <t>结转2020年多浪二期A1-5#、14#楼项目A2-3-202收入</t>
  </si>
  <si>
    <t>调2018年8月46#凭证</t>
  </si>
  <si>
    <t>调2019年7月42#凭证</t>
  </si>
  <si>
    <t>调2018年8月13#凭证</t>
  </si>
  <si>
    <t>调2018年12月21#凭证</t>
  </si>
  <si>
    <t>结转2020年多浪二期A1-5#、14#楼项目A3-108收入</t>
  </si>
  <si>
    <t>调2018年8月6#凭证</t>
  </si>
  <si>
    <t>调2018年9月23#凭证</t>
  </si>
  <si>
    <t>调2018年11月24#凭证</t>
  </si>
  <si>
    <t>调2018年8月9#凭证</t>
  </si>
  <si>
    <t>调2018年9月18#凭证</t>
  </si>
  <si>
    <t>调2018年10月8#凭证</t>
  </si>
  <si>
    <t>结转2020年多浪二期A1-5#、14#楼项目A1-3-602收入</t>
  </si>
  <si>
    <t>调2018年9月34#凭证</t>
  </si>
  <si>
    <t>结转2020年多浪二期A1-5#、14#楼项目A1-2-602收入</t>
  </si>
  <si>
    <t>调2019年4月14#凭证A2-2-303转A1-2-502</t>
  </si>
  <si>
    <t>调2020年10月98#凭证A2-2-303转A1-2-502</t>
  </si>
  <si>
    <t>调2018年7月1#凭证</t>
  </si>
  <si>
    <t>结转2020年多浪二期A1-5#、14#楼项目A1-2-502收入</t>
  </si>
  <si>
    <t>调2018年9月35#凭证</t>
  </si>
  <si>
    <t>调2018年8月3#凭证</t>
  </si>
  <si>
    <t>结转2020年多浪二期A1-5#、14#楼项目A1-3-201收入</t>
  </si>
  <si>
    <t>调2018年12月69#凭证A1-111转A2-101</t>
  </si>
  <si>
    <t>调2020年10月99#凭证A1-111转A2-101</t>
  </si>
  <si>
    <t>调2018年7月41#凭证</t>
  </si>
  <si>
    <t>结转2020年多浪二期A1-5#、14#楼项目A2-101收入</t>
  </si>
  <si>
    <t>结转2020年多浪二期A1-5#、14#楼项目A2-2-303收入</t>
  </si>
  <si>
    <t>调2018年9月38#凭证</t>
  </si>
  <si>
    <t>收多浪二期A2-3-401艾麦尔·麦提尼亚孜住宅款</t>
  </si>
  <si>
    <t>调2018年9月41#凭证</t>
  </si>
  <si>
    <t>调2018年10月22#凭证</t>
  </si>
  <si>
    <t>结转2020年多浪二期A1-5#、14#楼项目A3-2-202收入</t>
  </si>
  <si>
    <t>结转2020年多浪二期A1-5#、14#楼项目A3-3-401收入</t>
  </si>
  <si>
    <t>调2018年7月43#凭证</t>
  </si>
  <si>
    <t>结转2020年多浪二期A1-5#、14#楼项目A3-1-303收入</t>
  </si>
  <si>
    <t>结转2020年多浪二期A1-5#、14#楼项目A3-2-502收入</t>
  </si>
  <si>
    <t>调2018年8月10#凭证</t>
  </si>
  <si>
    <t>调2018年12月19#凭证</t>
  </si>
  <si>
    <t>结转2020年多浪二期A1-5#、14#楼项目A3-3-302收入</t>
  </si>
  <si>
    <t>结转2020年多浪二期A1-5#、14#楼项目A4-3-501收入</t>
  </si>
  <si>
    <t>结转2020年多浪二期A1-5#、14#楼项目A4-1-602收入</t>
  </si>
  <si>
    <t>结转2020年多浪二期A1-5#、14#楼项目A4-4-601收入</t>
  </si>
  <si>
    <t>调2019年4月77#凭证</t>
  </si>
  <si>
    <t>结转2020年多浪二期A1-5#、14#楼项目A4-2-602收入</t>
  </si>
  <si>
    <t>调2018年9月43#凭证</t>
  </si>
  <si>
    <t>调2018年9月4#凭证</t>
  </si>
  <si>
    <t>调2019年1月33#凭证</t>
  </si>
  <si>
    <t>结转2020年多浪二期A1-5#、14#楼项目A4-5-301收入</t>
  </si>
  <si>
    <t>结转2020年多浪二期A1-5#、14#楼项目A5-3-202收入</t>
  </si>
  <si>
    <t>结转2020年多浪二期A1-5#、14#楼项目A5-3-401收入</t>
  </si>
  <si>
    <t>结转2020年多浪二期A1-5#、14#楼项目A5-3-402收入</t>
  </si>
  <si>
    <t>收多浪二期A5-3-501阿巴斯·阿布都卡迪尔住宅款</t>
  </si>
  <si>
    <t>收多浪二期A5-3-501阿巴斯·阿布都卡迪尔住宅款现金</t>
  </si>
  <si>
    <t>收A5-3-501玛热亚木·玛木提住宅款</t>
  </si>
  <si>
    <t>调2020年4月77#凭证收梁春艳5-104-1商铺</t>
  </si>
  <si>
    <t>收康泰5-5-1003张昌远住宅款现金</t>
  </si>
  <si>
    <t>调2020年10月55#凭证收张昌远5-5-1003</t>
  </si>
  <si>
    <t>调2020年10月56#凭证收张昌远5-5-1003</t>
  </si>
  <si>
    <t>调2020年4月79#凭证收张昌远5-5-1003商铺</t>
  </si>
  <si>
    <t>调2020年9月75#凭证收张昌远5-5-1003</t>
  </si>
  <si>
    <t>调2020年7月9#凭证</t>
  </si>
  <si>
    <t>调2020年9月27#凭证</t>
  </si>
  <si>
    <t>结转2020年多浪三期6-9#、13#楼项目A6-1-202收入</t>
  </si>
  <si>
    <t>调2020年7月5#凭证</t>
  </si>
  <si>
    <t>调2020年9月34#凭证</t>
  </si>
  <si>
    <t>调2020年9月69#凭证</t>
  </si>
  <si>
    <t>调2020年9月1#凭证</t>
  </si>
  <si>
    <t>调2020年9月30#凭证</t>
  </si>
  <si>
    <t>A6-4-402</t>
  </si>
  <si>
    <t>调2020年9月50#凭证</t>
  </si>
  <si>
    <t>收多浪三期A6-1-602库尔班·阿布里米提住宅款现金</t>
  </si>
  <si>
    <t>收多浪三期A6-2-602阿布都玉苏甫·亚亚住宅款</t>
  </si>
  <si>
    <t>结转2020年多浪三期6-9#、13#楼项目A7-3-202收入</t>
  </si>
  <si>
    <t>调2020年9月15#凭证</t>
  </si>
  <si>
    <t>调2020年7月35#凭证</t>
  </si>
  <si>
    <t>调2020年8月12#凭证</t>
  </si>
  <si>
    <t>调2020年7月34#凭证</t>
  </si>
  <si>
    <t>调2020年9月65#凭证</t>
  </si>
  <si>
    <t>结转2020年多浪三期6-9#、13#楼项目A7-2-301收入</t>
  </si>
  <si>
    <t>调2020年7月38#凭证毛吾拉尼江·斯马依力入会费未退</t>
  </si>
  <si>
    <t>结转2020年多浪三期6-9#、13#楼项目A7-3-302收入</t>
  </si>
  <si>
    <t>收多浪三期A7-3-501阿卜力克木·许库尔住宅款现金</t>
  </si>
  <si>
    <t>收多浪三期A7-2-501布沙热木·吐拉吾东住宅款</t>
  </si>
  <si>
    <t>收A7-2-501布沙热木·吐拉吾东住宅款</t>
  </si>
  <si>
    <t>收多浪三期A8-1-301海丽且木·阿不都热哈曼住宅款现金</t>
  </si>
  <si>
    <t>结转2020年多浪三期6-9#、13#楼项目A8-2-304收入</t>
  </si>
  <si>
    <t>调2020年7月51#凭证</t>
  </si>
  <si>
    <t>结转2020年多浪三期6-9#、13#楼项目A8-2-603收入</t>
  </si>
  <si>
    <t>调2020年6月51#凭证</t>
  </si>
  <si>
    <t>调2020年7月15#凭证</t>
  </si>
  <si>
    <t>调2020年9月38#凭证</t>
  </si>
  <si>
    <t>结转2020年多浪三期6-9#、13#楼项目A8-1-501收入</t>
  </si>
  <si>
    <t>调2020年6月48#凭证</t>
  </si>
  <si>
    <t>调2020年7月33#凭证</t>
  </si>
  <si>
    <t>调2020年8月9#凭证</t>
  </si>
  <si>
    <t>调2020年9月37#凭证</t>
  </si>
  <si>
    <t>收多浪三期A8-2-103合来克·斯迪克住宅款</t>
  </si>
  <si>
    <t>调2020年7月36#凭证</t>
  </si>
  <si>
    <t>调2020年7月49#凭证</t>
  </si>
  <si>
    <t>结转2020年多浪三期6-9#、13#楼项目A9-1-401收入</t>
  </si>
  <si>
    <t>调2020年7月44#凭证</t>
  </si>
  <si>
    <t>调2020年7月42#凭证</t>
  </si>
  <si>
    <t>调2020年9月44#凭证</t>
  </si>
  <si>
    <t>调2020年9月58#凭证</t>
  </si>
  <si>
    <t>结转2020年多浪三期6-9#、13#楼项目A9-1-403收入</t>
  </si>
  <si>
    <t>收多浪三期A9-2-404艾合麦提·艾克拜尔住宅款建行放贷</t>
  </si>
  <si>
    <t>结转2020年多浪三期6-9#、13#楼项目A9-2-404收入</t>
  </si>
  <si>
    <t>结转2020年多浪三期6-9#、13#楼项目A9-2-104收入</t>
  </si>
  <si>
    <t>收多浪三期A9-1-203阿依木尼萨克孜·于努斯住宅款现金</t>
  </si>
  <si>
    <t>收多浪三期A9-1-203阿依木尼萨克孜·于努斯住宅款</t>
  </si>
  <si>
    <t>调2020年9月43#凭证</t>
  </si>
  <si>
    <t>调2020年9月63#凭证</t>
  </si>
  <si>
    <t>收多浪三期A9-2-603艾萨·阿合尼亚孜住宅款现金</t>
  </si>
  <si>
    <t>收多浪三期A9-1-101阿比热·吐鲁洪住宅款</t>
  </si>
  <si>
    <t>调2020年9月66#凭证</t>
  </si>
  <si>
    <t>收多浪三期A13-1-202尼亚孜·依米尔住宅款</t>
  </si>
  <si>
    <t>调2020年7月54#凭证</t>
  </si>
  <si>
    <t>收多浪三期A6-1-501毛拉依明·依迪热斯住宅款现金转A13-1-502</t>
  </si>
  <si>
    <t>收多浪三期A13-1-502毛拉依明·依迪热斯住宅款</t>
  </si>
  <si>
    <t>结转2020年多浪二期A1-5#、14#楼项目A1-106收入</t>
  </si>
  <si>
    <t>调2018年10月3#凭证</t>
  </si>
  <si>
    <t>调2018年11月25#凭证</t>
  </si>
  <si>
    <t>结转2020年多浪二期A1-5#、14#楼项目A1-102收入</t>
  </si>
  <si>
    <t>调2018年9月39#凭证</t>
  </si>
  <si>
    <t>调2019年3月47#凭证</t>
  </si>
  <si>
    <t>结转2020年多浪二期A1-5#、14#楼项目A1-108收入</t>
  </si>
  <si>
    <t>结转2020年多浪二期A1-5#、14#楼项目A1-1-201收入</t>
  </si>
  <si>
    <t>调2019年6月65#凭证</t>
  </si>
  <si>
    <t>调2018年7月37#凭证</t>
  </si>
  <si>
    <t>调2018年9月5#凭证</t>
  </si>
  <si>
    <t>结转2020年多浪二期A1-5#、14#楼项目A1-3-401收入</t>
  </si>
  <si>
    <t>调2018年8月12#凭证</t>
  </si>
  <si>
    <t>结转2020年多浪二期A1-5#、14#楼项目A2-117收入</t>
  </si>
  <si>
    <t>结转2020年多浪二期A1-5#、14#楼项目A2-1-301收入</t>
  </si>
  <si>
    <t>调2018年8月15#凭证</t>
  </si>
  <si>
    <t>调2018年8月22#凭证</t>
  </si>
  <si>
    <t>结转2020年多浪二期A1-5#、14#楼项目A2-2-301收入</t>
  </si>
  <si>
    <t>调2018年10月17#凭证</t>
  </si>
  <si>
    <t>结转2020年多浪二期A1-5#、14#楼项目A2-2-402收入</t>
  </si>
  <si>
    <t>调2018年9月2#凭证</t>
  </si>
  <si>
    <t>调2018年11月26#凭证</t>
  </si>
  <si>
    <t>结转2020年多浪二期A1-5#、14#楼项目A3-114收入</t>
  </si>
  <si>
    <t>调2018年8月25#凭证</t>
  </si>
  <si>
    <t>结转2020年多浪二期A1-5#、14#楼项目A4-6-401收入</t>
  </si>
  <si>
    <t>结转2020年多浪二期A1-5#、14#楼项目A4-3-401收入</t>
  </si>
  <si>
    <t>调2018年9月25#凭证</t>
  </si>
  <si>
    <t>调2019年2月41#凭证</t>
  </si>
  <si>
    <t>结转2020年多浪二期A1-5#、14#楼项目A4-2-401收入</t>
  </si>
  <si>
    <t>调2018年9月22#凭证</t>
  </si>
  <si>
    <t>调2018年9月21#凭证</t>
  </si>
  <si>
    <t>调2018年9月24#凭证</t>
  </si>
  <si>
    <t>调2018年7月39#凭证</t>
  </si>
  <si>
    <t>结转2020年多浪二期A1-5#、14#楼项目A1-111收入</t>
  </si>
  <si>
    <t>调2018年8月4#凭证</t>
  </si>
  <si>
    <t>调整数未回款</t>
  </si>
  <si>
    <t>结转2020年多浪二期A1-5#、14#楼项目A1-1-501收入</t>
  </si>
  <si>
    <t>调2018年7月25#凭证</t>
  </si>
  <si>
    <t>调2018年8月45#凭证</t>
  </si>
  <si>
    <t>调2018年10月14#凭证</t>
  </si>
  <si>
    <t>结转2020年多浪二期A1-5#、14#楼项目A2-1-503收入</t>
  </si>
  <si>
    <t>结转2020年多浪二期A1-5#、14#楼项目A2-108收入</t>
  </si>
  <si>
    <t>调2018年7月40#凭证</t>
  </si>
  <si>
    <t>结转2020年多浪二期A1-5#、14#楼项目A2-102收入</t>
  </si>
  <si>
    <t>调2018年9月33#凭证</t>
  </si>
  <si>
    <t>调2018年7月38#凭证</t>
  </si>
  <si>
    <t>结转2020年多浪二期A1-5#、14#楼项目A2-3-203收入</t>
  </si>
  <si>
    <t>调2018年9月42#凭证</t>
  </si>
  <si>
    <t>结转2020年多浪二期A1-5#、14#楼项目A2-3-502收入</t>
  </si>
  <si>
    <t>调2018年7月11#凭证</t>
  </si>
  <si>
    <t>收多浪二期A2-3-501麦尔耶姆·托合提住宅款</t>
  </si>
  <si>
    <t>收多浪二期A2-3-501麦尔耶姆·托合提住宅款现金</t>
  </si>
  <si>
    <t>结转2020年多浪二期A1-5#、14#楼项目A3-3-303收入</t>
  </si>
  <si>
    <t>结转2020年多浪二期A1-5#、14#楼项目A3-1-603收入</t>
  </si>
  <si>
    <t>结转2020年多浪二期A1-5#、14#楼项目A3-1-401收入</t>
  </si>
  <si>
    <t>结转2020年多浪二期A1-5#、14#楼项目A3-3-301收入</t>
  </si>
  <si>
    <t>调2018年9月13#凭证</t>
  </si>
  <si>
    <t>调2019年1月34#凭证</t>
  </si>
  <si>
    <t>结转2020年多浪二期A1-5#、14#楼项目A3-1-502收入</t>
  </si>
  <si>
    <t>调2018年8月8#凭证</t>
  </si>
  <si>
    <t>结转2020年多浪二期A1-5#、14#楼项目A3-112收入</t>
  </si>
  <si>
    <t>调2018年8月43#凭证</t>
  </si>
  <si>
    <t>结转2020年多浪二期A1-5#、14#楼项目A3-1-302收入</t>
  </si>
  <si>
    <t>调2018年7月12#凭证</t>
  </si>
  <si>
    <t>调2018年11月28#凭证</t>
  </si>
  <si>
    <t>调2018年8月17#凭证</t>
  </si>
  <si>
    <t>调2018年8月44#凭证</t>
  </si>
  <si>
    <t>结转2020年多浪二期A1-5#、14#楼项目A3-2-203收入</t>
  </si>
  <si>
    <t>结转2020年多浪二期A1-5#、14#楼项目A4-5-601收入</t>
  </si>
  <si>
    <t>结转2020年多浪二期A1-5#、14#楼项目A4-5-501收入</t>
  </si>
  <si>
    <t>结转2020年多浪二期A1-5#、14#楼项目A4-6-601收入</t>
  </si>
  <si>
    <t>调2018年9月12#凭证</t>
  </si>
  <si>
    <t>调2018年12月15#凭证</t>
  </si>
  <si>
    <t>结转2020年多浪二期A1-5#、14#楼项目A4-108收入</t>
  </si>
  <si>
    <t>调2020年10月99#凭证调2019年4月8#A4-5-302</t>
  </si>
  <si>
    <t>结转2020年多浪二期A1-5#、14#楼项目A4-5-302收入</t>
  </si>
  <si>
    <t>调2018年8月14#凭证</t>
  </si>
  <si>
    <t>调2018年9月6#凭证</t>
  </si>
  <si>
    <t>结转2020年多浪二期A1-5#、14#楼项目A5-3-301收入</t>
  </si>
  <si>
    <t>结转2020年多浪二期A1-5#、14#楼项目A5-1-302收入</t>
  </si>
  <si>
    <t>结转2020年多浪二期A1-5#、14#楼项目A14-104收入</t>
  </si>
  <si>
    <t>调2020年4月78#凭证收刘永平1-104商铺</t>
  </si>
  <si>
    <t>调2020年9月76#凭证收刘永平1-104</t>
  </si>
  <si>
    <t>收多浪三期A7-3-201比沙来木·吐来克住宅款现金</t>
  </si>
  <si>
    <t>收多浪三期A7-1-102多来提·叶克牙住宅款建行放贷</t>
  </si>
  <si>
    <t>调2020年8月8#凭证</t>
  </si>
  <si>
    <t>调2020年9月6#凭证</t>
  </si>
  <si>
    <t>结转2020年多浪三期6-9#、13#楼项目A7-1-102收入</t>
  </si>
  <si>
    <t>调2020年8月13#凭证</t>
  </si>
  <si>
    <t>收多浪三期A7-1-602艾合麦提·库尔班住宅款现金转A7-2-502</t>
  </si>
  <si>
    <t>收多浪三期A7-2-502艾合麦提·库尔班住宅款</t>
  </si>
  <si>
    <t>收多浪三期A8-1-201木塔力甫·艾买提住宅款</t>
  </si>
  <si>
    <t>调2020年8月17#凭证</t>
  </si>
  <si>
    <t>结转2020年多浪三期6-9#、13#楼项目A8-2-302收入</t>
  </si>
  <si>
    <t>调2020年9月4#凭证</t>
  </si>
  <si>
    <t>结转2020年多浪三期6-9#、13#楼项目A8-1-102收入</t>
  </si>
  <si>
    <t>调2020年7月52#凭证</t>
  </si>
  <si>
    <t>结转2020年多浪三期6-9#、13#楼项目A8-2-403收入</t>
  </si>
  <si>
    <t>收多浪三期A8-1-502亚森·阿布都热合曼住宅款</t>
  </si>
  <si>
    <t>借贷调整虚增发生额</t>
  </si>
  <si>
    <t>调2020年7月11#凭证</t>
  </si>
  <si>
    <t>收多浪三期A8-2-602肉孜·斯拉木住宅款</t>
  </si>
  <si>
    <t>收多浪三期A8-2-602肉孜·斯拉木住宅款现金</t>
  </si>
  <si>
    <t>调2020年7月120#凭证</t>
  </si>
  <si>
    <t>调2020年8月15#凭证</t>
  </si>
  <si>
    <t>调2020年9月99#凭证</t>
  </si>
  <si>
    <t>调2020年9月17#凭证</t>
  </si>
  <si>
    <t>结转2020年多浪三期6-9#、13#楼项目A9-1-501收入</t>
  </si>
  <si>
    <t>收多浪三期A9-1-201阿曼古力吐尔逊住宅款建行放贷</t>
  </si>
  <si>
    <t>调2020年7月99#凭证库尔班·阿合尼亚孜入会费未退</t>
  </si>
  <si>
    <t>调2020年9月42#凭证库尔班·阿合尼亚孜入会费未退</t>
  </si>
  <si>
    <t>结转2020年多浪三期6-9#、13#楼项目A9-1-201收入</t>
  </si>
  <si>
    <t>调2020年7月18#凭证</t>
  </si>
  <si>
    <t>调2020年9月40#凭证</t>
  </si>
  <si>
    <t>调2020年7月21#凭证</t>
  </si>
  <si>
    <t>收尼亚孜·依米尔多浪三期A13-1-302住宅款现金</t>
  </si>
  <si>
    <t>收多浪三期A13-1-302吐尔逊江·木沙住宅款</t>
  </si>
  <si>
    <t>调2020年7月37#凭证</t>
  </si>
  <si>
    <t>调2020年7月40#凭证</t>
  </si>
  <si>
    <t>调2020年7月121#凭证</t>
  </si>
  <si>
    <t>调2018年12月68#凭证C6-1-102房款</t>
  </si>
  <si>
    <t>收多浪二期A3-3-501、多浪三期A9-2-204麦合莫提·麦麦提住宅款</t>
  </si>
  <si>
    <t>收多浪二期A5-1-502热合曼·尼亚孜住宅款现金</t>
  </si>
  <si>
    <t>收多浪二期A5-3-602艾买尔·吐木尔住宅款刷卡换成A5-1-602</t>
  </si>
  <si>
    <t>收多浪三期A6-2-102艾合麦提·热合曼住宅款建行放贷款</t>
  </si>
  <si>
    <t>收多浪三期A6-2-501艾司卡尔·热合曼住宅款</t>
  </si>
  <si>
    <t>收多浪三期A7-3-301麦合木提·热西提住宅款建行放贷款</t>
  </si>
  <si>
    <t>收多浪三期A7-1-302依扎提古力·玉山住宅款建行放贷款</t>
  </si>
  <si>
    <t>收多浪三期A7-1-402乌斯曼·依斯热依力、A9-1-604努尔尼沙·托合逊住宅款</t>
  </si>
  <si>
    <t>收多浪三期A8-2-604阿力木·胡多尤木拜尔迪住宅款建行放贷款</t>
  </si>
  <si>
    <t>收多浪三期A8-2-502热娜古丽·阿布都买买提住宅款刷卡</t>
  </si>
  <si>
    <t>收多浪三期A6-2-202艾买提·热合曼、A9-1-101阿比热·吐鲁洪、A8-1-403艾买提江·赛麦提、A8-2-303阿不拉·吐尔洪、多浪二期A5-3-501阿巴斯·阿布都卡地尔住宅款</t>
  </si>
  <si>
    <t>收多浪三期A9-2-602帕塔木·麦麦提住宅款建行放贷</t>
  </si>
  <si>
    <t>收多浪三期A9-2-604麦麦提·斯拉木住宅款现金</t>
  </si>
  <si>
    <t>收多浪三期A9-1-404古丽加马丽·依马木尼亚孜、A9-2-604麦麦提·斯拉木住宅款</t>
  </si>
  <si>
    <t>收多浪三期A13-2-502阿力木·赛麦提住宅款建行放贷款</t>
  </si>
  <si>
    <t>收多浪三期A9-1-602艾散·木太里甫、A9-2-303阿布都哈力克·斯太克、A6-1-402阿努然木·牙生、A8-1-202沙阿代提·阿布拉·A13-2-201依力哈木·依明、A9-2-401温切姆·玉苏普住宅款</t>
  </si>
  <si>
    <t>收多浪二期A3-2-501艾买尔·艾沙、A2-2-501阿比力孜·沙买提、多浪三期A8-1-201木塔力甫·艾买提住宅款</t>
  </si>
  <si>
    <t>收多浪三期A8-2-402玛伊热·麦麦提住宅款建行放贷款</t>
  </si>
  <si>
    <t>收多浪三期A13-2-602依明江·亚森、A6-2-202艾买提·热合曼、A8-1-103巴哈古丽·沙吾提住宅款刷卡</t>
  </si>
  <si>
    <t>收多浪三期A6-1-301卡哈尔·玉苏甫、A7-3-502麦合木提·图尔荪、A13-2-402托黑提·克热木、A9-2-603艾萨·阿合尼亚孜、A9-2-103艾合买提·吾斯曼住宅款</t>
  </si>
  <si>
    <t>调2020年12月4#凭证原2020年9月32#A8-2-202转A8-2-203</t>
  </si>
  <si>
    <t>收多浪三期A8-2-404塔依尔·麦麦提住宅款建行放贷款</t>
  </si>
  <si>
    <t>调2020年12月4#凭证A8-2-201转A8-1-503</t>
  </si>
  <si>
    <t>收多浪三期A9-2-102努力曼古丽·毛力尼亚孜住宅款</t>
  </si>
  <si>
    <t>收多浪三期A9-2-303阿布都哈力克·斯太克住宅款现金</t>
  </si>
  <si>
    <t>收多浪三期A9-2-303阿布都哈力克·斯左克、A9-1-302亚森·卡地尔、A9-2-504阿布都如苏力·阿不都尼亚孜住宅款</t>
  </si>
  <si>
    <t>收多浪三期A9-2-501艾尔肯·吾布力住宅款建行放贷款</t>
  </si>
  <si>
    <t>收多浪三期A9-1-404古丽加马丽·依马木尼亚孜住宅款</t>
  </si>
  <si>
    <t>收多浪三期A9-2-201古力米热·阿布力米提住宅款现金</t>
  </si>
  <si>
    <t>收多浪三期A13-1-301托合提·依比热依木住宅款建行放贷款</t>
  </si>
  <si>
    <t>收多浪三期A13-2-301买合木提·牙生住宅款现金</t>
  </si>
  <si>
    <t>收多浪二期A5-3-501阿巴斯·阿布都卡地尔住宅款现金</t>
  </si>
  <si>
    <t>收康泰5-5-1003张昌远住宅款</t>
  </si>
  <si>
    <t>收多浪三期A6-2-401莫明·阿布都艾尼住宅款现金</t>
  </si>
  <si>
    <t>收多浪三期A9-1-203阿依木尼萨克孜·于努斯、A6-1-602库尔班·阿布力米提、A7-1-501艾尔肯江·吐尔迪住宅款刷卡</t>
  </si>
  <si>
    <t>收多浪三期A7-3-101阿曼古力·阿布力米提住宅款建行放贷款</t>
  </si>
  <si>
    <t>收多浪三期A7-1-602麦合木提·亚森住宅款现金</t>
  </si>
  <si>
    <t>收多浪三期A7-1-501艾尔肯江·吐尔逊、A7-1-602麦合木提·亚森住宅款</t>
  </si>
  <si>
    <t>收多浪三期A7-2-501布沙热木·吐拉吾东、A8-1-301阿巴斯·哈力克住宅款</t>
  </si>
  <si>
    <t>收多浪三期A7-2-401阿依先木·沙吾提住宅款现金</t>
  </si>
  <si>
    <t>收多浪三期A7-3-502麦合木提·图尔荪住宅款现金</t>
  </si>
  <si>
    <t>收多浪三期A8-1-603阿力木·吾斯曼住宅款现金</t>
  </si>
  <si>
    <t>收多浪三期A9-1-603巴拉提·肉孜住宅款现金</t>
  </si>
  <si>
    <t>收多浪三期A9-1-203阿依木尼萨克孜·于努斯住宅款刷卡</t>
  </si>
  <si>
    <t>调2020年12月7#凭证A13-1-302换成A13-1-202</t>
  </si>
  <si>
    <t>收多浪三期A13-1-202尼亚孜·依米尔住宅款建行放贷款</t>
  </si>
  <si>
    <t>收多浪二期A2-2-401阿布多拉·阿布力孜住宅款建行放贷款</t>
  </si>
  <si>
    <t>收多浪二期A2-3-501托合提·赛麦提住宅款建行放贷款</t>
  </si>
  <si>
    <t>收康泰1-104刘永平商铺款</t>
  </si>
  <si>
    <t>收多浪三期A8-2-302哈里克·沙吾提住宅款建行放贷款</t>
  </si>
  <si>
    <t>收多浪三期A8-2-403麦尔丹·莫尼亚孜住宅款建行放贷款</t>
  </si>
  <si>
    <t>收多浪三期A8-1-602热孜耶柯孜·艾尔肯住宅款建行放贷款</t>
  </si>
  <si>
    <t>调2020年12月4#凭证A9-1-202转A8-1-503</t>
  </si>
  <si>
    <t>收多浪三期A8-1-104左合热·木拉提住宅款现金</t>
  </si>
  <si>
    <t>收多浪三期A9-1-601肉孜·亚森住宅款现金</t>
  </si>
  <si>
    <t>收多浪三期A9-1-204艾山江·吐尔地住宅款刷卡转A9-2-302</t>
  </si>
  <si>
    <t>收多浪三期A8-2-102阿木提·达吾提住宅款现金换成A9-1-204帕提古丽·马木提</t>
  </si>
  <si>
    <t>收多浪三期A9-2-401温切姆·玉苏普住宅款</t>
  </si>
  <si>
    <t>收多浪三期A13-1-302吐尔逊江·木沙住宅款建行放贷款</t>
  </si>
  <si>
    <t>收多浪三期A13-2-602依明江·亚森住宅款现金</t>
  </si>
  <si>
    <t>收多浪二期A5-1-502热合曼·尼亚孜住宅款</t>
  </si>
  <si>
    <t>收多浪二期A5-1-502热合曼·尼亚孜住宅款-刷卡</t>
  </si>
  <si>
    <t>收多浪三期A6-1-101买买提·吾加木尼牙孜住宅款-刷卡</t>
  </si>
  <si>
    <t>调2020年12月4#凭证A7-1-202转A9-2-101</t>
  </si>
  <si>
    <t>收多浪三期A7-2-602吐尔孙·吐米尔住宅款-刷卡</t>
  </si>
  <si>
    <t>调2020年12月4#凭证A7-1-301转A9-2-101</t>
  </si>
  <si>
    <t>调2020年12月4#凭证A7-3-302转A9-2-101</t>
  </si>
  <si>
    <t>调2020年12月4#凭证A9-1-104转A9-2-101</t>
  </si>
  <si>
    <t>调2020年12月4#凭证A9-2-101阿扎旦木·热依木转A9-2-101吐尔逊·居麦克</t>
  </si>
  <si>
    <t>调2020年12月4#凭证A8-1-401转A9-2-101</t>
  </si>
  <si>
    <t>调2020年7月29#A9-2-304转A8-2-204房10000元</t>
  </si>
  <si>
    <t>调2021年1月80#凭证A9-1-302转A9-1-104房79579元</t>
  </si>
  <si>
    <t>调2020年8月10#海丽且木和肉克艳木·麦提尼亚孜A9-1-503转A9-1-104房2000元</t>
  </si>
  <si>
    <t>调2020年9月33#海丽且木和肉克艳木·麦提尼亚孜A9-1-503转A9-1-104房3000元</t>
  </si>
  <si>
    <t>调2020年12月12#迪力穆拉提·司马义更名肉克艳木·麦提尼亚孜A9-1-104</t>
  </si>
  <si>
    <t>调2020年12月15#迪力穆拉提·司马义更名肉克艳木·麦提尼亚孜A9-1-104</t>
  </si>
  <si>
    <t>收多浪三期A9-1-104肉克艳木·麦提尼亚孜住宅款-现金</t>
  </si>
  <si>
    <t>收多浪三期A9-2-503艾克拜尔江·艾买尔住宅款-刷卡</t>
  </si>
  <si>
    <t>收多浪二期A1-2-301阿瓦古丽·亚森住宅款-刷卡</t>
  </si>
  <si>
    <t>收多浪二期A3-2-501艾尔肯·艾买提住宅款-刷卡</t>
  </si>
  <si>
    <t>收多浪三期A6-1-102艾尼瓦尔·斯拉音住宅款-现金</t>
  </si>
  <si>
    <t>收多浪三期A6-2-601阿依祖克热·艾尔肯住宅款-刷卡</t>
  </si>
  <si>
    <t>收多浪三期A6-1-402阿努然木·牙生住宅款-现金</t>
  </si>
  <si>
    <t>收多浪三期A6-1-402阿努然木·牙生住宅款</t>
  </si>
  <si>
    <t>收多浪三期A6-2-302吐逊江·阿布都拉住宅款-现金</t>
  </si>
  <si>
    <t>收多浪三期A6-1-201艾合麦提·吐合尼亚孜住宅款-现金</t>
  </si>
  <si>
    <t>收多浪三期A6-1-201艾合麦提·吐合尼亚孜住宅款-刷卡</t>
  </si>
  <si>
    <t>收多浪三期A7-3-401图尔荪江、阿卜拉住宅款-刷卡</t>
  </si>
  <si>
    <t>收多浪三期A13-2-501安外尔·图尼亚孜住宅款-刷卡</t>
  </si>
  <si>
    <t>收多浪三期A8-2-101阿依古力·阿吾提住宅款-刷卡</t>
  </si>
  <si>
    <t>调2020年12月4#凭证A8-1-204赛米·艾散转A8-1-302吐拉汗·依斯热依力</t>
  </si>
  <si>
    <t>收多浪三期A9-2-204麦合莫提·麦麦提住宅款-建行放贷</t>
  </si>
  <si>
    <t>收多浪三期A9-2-504阿布都如苏力·阿不都尼亚孜住宅款</t>
  </si>
  <si>
    <t>收多浪三期A9-2-201古丽米热·阿布里米提住宅款-现金</t>
  </si>
  <si>
    <t>收多浪三期A9-2-201古力米热·阿布力米提住宅款-现金</t>
  </si>
  <si>
    <t>收多浪三期A13-2-202玉山江·里提甫住宅款公积金放贷</t>
  </si>
  <si>
    <t>调2020年10-52#凭证A13-2-301吐尔洪·莫尼亚孜更名成买合木提·牙生</t>
  </si>
  <si>
    <t>收多浪三期A13-1-401阿布都热依木·吾斯曼住宅款-刷卡</t>
  </si>
  <si>
    <t>收多浪二期A2-2-501阿比力孜·沙买提住宅款建行放贷</t>
  </si>
  <si>
    <t>收多浪二期A5-3-501玛热亚木·玛木提住宅款建行放贷</t>
  </si>
  <si>
    <t>收多浪三期A6-1-202阿依木沙·吾斯曼住宅款-建行放贷</t>
  </si>
  <si>
    <t>收多浪三期A6-2-201热纳古力·麦麦提住宅款-刷卡</t>
  </si>
  <si>
    <t>收多浪三期A6-1-602库尔班·阿布里米提住宅款-刷卡</t>
  </si>
  <si>
    <t>收多浪三期A7-2-601吾斯曼江·玉山住宅款-刷卡</t>
  </si>
  <si>
    <t>收多浪三期A7-2-102古丽米热·吐尔逊住宅款</t>
  </si>
  <si>
    <t>收多浪三期A8-2-603吐鲁洪·玉山住宅款-建行放贷</t>
  </si>
  <si>
    <t>收多浪三期A8-2-503吾甫尔·阿布都苏甫尔住宅款-建行放贷</t>
  </si>
  <si>
    <t>调2021年1月86#凭证A8-1-403转A8-1-302房9000元</t>
  </si>
  <si>
    <t>调2021年1月21#凭证阿力木·吾斯曼A8-1-603转A8-1-302吐拉汗·依斯热依力</t>
  </si>
  <si>
    <t>收多浪三期A8-1-302吐拉汗·依斯热依力住宅款</t>
  </si>
  <si>
    <t>收多浪三期A9-2-202艾麦提江·赛麦提住宅款-刷卡</t>
  </si>
  <si>
    <t>收多浪三期A9-1-101阿比热·吐鲁洪住宅款-建行放贷</t>
  </si>
  <si>
    <t>收多浪三期A13-1-402艾买尔·托乎提住宅款-刷卡</t>
  </si>
  <si>
    <t>收多浪三期A13-2-102龚雪住宅款-刷卡</t>
  </si>
  <si>
    <t>收多浪三期A8-1-503阿卜杜柯然木·阿卜杜喀迪尔住宅款-刷卡</t>
  </si>
  <si>
    <t>收多浪三期A8-1-104佐合热·木拉提住宅款-现金</t>
  </si>
  <si>
    <t>调2020年11月23#赛迪古丽·托合提转艾合麦提·吾斯曼A9-2-103</t>
  </si>
  <si>
    <t>收多浪三期A9-1-204艾山江·吐尔地住宅款-现金转A9-2-302</t>
  </si>
  <si>
    <t>收多浪三期A9-1-204艾山江·吐尔地住宅款-刷卡转A9-2-302</t>
  </si>
  <si>
    <t>收多浪三期A9-2-302艾山江·吐尔地住宅款-刷卡</t>
  </si>
  <si>
    <t>收多浪三期A9-1-202艾孜孜·阿布都热依木住宅款-刷卡</t>
  </si>
  <si>
    <t>收多浪三期A9-2-401温且姆·玉苏普住宅款建行放贷</t>
  </si>
  <si>
    <t>收多浪三期A9-2-301阿依加马力·吐尼牙孜住宅款-现金</t>
  </si>
  <si>
    <t>收多浪三期A9-1-102努日古力·艾则孜住宅款-刷卡</t>
  </si>
  <si>
    <t>收多浪三期A13-2-602依明江·亚森住宅款建行放贷</t>
  </si>
  <si>
    <t>收多浪二期A2-1-501艾萨江·胡达拜迪住宅款刷卡</t>
  </si>
  <si>
    <t>结转多浪二期A2-1-501收入</t>
  </si>
  <si>
    <t>收多浪二期A3-1-301奥力牙尔·尼孜艾买提住宅款现金</t>
  </si>
  <si>
    <t>收多浪二期A4-114艾尼瓦尔·达吾提商铺款刷卡</t>
  </si>
  <si>
    <t>收多浪二期A5-1-602艾买尔·吐木尔住宅款刷卡</t>
  </si>
  <si>
    <t>调2020年9月29#凭证预收A9-2-102转A6-2-102</t>
  </si>
  <si>
    <t>收多浪三期A6-2-501艾司卡尔·热合曼住宅款建行放贷</t>
  </si>
  <si>
    <t>收多浪三期A7-2-602吐尔孙·吐米尔住宅款刷卡</t>
  </si>
  <si>
    <t>收多浪三期A7-3-602亚森·萨拉木住宅款现金</t>
  </si>
  <si>
    <t>收多浪三期A8-2-601木合旦尔·米吉提住宅款刷卡</t>
  </si>
  <si>
    <t>收多浪三期A8-2-303阿卜杜拉·阿布都热依木住宅款刷卡</t>
  </si>
  <si>
    <t>收多浪三期A8-1-604阿地力·阿不力孜住宅款刷卡</t>
  </si>
  <si>
    <t>收多浪三期A9-2-101吐尔逊·居麦克住宅款现金</t>
  </si>
  <si>
    <t>收多浪三期A9-2-304萨妮古丽·克然木住宅款刷卡</t>
  </si>
  <si>
    <t>收多浪三期A9-1-304李丹阳住宅款刷卡</t>
  </si>
  <si>
    <t>收多浪三期A9-1-104肉克艳木·麦提尼亚孜住宅款现金</t>
  </si>
  <si>
    <t>收多浪三期A13-2-201依力哈木·依明住宅款建行放贷</t>
  </si>
  <si>
    <t>收多浪三期A13-2-601阿日普·图尔荪住宅款刷卡</t>
  </si>
  <si>
    <t>收多浪三期A13-2-501安外尔·图尼亚孜住宅款刷卡</t>
  </si>
  <si>
    <t>收多浪三期A13-2-301买合木提·牙生住宅款刷卡</t>
  </si>
  <si>
    <t>收多浪三期A13-1-501图尔荪·图尔迪住宅款刷卡</t>
  </si>
  <si>
    <t>收多浪二期A4-2-502玉山·吾斯曼住宅款刷卡</t>
  </si>
  <si>
    <t>收多浪三期A6-2-101奥热依木·吐合提住宅款刷卡</t>
  </si>
  <si>
    <t>收多浪三期A6-2-502艾尼瓦尔·艾合麦提住宅款刷卡</t>
  </si>
  <si>
    <t>收多浪三期A6-1-102艾尼瓦尔·斯拉音住宅款提取公积金</t>
  </si>
  <si>
    <t>调2020年12月91#凭证A6-2-601室20000元由肉孜·吐尼亚孜转到阿依祖克热·艾尔肯</t>
  </si>
  <si>
    <t>收多浪三期A6-1-402阿努然木·牙生住宅款提取公积金</t>
  </si>
  <si>
    <t>收多浪三期A6-1-301卡哈尔·玉苏甫住宅款建行放贷</t>
  </si>
  <si>
    <t>收多浪三期A7-3-102阿不拉江·阿力木住宅款刷卡</t>
  </si>
  <si>
    <t>收多浪三期A7-3-402李丹阳住宅款刷卡</t>
  </si>
  <si>
    <t>收多浪三期A8-2-101阿依古力·阿吾提住宅款现金</t>
  </si>
  <si>
    <t>收多浪三期A8-1-402艾克拜尔·胡都尤木拜迪住宅款现金</t>
  </si>
  <si>
    <t>收多浪三期A9-2-102努日曼古丽·毛力尼亚孜住宅款建行放贷</t>
  </si>
  <si>
    <t>收多浪三期A9-1-502哈力旦木·马木提住宅款建行放贷</t>
  </si>
  <si>
    <t>收多浪三期A9-2-303阿布都哈力克·斯太克住宅款建行放贷</t>
  </si>
  <si>
    <t>收多浪三期A9-1-301古力吉米来木·吐热克住宅款建行放贷</t>
  </si>
  <si>
    <t>收多浪三期A9-2-504阿布都如苏力·阿不都尼亚孜住宅款建行放贷</t>
  </si>
  <si>
    <t>收多浪二期A3-1-203阿卜敦拉提普·谢尔旦住宅款现金</t>
  </si>
  <si>
    <t>收多浪二期A3-2-503买买提·吾汗尔住宅款刷卡</t>
  </si>
  <si>
    <t>结转多浪二期A5-103收入</t>
  </si>
  <si>
    <t>结转多浪二期A5-3-501收入</t>
  </si>
  <si>
    <t>收多浪三期A6-2-602玉散·吐尔洪住宅款刷卡</t>
  </si>
  <si>
    <t>收多浪三期A7-1-301阿依图热姆·麦麦提尼亚孜住宅款刷卡</t>
  </si>
  <si>
    <t>收多浪三期A7-3-501帕旦木·艾山住宅款刷卡</t>
  </si>
  <si>
    <t>收多浪三期A7-1-602麦合木提·亚森住宅款建行放贷</t>
  </si>
  <si>
    <t>收多浪三期A7-2-601吾斯曼江·玉山住宅款建行放贷</t>
  </si>
  <si>
    <t>收多浪三期A8-2-102艾沙江·阿布都热西提住宅款现金</t>
  </si>
  <si>
    <t>收多浪三期A8-2-103合来克·斯迪克住宅款刷卡</t>
  </si>
  <si>
    <t>收多浪三期A9-2-202艾麦提江·赛麦提住宅款建行放贷</t>
  </si>
  <si>
    <t>收多浪三期A13-1-602吐尔逊·阿不都热依木住宅款刷卡</t>
  </si>
  <si>
    <t>结转多浪二期A4-1-302收入</t>
  </si>
  <si>
    <t>结转多浪二期A2-105收入</t>
  </si>
  <si>
    <t>结转多浪二期A2-3-501收入</t>
  </si>
  <si>
    <t>收多浪二期A3-1-501木塔力甫·吐尔洪住宅款刷卡</t>
  </si>
  <si>
    <t>收多浪三期A6-1-401祖丽胡玛尔·赛买提住宅款现金</t>
  </si>
  <si>
    <t>收多浪三期A8-1-102库尔班·托合提住宅款现金</t>
  </si>
  <si>
    <t>收多浪三期A8-1-504麦合木提·托合提尼亚孜住宅款刷卡</t>
  </si>
  <si>
    <t>收多浪三期A9-1-501麦合木提·吐尔逊住宅款建行放贷</t>
  </si>
  <si>
    <t>收多浪三期A9-1-202艾孜孜·阿布都热依木住宅款现金、刷卡</t>
  </si>
  <si>
    <t>收多浪三期A9-1-204帕提古丽·马木提住宅款现金</t>
  </si>
  <si>
    <t>收多浪三期A9-1-204帕提古丽·马木提住宅款刷卡</t>
  </si>
  <si>
    <t>收多浪三期A9-1-602艾散·木太里甫住宅款建行放贷</t>
  </si>
  <si>
    <t>收多浪三期A9-2-301阿依加马力·吐尼牙孜刷卡</t>
  </si>
  <si>
    <t>收多浪三期A9-2-301阿依加马·吐尼牙孜住宅款刷卡</t>
  </si>
  <si>
    <t>收多浪三期A13-2-401古丽加玛丽·安外尔住宅款刷卡</t>
  </si>
  <si>
    <t>收多浪二期A3-1-301买合木提·牙生住宅款公积金提取</t>
  </si>
  <si>
    <t>收多浪二期A3-1-301买合木提·牙生住宅款现金</t>
  </si>
  <si>
    <t>收多浪二期A5-1-502热合曼·尼亚孜住宅款建行放贷</t>
  </si>
  <si>
    <t>收多浪三期A6-1-101买买提·吾加木尼牙孜住宅款刷卡</t>
  </si>
  <si>
    <t>收多浪三期A7-2-602吐尔孙·吐米尔住宅款建行放贷</t>
  </si>
  <si>
    <t>收多浪三期A7-3-602亚森·萨拉木住宅款刷卡</t>
  </si>
  <si>
    <t>收多浪三期A7-3-602亚森·萨拉木住宅款建行放贷</t>
  </si>
  <si>
    <t>收多浪三期A8-2-601木合旦尔·米吉提住宅款建行放贷</t>
  </si>
  <si>
    <t>收多浪三期A8-2-502艾合旦木·吾杰克住宅款建行放贷</t>
  </si>
  <si>
    <t>收多浪三期A9-1-304李丹阳住宅款现金</t>
  </si>
  <si>
    <t>收多浪三期A9-2-503艾克拜尔江·艾买尔住宅款建行放贷</t>
  </si>
  <si>
    <t>收多浪三期A9-2-604吐逊·赛麦提住宅款现金</t>
  </si>
  <si>
    <t>收多浪三期A13-1-102吐尔洪·吐尔迪住宅款刷卡</t>
  </si>
  <si>
    <t>收多浪三期A13-2-101图尔荪·麦麦提住宅款刷卡</t>
  </si>
  <si>
    <t>收多浪三期A13-2-601阿日普·图尔荪住宅款建行放贷</t>
  </si>
  <si>
    <t>收多浪三期A13-2-501安外尔·图尼亚孜住宅款建行放贷</t>
  </si>
  <si>
    <t>收多浪三期A13-1-501图尔荪·图尔迪住宅款建行放贷</t>
  </si>
  <si>
    <t>收多浪二期A3-1-601库尔班·努尔麦麦提住宅款刷卡</t>
  </si>
  <si>
    <t>收多浪二期A5-3-601阿迪力·阿吉住宅款刷卡</t>
  </si>
  <si>
    <t>收多浪三期A6-2-601卡依沙尔·木合塔尔住宅款建行放贷</t>
  </si>
  <si>
    <t>收多浪三期A6-2-202阿卜杜萨拉木·阿卜拉住宅款刷卡</t>
  </si>
  <si>
    <t>收多浪三期A6-2-302吐逊江·阿布都拉住宅款公积金提取</t>
  </si>
  <si>
    <t>收多浪三期A6-1-201艾合麦提·吐合尼亚孜住宅款建行放贷</t>
  </si>
  <si>
    <t>收多浪三期A7-3-401图尔荪江·阿卜拉住宅款建行放贷</t>
  </si>
  <si>
    <t>收多浪三期A8-2-104阿布力米提·吐尼亚孜住宅款现金、刷卡</t>
  </si>
  <si>
    <t>收多浪三期A8-1-402艾克拜尔·胡都尤木拜迪住宅款公积金提取</t>
  </si>
  <si>
    <t>收多浪三期A9-1-604吐尔松·牙森住宅款建行放贷</t>
  </si>
  <si>
    <t>收多浪三期A9-2-204麦合真提·麦麦提住宅款现金</t>
  </si>
  <si>
    <t>收多浪三期A9-1-404古丽加马丽·依马木尼亚孜住宅款刷卡</t>
  </si>
  <si>
    <t>收多浪三期A13-2-301麦吾拉尼·木沙住宅款刷卡</t>
  </si>
  <si>
    <t>收多浪三期A13-2-402依司拉木·阿卜杜汗库尔住宅款现金</t>
  </si>
  <si>
    <t>收多浪三期A13-2-402依司拉木·阿卜杜许库尔住宅款刷卡</t>
  </si>
  <si>
    <t>收多浪三期A13-1-401阿布都热依木·吾斯曼住宅款刷卡</t>
  </si>
  <si>
    <t>收多浪二期A3-2-503买买提·吾许尔住宅款公积金提取</t>
  </si>
  <si>
    <t>收多浪三期A6-2-401莫明·阿布都艾尼住宅款刷卡</t>
  </si>
  <si>
    <t>收多浪三期A7-1-301库尔班·阿伍提住宅款建行放贷</t>
  </si>
  <si>
    <t>收多浪三期A7-2-301阿布都亥力力·吐尔洪住宅款公积金放贷</t>
  </si>
  <si>
    <t>收多浪三期A7-2-102古丽米热·吐尔逊住宅款刷卡</t>
  </si>
  <si>
    <t>收多浪三期A8-1-501阿曼古力·吐尔洪住宅款现金</t>
  </si>
  <si>
    <t>收多浪三期A9-1-401艾力江·吐尔地住宅款建行放贷</t>
  </si>
  <si>
    <t>收多浪三期A9-1-603图尔迪·阿拉库力住宅款刷卡</t>
  </si>
  <si>
    <t>收多浪三期A6-1-401祖丽胡玛尔·赛买提住宅款刷卡</t>
  </si>
  <si>
    <t>收多浪三期A6-1-401祖丽胡玛尔·赛买提住宅款公积金提取</t>
  </si>
  <si>
    <t>收多浪三期A7-2-101阿布都拉·木塔力甫住宅款刷卡</t>
  </si>
  <si>
    <t>收多浪三期A7-1-501艾尔肯江·吐尔逊住宅款建行放贷</t>
  </si>
  <si>
    <t>收多浪三期A7-2-502艾合麦提·库尔班住宅款建行放贷</t>
  </si>
  <si>
    <t>收多浪三期A8-1-503古丽努尔·吾斯曼住宅款建行放贷</t>
  </si>
  <si>
    <t>调2021年1月17#凭证A13-2-301转A3-1-301</t>
  </si>
  <si>
    <t>调2021年2月9#凭证A13-2-301转A3-1-301</t>
  </si>
  <si>
    <t>调2021年3月6#凭证A13-2-301转A3-1-301</t>
  </si>
  <si>
    <t>收多浪三期A8-2-303阿卜杜拉·阿不都热依木住宅款刷卡</t>
  </si>
  <si>
    <t>收多浪三期A9-2-101吐尔逊·居麦克住宅款刷卡、现金</t>
  </si>
  <si>
    <t>收多浪三期A13-1-102阿不力克木·买买提住宅款刷卡</t>
  </si>
  <si>
    <t>收多浪三期A13-1-102阿不力克木·买买提住宅款现金</t>
  </si>
  <si>
    <t>收多浪三期A13-1-102阿不力克木·买买提住宅款刷卡、现金</t>
  </si>
  <si>
    <t>调2020年12月4#凭证原2020-9-41#凭证A13-1-201转A9-1-202</t>
  </si>
  <si>
    <t>调2020年12月4#凭证原2020-7-47#凭证A13-1-201转A9-1-202</t>
  </si>
  <si>
    <t>调2020年12月4#凭证原2020-8-13#凭证A9-1-201转A7-1-501转A13-1-501</t>
  </si>
  <si>
    <t>调2020年12月149#凭证A3-112转A1-1-301室5000元，应由A3-112转阿克苏分公司C2-104</t>
  </si>
  <si>
    <t>调2018年8月14#凭证A4-6-201转A1-1-301室5000元</t>
  </si>
  <si>
    <t>收康泰2-3-401孙广涛住宅款建行放贷</t>
  </si>
  <si>
    <t>收多浪三期A6-1-302艾则孜·阿伍提住宅款刷卡</t>
  </si>
  <si>
    <t>调2020年11月9#凭证A6-2-101转A7-2-101</t>
  </si>
  <si>
    <t>调2020年12月87#凭证A6-2-101转A7-2-101</t>
  </si>
  <si>
    <t>收多浪三期A6-1-102艾尼瓦尔·斯拉音住宅款公积金放贷</t>
  </si>
  <si>
    <t>收多浪小镇三期A6-1-402阿努然木·牙生住宅款公积金放贷</t>
  </si>
  <si>
    <t>收多浪三期A6-1-501祖力胡马·吐尔洪住宅款公积金放贷</t>
  </si>
  <si>
    <t>收多浪三期A7-1-401吐尔逊·吐尼亚孜住宅款现金</t>
  </si>
  <si>
    <t>收多浪三期A8-2-203艾尼瓦尔·吾休尔住宅款现金</t>
  </si>
  <si>
    <t>收多浪三期A8-2-203艾尼瓦尔·吾休尔住宅款刷卡</t>
  </si>
  <si>
    <t>调2020年12月4#凭证原2020年9月5#A8-1-101转A8-2-104房款</t>
  </si>
  <si>
    <t>收多浪三期A8-2-104阿布力米提·吐尼亚孜住宅款刷卡</t>
  </si>
  <si>
    <t>收多浪三期A8-2-202亚森·依斯马依力住宅款现金</t>
  </si>
  <si>
    <t>收多浪三期A8-2-202亚森·依斯马依力住宅款刷卡、现金</t>
  </si>
  <si>
    <t>收多浪三期A8-1-404艾尼瓦尔·吾休尔住宅款刷卡</t>
  </si>
  <si>
    <t>收多浪三期A9-1-303古力尼萨汗·玉山住宅款现金、刷卡</t>
  </si>
  <si>
    <t>收多浪二期A3-2-503麦麦提·吾许尔住宅款公积金下贷</t>
  </si>
  <si>
    <t>收多浪二期A3-2-601布哈尼丁·热扎克住宅款刷卡</t>
  </si>
  <si>
    <t>收多浪二期A3-113吐尔逊·阿巴斯住宅款刷卡</t>
  </si>
  <si>
    <t>调2020年3月31#凭证A4-105转A3-113商铺5000元</t>
  </si>
  <si>
    <t>收多浪二期A5-3-602沙吾提·托合提住宅款现金</t>
  </si>
  <si>
    <t>收多浪二期A5-3-602沙吾提·托合提住宅款刷卡</t>
  </si>
  <si>
    <t>收多浪三期A6-2-402帕坦木·艾合麦提住宅款刷卡</t>
  </si>
  <si>
    <t>收多浪三期A7-2-401于山江·吐尼亚孜住宅款刷卡</t>
  </si>
  <si>
    <t>收多浪三期A7-2-401于山江·吐尼亚孜住宅款现金</t>
  </si>
  <si>
    <t>收多浪三期A8-1-301阿巴斯·哈力克住宅款刷卡</t>
  </si>
  <si>
    <t>收多浪三期A8-1-403穆萨·托合提住宅款现金</t>
  </si>
  <si>
    <t>调2020年12月4#凭证原2020-8-9#凭证A8-2-301转A8-1-102</t>
  </si>
  <si>
    <t>收多浪三期A8-1-603图尔荪古丽·巴拉提住宅款现金</t>
  </si>
  <si>
    <t>调2019年12月63#凭证A2-1-301转阿克苏分公司多浪一期C3-101商铺5000元</t>
  </si>
  <si>
    <t>收多浪二期A3-1-501木塔力甫·吐尔洪住宅款</t>
  </si>
  <si>
    <t>收多浪二期A3-3-601吾麦尔江·吾斯曼住宅款刷卡</t>
  </si>
  <si>
    <t>收多浪三期A7-3-201阿布拉提·阿不都热西提住宅款刷卡</t>
  </si>
  <si>
    <t>调2020年12月4#凭证原2020-9-42#凭证A9-1-201转A9-1-202</t>
  </si>
  <si>
    <t>调2020年12月4#凭证原2020-7-99#凭证A9-1-201转A9-1-202</t>
  </si>
  <si>
    <t>退阿布迪热克甫·麦合苏木A5-1-501住宅款</t>
  </si>
  <si>
    <t>结转多浪二期收入</t>
  </si>
  <si>
    <t>收多浪二期A5-1-602艾买尔·吐木尔住宅款现金</t>
  </si>
  <si>
    <t>结转多浪三期收入</t>
  </si>
  <si>
    <t>收多浪三期A6-1-601依布拉依木·尕依提住宅款刷卡</t>
  </si>
  <si>
    <t>收多浪三期A7-1-601吐尔逊·巴吾东住宅款刷卡</t>
  </si>
  <si>
    <t>收多浪三期A9-2-203阿色古力·海力力住宅款公积金放贷</t>
  </si>
  <si>
    <t>退多浪三期A9-2-604麦麦提·斯拉木住宅款</t>
  </si>
  <si>
    <t>收多浪二期A2-3-601麦亥麦尼亚孜·吐尼亚孜住宅款刷卡</t>
  </si>
  <si>
    <t>收多浪二期A3-1-601库尔班·努尔麦麦提住宅款现金</t>
  </si>
  <si>
    <t>收多浪二期A4-2-502玉山·吾斯曼住宅款建行放贷</t>
  </si>
  <si>
    <t>收多浪三期A6-2-101奥热依木·吐合提住宅款建行放贷</t>
  </si>
  <si>
    <t>收多浪三期A6-2-502艾尼瓦尔·艾合麦提住宅款建行放贷</t>
  </si>
  <si>
    <t>收多浪三期A6-2-302吐逊江·阿布都拉住宅款建行放贷</t>
  </si>
  <si>
    <t>收多浪三期A7-3-102阿不拉江·阿力木住宅款建行放贷</t>
  </si>
  <si>
    <t>收多浪三期A8-1-402艾克拜尔·胡都尤木拜迪住宅款建行放贷</t>
  </si>
  <si>
    <t>收多浪三期A13-2-301麦吾拉尼·木沙住宅款建行放贷</t>
  </si>
  <si>
    <t>收多浪三期A13-1-401阿布都热依木·吾斯曼住宅款建行放贷</t>
  </si>
  <si>
    <t>收多浪三期A6-2-401莫明·阿布都艾尼住宅款建行放贷</t>
  </si>
  <si>
    <t>收多浪三期A6-1-602库尔班·阿布里米提住宅款建行放贷</t>
  </si>
  <si>
    <t>收多浪三期A6-2-602玉散·吐尔洪住宅款建行放贷</t>
  </si>
  <si>
    <t>收多浪三期A7-3-501艾沙·依斯坎目尔住宅款建行放贷</t>
  </si>
  <si>
    <t>收多浪三期A7-2-102古丽米热·吐尔逊住宅款建行放贷</t>
  </si>
  <si>
    <t>收多浪三期A13-1-402艾买尔·托乎提住宅款建行放贷</t>
  </si>
  <si>
    <t>收多浪三期A13-1-602吐尔逊·阿不都热依木住宅款建行放贷</t>
  </si>
  <si>
    <t>收多浪三期A6-1-401祖丽胡玛尔·赛买提住宅款公积金放贷</t>
  </si>
  <si>
    <t>收多浪三期A9-1-102萨吉代姆·居麦住宅款刷卡</t>
  </si>
  <si>
    <t>退多浪二期A3-3-501卡哈尔·沙依都拉住宅款</t>
  </si>
  <si>
    <t>收到卡哈尔·沙依都拉交来多浪小镇二期A3-3-501房款</t>
  </si>
  <si>
    <t>收到斯拉吉丁·艾合麦提交来多浪小镇二期A4-5-502房款</t>
  </si>
  <si>
    <t>预收赛米·赛麦提多浪小镇二期A5-1-501房款</t>
  </si>
  <si>
    <t>结转多浪小镇三期收入</t>
  </si>
  <si>
    <t>预收帕孜来提·帕尔哈提多浪小镇三期A8-1-303房款</t>
  </si>
  <si>
    <t>调2020.12.21记-87#凭证（吐尔洪萨迪尔A7-1-401房款调至帕孜来提帕尔哈提A8-1-303）</t>
  </si>
  <si>
    <t>调2020.12.31记-4#凭证吐尔洪萨迪尔A7-1-401房款调至帕孜来提帕尔哈提A8-1-303）</t>
  </si>
  <si>
    <t>收到热汗古丽·阿皮孜交来多浪小镇三期A8-1-604房款</t>
  </si>
  <si>
    <t>收到阿卜力克木·吾卜力交来多浪小镇三期A9-1-402房款</t>
  </si>
  <si>
    <t>收多浪三期A13-1-601木萨江·木台里甫住宅款建行放贷</t>
  </si>
  <si>
    <t>监管账户退预售A13-1-201阿布拉江·达吾提房款</t>
  </si>
  <si>
    <t>收多浪三期A13-2-101图尔荪·麦麦提住宅款建行放贷</t>
  </si>
  <si>
    <t>收多浪二期A2-3-601麦亥麦尼亚孜·吐尼亚孜住宅款建行放贷</t>
  </si>
  <si>
    <t>收多浪二期A3-3-201热西提·麦吾兰住宅款建行放贷</t>
  </si>
  <si>
    <t>收多浪二期A3-2-501艾尔肯·艾买提住宅款建行放贷</t>
  </si>
  <si>
    <t>结转多浪小镇二期7月收入</t>
  </si>
  <si>
    <t>收到热依汉古丽·麦麦提交来多浪小镇二期A4-109房款</t>
  </si>
  <si>
    <t>收多浪三期A6-2-202阿卜杜萨拉木·阿卜拉住宅款建行放贷</t>
  </si>
  <si>
    <t>预收玉素甫·珀拉提多浪小镇三期A7-2-302房款</t>
  </si>
  <si>
    <t>收多浪三期A7-3-402李丹阳住宅款建行放贷</t>
  </si>
  <si>
    <t>收多浪三期A8-1-404艾力·赛麦提住宅款建行放贷</t>
  </si>
  <si>
    <t>收到阿不都吉力里·阿不都热西提交来多浪小镇三期A9-2-403房款</t>
  </si>
  <si>
    <t>预收阿力木·阿木提多浪小镇二期A2-2-601房款</t>
  </si>
  <si>
    <t>收多浪二期A3-2-601布哈尼丁·热扎克住宅款建行放贷</t>
  </si>
  <si>
    <t>收多浪二期A5-3-602沙吾提·托合提住宅款建行放贷</t>
  </si>
  <si>
    <t>收多浪三期A7-2-501阿力木·图尔迪住宅款建行放贷</t>
  </si>
  <si>
    <t>预收麦合木提·图尔荪多浪小镇三期A7-3-502房款</t>
  </si>
  <si>
    <t>收多浪三期A8-1-301阿巴斯·哈力克住宅款建行放贷</t>
  </si>
  <si>
    <t>收多浪三期A8-1-501阿曼古力·吐尔洪住宅款建行放贷</t>
  </si>
  <si>
    <t>收多浪三期A8-1-403穆萨·托合提住宅款建行放贷</t>
  </si>
  <si>
    <t>收多浪三期A8-1-203帕尔哈提·玉素甫住宅款</t>
  </si>
  <si>
    <t>预收巴哈尔古丽·阿卜都热合曼多浪小镇三期A8-2-501房款</t>
  </si>
  <si>
    <t>收多浪三期A9-1-203阿依木尼萨克孜·于努斯住宅款建行放贷</t>
  </si>
  <si>
    <t>收多浪三期A9-2-603艾萨·阿合尼亚孜住宅款建行放贷</t>
  </si>
  <si>
    <t>监管账户退预售A13-1-101麦麦提·阿米力房款</t>
  </si>
  <si>
    <t>监管账户退预售A13-2-302努尔麦麦提·依布热依木房款</t>
  </si>
  <si>
    <t>收多浪三期A13-1-502毛拉依明·依迪热斯住宅款建行放贷</t>
  </si>
  <si>
    <t>收多浪二期A4-4-201帕提古力·亚森住宅款现金</t>
  </si>
  <si>
    <t>收多浪二期A3-3-601吾麦尔江·吾斯曼住宅款建行放贷</t>
  </si>
  <si>
    <t>收多浪三期A7-3-201阿不拉提·阿不都热西提住宅款建行放贷</t>
  </si>
  <si>
    <t>收到阿依古力·依明交来多浪小镇三期A7-2-402房款</t>
  </si>
  <si>
    <t>收多浪三期A8-1-201木塔力甫·艾买提住宅款建行放贷</t>
  </si>
  <si>
    <t>收多浪三期A8-2-602居马克·阿卜杜如苏力住宅款建行放贷</t>
  </si>
  <si>
    <t>收多浪三期A8-1-504麦合木提·托合提尼亚孜住宅款建行放贷</t>
  </si>
  <si>
    <t>监管账户退预售A9-2-103艾合买提·吾斯曼房款</t>
  </si>
  <si>
    <t>监管账户退艾合买提·吾斯曼A9-2-103首付款退汇</t>
  </si>
  <si>
    <t>收多浪三期A9-1-601肉孜·亚森住宅款建行放贷</t>
  </si>
  <si>
    <t>收多浪三期A13-2-401艾山江·玉素甫住宅款建行放贷</t>
  </si>
  <si>
    <t>收多浪小镇三期A6-1-601依布拉依木·尕依提建行放贷款</t>
  </si>
  <si>
    <t>收多浪三期A7-1-202艾木热汗·马木提住宅款刷卡</t>
  </si>
  <si>
    <t>收多浪三期A8-2-401牙生·司马义住宅款刷卡</t>
  </si>
  <si>
    <t>收多浪三期A13-1-201阿布都艾尼·阿布都热合曼住宅款刷卡</t>
  </si>
  <si>
    <t>收多浪小镇三期A6-1-302穆萨·艾则孜建行放贷款</t>
  </si>
  <si>
    <t>收多浪三期A6-1-501祖力胡马·吐尔洪住宅款公积金提取</t>
  </si>
  <si>
    <t>收多浪小镇三期A7-1-401吐尔逊·吐尼亚孜住房公积金</t>
  </si>
  <si>
    <t>收多浪小镇三期A8-2-203艾尼瓦尔·吾休尔建行放贷款</t>
  </si>
  <si>
    <t>退多浪三期A8-1-601吐鲁洪·依马木尼牙孜房款</t>
  </si>
  <si>
    <t>收多浪三期A8-1-204亚库普·达吾提住宅款刷卡</t>
  </si>
  <si>
    <t>收多浪三期A6-2-402帕坦木·艾合麦提住宅款建行放贷</t>
  </si>
  <si>
    <t>收多浪小镇三期A7-2-401于山江·吐尼亚孜住房公积金</t>
  </si>
  <si>
    <t>收多浪三期A8-1-203帕尔哈提·玉素甫住宅款公积金提取</t>
  </si>
  <si>
    <t>收多浪三期A13-1-101古力娜扎尔·司马依住宅款刷卡</t>
  </si>
  <si>
    <t>提取多浪小镇三期A7-2-402阿依古力·依明公积金</t>
  </si>
  <si>
    <t>收多浪二期A3-3-501卡哈尔·沙依都拉住宅款建行放贷</t>
  </si>
  <si>
    <t>收多浪二期A4-5-502斯拉吉丁·艾合麦提住宅款建行放贷</t>
  </si>
  <si>
    <t>收多浪二期A5-1-501赛木·赛麦提住宅款建行放贷</t>
  </si>
  <si>
    <t>收多浪三期A9-1-402阿曼尼沙·吐鲁洪住宅款建行放贷</t>
  </si>
  <si>
    <t>收多浪三期A13-1-201阿布都艾尼·阿布都热合曼宅款建行放贷</t>
  </si>
  <si>
    <t>收多浪三期A6-1-501祖力胡马·吐尔洪宅款建行放贷</t>
  </si>
  <si>
    <t>收多浪三期A9-2-201古力纳尔·阿吾提住宅款现金</t>
  </si>
  <si>
    <t>收多浪二期A2-2-601阿力木·马木提住宅款建行放贷</t>
  </si>
  <si>
    <t>收阿克苏市领锋建材部张昌远康泰5-5-1003房款</t>
  </si>
  <si>
    <t>贷方转收入导致，不作为收款</t>
  </si>
  <si>
    <t>退多浪三期A9-1-403艾斯开尔·莫敏房款</t>
  </si>
  <si>
    <t>收多浪三期A13-2-302麦尔耶姆·阿卜拉住宅款刷卡</t>
  </si>
  <si>
    <t>退多浪二期A5-1-601图荪·恰瓦尔房款</t>
  </si>
  <si>
    <t>收多浪三期A7-2-402阿依古力·依明公积金放贷</t>
  </si>
  <si>
    <t>收多浪三期A8-1-502哈丽代姆·奥斯曼住宅款建行放贷</t>
  </si>
  <si>
    <t>预收A7-1-402不胡热·吐尔逊建行放贷款</t>
  </si>
  <si>
    <t>退A7-1-601吐尔逊·巴吾东首付款</t>
  </si>
  <si>
    <t>预收A8-2-401牙生·司马义建行放贷款</t>
  </si>
  <si>
    <t>预收多浪一期A2-2-603图尔贡·库尔班房款</t>
  </si>
  <si>
    <t>预收A8-1-601艾合麦提·乌斯曼购房款</t>
  </si>
  <si>
    <t>预收A7-2-401于山江·吐尼牙孜购房款</t>
  </si>
  <si>
    <t>退A8-1-202沙阿代提·阿布拉购房款</t>
  </si>
  <si>
    <t>预收A9-2-103王瑞锋购房款</t>
  </si>
  <si>
    <t>预收A9-1-102萨吉代姆·居麦建行贷款</t>
  </si>
  <si>
    <t>确认收入</t>
  </si>
  <si>
    <t>调整房号</t>
  </si>
  <si>
    <t>收到多浪小镇二期A2-2-603图尔贡·库尔班建行放贷款</t>
  </si>
  <si>
    <t>收到多浪三期A8-1-601艾合麦提·乌斯曼建行放贷款</t>
  </si>
  <si>
    <t>收到多浪小镇三期A8-1-204亚库普·达吾提建行放贷</t>
  </si>
  <si>
    <t>收到A5-102阿米那·木乌斯曼房款</t>
  </si>
  <si>
    <t>补记A7-2-401于山江·吐尼牙孜房款</t>
  </si>
  <si>
    <t>收到A4-2-601亥尼莎·阿布都克热木房款</t>
  </si>
  <si>
    <t>调账</t>
  </si>
  <si>
    <t>.结转收入</t>
  </si>
  <si>
    <t>预收多浪镇二期A5-102阿米娜木·乌斯曼房款</t>
  </si>
  <si>
    <t>收到A7-2-401于山江·吐尼亚孜放贷款</t>
  </si>
  <si>
    <t>预收A13-2-302麦尔耶姆·阿卜拉公积金放款</t>
  </si>
  <si>
    <t>调整2020年10月99号凭证</t>
  </si>
  <si>
    <t>补记2019年收入</t>
  </si>
  <si>
    <t>收到A8-1-104阿依古力·麻木提房款</t>
  </si>
  <si>
    <t>预收多浪小镇三期A8-1-104左合热·木拉提房款</t>
  </si>
  <si>
    <t>退A7-1-401吐尔逊·吐尼牙孜房款</t>
  </si>
  <si>
    <t>结转康泰公寓7-5-202权君华收入</t>
  </si>
  <si>
    <t>收到A7-2-301阿布都亥力力·吐尔洪</t>
  </si>
  <si>
    <t>预收A8-1-202艾麦尔江·依明尼牙孜房款刷卡手续费0033</t>
  </si>
  <si>
    <t>退亚森·马木克A9-2-601房款</t>
  </si>
  <si>
    <t>预收多浪小镇A9-1-302艾合买提·吐尔孙房款</t>
  </si>
  <si>
    <t>收到多浪小镇A13-2-302麦尔耶姆·阿卜拉房款放贷</t>
  </si>
  <si>
    <t>预收多浪小镇A8-1-202艾麦尔江·依明尼牙孜房款放贷</t>
  </si>
  <si>
    <t>预收多浪三期A7-01-401阿迪力·图尔荪房款</t>
  </si>
  <si>
    <t>预收多浪三期A9-2-601古力努尔·托合尼亚孜房款</t>
  </si>
  <si>
    <t>收到多浪三期A9-1-302艾合买提·吐尔孙建行放贷款</t>
  </si>
  <si>
    <t>预收多浪三期A9-1-403麦麦提·托合提房款</t>
  </si>
  <si>
    <t>预收康泰1-111赵海棠商铺款</t>
  </si>
  <si>
    <t>1-111</t>
  </si>
  <si>
    <t>预收康泰1-105洪雪玲商铺款</t>
  </si>
  <si>
    <t>1-105</t>
  </si>
  <si>
    <t>预收A7-1-601阿布迪尼亚孜·吐尼亚孜房款</t>
  </si>
  <si>
    <t>预收多浪小镇A5-2-201苏里塔尼·吐尔迪房款</t>
  </si>
  <si>
    <t>预收康泰5-109-2廖尊先商铺款</t>
  </si>
  <si>
    <t>预收多浪小镇A7-1-401阿迪力·图尔荪建行放贷</t>
  </si>
  <si>
    <t>预收多浪小镇A8-2-204阿布都热合曼·艾散房款</t>
  </si>
  <si>
    <t>预收多浪小镇A3-113吐尔逊·阿巴斯商铺款</t>
  </si>
  <si>
    <t>支多浪小镇A5-2-501艾尼瓦尔·求戈房款刷卡手续费</t>
  </si>
  <si>
    <t>预收康泰5-105杨洋洋商铺款</t>
  </si>
  <si>
    <t>预收康泰5-107刘巧丽商铺款</t>
  </si>
  <si>
    <t>预收多浪小镇A8-2-301海丽齐古丽·吾斯曼房款</t>
  </si>
  <si>
    <t>预收多浪小镇A13-1-101古力娜扎·司马依房款</t>
  </si>
  <si>
    <t>预收康泰5-102钟文龙商铺款</t>
  </si>
  <si>
    <t>退A2-3-302艾克然木·吐尔逊房款</t>
  </si>
  <si>
    <t>收到康泰公寓1-111铺赵海棠房款</t>
  </si>
  <si>
    <t>预收A7-1-601阿布迪尼亚孜·吐尼亚孜建行房贷</t>
  </si>
  <si>
    <t>收到9-2-601古力努尔·托合尼亚建行房贷款</t>
  </si>
  <si>
    <t>退A1-05铺艾克然木·吐尔逊房款</t>
  </si>
  <si>
    <t>预收A区14号楼二层201.202商铺</t>
  </si>
  <si>
    <t>预收A8-2-301海丽齐古丽·吾斯曼房款</t>
  </si>
  <si>
    <t>预收A5-1-601艾斯卡尔·牙生房款</t>
  </si>
  <si>
    <t>收到艾麦提·马木提A5-2-502房款</t>
  </si>
  <si>
    <t>收到阿热孜古丽·托合提A8-1-304房款</t>
  </si>
  <si>
    <t>收到洪雪玲康泰公寓1-105商铺房款</t>
  </si>
  <si>
    <t>收到古扎努尔·毛尼牙孜怡和15-B-801款</t>
  </si>
  <si>
    <t>怡和15-B-801</t>
  </si>
  <si>
    <t>收到康泰公寓商铺5-109-2款</t>
  </si>
  <si>
    <t>杭联收到廖尊先商铺康泰公寓5-109-2下贷款</t>
  </si>
  <si>
    <t>收到艾尼瓦尔·求戈A5-2-501款</t>
  </si>
  <si>
    <t>收到涂川疆康泰公寓1-1-302建行房款</t>
  </si>
  <si>
    <t>收到王金川康泰公寓房款</t>
  </si>
  <si>
    <t>收到康泰公寓7-1-302面积差房款</t>
  </si>
  <si>
    <t>收到A5-2-601吐尔洪·赛莆拉房款</t>
  </si>
  <si>
    <t>更正杨洋康泰公寓商铺5-105（2）错计5-108,2022.5月20#凭证</t>
  </si>
  <si>
    <t>收到A5-1-602艾斯卡尔·牙生银行放贷</t>
  </si>
  <si>
    <t>调整康泰公寓1-103刘永平期初少记1076800元</t>
  </si>
  <si>
    <t>调整金额，未见回款</t>
  </si>
  <si>
    <t>调整康泰公寓1-103刘永平往来，未开发票余额为1976800</t>
  </si>
  <si>
    <t>收到杨洋（赵晨静）康泰公寓5-105-2商铺款</t>
  </si>
  <si>
    <t>辅助帐挂错，实际为5-105-2</t>
  </si>
  <si>
    <t>收到A8-2-301海丽齐古丽·吾斯曼银行放贷</t>
  </si>
  <si>
    <t>调整康泰公寓1-104刘永平期初少记20万</t>
  </si>
  <si>
    <t>调整康泰公寓1-104刘永平往来，未开发票余额为73万</t>
  </si>
  <si>
    <t>收到康泰公寓王金川房款</t>
  </si>
  <si>
    <t>收钟文龙康泰商铺5-102定金换成杨洋洋5-105-2商铺款</t>
  </si>
  <si>
    <t>收到杨洋洋康泰公寓5-105-2商铺下贷款</t>
  </si>
  <si>
    <t>结转收入（发票号01934893)</t>
  </si>
  <si>
    <t>收到洪雪玲康泰公寓1-105商铺款</t>
  </si>
  <si>
    <t>结转收入（发票号01863084)</t>
  </si>
  <si>
    <t>结转收入（发票号01863085)</t>
  </si>
  <si>
    <t>预收多浪二期A5-2-201房款</t>
  </si>
  <si>
    <t>结转收入（发票号01863082)</t>
  </si>
  <si>
    <t>结转收入（发票号01934891)</t>
  </si>
  <si>
    <t>结转收入（发票号01863083)</t>
  </si>
  <si>
    <t>结转收入（发票号01934892)</t>
  </si>
  <si>
    <t>收到钟文龙交来5-102商铺款</t>
  </si>
  <si>
    <t>调整2022年6月53#凭证重复结转收入</t>
  </si>
  <si>
    <t>结转12月开票收入（04970390）</t>
  </si>
  <si>
    <t>补记2021年5月19#未计凭证（阿克苏通力2020年12月149#凭证A3-112转A1-1-301室5000元，应由A3-112转阿克苏分公司C2-104）</t>
  </si>
  <si>
    <t>结转12月开票收入（04970391）</t>
  </si>
  <si>
    <t>预收刘巧丽康泰公寓5-107商铺款</t>
  </si>
  <si>
    <t>调整2020年12月129#凭证转收入错误</t>
  </si>
  <si>
    <t>调整2021年12月1#凭证错误挂账</t>
  </si>
  <si>
    <t>A1-1-501房款转收入</t>
  </si>
  <si>
    <t>结转1月开票收入（01934895）</t>
  </si>
  <si>
    <t>结转收入(01934901)</t>
  </si>
  <si>
    <t>收到A5-2-202房款</t>
  </si>
  <si>
    <t>结转收入(01934905)</t>
  </si>
  <si>
    <t>收到多浪小镇二期A5-2-402房款</t>
  </si>
  <si>
    <t>收到多浪小镇A4-2-601房款</t>
  </si>
  <si>
    <t>结转收入(01934906)</t>
  </si>
  <si>
    <t>结转收入(01934907)</t>
  </si>
  <si>
    <t>结转收入(01934904)</t>
  </si>
  <si>
    <t>结转收入(01934903)</t>
  </si>
  <si>
    <t>结转收入（01934897）</t>
  </si>
  <si>
    <t>收到A4-6-401吐尔洪·吐松逾期房款</t>
  </si>
  <si>
    <t>结转收入(01934900)</t>
  </si>
  <si>
    <t>康泰公寓1-105商铺意向金转预收</t>
  </si>
  <si>
    <t>收到阿依孜米古丽·艾合麦提多浪二期A5-2-202住房公积金下贷款</t>
  </si>
  <si>
    <t>收到麦麦提·谢克库尔班交来多浪小镇A5-2-402房款（刷POS2笔）</t>
  </si>
  <si>
    <t>收到张雪静交来康泰公寓1-106-2商铺预收款</t>
  </si>
  <si>
    <t>1-106-2</t>
  </si>
  <si>
    <t xml:space="preserve"> 结转3月开票收入（01934912）</t>
  </si>
  <si>
    <t xml:space="preserve"> 结转3月开票收入（01934911）</t>
  </si>
  <si>
    <t xml:space="preserve"> 结转3月开票收入（01934910）</t>
  </si>
  <si>
    <t>收到林可玉交来康泰公寓5-1-702房款（刷POS机2笔）</t>
  </si>
  <si>
    <t>收到艾尼瓦尔·达吾提交来多浪小镇A4-113商铺款（刷POS3笔）</t>
  </si>
  <si>
    <t>收到亚森·伊迪日斯交来多浪小镇二期A5-2-401房款（刷POS机）</t>
  </si>
  <si>
    <t>收到吐尔逊·麦提尼亚孜交来A5-2-302商铺款房款（刷POS机）</t>
  </si>
  <si>
    <t>退吐尼牙孜·莫力库尔班C93-302房款(退至图尔洪处重新办理贷款手续)</t>
  </si>
  <si>
    <t>新疆分公司代收马红珍交来康泰公寓C5-104-2意向金</t>
  </si>
  <si>
    <t>C5-104-2</t>
  </si>
  <si>
    <t xml:space="preserve"> 结转3月开票收入（01934909）</t>
  </si>
  <si>
    <t>收到王宏恩交来多浪小镇A14-201/A14-202商铺款</t>
  </si>
  <si>
    <t>收到刘巧丽交来康泰公寓5-107商铺款（刷POS机2笔）</t>
  </si>
  <si>
    <t xml:space="preserve"> 结转3月开票收入（01934908）</t>
  </si>
  <si>
    <t>4-23收到洪雪玲康泰公寓1-105商铺款</t>
  </si>
  <si>
    <t>4-23康泰公寓1-105核算维度调整</t>
  </si>
  <si>
    <t>借贷虚增</t>
  </si>
  <si>
    <t>4-28收到多浪小镇A5-2-202阿依孜米古丽房款贷款</t>
  </si>
  <si>
    <t>4-30本月开票结转收入C6-1-202（发票号01934914）一期房产应在新分开票红冲此发票</t>
  </si>
  <si>
    <t>4-13收到艾克热木·艾肯交来多浪小镇A5-2-301房款</t>
  </si>
  <si>
    <t>4-29收到多浪小镇A2-3-303艾尼瓦尔房款（刷POS机）</t>
  </si>
  <si>
    <t>4-30本月开票结转收入A3-2-603（发票号01934953）</t>
  </si>
  <si>
    <t>5-22收到多浪小镇A4-102商铺款（古丽孜巴·努尔麦麦提）</t>
  </si>
  <si>
    <t>5-8结转5月收入（01934918）</t>
  </si>
  <si>
    <t>5-17收到康泰公寓1-105商铺款</t>
  </si>
  <si>
    <t>5-8结转5月收入（01934919）</t>
  </si>
  <si>
    <t>5-5退多浪小镇A2-1-201房款（退至我司员工图尔洪处重新办理贷款手续）</t>
  </si>
  <si>
    <t>5-8结转5月收入（01934915）</t>
  </si>
  <si>
    <t>5-8结转5月收入（01934916）</t>
  </si>
  <si>
    <t>5-18收到多浪小镇A14-201,A14-202商品款（租金抵房款）</t>
  </si>
  <si>
    <t>5-8结转5月收入（01934917）</t>
  </si>
  <si>
    <t>5-16收到多浪小镇A4-105商铺定金</t>
  </si>
  <si>
    <t>6-1收到多浪小镇A4-102房款</t>
  </si>
  <si>
    <t>6-12收到热依汗古丽·亚森交来多浪小镇A4-115商铺款（现金）</t>
  </si>
  <si>
    <t>6-13收到阿热帕提·托合提交来多浪小镇A5-2-602房款（POS及刷卡）</t>
  </si>
  <si>
    <t>6-27收到阿热帕提交来多浪小镇A5-2-602房款（刷卡、转账）由于无法下贷退款</t>
  </si>
  <si>
    <t>6-14收到巴哈尔古力·阿西木交来多浪小镇A4-112商铺款（现金）</t>
  </si>
  <si>
    <t>6-15收到张雪静交来康泰公寓1-106-2商铺款（POS机刷卡）</t>
  </si>
  <si>
    <t>6-24收到张雪静交来康泰公寓1-106-2商铺款</t>
  </si>
  <si>
    <t>6-35退康泰公寓1-106-2商铺意向金（改为贷款购买进入下贷专户）</t>
  </si>
  <si>
    <t>6-23收到多浪小镇A5-2-201房款（刷卡32700/现金20000）</t>
  </si>
  <si>
    <t>6-2收到多浪小镇A8-2-201房款</t>
  </si>
  <si>
    <t>6-3收到康泰公寓5-107商铺款</t>
  </si>
  <si>
    <t>7-8收到赛麦提交来多浪小镇A5-2-602房款定金</t>
  </si>
  <si>
    <t>7-9收到亚生交来多浪小镇A5-101商铺定金</t>
  </si>
  <si>
    <t>7-15收到马芸交来多浪小镇A5-114商铺定金</t>
  </si>
  <si>
    <t>7-15收到马芸交来多浪小镇A5-108商铺定金</t>
  </si>
  <si>
    <t>7-15收到马芸交来多浪小镇A4-118商铺定金</t>
  </si>
  <si>
    <t>7-15收到马芸交来多浪小镇A4-119商铺定金</t>
  </si>
  <si>
    <t>7-15收到马芸交来多浪小镇A4-122商铺定金</t>
  </si>
  <si>
    <t>7-15收到马芸交来多浪小镇A4-123商铺定金</t>
  </si>
  <si>
    <t>7-15收到马芸交来多浪小镇A4-126商铺定金</t>
  </si>
  <si>
    <t>7-15收到马芸交来多浪小镇A5-104商铺定金</t>
  </si>
  <si>
    <t>7-15收到马芸交来多浪小镇A5-107商铺定金</t>
  </si>
  <si>
    <t>7-15收到马芸交来多浪小镇A5-109商铺定金</t>
  </si>
  <si>
    <t>7-15收到马芸交来多浪小镇A5-112商铺定金</t>
  </si>
  <si>
    <t>7-15收到马芸交来多浪小镇A5-115商铺定金</t>
  </si>
  <si>
    <t>7-13收到麦力开木交来多浪小镇A5-2-601定金</t>
  </si>
  <si>
    <t>7-7收到张雪静交来康泰公寓1-106-2商铺款</t>
  </si>
  <si>
    <t>7-10结转收入(01934920)</t>
  </si>
  <si>
    <t>7-19调整错误凭证23年3月28#阿克苏通力代新疆分公司退C9-3-302房款</t>
  </si>
  <si>
    <t>7-11新疆分公司代支付康泰公寓5-104-2意向金</t>
  </si>
  <si>
    <t>7-10结转收入(01934921)</t>
  </si>
  <si>
    <t>7-10结转收入(01934923)</t>
  </si>
  <si>
    <t>7-14收到吾守尔A8-2-201房款</t>
  </si>
  <si>
    <t>7-10结转收入(01934922)</t>
  </si>
  <si>
    <t>求和项:贷方计算后的含税金额</t>
  </si>
  <si>
    <t>泰康小区分配额</t>
  </si>
  <si>
    <t>币别</t>
  </si>
  <si>
    <t>期间</t>
  </si>
  <si>
    <t>科目范围</t>
  </si>
  <si>
    <t>核算维度</t>
  </si>
  <si>
    <t>方向</t>
  </si>
  <si>
    <t>余额</t>
  </si>
  <si>
    <t>人民币</t>
  </si>
  <si>
    <t>2023.8 -- 2023.10</t>
  </si>
  <si>
    <t>[2203.01]预收账款_预收账款-房产</t>
  </si>
  <si>
    <t>[SCUST2050085/KXLB04/XM205.02.01]A5-2-601/房款/多浪小镇A1-5#、A14项目</t>
  </si>
  <si>
    <t>9-20收到麦力开木交来多浪小镇A5-2-601房款</t>
  </si>
  <si>
    <t>[SCUST2050098/KXLB04/XM205.03]康泰公寓1-105/房款/康泰公寓</t>
  </si>
  <si>
    <t>9-21收到洪雪玲交来康泰公寓1-105商铺款</t>
  </si>
  <si>
    <t>[SCUST2051135/KXLB04/XM205.02.01]A4-105/房款/多浪小镇A1-5#、A14项目</t>
  </si>
  <si>
    <t>9-20收到阿斯艳木交来多浪小镇A4-105商铺款</t>
  </si>
  <si>
    <t>[SCUST2050086/KXLB04/XM205.03]5-105-2杨洋（赵晨静）/房款/康泰公寓</t>
  </si>
  <si>
    <t>2023/9/26</t>
  </si>
  <si>
    <t>9-12调整错误核实维度凭证（22年9月20#）</t>
  </si>
  <si>
    <t>9-12调整错误核实维度凭证（22年8月20#）</t>
  </si>
  <si>
    <t>平</t>
  </si>
  <si>
    <t>[SCUST2050660/KXLB04/XM205.03]5-106/房款/康泰公寓</t>
  </si>
  <si>
    <t>[SCUST2051154/KXLB04/XM205.03]5-102/房款/康泰公寓</t>
  </si>
  <si>
    <t>[SCUST205-000078/KXLB04/XM205.02.01]A5-2-602/房款/多浪小镇A1-5#、A14项目</t>
  </si>
  <si>
    <t>2023/9/21</t>
  </si>
  <si>
    <t>9-10收到赛麦提交来多浪小镇A5-2-602房款（下贷）</t>
  </si>
  <si>
    <t>[SCUST2050855/KXLB04/XM205.02.02]A8-2-201/房款/多浪小镇A6-9#、13#项目</t>
  </si>
  <si>
    <t>9-8收到吾守尔交来多浪小镇A8-2-201房款</t>
  </si>
  <si>
    <t>[SCUST2050510/KXLB04/XM205.03]1-106-2张雪静/房款/康泰公寓</t>
  </si>
  <si>
    <t>2023/8/31</t>
  </si>
  <si>
    <t>8-19收到康泰公寓1-106-2银行下贷</t>
  </si>
  <si>
    <t>[SCUST2050773/KXLB04/XM205.02.01]A2-1-201/房款/多浪小镇A1-5#、A14项目</t>
  </si>
  <si>
    <t>2023/8/25</t>
  </si>
  <si>
    <t>8-15收到古丽阿依木交来A2-1-201房款首付</t>
  </si>
  <si>
    <t>2023/8/16</t>
  </si>
  <si>
    <t>8-10收到赛麦提交来A5-2-602多浪小镇房款</t>
  </si>
  <si>
    <t>8-9结转收入(01934928)</t>
  </si>
  <si>
    <t>[SCUST2050607/KXLB04/XM205.02.01]A2-2-403/房款/多浪小镇A1-5#、A14项目</t>
  </si>
  <si>
    <t>8-9结转收入(01934930)</t>
  </si>
  <si>
    <t>[SCUST2050988/KXLB04/XM205.02.01]A14-201/房款/多浪小镇A1-5#、A14项目</t>
  </si>
  <si>
    <t>8-9结转收入(01934931)</t>
  </si>
  <si>
    <t>8-9结转收入(01934932)</t>
  </si>
  <si>
    <t>[SCUST2051129/KXLB04/XM205.02.01]A3-3-403/房款/多浪小镇A1-5#、A14项目</t>
  </si>
  <si>
    <t>8-9结转收入(01934926)</t>
  </si>
  <si>
    <t>[SCUST2051165/KXLB04/XM205.02.02]A8-1-202/房款/多浪小镇A6-9#、13#项目</t>
  </si>
  <si>
    <t>8-9结转收入(01934927)</t>
  </si>
  <si>
    <t>2023/8/15</t>
  </si>
  <si>
    <t>8-2收到麦力开木交来A5-2-601房款</t>
  </si>
  <si>
    <t>2023/10/31</t>
  </si>
  <si>
    <t>结转本期预收房款无票确认收入</t>
  </si>
  <si>
    <t>[SCUST2050516/KXLB04/XM205.02.01]A5-2-401亚森·伊迪日斯/房款/多浪小镇A1-5#、A14项目</t>
  </si>
  <si>
    <t>[SCUST2050818/KXLB04/XM205.02.01]A5-1-402/房款/多浪小镇A1-5#、A14项目</t>
  </si>
  <si>
    <t>结转本月开票确认收入（01934934）</t>
  </si>
  <si>
    <t>[SCUST2050820/KXLB04/XM205.02.01]A5-2-201/房款/多浪小镇A1-5#、A14项目</t>
  </si>
  <si>
    <t>2023/10/30</t>
  </si>
  <si>
    <t>收到麦力开木·吾斯曼A5-2-601房款</t>
  </si>
  <si>
    <t>收到古丽阿依木·吐尼亚孜A2-1-201房款</t>
  </si>
  <si>
    <t>2023/10/27</t>
  </si>
  <si>
    <t>收到亚森·伊迪日斯A5-2-401房款</t>
  </si>
  <si>
    <t>A4-115/房款/多浪小镇A1-5#、A14项目</t>
  </si>
  <si>
    <t>A5-2-602/房款/多浪小镇A1-5#、A14项目</t>
  </si>
  <si>
    <t>A5-101/房款/多浪小镇A1-5#、A14项目</t>
  </si>
  <si>
    <t>A5-2-601/房款/多浪小镇A1-5#、A14项目</t>
  </si>
  <si>
    <t>A5-2-402/房款/多浪小镇A1-5#、A14项目</t>
  </si>
  <si>
    <t>A5-2-401亚森·伊迪日斯/房款/多浪小镇A1-5#、A14项目</t>
  </si>
  <si>
    <t>A1-1-402/房款/多浪小镇A1-5#、A14项目</t>
  </si>
  <si>
    <t>A1-1-401/房款/多浪小镇A1-5#、A14项目</t>
  </si>
  <si>
    <t>A2-1-602/房款/多浪小镇A1-5#、A14项目</t>
  </si>
  <si>
    <t>A2-3-303/房款/多浪小镇A1-5#、A14项目</t>
  </si>
  <si>
    <t>5-107/房款/康泰公寓</t>
  </si>
  <si>
    <t>A8-1-102/房款/多浪小镇A6-9#、13#项目</t>
  </si>
  <si>
    <t>求和项:金额</t>
  </si>
  <si>
    <t>(空白)</t>
  </si>
  <si>
    <t>总计</t>
  </si>
  <si>
    <t>多浪一期分配额</t>
  </si>
  <si>
    <t>多浪二期分配额</t>
  </si>
  <si>
    <t>核对</t>
  </si>
  <si>
    <t>未匹配房源</t>
  </si>
  <si>
    <t>多浪一期分配金额</t>
  </si>
  <si>
    <t>币别:人民币</t>
  </si>
  <si>
    <t>账簿:阿克苏通力房地产开发有限公司</t>
  </si>
  <si>
    <t>期间:2019.12 -- 2023.8</t>
  </si>
  <si>
    <t>科目编码</t>
  </si>
  <si>
    <t>核算维度编码</t>
  </si>
  <si>
    <t>核算维度名称</t>
  </si>
  <si>
    <t>期初余额</t>
  </si>
  <si>
    <t>本期发生</t>
  </si>
  <si>
    <t>本年累计</t>
  </si>
  <si>
    <t>期末余额</t>
  </si>
  <si>
    <t>借方</t>
  </si>
  <si>
    <t>贷方</t>
  </si>
  <si>
    <t>　　应收账款-房产</t>
  </si>
  <si>
    <t>SCUST2050517/KXLB04</t>
  </si>
  <si>
    <t>A5-2-302吐尔逊·麦提尼亚孜/房款</t>
  </si>
  <si>
    <t>SCUST2050527/KXLB04</t>
  </si>
  <si>
    <t>康泰公寓-王金川/房款</t>
  </si>
  <si>
    <t>SCUST2050883/KXLB04</t>
  </si>
  <si>
    <t>A5-2-301艾克热木·艾肯/房款</t>
  </si>
  <si>
    <t>其他应收款-客户往来</t>
  </si>
  <si>
    <t>SCUST2050001/KXLB09</t>
  </si>
  <si>
    <t>住户5-2-702/往来款</t>
  </si>
  <si>
    <t>SCUST2050077/KXLB09</t>
  </si>
  <si>
    <t>吐尔逊·阿布来提/往来款</t>
  </si>
  <si>
    <t>SCUST2050078/KXLB09</t>
  </si>
  <si>
    <t>康泰公寓1-104刘永平/往来款</t>
  </si>
  <si>
    <t>SCUST2050079/KXLB09</t>
  </si>
  <si>
    <t>康泰公寓1-103刘永平/往来款</t>
  </si>
  <si>
    <t>SCUST2050080/KXLB09</t>
  </si>
  <si>
    <t>康泰公寓5-1-1104王小军/往来款</t>
  </si>
  <si>
    <t>SCUST2050081/KXLB09</t>
  </si>
  <si>
    <t>图尔洪·阿卜杜瓦伊提/往来款</t>
  </si>
  <si>
    <t>SCUST2050082/KXLB09</t>
  </si>
  <si>
    <t>亚尔艾力·牙生/往来款</t>
  </si>
  <si>
    <t>SCUST2050096/KXLB10</t>
  </si>
  <si>
    <t>洪雪玲/车位</t>
  </si>
  <si>
    <t>SCUST2050098/KXLB04</t>
  </si>
  <si>
    <t>康泰公寓1-105/房款</t>
  </si>
  <si>
    <t>SCUST2050129/KXLB04</t>
  </si>
  <si>
    <t>施海涛/房款</t>
  </si>
  <si>
    <t>SCUST2050136/KXLB04</t>
  </si>
  <si>
    <t>康泰公寓7-1-901/房款</t>
  </si>
  <si>
    <t>SCUST2050414/KXLB01</t>
  </si>
  <si>
    <t>康泰公寓5-4-401/定金</t>
  </si>
  <si>
    <t>SCUST2050528/KXLB09</t>
  </si>
  <si>
    <t>住户5-2-602/往来款</t>
  </si>
  <si>
    <t>SCUST2050529/KXLB09</t>
  </si>
  <si>
    <t>4-2-503/往来款</t>
  </si>
  <si>
    <t>SCUST2050530/KXLB09</t>
  </si>
  <si>
    <t>A2-1-302木合旦·亚森/往来款</t>
  </si>
  <si>
    <t>SCUST2050531/KXLB09</t>
  </si>
  <si>
    <t>C11-1-302凯比努尔·托乎提/往来款</t>
  </si>
  <si>
    <t>SCUST2050532/KXLB09</t>
  </si>
  <si>
    <t>住户1-4-201/往来款</t>
  </si>
  <si>
    <t>SCUST2050533/KXLB09</t>
  </si>
  <si>
    <t>住户5-1-201/往来款</t>
  </si>
  <si>
    <t>SCUST2050534/KXLB09</t>
  </si>
  <si>
    <t>5-5-703/往来款</t>
  </si>
  <si>
    <t>SCUST2050535/KXLB09</t>
  </si>
  <si>
    <t>康泰5-1-704雷强/往来款</t>
  </si>
  <si>
    <t>SCUST2050537/KXLB09</t>
  </si>
  <si>
    <t>A4-6-202艾热提·米吉提/往来款</t>
  </si>
  <si>
    <t>SCUST2050538/KXLB09</t>
  </si>
  <si>
    <t>5-1-303麦麦提·伊萨克/往来款</t>
  </si>
  <si>
    <t>SCUST2050539/KXLB09</t>
  </si>
  <si>
    <t>C6-1-102艾斯卡尔·吐尼亚孜/往来款</t>
  </si>
  <si>
    <t>SCUST2050540/KXLB09</t>
  </si>
  <si>
    <t>A14-106月热麦提·艾力/往来款</t>
  </si>
  <si>
    <t>SCUST2050541/KXLB04</t>
  </si>
  <si>
    <t>C6-2-502艾买尔吐逊·阿不拉/房款</t>
  </si>
  <si>
    <t>SCUST2050541/KXLB09</t>
  </si>
  <si>
    <t>C6-2-502艾买尔吐逊·阿不拉/往来款</t>
  </si>
  <si>
    <t>SCUST2050542/KXLB04</t>
  </si>
  <si>
    <t>C7-2-501热娜古力·吐尔逊/房款</t>
  </si>
  <si>
    <t>SCUST2050542/KXLB09</t>
  </si>
  <si>
    <t>C7-2-501热娜古力·吐尔逊/往来款</t>
  </si>
  <si>
    <t>SCUST2050543/KXLB09</t>
  </si>
  <si>
    <t>A4-6-201古力尼萨·麦麦提/往来款</t>
  </si>
  <si>
    <t>SCUST2050623/KXLB04</t>
  </si>
  <si>
    <t>A3-2-401/房款</t>
  </si>
  <si>
    <t>SCUST2050662/KXLB99</t>
  </si>
  <si>
    <t>王金川/期初导入不区分</t>
  </si>
  <si>
    <t>SCUST2051101/KXLB04</t>
  </si>
  <si>
    <t>A1-3-501/房款</t>
  </si>
  <si>
    <t>SCUST2051144/KXLB04</t>
  </si>
  <si>
    <t>A4-5-302/房款</t>
  </si>
  <si>
    <t>SCUST2052156/KXLB25</t>
  </si>
  <si>
    <t>代收人民市场商铺款/代收款</t>
  </si>
  <si>
    <t>1221.02</t>
  </si>
  <si>
    <t>　　供应商往来</t>
  </si>
  <si>
    <t>VEN00004/KXLB09</t>
  </si>
  <si>
    <t>新疆通力房地产开发有限公司阿克苏分公司/往来款</t>
  </si>
  <si>
    <t>VEN00006/KXLB09</t>
  </si>
  <si>
    <t>新疆通力房地产开发有限公司库尔勒分公司/往来款</t>
  </si>
  <si>
    <t>VEN00018/KXLB09</t>
  </si>
  <si>
    <t>新疆通力房地产开发有限公司/往来款</t>
  </si>
  <si>
    <t>VEN00023/KXLB09</t>
  </si>
  <si>
    <t>新疆通力建设集团股份有限公司/往来款</t>
  </si>
  <si>
    <t>VEN00038/KXLB09</t>
  </si>
  <si>
    <t>阿克苏通力瑞通物业服务有限公司/往来款</t>
  </si>
  <si>
    <t>VEN00050/KXLB09</t>
  </si>
  <si>
    <t>阿克苏阳光热力有限公司/往来款</t>
  </si>
  <si>
    <t>VEN00166/KXLB09</t>
  </si>
  <si>
    <t>新疆住邦房地产行销企划有限公司/往来款</t>
  </si>
  <si>
    <t>VEN00391/KXLB09</t>
  </si>
  <si>
    <t>待处理结算款项临时挂账户/往来款</t>
  </si>
  <si>
    <t>VEN00400/KXLB09</t>
  </si>
  <si>
    <t>阿克苏市住房和城乡建设局/往来款</t>
  </si>
  <si>
    <t>VEN00419/KXLB09</t>
  </si>
  <si>
    <t>阿力木·阿合尼牙孜/往来款</t>
  </si>
  <si>
    <t>VEN00422/KXLB09</t>
  </si>
  <si>
    <t>阿克苏锦程房地产开发有限公司/往来款</t>
  </si>
  <si>
    <t>VEN00424/KXLB09</t>
  </si>
  <si>
    <t>中国电信新疆阿克苏大十字营业厅/往来款</t>
  </si>
  <si>
    <t>VEN00425/KXLB09</t>
  </si>
  <si>
    <t>阿克苏方兴建筑工程技术咨询有限责任公司/往来款</t>
  </si>
  <si>
    <t>VEN00426/KXLB09</t>
  </si>
  <si>
    <t>吐合尼亚孜·吐尼亚孜/往来款</t>
  </si>
  <si>
    <t>VEN00432/KXLB09</t>
  </si>
  <si>
    <t>新疆通力塔格拉克水电有限公司/往来款</t>
  </si>
  <si>
    <t>VEN00434/KXLB09</t>
  </si>
  <si>
    <t>罗世荣/往来款</t>
  </si>
  <si>
    <t>VEN00440/KXLB09</t>
  </si>
  <si>
    <t>谭春玉/往来款</t>
  </si>
  <si>
    <t>VEN00444/KXLB09</t>
  </si>
  <si>
    <t>张璐燕/往来款</t>
  </si>
  <si>
    <t>VEN00447/KXLB09</t>
  </si>
  <si>
    <t>屈玉强/往来款</t>
  </si>
  <si>
    <t>VEN00454/KXLB09</t>
  </si>
  <si>
    <t>多浪小镇电费/往来款</t>
  </si>
  <si>
    <t>VEN00455/KXLB09</t>
  </si>
  <si>
    <t>公积金中心/往来款</t>
  </si>
  <si>
    <t>VEN00460/KXLB09</t>
  </si>
  <si>
    <t>贾秀娟/往来款</t>
  </si>
  <si>
    <t>VEN00461/KXLB09</t>
  </si>
  <si>
    <t>住户契税/往来款</t>
  </si>
  <si>
    <t>VEN00463/KXLB09</t>
  </si>
  <si>
    <t>范雯倩/往来款</t>
  </si>
  <si>
    <t>VEN00464/KXLB09</t>
  </si>
  <si>
    <t>中国电信股份有限公司阿克苏分公司/往来款</t>
  </si>
  <si>
    <t>VEN00465/KXLB09</t>
  </si>
  <si>
    <t>国网新疆电力有限公司阿克苏供电公司/往来款</t>
  </si>
  <si>
    <t>VEN00467/KXLB09</t>
  </si>
  <si>
    <t>艾山·吐尔洪/往来款</t>
  </si>
  <si>
    <t>VEN00468/KXLB09</t>
  </si>
  <si>
    <t>米吉提·艾克热木/往来款</t>
  </si>
  <si>
    <t>VEN00469/KXLB09</t>
  </si>
  <si>
    <t>托合提·坎吉/往来款</t>
  </si>
  <si>
    <t>VEN00470/KXLB09</t>
  </si>
  <si>
    <t>艾则孜·艾麦尔/往来款</t>
  </si>
  <si>
    <t>VEN00471/KXLB09</t>
  </si>
  <si>
    <t>米尔万古丽·库尔班/往来款</t>
  </si>
  <si>
    <t>VEN00472/KXLB09</t>
  </si>
  <si>
    <t>古力拜合热木·艾斯麦提/往来款</t>
  </si>
  <si>
    <t>VEN00473/KXLB09</t>
  </si>
  <si>
    <t>依明江·吐尔迪/往来款</t>
  </si>
  <si>
    <t>VEN00474/KXLB09</t>
  </si>
  <si>
    <t>阿迪力·艾海提/往来款</t>
  </si>
  <si>
    <t>VEN00475/KXLB09</t>
  </si>
  <si>
    <t>热萨莱提·图尔荪/往来款</t>
  </si>
  <si>
    <t>VEN00476/KXLB09</t>
  </si>
  <si>
    <t>阿依努尔·牙生/往来款</t>
  </si>
  <si>
    <t>VEN00477/KXLB09</t>
  </si>
  <si>
    <t>莫合塔尔·阿迪尔/往来款</t>
  </si>
  <si>
    <t>VEN00478/KXLB09</t>
  </si>
  <si>
    <t>王永莲/往来款</t>
  </si>
  <si>
    <t>VEN00479/KXLB09</t>
  </si>
  <si>
    <t>住户房产证工本费/往来款</t>
  </si>
  <si>
    <t>VEN00480/KXLB09</t>
  </si>
  <si>
    <t>阿克苏市政投资发展有限公司/往来款</t>
  </si>
  <si>
    <t>VEN00481/KXLB09</t>
  </si>
  <si>
    <t>吾尔尼萨·库尔班/往来款</t>
  </si>
  <si>
    <t>VEN00482/KXLB09</t>
  </si>
  <si>
    <t>巴哈尔古力·苏甫尔/往来款</t>
  </si>
  <si>
    <t>VEN00483/KXLB09</t>
  </si>
  <si>
    <t>艾孜孜·木萨/往来款</t>
  </si>
  <si>
    <t>VEN00484/KXLB09</t>
  </si>
  <si>
    <t>亚库甫·玉山/往来款</t>
  </si>
  <si>
    <t>VEN00485/KXLB09</t>
  </si>
  <si>
    <t>多浪三期电卡/往来款</t>
  </si>
  <si>
    <t>VEN00486/KXLB09</t>
  </si>
  <si>
    <t>托合提·买买提/往来款</t>
  </si>
  <si>
    <t>VEN00487/KXLB09</t>
  </si>
  <si>
    <t>吐达洪·吐松/往来款</t>
  </si>
  <si>
    <t>VEN00490/KXLB09</t>
  </si>
  <si>
    <t>库尔班·艾合提/往来款</t>
  </si>
  <si>
    <t>VEN00491/KXLB09</t>
  </si>
  <si>
    <t>艾科拜尔·艾海提/往来款</t>
  </si>
  <si>
    <t>VEN00492/KXLB09</t>
  </si>
  <si>
    <t>阿依努热姆·艾萨/往来款</t>
  </si>
  <si>
    <t>VEN00493/KXLB09</t>
  </si>
  <si>
    <t>麦合木提·木塔力甫/往来款</t>
  </si>
  <si>
    <t>VEN00494/KXLB09</t>
  </si>
  <si>
    <t>库尔班/往来款</t>
  </si>
  <si>
    <t>VEN00497/KXLB09</t>
  </si>
  <si>
    <t>赛米江·阿里木/往来款</t>
  </si>
  <si>
    <t>VEN00588/KXLB09</t>
  </si>
  <si>
    <t>图迪喀日·吾麦尔/往来款</t>
  </si>
  <si>
    <t>1221.03</t>
  </si>
  <si>
    <t>　　员工往来</t>
  </si>
  <si>
    <t>yz0002/KXLB09</t>
  </si>
  <si>
    <t>yz0003/KXLB09</t>
  </si>
  <si>
    <t>李全伟/往来款</t>
  </si>
  <si>
    <t>yz0004/KXLB09</t>
  </si>
  <si>
    <t>杨红梅/往来款</t>
  </si>
  <si>
    <t>yz0006/KXLB09</t>
  </si>
  <si>
    <t>管丽萍/往来款</t>
  </si>
  <si>
    <t>yz0006/KXLB23</t>
  </si>
  <si>
    <t>管丽萍/公积金</t>
  </si>
  <si>
    <t>yz0011/KXLB09</t>
  </si>
  <si>
    <t>徐惠蓉/往来款</t>
  </si>
  <si>
    <t>yz0011/KXLB23</t>
  </si>
  <si>
    <t>徐惠蓉/公积金</t>
  </si>
  <si>
    <t>yz0012/KXLB09</t>
  </si>
  <si>
    <t>师艳莉/往来款</t>
  </si>
  <si>
    <t>yz0012/KXLB23</t>
  </si>
  <si>
    <t>师艳莉/公积金</t>
  </si>
  <si>
    <t>yz0015/KXLB09</t>
  </si>
  <si>
    <t>南高文/往来款</t>
  </si>
  <si>
    <t>yz0016/KXLB09</t>
  </si>
  <si>
    <t>许敏/往来款</t>
  </si>
  <si>
    <t>yz0017/KXLB09</t>
  </si>
  <si>
    <t>许露丹/往来款</t>
  </si>
  <si>
    <t>yz0023/KXLB09</t>
  </si>
  <si>
    <t>杨春/往来款</t>
  </si>
  <si>
    <t>yz0025/KXLB09</t>
  </si>
  <si>
    <t>李倩/往来款</t>
  </si>
  <si>
    <t>yz0051/KXLB09</t>
  </si>
  <si>
    <t>朱鑫玮/往来款</t>
  </si>
  <si>
    <t>yz0052/KXLB09</t>
  </si>
  <si>
    <t>图尔洪·吐尼亚孜/往来款</t>
  </si>
  <si>
    <t>yz0053/KXLB09</t>
  </si>
  <si>
    <t>许宗奎/往来款</t>
  </si>
  <si>
    <t>yz0053/KXLB23</t>
  </si>
  <si>
    <t>许宗奎/公积金</t>
  </si>
  <si>
    <t>yz0054/KXLB09</t>
  </si>
  <si>
    <t>朱凤玲/往来款</t>
  </si>
  <si>
    <t>yz0055/KXLB09</t>
  </si>
  <si>
    <t>郭平芳/往来款</t>
  </si>
  <si>
    <t>yz0056/KXLB09</t>
  </si>
  <si>
    <t>刘念/往来款</t>
  </si>
  <si>
    <t>yz0056/KXLB23</t>
  </si>
  <si>
    <t>刘念/公积金</t>
  </si>
  <si>
    <t>yz0057/KXLB09</t>
  </si>
  <si>
    <t>马木提·阿吉/往来款</t>
  </si>
  <si>
    <t>yz0058/KXLB09</t>
  </si>
  <si>
    <t>陈七斤/往来款</t>
  </si>
  <si>
    <t>yz0059/KXLB09</t>
  </si>
  <si>
    <t>李林/往来款</t>
  </si>
  <si>
    <t>yz0059/KXLB23</t>
  </si>
  <si>
    <t>李林/公积金</t>
  </si>
  <si>
    <t>yz0060/KXLB09</t>
  </si>
  <si>
    <t>罗浩涌/往来款</t>
  </si>
  <si>
    <t>yz0061/KXLB09</t>
  </si>
  <si>
    <t>黄光珍/往来款</t>
  </si>
  <si>
    <t>yz0062/KXLB09</t>
  </si>
  <si>
    <t>龚雪/往来款</t>
  </si>
  <si>
    <t>yz0063/KXLB09</t>
  </si>
  <si>
    <t>郭满庆/往来款</t>
  </si>
  <si>
    <t>yz0064/KXLB09</t>
  </si>
  <si>
    <t>李娟/往来款</t>
  </si>
  <si>
    <t>yz0065/KXLB09</t>
  </si>
  <si>
    <t>万亮亮/往来款</t>
  </si>
  <si>
    <t>yz0066/KXLB09</t>
  </si>
  <si>
    <t>黄利群/往来款</t>
  </si>
  <si>
    <t>yz0067/KXLB09</t>
  </si>
  <si>
    <t>张宝生/往来款</t>
  </si>
  <si>
    <t>yz0077/KXLB15</t>
  </si>
  <si>
    <t>社保个人部分/代垫社保</t>
  </si>
  <si>
    <t>yz0176/KXLB09</t>
  </si>
  <si>
    <t>李梦鑫/往来款</t>
  </si>
  <si>
    <t>1221.05</t>
  </si>
  <si>
    <t>　　内部往来</t>
  </si>
  <si>
    <t>1221.05.01</t>
  </si>
  <si>
    <t>　　　　云星空</t>
  </si>
  <si>
    <t>203</t>
  </si>
  <si>
    <t>206</t>
  </si>
  <si>
    <t>新疆元盛美华房地产开发有限责任公司</t>
  </si>
  <si>
    <t>301</t>
  </si>
  <si>
    <t>新疆创享供应链管理服务有限公司</t>
  </si>
  <si>
    <t>1221.05.02</t>
  </si>
  <si>
    <t>　　　　内部2</t>
  </si>
  <si>
    <t>VEN00003</t>
  </si>
  <si>
    <t>新疆宝发农资集团股份有限公司</t>
  </si>
  <si>
    <t>VEN00023</t>
  </si>
  <si>
    <t>新疆通力建设集团股份有限公司</t>
  </si>
  <si>
    <t>VEN00105</t>
  </si>
  <si>
    <t>通力房产内部往来</t>
  </si>
  <si>
    <t>VEN00153</t>
  </si>
  <si>
    <t>塔格拉克电站</t>
  </si>
  <si>
    <t>1409</t>
  </si>
  <si>
    <t>开发产品</t>
  </si>
  <si>
    <t>XM205.02.01</t>
  </si>
  <si>
    <t>多浪小镇A1-5#、A14项目</t>
  </si>
  <si>
    <t>XM205.02.02</t>
  </si>
  <si>
    <t>多浪小镇A6-9#、13#项目</t>
  </si>
  <si>
    <t>XM205.99</t>
  </si>
  <si>
    <t>期初导入不区分</t>
  </si>
  <si>
    <t>1601</t>
  </si>
  <si>
    <t>固定资产</t>
  </si>
  <si>
    <t>【未录入】</t>
  </si>
  <si>
    <t>1602</t>
  </si>
  <si>
    <t>累计折旧</t>
  </si>
  <si>
    <t>ZCLB09</t>
  </si>
  <si>
    <t>2202</t>
  </si>
  <si>
    <t>应付账款</t>
  </si>
  <si>
    <t>2202.01</t>
  </si>
  <si>
    <t>　　应付账款-房产</t>
  </si>
  <si>
    <t>VEN00023/SHT2051874/XM205.99</t>
  </si>
  <si>
    <t>新疆通力建设集团股份有限公司/新疆通力建设集团股份有限公司/期初导入不区分</t>
  </si>
  <si>
    <t>VEN00033/SHT2051878/XM205.99</t>
  </si>
  <si>
    <t>巴州青橄榄电子科技有限公司/巴州青橄榄电子科技有限公司/期初导入不区分</t>
  </si>
  <si>
    <t>VEN00038/SHT2050003/XM205.99</t>
  </si>
  <si>
    <t>阿克苏通力瑞通物业服务有限公司/阿克苏通力瑞通物业服务有限公司/期初导入不区分</t>
  </si>
  <si>
    <t>VEN00039/SHT2051872/XM205.99</t>
  </si>
  <si>
    <t>新疆浩源天然气股份有限公司/新疆浩源天然气股份有限公司/期初导入不区分</t>
  </si>
  <si>
    <t>VEN00041/SHT2051876/XM205.99</t>
  </si>
  <si>
    <t>李瑞/李瑞/期初导入不区分</t>
  </si>
  <si>
    <t>VEN00054/SHT2051877/XM205.99</t>
  </si>
  <si>
    <t>阿克苏世晨房地产营销策划有限公司/阿克苏世晨房地产营销策划有限公司/期初导入不区分</t>
  </si>
  <si>
    <t>VEN00269/SHT2051875/XM205.99</t>
  </si>
  <si>
    <t>新疆新城建工程设计审查有限公司/新疆新城建工程设计审查有限公司/期初导入不区分</t>
  </si>
  <si>
    <t>VEN00375/SHT2051745/XM205.99</t>
  </si>
  <si>
    <t>阿克苏市政工程建设有限公司/阿克苏市政工程建设有限公司/期初导入不区分</t>
  </si>
  <si>
    <t>VEN00376/SHT2051746/XM205.99</t>
  </si>
  <si>
    <t>新疆德昊电力建设有限公司/新疆德昊电力建设有限公司/期初导入不区分</t>
  </si>
  <si>
    <t>VEN00377/SHT2051747/XM205.99</t>
  </si>
  <si>
    <t>新疆蓝图勘察设计图审查中心/新疆蓝图勘察设计图审查中心/期初导入不区分</t>
  </si>
  <si>
    <t>VEN00378/SHT2051748/XM205.99</t>
  </si>
  <si>
    <t>城邑（北京）建筑设计院有限公司新疆分公司/城邑（北京）建筑设计院有限公司新疆分公司/期初导入不区分</t>
  </si>
  <si>
    <t>VEN00379/SHT2051749/XM205.99</t>
  </si>
  <si>
    <t>乌鲁木齐大漠林海绿化有限责任公司/乌鲁木齐大漠林海绿化有限责任公司/期初导入不区分</t>
  </si>
  <si>
    <t>VEN00380/SHT2051750/XM205.99</t>
  </si>
  <si>
    <t>阿克苏市永诚广告装饰店/阿克苏市永诚广告装饰店/期初导入不区分</t>
  </si>
  <si>
    <t>VEN00381/SHT2051751/XM205.99</t>
  </si>
  <si>
    <t>阿克苏市宇森广告装饰店/阿克苏市宇森广告装饰店/期初导入不区分</t>
  </si>
  <si>
    <t>VEN00382/SHT2051752/XM205.99</t>
  </si>
  <si>
    <t>巴州嘉瑞易特商贸有限公司/巴州嘉瑞易特商贸有限公司/期初导入不区分</t>
  </si>
  <si>
    <t>VEN00383/SHT2051753/XM205.99</t>
  </si>
  <si>
    <t>阿克苏时代传媒有限公司/阿克苏时代传媒有限公司/期初导入不区分</t>
  </si>
  <si>
    <t>VEN00384/SHT2051754/XM205.99</t>
  </si>
  <si>
    <t>阿克苏水质监测有限公司/阿克苏水质监测有限公司/期初导入不区分</t>
  </si>
  <si>
    <t>VEN00385/SHT2051755/XM205.99</t>
  </si>
  <si>
    <t>建勘勘测有限公司阿克苏分公司/建勘勘测有限公司阿克苏分公司/期初导入不区分</t>
  </si>
  <si>
    <t>VEN00386/SHT2051756/XM205.99</t>
  </si>
  <si>
    <t>阿克苏华创万家营销策划有限公司/阿克苏华创万家营销策划有限公司/期初导入不区分</t>
  </si>
  <si>
    <t>VEN00387/SHT2051757/XM205.99</t>
  </si>
  <si>
    <t>新疆新电通电力工程有限公司阿克苏分公司/新疆新电通电力工程有限公司阿克苏分公司/期初导入不区分</t>
  </si>
  <si>
    <t>VEN00388/SHT2051758/XM205.99</t>
  </si>
  <si>
    <t>新疆北斗辰宇电子科技有限公司/新疆北斗辰宇电子科技有限公司/期初导入不区分</t>
  </si>
  <si>
    <t>VEN00389/SHT2051759/XM205.99</t>
  </si>
  <si>
    <t>新疆安达机电设备有限公司/新疆安达机电设备有限公司/期初导入不区分</t>
  </si>
  <si>
    <t>VEN00392/SHT2051762/XM205.99</t>
  </si>
  <si>
    <t>新疆阿克苏宏宇工程建设监理有限责任公司/新疆阿克苏宏宇工程建设监理有限责任公司/期初导入不区分</t>
  </si>
  <si>
    <t>VEN00393/SHT2051763/XM205.99</t>
  </si>
  <si>
    <t>乌鲁木齐鸿久鑫商贸有限公司/乌鲁木齐鸿久鑫商贸有限公司/期初导入不区分</t>
  </si>
  <si>
    <t>VEN00394/SHT2051764/XM205.99</t>
  </si>
  <si>
    <t>张新春/张新春/期初导入不区分</t>
  </si>
  <si>
    <t>VEN00395/SHT2051765/XM205.99</t>
  </si>
  <si>
    <t>杨丹/杨丹/期初导入不区分</t>
  </si>
  <si>
    <t>VEN00396/SHT2051766/XM205.99</t>
  </si>
  <si>
    <t>巴州兆凯电子科技有限公司/巴州兆凯电子科技有限公司/期初导入不区分</t>
  </si>
  <si>
    <t>VEN00397/SHT2051767/XM205.99</t>
  </si>
  <si>
    <t>阿克苏市鹏宇影视文化传媒有限公司/阿克苏市鹏宇影视文化传媒有限公司/期初导入不区分</t>
  </si>
  <si>
    <t>VEN00398/SHT2051768/XM205.99</t>
  </si>
  <si>
    <t>新疆聚公律师事务所/新疆聚公律师事务所/期初导入不区分</t>
  </si>
  <si>
    <t>VEN00399/SHT2051769/XM205.99</t>
  </si>
  <si>
    <t>阿克苏市时代规划设计院有限责任公司/阿克苏市时代规划设计院有限责任公司/期初导入不区分</t>
  </si>
  <si>
    <t>VEN00402/SHT2051772/XM205.99</t>
  </si>
  <si>
    <t>阿克苏市亨大商贸物资有限责任公司/阿克苏市亨大商贸物资有限责任公司/期初导入不区分</t>
  </si>
  <si>
    <t>VEN00409/SHT2051779/XM205.99</t>
  </si>
  <si>
    <t>新疆天泰建设工程有限公司/新疆天泰建设工程有限公司/期初导入不区分</t>
  </si>
  <si>
    <t>VEN00411/SHT2051781/XM205.99</t>
  </si>
  <si>
    <t>成都市艺美模型设计有限公司/成都市艺美模型设计有限公司/期初导入不区分</t>
  </si>
  <si>
    <t>VEN00412/SHT2051782/XM205.99</t>
  </si>
  <si>
    <t>重庆钓鱼城建设监理咨询有限公司阿克苏分公司/重庆钓鱼城建设监理咨询有限公司阿克苏分公司/期初导入不区分</t>
  </si>
  <si>
    <t>VEN00413/SHT2051783/XM205.99</t>
  </si>
  <si>
    <t>阿克苏致远房地产经纪有限公司/阿克苏致远房地产经纪有限公司/期初导入不区分</t>
  </si>
  <si>
    <t>VEN00414/SHT2051784/XM205.99</t>
  </si>
  <si>
    <t>新疆瑞璟装饰工程有限公司/新疆瑞璟装饰工程有限公司/期初导入不区分</t>
  </si>
  <si>
    <t>VEN00415/SHT2051785/XM205.02.02</t>
  </si>
  <si>
    <t>阿克苏德恒广达商贸有限公司/阿克苏德恒广达商贸有限公司/多浪小镇A6-9#、13#项目</t>
  </si>
  <si>
    <t>VEN00415/SHT2051785/XM205.99</t>
  </si>
  <si>
    <t>阿克苏德恒广达商贸有限公司/阿克苏德恒广达商贸有限公司/期初导入不区分</t>
  </si>
  <si>
    <t>VEN00416/SHT2051786/XM205.99</t>
  </si>
  <si>
    <t>新疆国信地源土地房地产评估测绘有限公司阿克苏-分公司/新疆国信地源土地房地产评估测绘有限公司阿克苏-分公司/期初导入不区分</t>
  </si>
  <si>
    <t>VEN00417/SHT2051787/XM205.99</t>
  </si>
  <si>
    <t>新疆慧联税务师事务所有限公司/新疆慧联税务师事务所有限公司/期初导入不区分</t>
  </si>
  <si>
    <t>VEN00418/SHT2051788/XM205.99</t>
  </si>
  <si>
    <t>华沣国际工程设计有限公司新疆分公司/华沣国际工程设计有限公司新疆分公司/期初导入不区分</t>
  </si>
  <si>
    <t>VEN00420/SHT2051790/XM205.99</t>
  </si>
  <si>
    <t>新疆惠美财务咨询服务有限公司/新疆惠美财务咨询服务有限公司/期初导入不区分</t>
  </si>
  <si>
    <t>VEN00797/SHT2050126/XM205.99</t>
  </si>
  <si>
    <t>新疆爱房居营销策划有限公司/销售佣金/期初导入不区分</t>
  </si>
  <si>
    <t>2203</t>
  </si>
  <si>
    <t>　　预收账款-房产</t>
  </si>
  <si>
    <t>SCUST205-000041/KXLB04/XM205.02.01</t>
  </si>
  <si>
    <t>A4-102/房款/多浪小镇A1-5#、A14项目</t>
  </si>
  <si>
    <t>SCUST205-000077/KXLB04/XM205.02.01</t>
  </si>
  <si>
    <t>SCUST205-000078/KXLB04/XM205.02.01</t>
  </si>
  <si>
    <t>SCUST205-000079/KXLB04/XM205.02.01</t>
  </si>
  <si>
    <t>A4-112/房款/多浪小镇A1-5#、A14项目</t>
  </si>
  <si>
    <t>SCUST205-000138/KXLB04/XM205.02.01</t>
  </si>
  <si>
    <t>SCUST205-000176/KXLB04/XM205.02.01</t>
  </si>
  <si>
    <t>A5-114/房款/多浪小镇A1-5#、A14项目</t>
  </si>
  <si>
    <t>SCUST205-000177/KXLB04/XM205.02.01</t>
  </si>
  <si>
    <t>A5-108/房款/多浪小镇A1-5#、A14项目</t>
  </si>
  <si>
    <t>SCUST205-000178/KXLB04/XM205.02.01</t>
  </si>
  <si>
    <t>A4-118/房款/多浪小镇A1-5#、A14项目</t>
  </si>
  <si>
    <t>SCUST205-000179/KXLB04/XM205.02.01</t>
  </si>
  <si>
    <t>A4-119/房款/多浪小镇A1-5#、A14项目</t>
  </si>
  <si>
    <t>SCUST205-000180/KXLB04/XM205.02.01</t>
  </si>
  <si>
    <t>A4-122/房款/多浪小镇A1-5#、A14项目</t>
  </si>
  <si>
    <t>SCUST205-000181/KXLB04/XM205.02.01</t>
  </si>
  <si>
    <t>A4-123/房款/多浪小镇A1-5#、A14项目</t>
  </si>
  <si>
    <t>SCUST205-000182/KXLB04/XM205.02.01</t>
  </si>
  <si>
    <t>A4-126/房款/多浪小镇A1-5#、A14项目</t>
  </si>
  <si>
    <t>SCUST205-000183/KXLB04/XM205.02.01</t>
  </si>
  <si>
    <t>A5-104/房款/多浪小镇A1-5#、A14项目</t>
  </si>
  <si>
    <t>SCUST205-000184/KXLB04/XM205.02.01</t>
  </si>
  <si>
    <t>A5-107/房款/多浪小镇A1-5#、A14项目</t>
  </si>
  <si>
    <t>SCUST205-000185/KXLB04/XM205.02.01</t>
  </si>
  <si>
    <t>A5-109/房款/多浪小镇A1-5#、A14项目</t>
  </si>
  <si>
    <t>SCUST205-000186/KXLB04/XM205.02.01</t>
  </si>
  <si>
    <t>A5-112/房款/多浪小镇A1-5#、A14项目</t>
  </si>
  <si>
    <t>SCUST205-000187/KXLB04/XM205.02.01</t>
  </si>
  <si>
    <t>A5-115/房款/多浪小镇A1-5#、A14项目</t>
  </si>
  <si>
    <t>SCUST2050083/KXLB04/XM205.03</t>
  </si>
  <si>
    <t>7-1-302/房款/康泰公寓</t>
  </si>
  <si>
    <t>SCUST2050084/KXLB04/XM205.02.01</t>
  </si>
  <si>
    <t>A5-2-502/房款/多浪小镇A1-5#、A14项目</t>
  </si>
  <si>
    <t>SCUST2050085/KXLB04/XM205.02.01</t>
  </si>
  <si>
    <t>SCUST2050086/KXLB04/XM205.03</t>
  </si>
  <si>
    <t>5-105-2杨洋（赵晨静）/房款/康泰公寓</t>
  </si>
  <si>
    <t>SCUST2050087/KXLB04/XM205.02.02</t>
  </si>
  <si>
    <t>A8-1-304/房款/多浪小镇A6-9#、13#项目</t>
  </si>
  <si>
    <t>SCUST2050097/KXLB04/XM205.02</t>
  </si>
  <si>
    <t>A12-3-202/房款/多浪小镇</t>
  </si>
  <si>
    <t>SCUST2050098/KXLB04/XM205.03</t>
  </si>
  <si>
    <t>康泰公寓1-105/房款/康泰公寓</t>
  </si>
  <si>
    <t>SCUST2050413/KXLB04/XM205.02.01</t>
  </si>
  <si>
    <t>A5-2-202/房款/多浪小镇A1-5#、A14项目</t>
  </si>
  <si>
    <t>SCUST2050418/KXLB04/XM205.02.01</t>
  </si>
  <si>
    <t>SCUST2050510/KXLB04/XM205.03</t>
  </si>
  <si>
    <t>1-106-2张雪静/房款/康泰公寓</t>
  </si>
  <si>
    <t>SCUST2050511/KXLB04/XM205.01</t>
  </si>
  <si>
    <t>C6-1-202赛麦提·艾山/房款/多浪C区</t>
  </si>
  <si>
    <t>SCUST2050512/KXLB04/XM205.03</t>
  </si>
  <si>
    <t>1-2-301代国寿/房款/康泰公寓</t>
  </si>
  <si>
    <t>SCUST2050513/KXLB04/XM205.03</t>
  </si>
  <si>
    <t>5-1-702林可玉/房款/康泰公寓</t>
  </si>
  <si>
    <t>SCUST2050515/KXLB04/XM205.02.01</t>
  </si>
  <si>
    <t>A4-113艾尼瓦尔·达吾提/房款/多浪小镇A1-5#、A14项目</t>
  </si>
  <si>
    <t>SCUST2050516/KXLB04/XM205.02.01</t>
  </si>
  <si>
    <t>SCUST2050517/KXLB04/XM205.02.01</t>
  </si>
  <si>
    <t>A5-2-302吐尔逊·麦提尼亚孜/房款/多浪小镇A1-5#、A14项目</t>
  </si>
  <si>
    <t>SCUST2050518/KXLB04/XM205.01</t>
  </si>
  <si>
    <t>C9-3-302吐尼牙孜·莫力库尔班/房款/多浪C区</t>
  </si>
  <si>
    <t>SCUST2050520/KXLB04/XM205.03</t>
  </si>
  <si>
    <t>C5-104-2马红珍/房款/康泰公寓</t>
  </si>
  <si>
    <t>SCUST2050589/KXLB04/XM205.02.04</t>
  </si>
  <si>
    <t>多浪小镇廉租房/房款/多浪小镇廉租房</t>
  </si>
  <si>
    <t>SCUST2050590/KXLB04/XM205.02.01</t>
  </si>
  <si>
    <t>A1-1-601/房款/多浪小镇A1-5#、A14项目</t>
  </si>
  <si>
    <t>SCUST2050603/KXLB04/XM205.02.01</t>
  </si>
  <si>
    <t>A1-3-502/房款/多浪小镇A1-5#、A14项目</t>
  </si>
  <si>
    <t>SCUST2050604/KXLB04/XM205.02.01</t>
  </si>
  <si>
    <t>A2-2-503/房款/多浪小镇A1-5#、A14项目</t>
  </si>
  <si>
    <t>SCUST2050605/KXLB04/XM205.02.01</t>
  </si>
  <si>
    <t>A2-1-401/房款/多浪小镇A1-5#、A14项目</t>
  </si>
  <si>
    <t>SCUST2050607/KXLB04/XM205.02.01</t>
  </si>
  <si>
    <t>A2-2-403/房款/多浪小镇A1-5#、A14项目</t>
  </si>
  <si>
    <t>SCUST2050610/KXLB04/XM205.02.01</t>
  </si>
  <si>
    <t>A2-111/房款/多浪小镇A1-5#、A14项目</t>
  </si>
  <si>
    <t>SCUST2050611/KXLB04/XM205.02.01</t>
  </si>
  <si>
    <t>A2-114/房款/多浪小镇A1-5#、A14项目</t>
  </si>
  <si>
    <t>SCUST2050614/KXLB04/XM205.02.01</t>
  </si>
  <si>
    <t>A2-2-201/房款/多浪小镇A1-5#、A14项目</t>
  </si>
  <si>
    <t>SCUST2050616/KXLB04/XM205.02.01</t>
  </si>
  <si>
    <t>A2-2-502/房款/多浪小镇A1-5#、A14项目</t>
  </si>
  <si>
    <t>SCUST2050617/KXLB04/XM205.02.01</t>
  </si>
  <si>
    <t>A2-3-302/房款/多浪小镇A1-5#、A14项目</t>
  </si>
  <si>
    <t>SCUST2050619/KXLB04/XM205.02.01</t>
  </si>
  <si>
    <t>A2-1-501/房款/多浪小镇A1-5#、A14项目</t>
  </si>
  <si>
    <t>SCUST2050620/KXLB04/XM205.02.01</t>
  </si>
  <si>
    <t>A3-3-603/房款/多浪小镇A1-5#、A14项目</t>
  </si>
  <si>
    <t>SCUST2050622/KXLB04/XM205.02.01</t>
  </si>
  <si>
    <t>A3-110/房款/多浪小镇A1-5#、A14项目</t>
  </si>
  <si>
    <t>SCUST2050623/KXLB04/XM205.02.01</t>
  </si>
  <si>
    <t>A3-2-401/房款/多浪小镇A1-5#、A14项目</t>
  </si>
  <si>
    <t>SCUST2050629/KXLB04/XM205.02.01</t>
  </si>
  <si>
    <t>A3-3-501/房款/多浪小镇A1-5#、A14项目</t>
  </si>
  <si>
    <t>SCUST2050630/KXLB04/XM205.02.01</t>
  </si>
  <si>
    <t>A3-1-301/房款/多浪小镇A1-5#、A14项目</t>
  </si>
  <si>
    <t>SCUST2050631/KXLB04/XM205.02.01</t>
  </si>
  <si>
    <t>A4-3-601/房款/多浪小镇A1-5#、A14项目</t>
  </si>
  <si>
    <t>SCUST2050632/KXLB04/XM205.02.01</t>
  </si>
  <si>
    <t>A4-2-601/房款/多浪小镇A1-5#、A14项目</t>
  </si>
  <si>
    <t>SCUST2050634/KXLB04/XM205.02.01</t>
  </si>
  <si>
    <t>A4-5-402/房款/多浪小镇A1-5#、A14项目</t>
  </si>
  <si>
    <t>SCUST2050641/KXLB04/XM205.02.01</t>
  </si>
  <si>
    <t>A4-3-602/房款/多浪小镇A1-5#、A14项目</t>
  </si>
  <si>
    <t>SCUST2050645/KXLB04/XM205.02.01</t>
  </si>
  <si>
    <t>A4-6-402/房款/多浪小镇A1-5#、A14项目</t>
  </si>
  <si>
    <t>SCUST2050647/KXLB04/XM205.02.01</t>
  </si>
  <si>
    <t>A4-114/房款/多浪小镇A1-5#、A14项目</t>
  </si>
  <si>
    <t>SCUST2050648/KXLB04/XM205.02.01</t>
  </si>
  <si>
    <t>A4-5-502/房款/多浪小镇A1-5#、A14项目</t>
  </si>
  <si>
    <t>SCUST2050649/KXLB04/XM205.02.01</t>
  </si>
  <si>
    <t>A5-1-301/房款/多浪小镇A1-5#、A14项目</t>
  </si>
  <si>
    <t>SCUST2050650/KXLB04/XM205.02.01</t>
  </si>
  <si>
    <t>A5-1-201/房款/多浪小镇A1-5#、A14项目</t>
  </si>
  <si>
    <t>SCUST2050651/KXLB04/XM205.02.01</t>
  </si>
  <si>
    <t>A5-1-501/房款/多浪小镇A1-5#、A14项目</t>
  </si>
  <si>
    <t>SCUST2050652/KXLB04/XM205.02.01</t>
  </si>
  <si>
    <t>A5-1-502/房款/多浪小镇A1-5#、A14项目</t>
  </si>
  <si>
    <t>SCUST2050653/KXLB04/XM205.02.01</t>
  </si>
  <si>
    <t>A5-1-602/房款/多浪小镇A1-5#、A14项目</t>
  </si>
  <si>
    <t>SCUST2050657/KXLB04/XM205.02.01</t>
  </si>
  <si>
    <t>1-103/房款/多浪小镇A1-5#、A14项目</t>
  </si>
  <si>
    <t>SCUST2050657/KXLB04/XM205.03</t>
  </si>
  <si>
    <t>1-103/房款/康泰公寓</t>
  </si>
  <si>
    <t>SCUST2050658/KXLB04/XM205.03</t>
  </si>
  <si>
    <t>1-111/房款/康泰公寓</t>
  </si>
  <si>
    <t>SCUST2050659/KXLB04/XM205.03</t>
  </si>
  <si>
    <t>1-105/房款/康泰公寓</t>
  </si>
  <si>
    <t>SCUST2050660/KXLB04/XM205.03</t>
  </si>
  <si>
    <t>5-106/房款/康泰公寓</t>
  </si>
  <si>
    <t>SCUST2050661/KXLB04/XM205.03</t>
  </si>
  <si>
    <t>5-5-101/房款/康泰公寓</t>
  </si>
  <si>
    <t>SCUST2050663/KXLB04/XM205.02.02</t>
  </si>
  <si>
    <t>A6-2-102/房款/多浪小镇A6-9#、13#项目</t>
  </si>
  <si>
    <t>SCUST2050664/KXLB04/XM205.02.02</t>
  </si>
  <si>
    <t>A6-2-501/房款/多浪小镇A6-9#、13#项目</t>
  </si>
  <si>
    <t>SCUST2050665/KXLB04/XM205.02.02</t>
  </si>
  <si>
    <t>A6-1-101/房款/多浪小镇A6-9#、13#项目</t>
  </si>
  <si>
    <t>SCUST2050666/KXLB04/XM205.02.02</t>
  </si>
  <si>
    <t>A6-1-601/房款/多浪小镇A6-9#、13#项目</t>
  </si>
  <si>
    <t>SCUST2050667/KXLB04/XM205.02.02</t>
  </si>
  <si>
    <t>A7-1-202/房款/多浪小镇A6-9#、13#项目</t>
  </si>
  <si>
    <t>SCUST2050668/KXLB04/XM205.02.02</t>
  </si>
  <si>
    <t>A7-2-202/房款/多浪小镇A6-9#、13#项目</t>
  </si>
  <si>
    <t>SCUST2050669/KXLB04/XM205.02.02</t>
  </si>
  <si>
    <t>A7-1-502/房款/多浪小镇A6-9#、13#项目</t>
  </si>
  <si>
    <t>SCUST2050670/KXLB04/XM205.02.02</t>
  </si>
  <si>
    <t>A7-3-301/房款/多浪小镇A6-9#、13#项目</t>
  </si>
  <si>
    <t>SCUST2050671/KXLB04/XM205.02.02</t>
  </si>
  <si>
    <t>A7-1-101/房款/多浪小镇A6-9#、13#项目</t>
  </si>
  <si>
    <t>SCUST2050672/KXLB04/XM205.02.02</t>
  </si>
  <si>
    <t>A7-3-601/房款/多浪小镇A6-9#、13#项目</t>
  </si>
  <si>
    <t>SCUST2050673/KXLB04/XM205.02.02</t>
  </si>
  <si>
    <t>A7-1-302/房款/多浪小镇A6-9#、13#项目</t>
  </si>
  <si>
    <t>SCUST2050674/KXLB04/XM205.02.02</t>
  </si>
  <si>
    <t>A7-1-402/房款/多浪小镇A6-9#、13#项目</t>
  </si>
  <si>
    <t>SCUST2050675/KXLB04/XM205.02.02</t>
  </si>
  <si>
    <t>A7-2-602/房款/多浪小镇A6-9#、13#项目</t>
  </si>
  <si>
    <t>SCUST2050676/KXLB04/XM205.02.02</t>
  </si>
  <si>
    <t>A7-3-602/房款/多浪小镇A6-9#、13#项目</t>
  </si>
  <si>
    <t>SCUST2050677/KXLB04/XM205.02.02</t>
  </si>
  <si>
    <t>A7-1-601/房款/多浪小镇A6-9#、13#项目</t>
  </si>
  <si>
    <t>SCUST2050678/KXLB04/XM205.02.02</t>
  </si>
  <si>
    <t>A8-2-604/房款/多浪小镇A6-9#、13#项目</t>
  </si>
  <si>
    <t>SCUST2050680/KXLB04/XM205.02.02</t>
  </si>
  <si>
    <t>A8-1-303/房款/多浪小镇A6-9#、13#项目</t>
  </si>
  <si>
    <t>SCUST2050681/KXLB04/XM205.02.02</t>
  </si>
  <si>
    <t>A8-2-401/房款/多浪小镇A6-9#、13#项目</t>
  </si>
  <si>
    <t>SCUST2050682/KXLB04/XM205.02.02</t>
  </si>
  <si>
    <t>A8-2-601/房款/多浪小镇A6-9#、13#项目</t>
  </si>
  <si>
    <t>SCUST2050683/KXLB04/XM205.02.02</t>
  </si>
  <si>
    <t>A8-2-502/房款/多浪小镇A6-9#、13#项目</t>
  </si>
  <si>
    <t>SCUST2050684/KXLB04/XM205.02.02</t>
  </si>
  <si>
    <t>A8-2-303/房款/多浪小镇A6-9#、13#项目</t>
  </si>
  <si>
    <t>SCUST2050685/KXLB04/XM205.02.02</t>
  </si>
  <si>
    <t>A8-1-604/房款/多浪小镇A6-9#、13#项目</t>
  </si>
  <si>
    <t>SCUST2050686/KXLB04/XM205.02.02</t>
  </si>
  <si>
    <t>A9-2-203/房款/多浪小镇A6-9#、13#项目</t>
  </si>
  <si>
    <t>SCUST2050687/KXLB04/XM205.02.02</t>
  </si>
  <si>
    <t>A9-1-103/房款/多浪小镇A6-9#、13#项目</t>
  </si>
  <si>
    <t>SCUST2050688/KXLB04/XM205.02.02</t>
  </si>
  <si>
    <t>A9-2-101/房款/多浪小镇A6-9#、13#项目</t>
  </si>
  <si>
    <t>SCUST2050689/KXLB04/XM205.02.02</t>
  </si>
  <si>
    <t>A9-2-304/房款/多浪小镇A6-9#、13#项目</t>
  </si>
  <si>
    <t>SCUST2050690/KXLB04/XM205.02.02</t>
  </si>
  <si>
    <t>A9-2-502/房款/多浪小镇A6-9#、13#项目</t>
  </si>
  <si>
    <t>SCUST2050691/KXLB04/XM205.02.02</t>
  </si>
  <si>
    <t>A9-2-602/房款/多浪小镇A6-9#、13#项目</t>
  </si>
  <si>
    <t>SCUST2050692/KXLB04/XM205.02.02</t>
  </si>
  <si>
    <t>A9-1-304/房款/多浪小镇A6-9#、13#项目</t>
  </si>
  <si>
    <t>SCUST2050693/KXLB04/XM205.02.02</t>
  </si>
  <si>
    <t>A9-1-104/房款/多浪小镇A6-9#、13#项目</t>
  </si>
  <si>
    <t>SCUST2050694/KXLB04/XM205.02.02</t>
  </si>
  <si>
    <t>A9-1-402/房款/多浪小镇A6-9#、13#项目</t>
  </si>
  <si>
    <t>SCUST2050695/KXLB04/XM205.02.02</t>
  </si>
  <si>
    <t>A9-2-503/房款/多浪小镇A6-9#、13#项目</t>
  </si>
  <si>
    <t>SCUST2050696/KXLB04/XM205.02.02</t>
  </si>
  <si>
    <t>A9-2-604/房款/多浪小镇A6-9#、13#项目</t>
  </si>
  <si>
    <t>SCUST2050697/KXLB04/XM205.02.02</t>
  </si>
  <si>
    <t>A13-1-102/房款/多浪小镇A6-9#、13#项目</t>
  </si>
  <si>
    <t>SCUST2050698/KXLB04/XM205.02.02</t>
  </si>
  <si>
    <t>A13-1-601/房款/多浪小镇A6-9#、13#项目</t>
  </si>
  <si>
    <t>SCUST2050699/KXLB04/XM205.02.02</t>
  </si>
  <si>
    <t>A13-1-201/房款/多浪小镇A6-9#、13#项目</t>
  </si>
  <si>
    <t>SCUST2050700/KXLB04/XM205.02.02</t>
  </si>
  <si>
    <t>A13-2-502/房款/多浪小镇A6-9#、13#项目</t>
  </si>
  <si>
    <t>SCUST2050701/KXLB04/XM205.02.02</t>
  </si>
  <si>
    <t>A13-2-101/房款/多浪小镇A6-9#、13#项目</t>
  </si>
  <si>
    <t>SCUST2050702/KXLB04/XM205.02.02</t>
  </si>
  <si>
    <t>A13-2-201/房款/多浪小镇A6-9#、13#项目</t>
  </si>
  <si>
    <t>SCUST2050703/KXLB04/XM205.02.02</t>
  </si>
  <si>
    <t>A13-2-601/房款/多浪小镇A6-9#、13#项目</t>
  </si>
  <si>
    <t>SCUST2050704/KXLB04/XM205.02.02</t>
  </si>
  <si>
    <t>A13-2-501/房款/多浪小镇A6-9#、13#项目</t>
  </si>
  <si>
    <t>SCUST2050705/KXLB04/XM205.02.02</t>
  </si>
  <si>
    <t>A13-1-501/房款/多浪小镇A6-9#、13#项目</t>
  </si>
  <si>
    <t>SCUST2050706/KXLB04/XM205.05</t>
  </si>
  <si>
    <t>怡和15-B-801/房款/怡和15#</t>
  </si>
  <si>
    <t>SCUST2050710/KXLB04/XM205.02.01</t>
  </si>
  <si>
    <t>A1-107/房款/多浪小镇A1-5#、A14项目</t>
  </si>
  <si>
    <t>SCUST2050713/KXLB04/XM205.02.01</t>
  </si>
  <si>
    <t>A1-1-301/房款/多浪小镇A1-5#、A14项目</t>
  </si>
  <si>
    <t>SCUST2050719/KXLB04/XM205.02.01</t>
  </si>
  <si>
    <t>A2-1-601/房款/多浪小镇A1-5#、A14项目</t>
  </si>
  <si>
    <t>SCUST2050721/KXLB04/XM205.02.01</t>
  </si>
  <si>
    <t>A2-104/房款/多浪小镇A1-5#、A14项目</t>
  </si>
  <si>
    <t>SCUST2050723/KXLB04/XM205.02.01</t>
  </si>
  <si>
    <t>A2-116/房款/多浪小镇A1-5#、A14项目</t>
  </si>
  <si>
    <t>SCUST2050729/KXLB04/XM205.02.01</t>
  </si>
  <si>
    <t>A3-116/房款/多浪小镇A1-5#、A14项目</t>
  </si>
  <si>
    <t>SCUST2050732/KXLB04/XM205.02.01</t>
  </si>
  <si>
    <t>A3-2-302/房款/多浪小镇A1-5#、A14项目</t>
  </si>
  <si>
    <t>SCUST2050739/KXLB04/XM205.02.01</t>
  </si>
  <si>
    <t>A4-1-401/房款/多浪小镇A1-5#、A14项目</t>
  </si>
  <si>
    <t>SCUST2050741/KXLB04/XM205.02.01</t>
  </si>
  <si>
    <t>A4-2-301/房款/多浪小镇A1-5#、A14项目</t>
  </si>
  <si>
    <t>SCUST2050748/KXLB04/XM205.02.01</t>
  </si>
  <si>
    <t>A4-6-501/房款/多浪小镇A1-5#、A14项目</t>
  </si>
  <si>
    <t>SCUST2050751/KXLB04/XM205.02.01</t>
  </si>
  <si>
    <t>A14-108/房款/多浪小镇A1-5#、A14项目</t>
  </si>
  <si>
    <t>SCUST2050754/KXLB04/XM205.02.01</t>
  </si>
  <si>
    <t>A1-2-401/房款/多浪小镇A1-5#、A14项目</t>
  </si>
  <si>
    <t>SCUST2050755/KXLB04/XM205.02.01</t>
  </si>
  <si>
    <t>A1-3-301/房款/多浪小镇A1-5#、A14项目</t>
  </si>
  <si>
    <t>SCUST2050758/KXLB04/XM205.02.01</t>
  </si>
  <si>
    <t>A1-109/房款/多浪小镇A1-5#、A14项目</t>
  </si>
  <si>
    <t>SCUST2050759/KXLB04/XM205.02.01</t>
  </si>
  <si>
    <t>A1-110/房款/多浪小镇A1-5#、A14项目</t>
  </si>
  <si>
    <t>SCUST2050760/KXLB04/XM205.02.01</t>
  </si>
  <si>
    <t>A1-112/房款/多浪小镇A1-5#、A14项目</t>
  </si>
  <si>
    <t>SCUST2050763/KXLB04/XM205.02.01</t>
  </si>
  <si>
    <t>SCUST2050764/KXLB04/XM205.02.01</t>
  </si>
  <si>
    <t>A1-1-502/房款/多浪小镇A1-5#、A14项目</t>
  </si>
  <si>
    <t>SCUST2050767/KXLB04/XM205.02.01</t>
  </si>
  <si>
    <t>A1-2-301/房款/多浪小镇A1-5#、A14项目</t>
  </si>
  <si>
    <t>SCUST2050768/KXLB04/XM205.02.01</t>
  </si>
  <si>
    <t>A1-3-302/房款/多浪小镇A1-5#、A14项目</t>
  </si>
  <si>
    <t>SCUST2050769/KXLB04/XM205.02.01</t>
  </si>
  <si>
    <t>A1-3-601/房款/多浪小镇A1-5#、A14项目</t>
  </si>
  <si>
    <t>SCUST2050770/KXLB04/XM205.02.01</t>
  </si>
  <si>
    <t>A2-3-603/房款/多浪小镇A1-5#、A14项目</t>
  </si>
  <si>
    <t>SCUST2050771/KXLB04/XM205.02.01</t>
  </si>
  <si>
    <t>A2-112/房款/多浪小镇A1-5#、A14项目</t>
  </si>
  <si>
    <t>SCUST2050772/KXLB04/XM205.02.01</t>
  </si>
  <si>
    <t>A2-3-403/房款/多浪小镇A1-5#、A14项目</t>
  </si>
  <si>
    <t>SCUST2050773/KXLB04/XM205.02.01</t>
  </si>
  <si>
    <t>A2-1-201/房款/多浪小镇A1-5#、A14项目</t>
  </si>
  <si>
    <t>SCUST2050778/KXLB04/XM205.02.01</t>
  </si>
  <si>
    <t>A2-2-602/房款/多浪小镇A1-5#、A14项目</t>
  </si>
  <si>
    <t>SCUST2050781/KXLB04/XM205.02.01</t>
  </si>
  <si>
    <t>A2-3-601/房款/多浪小镇A1-5#、A14项目</t>
  </si>
  <si>
    <t>SCUST2050782/KXLB04/XM205.02.01</t>
  </si>
  <si>
    <t>A2-2-603图尔贡·库尔班/房款/多浪小镇A1-5#、A14项目</t>
  </si>
  <si>
    <t>SCUST2050783/KXLB04/XM205.02.01</t>
  </si>
  <si>
    <t>A3-1-503/房款/多浪小镇A1-5#、A14项目</t>
  </si>
  <si>
    <t>SCUST2050784/KXLB04/XM205.02.01</t>
  </si>
  <si>
    <t>A3-103/房款/多浪小镇A1-5#、A14项目</t>
  </si>
  <si>
    <t>SCUST2050788/KXLB04/XM205.02.01</t>
  </si>
  <si>
    <t>A3-109/房款/多浪小镇A1-5#、A14项目</t>
  </si>
  <si>
    <t>SCUST2050789/KXLB04/XM205.02.01</t>
  </si>
  <si>
    <t>A3-2-201/房款/多浪小镇A1-5#、A14项目</t>
  </si>
  <si>
    <t>SCUST2050793/KXLB04/XM205.02.01</t>
  </si>
  <si>
    <t>A3-3-602/房款/多浪小镇A1-5#、A14项目</t>
  </si>
  <si>
    <t>SCUST2050794/KXLB04/XM205.02.01</t>
  </si>
  <si>
    <t>A3-3-201/房款/多浪小镇A1-5#、A14项目</t>
  </si>
  <si>
    <t>SCUST2050795/KXLB04/XM205.02.01</t>
  </si>
  <si>
    <t>A3-2-501/房款/多浪小镇A1-5#、A14项目</t>
  </si>
  <si>
    <t>SCUST2050796/KXLB04/XM205.02.01</t>
  </si>
  <si>
    <t>A3-1-601/房款/多浪小镇A1-5#、A14项目</t>
  </si>
  <si>
    <t>SCUST2050797/KXLB04/XM205.02.01</t>
  </si>
  <si>
    <t>A4-4-602/房款/多浪小镇A1-5#、A14项目</t>
  </si>
  <si>
    <t>SCUST2050798/KXLB04/XM205.02.01</t>
  </si>
  <si>
    <t>A4-1-601/房款/多浪小镇A1-5#、A14项目</t>
  </si>
  <si>
    <t>SCUST2050799/KXLB04/XM205.02.01</t>
  </si>
  <si>
    <t>A4-4-402/房款/多浪小镇A1-5#、A14项目</t>
  </si>
  <si>
    <t>SCUST2050800/KXLB04/XM205.02.01</t>
  </si>
  <si>
    <t>A4-6-602/房款/多浪小镇A1-5#、A14项目</t>
  </si>
  <si>
    <t>SCUST2050802/KXLB04/XM205.02.01</t>
  </si>
  <si>
    <t>A4-4-401/房款/多浪小镇A1-5#、A14项目</t>
  </si>
  <si>
    <t>SCUST2050803/KXLB04/XM205.02.01</t>
  </si>
  <si>
    <t>A4-2-402/房款/多浪小镇A1-5#、A14项目</t>
  </si>
  <si>
    <t>SCUST2050804/KXLB04/XM205.02.01</t>
  </si>
  <si>
    <t>A4-4-501/房款/多浪小镇A1-5#、A14项目</t>
  </si>
  <si>
    <t>SCUST2050805/KXLB04/XM205.02.01</t>
  </si>
  <si>
    <t>A4-6-502/房款/多浪小镇A1-5#、A14项目</t>
  </si>
  <si>
    <t>SCUST2050806/KXLB04/XM205.02.01</t>
  </si>
  <si>
    <t>A4-3-502/房款/多浪小镇A1-5#、A14项目</t>
  </si>
  <si>
    <t>SCUST2050808/KXLB04/XM205.02.01</t>
  </si>
  <si>
    <t>A4-104/房款/多浪小镇A1-5#、A14项目</t>
  </si>
  <si>
    <t>SCUST2050811/KXLB04/XM205.02.01</t>
  </si>
  <si>
    <t>A4-3-402/房款/多浪小镇A1-5#、A14项目</t>
  </si>
  <si>
    <t>SCUST2050813/KXLB04/XM205.02.01</t>
  </si>
  <si>
    <t>A4-109/房款/多浪小镇A1-5#、A14项目</t>
  </si>
  <si>
    <t>SCUST2050814/KXLB04/XM205.02.01</t>
  </si>
  <si>
    <t>A4-2-502/房款/多浪小镇A1-5#、A14项目</t>
  </si>
  <si>
    <t>SCUST2050815/KXLB04/XM205.02.01</t>
  </si>
  <si>
    <t>A5-1-202/房款/多浪小镇A1-5#、A14项目</t>
  </si>
  <si>
    <t>SCUST2050816/KXLB04/XM205.02.01</t>
  </si>
  <si>
    <t>A5-3-302/房款/多浪小镇A1-5#、A14项目</t>
  </si>
  <si>
    <t>SCUST2050817/KXLB04/XM205.02.01</t>
  </si>
  <si>
    <t>A5-3-502/房款/多浪小镇A1-5#、A14项目</t>
  </si>
  <si>
    <t>SCUST2050818/KXLB04/XM205.02.01</t>
  </si>
  <si>
    <t>A5-1-402/房款/多浪小镇A1-5#、A14项目</t>
  </si>
  <si>
    <t>SCUST2050819/KXLB04/XM205.02.01</t>
  </si>
  <si>
    <t>A5-3-601/房款/多浪小镇A1-5#、A14项目</t>
  </si>
  <si>
    <t>SCUST2050820/KXLB04/XM205.02.01</t>
  </si>
  <si>
    <t>A5-2-201/房款/多浪小镇A1-5#、A14项目</t>
  </si>
  <si>
    <t>SCUST2050821/KXLB04/XM205.02.01</t>
  </si>
  <si>
    <t>A8-2-402/房款/多浪小镇A1-5#、A14项目</t>
  </si>
  <si>
    <t>SCUST2050821/KXLB04/XM205.02.02</t>
  </si>
  <si>
    <t>A8-2-402/房款/多浪小镇A6-9#、13#项目</t>
  </si>
  <si>
    <t>SCUST2050822/KXLB04/XM205.02.01</t>
  </si>
  <si>
    <t>A14-101/房款/多浪小镇A1-5#、A14项目</t>
  </si>
  <si>
    <t>SCUST2050823/KXLB04/XM205.02.01</t>
  </si>
  <si>
    <t>A14-102/房款/多浪小镇A1-5#、A14项目</t>
  </si>
  <si>
    <t>SCUST2050824/KXLB04/XM205.03</t>
  </si>
  <si>
    <t>2-3-401/房款/康泰公寓</t>
  </si>
  <si>
    <t>SCUST2050825/KXLB04/XM205.03</t>
  </si>
  <si>
    <t>5-1-903/房款/康泰公寓</t>
  </si>
  <si>
    <t>SCUST2050826/KXLB04/XM205.03</t>
  </si>
  <si>
    <t>5-109-2/房款/康泰公寓</t>
  </si>
  <si>
    <t>SCUST2050828/KXLB04/XM205.02.02</t>
  </si>
  <si>
    <t>A6-2-301/房款/多浪小镇A6-9#、13#项目</t>
  </si>
  <si>
    <t>SCUST2050829/KXLB04/XM205.02.02</t>
  </si>
  <si>
    <t>A6-1-502/房款/多浪小镇A6-9#、13#项目</t>
  </si>
  <si>
    <t>SCUST2050830/KXLB04/XM205.02.02</t>
  </si>
  <si>
    <t>A6-1-302/房款/多浪小镇A6-9#、13#项目</t>
  </si>
  <si>
    <t>SCUST2050831/KXLB04/XM205.02.02</t>
  </si>
  <si>
    <t>A6-2-101/房款/多浪小镇A6-9#、13#项目</t>
  </si>
  <si>
    <t>SCUST2050832/KXLB04/XM205.02.02</t>
  </si>
  <si>
    <t>A6-2-502/房款/多浪小镇A6-9#、13#项目</t>
  </si>
  <si>
    <t>SCUST2050833/KXLB04/XM205.02.02</t>
  </si>
  <si>
    <t>A6-1-102/房款/多浪小镇A6-9#、13#项目</t>
  </si>
  <si>
    <t>SCUST2050834/KXLB04/XM205.02.02</t>
  </si>
  <si>
    <t>A6-2-601/房款/多浪小镇A6-9#、13#项目</t>
  </si>
  <si>
    <t>SCUST2050835/KXLB04/XM205.02.02</t>
  </si>
  <si>
    <t>A6-1-402/房款/多浪小镇A6-9#、13#项目</t>
  </si>
  <si>
    <t>SCUST2050836/KXLB04/XM205.02.02</t>
  </si>
  <si>
    <t>A6-1-501/房款/多浪小镇A6-9#、13#项目</t>
  </si>
  <si>
    <t>SCUST2050837/KXLB04/XM205.02.02</t>
  </si>
  <si>
    <t>A6-2-202/房款/多浪小镇A6-9#、13#项目</t>
  </si>
  <si>
    <t>SCUST2050838/KXLB04/XM205.02.02</t>
  </si>
  <si>
    <t>A6-1-301/房款/多浪小镇A6-9#、13#项目</t>
  </si>
  <si>
    <t>SCUST2050839/KXLB04/XM205.02.02</t>
  </si>
  <si>
    <t>A6-2-302/房款/多浪小镇A6-9#、13#项目</t>
  </si>
  <si>
    <t>SCUST2050840/KXLB04/XM205.02.02</t>
  </si>
  <si>
    <t>A6-1-201/房款/多浪小镇A6-9#、13#项目</t>
  </si>
  <si>
    <t>SCUST2050841/KXLB04/XM205.02.02</t>
  </si>
  <si>
    <t>A7-2-201/房款/多浪小镇A6-9#、13#项目</t>
  </si>
  <si>
    <t>SCUST2050842/KXLB04/XM205.02.02</t>
  </si>
  <si>
    <t>A7-1-201/房款/多浪小镇A6-9#、13#项目</t>
  </si>
  <si>
    <t>SCUST2050843/KXLB04/XM205.02.02</t>
  </si>
  <si>
    <t>A7-3-102/房款/多浪小镇A6-9#、13#项目</t>
  </si>
  <si>
    <t>SCUST2050844/KXLB04/XM205.02.02</t>
  </si>
  <si>
    <t>A7-2-302/房款/多浪小镇A6-9#、13#项目</t>
  </si>
  <si>
    <t>SCUST2050845/KXLB04/XM205.02.02</t>
  </si>
  <si>
    <t>A7-3-401/房款/多浪小镇A6-9#、13#项目</t>
  </si>
  <si>
    <t>SCUST2050846/KXLB04/XM205.02.02</t>
  </si>
  <si>
    <t>A7-1-401/房款/多浪小镇A6-9#、13#项目</t>
  </si>
  <si>
    <t>SCUST2050847/KXLB04/XM205.02.02</t>
  </si>
  <si>
    <t>A7-3-402/房款/多浪小镇A6-9#、13#项目</t>
  </si>
  <si>
    <t>SCUST2050848/KXLB04/XM205.02.02</t>
  </si>
  <si>
    <t>A8-2-203/房款/多浪小镇A6-9#、13#项目</t>
  </si>
  <si>
    <t>SCUST2050849/KXLB04/XM205.02.02</t>
  </si>
  <si>
    <t>A8-2-204/房款/多浪小镇A6-9#、13#项目</t>
  </si>
  <si>
    <t>SCUST2050850/KXLB04/XM205.02.02</t>
  </si>
  <si>
    <t>A8-1-401/房款/多浪小镇A6-9#、13#项目</t>
  </si>
  <si>
    <t>SCUST2050851/KXLB04/XM205.02.02</t>
  </si>
  <si>
    <t>A8-1-101/房款/多浪小镇A6-9#、13#项目</t>
  </si>
  <si>
    <t>SCUST2050852/KXLB04/XM205.02.02</t>
  </si>
  <si>
    <t>A8-2-104/房款/多浪小镇A6-9#、13#项目</t>
  </si>
  <si>
    <t>SCUST2050853/KXLB04/XM205.02.02</t>
  </si>
  <si>
    <t>A8-1-601/房款/多浪小镇A6-9#、13#项目</t>
  </si>
  <si>
    <t>SCUST2050854/KXLB04/XM205.02.02</t>
  </si>
  <si>
    <t>A8-2-404/房款/多浪小镇A6-9#、13#项目</t>
  </si>
  <si>
    <t>SCUST2050855/KXLB04/XM205.02.02</t>
  </si>
  <si>
    <t>A8-2-201/房款/多浪小镇A6-9#、13#项目</t>
  </si>
  <si>
    <t>SCUST2050856/KXLB04/XM205.02.02</t>
  </si>
  <si>
    <t>A8-2-101/房款/多浪小镇A6-9#、13#项目</t>
  </si>
  <si>
    <t>SCUST2050857/KXLB04/XM205.02.02</t>
  </si>
  <si>
    <t>A8-1-204/房款/多浪小镇A6-9#、13#项目</t>
  </si>
  <si>
    <t>SCUST2050858/KXLB04/XM205.02.02</t>
  </si>
  <si>
    <t>A8-2-202/房款/多浪小镇A6-9#、13#项目</t>
  </si>
  <si>
    <t>SCUST2050859/KXLB04/XM205.02.02</t>
  </si>
  <si>
    <t>A8-1-402/房款/多浪小镇A6-9#、13#项目</t>
  </si>
  <si>
    <t>SCUST2050860/KXLB04/XM205.02.02</t>
  </si>
  <si>
    <t>A8-1-404/房款/多浪小镇A6-9#、13#项目</t>
  </si>
  <si>
    <t>SCUST2050861/KXLB04/XM205.02.02</t>
  </si>
  <si>
    <t>A8-2-504/房款/多浪小镇A6-9#、13#项目</t>
  </si>
  <si>
    <t>SCUST2050862/KXLB04/XM205.02.02</t>
  </si>
  <si>
    <t>A9-2-102/房款/多浪小镇A6-9#、13#项目</t>
  </si>
  <si>
    <t>SCUST2050863/KXLB04/XM205.02.02</t>
  </si>
  <si>
    <t>A9-1-604/房款/多浪小镇A6-9#、13#项目</t>
  </si>
  <si>
    <t>SCUST2050864/KXLB04/XM205.02.02</t>
  </si>
  <si>
    <t>A9-1-502/房款/多浪小镇A6-9#、13#项目</t>
  </si>
  <si>
    <t>SCUST2050865/KXLB04/XM205.02.02</t>
  </si>
  <si>
    <t>A9-1-503/房款/多浪小镇A6-9#、13#项目</t>
  </si>
  <si>
    <t>SCUST2050866/KXLB04/XM205.02.02</t>
  </si>
  <si>
    <t>A9-2-303/房款/多浪小镇A6-9#、13#项目</t>
  </si>
  <si>
    <t>SCUST2050867/KXLB04/XM205.02.02</t>
  </si>
  <si>
    <t>A9-2-403/房款/多浪小镇A6-9#、13#项目</t>
  </si>
  <si>
    <t>SCUST2050868/KXLB04/XM205.02.02</t>
  </si>
  <si>
    <t>A9-1-301/房款/多浪小镇A6-9#、13#项目</t>
  </si>
  <si>
    <t>SCUST2050869/KXLB04/XM205.02.02</t>
  </si>
  <si>
    <t>A9-2-402/房款/多浪小镇A6-9#、13#项目</t>
  </si>
  <si>
    <t>SCUST2050870/KXLB04/XM205.02.02</t>
  </si>
  <si>
    <t>A9-2-501/房款/多浪小镇A6-9#、13#项目</t>
  </si>
  <si>
    <t>SCUST2050871/KXLB04/XM205.02.02</t>
  </si>
  <si>
    <t>A9-2-204/房款/多浪小镇A6-9#、13#项目</t>
  </si>
  <si>
    <t>SCUST2050872/KXLB04/XM205.02.02</t>
  </si>
  <si>
    <t>A9-2-601/房款/多浪小镇A6-9#、13#项目</t>
  </si>
  <si>
    <t>SCUST2050873/KXLB04/XM205.02.02</t>
  </si>
  <si>
    <t>A9-1-303/房款/多浪小镇A6-9#、13#项目</t>
  </si>
  <si>
    <t>SCUST2050874/KXLB04/XM205.02.02</t>
  </si>
  <si>
    <t>A9-2-504/房款/多浪小镇A6-9#、13#项目</t>
  </si>
  <si>
    <t>SCUST2050875/KXLB04/XM205.02.02</t>
  </si>
  <si>
    <t>A9-1-404/房款/多浪小镇A6-9#、13#项目</t>
  </si>
  <si>
    <t>SCUST2050876/KXLB04/XM205.02.02</t>
  </si>
  <si>
    <t>A9-2-201/房款/多浪小镇A6-9#、13#项目</t>
  </si>
  <si>
    <t>SCUST2050877/KXLB04/XM205.02.02</t>
  </si>
  <si>
    <t>A9-1-302/房款/多浪小镇A6-9#、13#项目</t>
  </si>
  <si>
    <t>SCUST2050878/KXLB04/XM205.02.02</t>
  </si>
  <si>
    <t>A13-1-301/房款/多浪小镇A6-9#、13#项目</t>
  </si>
  <si>
    <t>SCUST2050879/KXLB04/XM205.02.02</t>
  </si>
  <si>
    <t>A13-2-202/房款/多浪小镇A6-9#、13#项目</t>
  </si>
  <si>
    <t>SCUST2050880/KXLB04/XM205.02.02</t>
  </si>
  <si>
    <t>A13-2-301/房款/多浪小镇A6-9#、13#项目</t>
  </si>
  <si>
    <t>SCUST2050881/KXLB04/XM205.02.02</t>
  </si>
  <si>
    <t>A13-2-402/房款/多浪小镇A6-9#、13#项目</t>
  </si>
  <si>
    <t>SCUST2050882/KXLB04/XM205.02.02</t>
  </si>
  <si>
    <t>A13-1-401/房款/多浪小镇A6-9#、13#项目</t>
  </si>
  <si>
    <t>SCUST2050883/KXLB04/XM205.02.01</t>
  </si>
  <si>
    <t>A5-2-301艾克热木·艾肯/房款/多浪小镇A1-5#、A14项目</t>
  </si>
  <si>
    <t>SCUST2050884/KXLB04/XM205.02.01</t>
  </si>
  <si>
    <t>A1-2-601/房款/多浪小镇A1-5#、A14项目</t>
  </si>
  <si>
    <t>SCUST2050885/KXLB04/XM205.02.01</t>
  </si>
  <si>
    <t>SCUST2050886/KXLB04/XM205.02.01</t>
  </si>
  <si>
    <t>A1-101/房款/多浪小镇A1-5#、A14项目</t>
  </si>
  <si>
    <t>SCUST2050888/KXLB04/XM205.02.01</t>
  </si>
  <si>
    <t>A1-1-302/房款/多浪小镇A1-5#、A14项目</t>
  </si>
  <si>
    <t>SCUST2050890/KXLB04/XM205.02.01</t>
  </si>
  <si>
    <t>A1-2-201/房款/多浪小镇A1-5#、A14项目</t>
  </si>
  <si>
    <t>SCUST2050892/KXLB04/XM205.02.01</t>
  </si>
  <si>
    <t>A1-3-202/房款/多浪小镇A1-5#、A14项目</t>
  </si>
  <si>
    <t>SCUST2050893/KXLB04/XM205.02.01</t>
  </si>
  <si>
    <t>A2-2-203/房款/多浪小镇A1-5#、A14项目</t>
  </si>
  <si>
    <t>SCUST2050896/KXLB04/XM205.02.01</t>
  </si>
  <si>
    <t>A2-1-302/房款/多浪小镇A1-5#、A14项目</t>
  </si>
  <si>
    <t>SCUST2050897/KXLB04/XM205.02.01</t>
  </si>
  <si>
    <t>A2-1-402/房款/多浪小镇A1-5#、A14项目</t>
  </si>
  <si>
    <t>SCUST2050898/KXLB04/XM205.02.01</t>
  </si>
  <si>
    <t>A2-3-201/房款/多浪小镇A1-5#、A14项目</t>
  </si>
  <si>
    <t>SCUST2050899/KXLB04/XM205.02.01</t>
  </si>
  <si>
    <t>A2-3-202/房款/多浪小镇A1-5#、A14项目</t>
  </si>
  <si>
    <t>SCUST2050900/KXLB04/XM205.02.01</t>
  </si>
  <si>
    <t>A2-3-402/房款/多浪小镇A1-5#、A14项目</t>
  </si>
  <si>
    <t>SCUST2050902/KXLB04/XM205.02.01</t>
  </si>
  <si>
    <t>A3-1-203/房款/多浪小镇A1-5#、A14项目</t>
  </si>
  <si>
    <t>SCUST2050903/KXLB04/XM205.02.01</t>
  </si>
  <si>
    <t>A3-108/房款/多浪小镇A1-5#、A14项目</t>
  </si>
  <si>
    <t>SCUST2050905/KXLB04/XM205.02.01</t>
  </si>
  <si>
    <t>A3-107/房款/多浪小镇A1-5#、A14项目</t>
  </si>
  <si>
    <t>SCUST2050906/KXLB04/XM205.02.01</t>
  </si>
  <si>
    <t>A3-111/房款/多浪小镇A1-5#、A14项目</t>
  </si>
  <si>
    <t>SCUST2050909/KXLB04/XM205.02.01</t>
  </si>
  <si>
    <t>A3-3-202/房款/多浪小镇A1-5#、A14项目</t>
  </si>
  <si>
    <t>SCUST2050911/KXLB04/XM205.02.01</t>
  </si>
  <si>
    <t>A4-101/房款/多浪小镇A1-5#、A14项目</t>
  </si>
  <si>
    <t>SCUST2050912/KXLB04/XM205.02.01</t>
  </si>
  <si>
    <t>A4-1-202/房款/多浪小镇A1-5#、A14项目</t>
  </si>
  <si>
    <t>SCUST2050913/KXLB04/XM205.02.01</t>
  </si>
  <si>
    <t>A4-2-202/房款/多浪小镇A1-5#、A14项目</t>
  </si>
  <si>
    <t>SCUST2050915/KXLB04/XM205.02.01</t>
  </si>
  <si>
    <t>A4-4-202/房款/多浪小镇A1-5#、A14项目</t>
  </si>
  <si>
    <t>SCUST2050916/KXLB04/XM205.02.01</t>
  </si>
  <si>
    <t>A4-4-502/房款/多浪小镇A1-5#、A14项目</t>
  </si>
  <si>
    <t>SCUST2050919/KXLB04/XM205.02.01</t>
  </si>
  <si>
    <t>A14-106/房款/多浪小镇A1-5#、A14项目</t>
  </si>
  <si>
    <t>SCUST2050920/KXLB04/XM205.02.03</t>
  </si>
  <si>
    <t>多浪小镇安置房/房款/多浪小镇安置房</t>
  </si>
  <si>
    <t>SCUST2050921/KXLB04/XM205.02.01</t>
  </si>
  <si>
    <t>A1-3-602/房款/多浪小镇A1-5#、A14项目</t>
  </si>
  <si>
    <t>SCUST2050922/KXLB04/XM205.02.01</t>
  </si>
  <si>
    <t>A1-2-602/房款/多浪小镇A1-5#、A14项目</t>
  </si>
  <si>
    <t>SCUST2050923/KXLB04/XM205.02.01</t>
  </si>
  <si>
    <t>A1-2-502/房款/多浪小镇A1-5#、A14项目</t>
  </si>
  <si>
    <t>SCUST2050924/KXLB04/XM205.02.01</t>
  </si>
  <si>
    <t>A1-105/房款/多浪小镇A1-5#、A14项目</t>
  </si>
  <si>
    <t>SCUST2050925/KXLB04/XM205.02.01</t>
  </si>
  <si>
    <t>A1-3-201/房款/多浪小镇A1-5#、A14项目</t>
  </si>
  <si>
    <t>SCUST2050926/KXLB04/XM205.02.01</t>
  </si>
  <si>
    <t>A2-1-603/房款/多浪小镇A1-5#、A14项目</t>
  </si>
  <si>
    <t>SCUST2050927/KXLB04/XM205.02.01</t>
  </si>
  <si>
    <t>A2-101/房款/多浪小镇A1-5#、A14项目</t>
  </si>
  <si>
    <t>SCUST2050928/KXLB04/XM205.02.01</t>
  </si>
  <si>
    <t>A2-2-303/房款/多浪小镇A1-5#、A14项目</t>
  </si>
  <si>
    <t>SCUST2050931/KXLB04/XM205.02.01</t>
  </si>
  <si>
    <t>A2-106/房款/多浪小镇A1-5#、A14项目</t>
  </si>
  <si>
    <t>SCUST2050932/KXLB04/XM205.02.01</t>
  </si>
  <si>
    <t>A2-1-303/房款/多浪小镇A1-5#、A14项目</t>
  </si>
  <si>
    <t>SCUST2050933/KXLB04/XM205.02.01</t>
  </si>
  <si>
    <t>SCUST2050938/KXLB04/XM205.02.01</t>
  </si>
  <si>
    <t>SCUST2050941/KXLB04/XM205.02.01</t>
  </si>
  <si>
    <t>A2-3-401/房款/多浪小镇A1-5#、A14项目</t>
  </si>
  <si>
    <t>SCUST2050942/KXLB04/XM205.02.01</t>
  </si>
  <si>
    <t>A2-2-501/房款/多浪小镇A1-5#、A14项目</t>
  </si>
  <si>
    <t>SCUST2050943/KXLB04/XM205.02.01</t>
  </si>
  <si>
    <t>A2-2-601/房款/多浪小镇A1-5#、A14项目</t>
  </si>
  <si>
    <t>SCUST2050944/KXLB04/XM205.02.01</t>
  </si>
  <si>
    <t>A3-2-202/房款/多浪小镇A1-5#、A14项目</t>
  </si>
  <si>
    <t>SCUST2050945/KXLB04/XM205.02.01</t>
  </si>
  <si>
    <t>A3-3-401/房款/多浪小镇A1-5#、A14项目</t>
  </si>
  <si>
    <t>SCUST2050946/KXLB04/XM205.02.01</t>
  </si>
  <si>
    <t>A3-2-603/房款/多浪小镇A1-5#、A14项目</t>
  </si>
  <si>
    <t>SCUST2050948/KXLB04/XM205.02.01</t>
  </si>
  <si>
    <t>A3-101/房款/多浪小镇A1-5#、A14项目</t>
  </si>
  <si>
    <t>SCUST2050950/KXLB04/XM205.02.01</t>
  </si>
  <si>
    <t>A3-1-202/房款/多浪小镇A1-5#、A14项目</t>
  </si>
  <si>
    <t>SCUST2050951/KXLB04/XM205.02.01</t>
  </si>
  <si>
    <t>A3-1-303/房款/多浪小镇A1-5#、A14项目</t>
  </si>
  <si>
    <t>SCUST2050952/KXLB04/XM205.02.01</t>
  </si>
  <si>
    <t>A3-1-402/房款/多浪小镇A1-5#、A14项目</t>
  </si>
  <si>
    <t>SCUST2050953/KXLB04/XM205.02.01</t>
  </si>
  <si>
    <t>A3-2-502/房款/多浪小镇A1-5#、A14项目</t>
  </si>
  <si>
    <t>SCUST2050954/KXLB04/XM205.02.01</t>
  </si>
  <si>
    <t>A3-2-602/房款/多浪小镇A1-5#、A14项目</t>
  </si>
  <si>
    <t>SCUST2050955/KXLB04/XM205.02.01</t>
  </si>
  <si>
    <t>A3-3-203/房款/多浪小镇A1-5#、A14项目</t>
  </si>
  <si>
    <t>SCUST2050956/KXLB04/XM205.02.01</t>
  </si>
  <si>
    <t>A3-3-302/房款/多浪小镇A1-5#、A14项目</t>
  </si>
  <si>
    <t>SCUST2050957/KXLB04/XM205.02.01</t>
  </si>
  <si>
    <t>A3-3-402/房款/多浪小镇A1-5#、A14项目</t>
  </si>
  <si>
    <t>SCUST2050958/KXLB04/XM205.02.01</t>
  </si>
  <si>
    <t>A3-2-503/房款/多浪小镇A1-5#、A14项目</t>
  </si>
  <si>
    <t>SCUST2050959/KXLB04/XM205.02.01</t>
  </si>
  <si>
    <t>A3-2-601/房款/多浪小镇A1-5#、A14项目</t>
  </si>
  <si>
    <t>SCUST2050960/KXLB04/XM205.02.01</t>
  </si>
  <si>
    <t>A3-113/房款/多浪小镇A1-5#、A14项目</t>
  </si>
  <si>
    <t>SCUST2050961/KXLB04/XM205.02.01</t>
  </si>
  <si>
    <t>A4-3-501/房款/多浪小镇A1-5#、A14项目</t>
  </si>
  <si>
    <t>SCUST2050962/KXLB04/XM205.02.01</t>
  </si>
  <si>
    <t>A4-1-602/房款/多浪小镇A1-5#、A14项目</t>
  </si>
  <si>
    <t>SCUST2050964/KXLB04/XM205.02.01</t>
  </si>
  <si>
    <t>A4-1-402/房款/多浪小镇A1-5#、A14项目</t>
  </si>
  <si>
    <t>SCUST2050966/KXLB04/XM205.02.01</t>
  </si>
  <si>
    <t>A4-4-601/房款/多浪小镇A1-5#、A14项目</t>
  </si>
  <si>
    <t>SCUST2050967/KXLB04/XM205.02.01</t>
  </si>
  <si>
    <t>A4-5-202/房款/多浪小镇A1-5#、A14项目</t>
  </si>
  <si>
    <t>SCUST2050968/KXLB04/XM205.02.01</t>
  </si>
  <si>
    <t>A4-2-201/房款/多浪小镇A1-5#、A14项目</t>
  </si>
  <si>
    <t>SCUST2050970/KXLB04/XM205.02.01</t>
  </si>
  <si>
    <t>A4-2-602/房款/多浪小镇A1-5#、A14项目</t>
  </si>
  <si>
    <t>SCUST2050971/KXLB04/XM205.02.01</t>
  </si>
  <si>
    <t>A4-3-201/房款/多浪小镇A1-5#、A14项目</t>
  </si>
  <si>
    <t>SCUST2050972/KXLB04/XM205.02.01</t>
  </si>
  <si>
    <t>A4-3-302/房款/多浪小镇A1-5#、A14项目</t>
  </si>
  <si>
    <t>SCUST2050973/KXLB04/XM205.02.01</t>
  </si>
  <si>
    <t>A4-4-301/房款/多浪小镇A1-5#、A14项目</t>
  </si>
  <si>
    <t>SCUST2050974/KXLB04/XM205.02.01</t>
  </si>
  <si>
    <t>A4-5-201/房款/多浪小镇A1-5#、A14项目</t>
  </si>
  <si>
    <t>SCUST2050975/KXLB04/XM205.02.01</t>
  </si>
  <si>
    <t>A4-5-301/房款/多浪小镇A1-5#、A14项目</t>
  </si>
  <si>
    <t>SCUST2050976/KXLB04/XM205.02.01</t>
  </si>
  <si>
    <t>A4-6-301/房款/多浪小镇A1-5#、A14项目</t>
  </si>
  <si>
    <t>SCUST2050977/KXLB04/XM205.02.01</t>
  </si>
  <si>
    <t>A5-3-201/房款/多浪小镇A1-5#、A14项目</t>
  </si>
  <si>
    <t>SCUST2050978/KXLB04/XM205.02.01</t>
  </si>
  <si>
    <t>A5-3-202/房款/多浪小镇A1-5#、A14项目</t>
  </si>
  <si>
    <t>SCUST2050979/KXLB04/XM205.02.01</t>
  </si>
  <si>
    <t>A5-3-401/房款/多浪小镇A1-5#、A14项目</t>
  </si>
  <si>
    <t>SCUST2050980/KXLB04/XM205.02.01</t>
  </si>
  <si>
    <t>A5-3-402/房款/多浪小镇A1-5#、A14项目</t>
  </si>
  <si>
    <t>SCUST2050981/KXLB04/XM205.02.01</t>
  </si>
  <si>
    <t>A5-102/房款/多浪小镇A1-5#、A14项目</t>
  </si>
  <si>
    <t>SCUST2050982/KXLB04/XM205.02.01</t>
  </si>
  <si>
    <t>A5-103/房款/多浪小镇A1-5#、A14项目</t>
  </si>
  <si>
    <t>SCUST2050983/KXLB04/XM205.02.01</t>
  </si>
  <si>
    <t>A5-3-501/房款/多浪小镇A1-5#、A14项目</t>
  </si>
  <si>
    <t>SCUST2050984/KXLB04/XM205.02.01</t>
  </si>
  <si>
    <t>A5-3-602/房款/多浪小镇A1-5#、A14项目</t>
  </si>
  <si>
    <t>SCUST2050985/KXLB04/XM205.02.01</t>
  </si>
  <si>
    <t>A5-2-501/房款/多浪小镇A1-5#、A14项目</t>
  </si>
  <si>
    <t>SCUST2050987/KXLB04/XM205.02.01</t>
  </si>
  <si>
    <t>A14-103/房款/多浪小镇A1-5#、A14项目</t>
  </si>
  <si>
    <t>SCUST2050988/KXLB04/XM205.02.01</t>
  </si>
  <si>
    <t>A14-201/房款/多浪小镇A1-5#、A14项目</t>
  </si>
  <si>
    <t>SCUST2050989/KXLB04/XM205.03</t>
  </si>
  <si>
    <t>7-5-202/房款/康泰公寓</t>
  </si>
  <si>
    <t>SCUST2050990/KXLB04/XM205.03</t>
  </si>
  <si>
    <t>康泰公寓1-1-302/房款/康泰公寓</t>
  </si>
  <si>
    <t>SCUST2050991/KXLB04/XM205.03</t>
  </si>
  <si>
    <t>5-104-1/房款/康泰公寓</t>
  </si>
  <si>
    <t>SCUST2050992/KXLB04/XM205.03</t>
  </si>
  <si>
    <t>5-5-1003/房款/康泰公寓</t>
  </si>
  <si>
    <t>SCUST2050993/KXLB04/XM205.03</t>
  </si>
  <si>
    <t>5-2-101/房款/康泰公寓</t>
  </si>
  <si>
    <t>SCUST2050994/KXLB04/XM205.03</t>
  </si>
  <si>
    <t>5-108/房款/康泰公寓</t>
  </si>
  <si>
    <t>SCUST2050995/KXLB04/XM205.03</t>
  </si>
  <si>
    <t>SCUST2050996/KXLB04/XM205.02.02</t>
  </si>
  <si>
    <t>A6-1-202/房款/多浪小镇A6-9#、13#项目</t>
  </si>
  <si>
    <t>SCUST2050997/KXLB04/XM205.02.02</t>
  </si>
  <si>
    <t>A6-2-201/房款/多浪小镇A6-9#、13#项目</t>
  </si>
  <si>
    <t>SCUST2050998/KXLB04/XM205.02.02</t>
  </si>
  <si>
    <t>A6-2-401/房款/多浪小镇A6-9#、13#项目</t>
  </si>
  <si>
    <t>SCUST2050999/KXLB04/XM205.02.02</t>
  </si>
  <si>
    <t>A6-4-402/房款/多浪小镇A6-9#、13#项目</t>
  </si>
  <si>
    <t>SCUST2051000/KXLB04/XM205.02.02</t>
  </si>
  <si>
    <t>A6-1-602/房款/多浪小镇A6-9#、13#项目</t>
  </si>
  <si>
    <t>SCUST2051001/KXLB04/XM205.02.02</t>
  </si>
  <si>
    <t>A6-2-602/房款/多浪小镇A6-9#、13#项目</t>
  </si>
  <si>
    <t>SCUST2051002/KXLB04/XM205.02.02</t>
  </si>
  <si>
    <t>A6-2-402/房款/多浪小镇A6-9#、13#项目</t>
  </si>
  <si>
    <t>SCUST2051003/KXLB04/XM205.02.02</t>
  </si>
  <si>
    <t>A7-3-202/房款/多浪小镇A6-9#、13#项目</t>
  </si>
  <si>
    <t>SCUST2051004/KXLB04/XM205.02.02</t>
  </si>
  <si>
    <t>A7-3-101/房款/多浪小镇A6-9#、13#项目</t>
  </si>
  <si>
    <t>SCUST2051005/KXLB04/XM205.02.02</t>
  </si>
  <si>
    <t>A7-1-301/房款/多浪小镇A6-9#、13#项目</t>
  </si>
  <si>
    <t>SCUST2051006/KXLB04/XM205.02.02</t>
  </si>
  <si>
    <t>A7-2-301/房款/多浪小镇A6-9#、13#项目</t>
  </si>
  <si>
    <t>SCUST2051007/KXLB04/XM205.02.02</t>
  </si>
  <si>
    <t>A7-3-302/房款/多浪小镇A6-9#、13#项目</t>
  </si>
  <si>
    <t>SCUST2051008/KXLB04/XM205.02.02</t>
  </si>
  <si>
    <t>A7-3-501/房款/多浪小镇A6-9#、13#项目</t>
  </si>
  <si>
    <t>SCUST2051009/KXLB04/XM205.02.02</t>
  </si>
  <si>
    <t>A7-1-602/房款/多浪小镇A6-9#、13#项目</t>
  </si>
  <si>
    <t>SCUST2051010/KXLB04/XM205.02.02</t>
  </si>
  <si>
    <t>A7-2-501/房款/多浪小镇A6-9#、13#项目</t>
  </si>
  <si>
    <t>SCUST2051011/KXLB04/XM205.02.02</t>
  </si>
  <si>
    <t>A7-2-401/房款/多浪小镇A6-9#、13#项目</t>
  </si>
  <si>
    <t>SCUST2051012/KXLB04/XM205.02.02</t>
  </si>
  <si>
    <t>A7-3-502/房款/多浪小镇A6-9#、13#项目</t>
  </si>
  <si>
    <t>SCUST2051013/KXLB04/XM205.02.02</t>
  </si>
  <si>
    <t>A7-2-601/房款/多浪小镇A6-9#、13#项目</t>
  </si>
  <si>
    <t>SCUST2051014/KXLB04/XM205.02.02</t>
  </si>
  <si>
    <t>A7-2-102/房款/多浪小镇A6-9#、13#项目</t>
  </si>
  <si>
    <t>SCUST2051015/KXLB04/XM205.02.02</t>
  </si>
  <si>
    <t>A8-1-301/房款/多浪小镇A6-9#、13#项目</t>
  </si>
  <si>
    <t>SCUST2051016/KXLB04/XM205.02.02</t>
  </si>
  <si>
    <t>A8-2-304/房款/多浪小镇A6-9#、13#项目</t>
  </si>
  <si>
    <t>SCUST2051017/KXLB04/XM205.02.02</t>
  </si>
  <si>
    <t>A8-2-603/房款/多浪小镇A6-9#、13#项目</t>
  </si>
  <si>
    <t>SCUST2051018/KXLB04/XM205.02.02</t>
  </si>
  <si>
    <t>A8-1-501/房款/多浪小镇A6-9#、13#项目</t>
  </si>
  <si>
    <t>SCUST2051019/KXLB04/XM205.02.02</t>
  </si>
  <si>
    <t>A8-2-503/房款/多浪小镇A6-9#、13#项目</t>
  </si>
  <si>
    <t>SCUST2051020/KXLB04/XM205.02.02</t>
  </si>
  <si>
    <t>A8-1-403/房款/多浪小镇A6-9#、13#项目</t>
  </si>
  <si>
    <t>SCUST2051021/KXLB04/XM205.02.02</t>
  </si>
  <si>
    <t>A8-1-302/房款/多浪小镇A6-9#、13#项目</t>
  </si>
  <si>
    <t>SCUST2051022/KXLB04/XM205.02.02</t>
  </si>
  <si>
    <t>A8-2-102/房款/多浪小镇A6-9#、13#项目</t>
  </si>
  <si>
    <t>SCUST2051023/KXLB04/XM205.02</t>
  </si>
  <si>
    <t>A8-2-301/房款/多浪小镇</t>
  </si>
  <si>
    <t>SCUST2051023/KXLB04/XM205.02.02</t>
  </si>
  <si>
    <t>A8-2-301/房款/多浪小镇A6-9#、13#项目</t>
  </si>
  <si>
    <t>SCUST2051024/KXLB04/XM205.02.02</t>
  </si>
  <si>
    <t>A8-2-103/房款/多浪小镇A6-9#、13#项目</t>
  </si>
  <si>
    <t>SCUST2051025/KXLB04/XM205.02.02</t>
  </si>
  <si>
    <t>A8-1-603/房款/多浪小镇A6-9#、13#项目</t>
  </si>
  <si>
    <t>SCUST2051026/KXLB04/XM205.02.02</t>
  </si>
  <si>
    <t>A8-1-203/房款/多浪小镇A6-9#、13#项目</t>
  </si>
  <si>
    <t>SCUST2051027/KXLB04/XM205.02.02</t>
  </si>
  <si>
    <t>A8-2-501/房款/多浪小镇A6-9#、13#项目</t>
  </si>
  <si>
    <t>SCUST2051028/KXLB04/XM205.02.02</t>
  </si>
  <si>
    <t>A9-1-401/房款/多浪小镇A6-9#、13#项目</t>
  </si>
  <si>
    <t>SCUST2051029/KXLB04/XM205.02.02</t>
  </si>
  <si>
    <t>A9-1-403/房款/多浪小镇A6-9#、13#项目</t>
  </si>
  <si>
    <t>SCUST2051030/KXLB04/XM205.02.02</t>
  </si>
  <si>
    <t>A9-1-603/房款/多浪小镇A6-9#、13#项目</t>
  </si>
  <si>
    <t>SCUST2051031/KXLB04/XM205.02.02</t>
  </si>
  <si>
    <t>A9-2-404/房款/多浪小镇A6-9#、13#项目</t>
  </si>
  <si>
    <t>SCUST2051032/KXLB04/XM205.02.02</t>
  </si>
  <si>
    <t>A9-2-104/房款/多浪小镇A6-9#、13#项目</t>
  </si>
  <si>
    <t>SCUST2051033/KXLB04/XM205.02.02</t>
  </si>
  <si>
    <t>A9-2-202/房款/多浪小镇A6-9#、13#项目</t>
  </si>
  <si>
    <t>SCUST2051034/KXLB04/XM205.02.02</t>
  </si>
  <si>
    <t>A9-1-203/房款/多浪小镇A6-9#、13#项目</t>
  </si>
  <si>
    <t>SCUST2051035/KXLB04/XM205.02.02</t>
  </si>
  <si>
    <t>A9-2-603/房款/多浪小镇A6-9#、13#项目</t>
  </si>
  <si>
    <t>SCUST2051036/KXLB04/XM205.02.02</t>
  </si>
  <si>
    <t>A9-1-101/房款/多浪小镇A6-9#、13#项目</t>
  </si>
  <si>
    <t>SCUST2051037/KXLB04/XM205.02.02</t>
  </si>
  <si>
    <t>A13-1-101/房款/多浪小镇A6-9#、13#项目</t>
  </si>
  <si>
    <t>SCUST2051038/KXLB04/XM205.02.02</t>
  </si>
  <si>
    <t>A13-1-202/房款/多浪小镇A6-9#、13#项目</t>
  </si>
  <si>
    <t>SCUST2051039/KXLB04/XM205.02.01</t>
  </si>
  <si>
    <t>A13-2-302/房款/多浪小镇A1-5#、A14项目</t>
  </si>
  <si>
    <t>SCUST2051039/KXLB04/XM205.02.02</t>
  </si>
  <si>
    <t>A13-2-302/房款/多浪小镇A6-9#、13#项目</t>
  </si>
  <si>
    <t>SCUST2051040/KXLB04/XM205.02.02</t>
  </si>
  <si>
    <t>A13-1-402/房款/多浪小镇A6-9#、13#项目</t>
  </si>
  <si>
    <t>SCUST2051041/KXLB04/XM205.02.02</t>
  </si>
  <si>
    <t>A13-1-502/房款/多浪小镇A6-9#、13#项目</t>
  </si>
  <si>
    <t>SCUST2051042/KXLB04/XM205.02.02</t>
  </si>
  <si>
    <t>A13-2-102/房款/多浪小镇A6-9#、13#项目</t>
  </si>
  <si>
    <t>SCUST2051043/KXLB04/XM205.02.02</t>
  </si>
  <si>
    <t>A13-1-602/房款/多浪小镇A6-9#、13#项目</t>
  </si>
  <si>
    <t>SCUST2051044/KXLB04/XM205.02.01</t>
  </si>
  <si>
    <t>A1-106/房款/多浪小镇A1-5#、A14项目</t>
  </si>
  <si>
    <t>SCUST2051045/KXLB04/XM205.02.01</t>
  </si>
  <si>
    <t>A1-102/房款/多浪小镇A1-5#、A14项目</t>
  </si>
  <si>
    <t>SCUST2051047/KXLB04/XM205.02.01</t>
  </si>
  <si>
    <t>A1-108/房款/多浪小镇A1-5#、A14项目</t>
  </si>
  <si>
    <t>SCUST2051048/KXLB04/XM205.02.01</t>
  </si>
  <si>
    <t>A1-1-201/房款/多浪小镇A1-5#、A14项目</t>
  </si>
  <si>
    <t>SCUST2051049/KXLB04/XM205.02.01</t>
  </si>
  <si>
    <t>A1-1-202/房款/多浪小镇A1-5#、A14项目</t>
  </si>
  <si>
    <t>SCUST2051050/KXLB04/XM205.02.01</t>
  </si>
  <si>
    <t>A1-1-602/房款/多浪小镇A1-5#、A14项目</t>
  </si>
  <si>
    <t>SCUST2051051/KXLB04/XM205.02.01</t>
  </si>
  <si>
    <t>A1-2-202/房款/多浪小镇A1-5#、A14项目</t>
  </si>
  <si>
    <t>SCUST2051052/KXLB04/XM205.02.01</t>
  </si>
  <si>
    <t>A1-2-302/房款/多浪小镇A1-5#、A14项目</t>
  </si>
  <si>
    <t>SCUST2051053/KXLB04/XM205.02.01</t>
  </si>
  <si>
    <t>A1-2-501/房款/多浪小镇A1-5#、A14项目</t>
  </si>
  <si>
    <t>SCUST2051054/KXLB04/XM205.02.01</t>
  </si>
  <si>
    <t>A1-3-401/房款/多浪小镇A1-5#、A14项目</t>
  </si>
  <si>
    <t>SCUST2051058/KXLB04/XM205.02.01</t>
  </si>
  <si>
    <t>A2-117/房款/多浪小镇A1-5#、A14项目</t>
  </si>
  <si>
    <t>SCUST2051059/KXLB04/XM205.02.01</t>
  </si>
  <si>
    <t>A2-1-301/房款/多浪小镇A1-5#、A14项目</t>
  </si>
  <si>
    <t>SCUST2051060/KXLB04/XM205.02.01</t>
  </si>
  <si>
    <t>A2-1-202/房款/多浪小镇A1-5#、A14项目</t>
  </si>
  <si>
    <t>SCUST2051061/KXLB04/XM205.02.01</t>
  </si>
  <si>
    <t>A2-1-203/房款/多浪小镇A1-5#、A14项目</t>
  </si>
  <si>
    <t>SCUST2051062/KXLB04/XM205.02.01</t>
  </si>
  <si>
    <t>A2-1-403/房款/多浪小镇A1-5#、A14项目</t>
  </si>
  <si>
    <t>SCUST2051063/KXLB04/XM205.02.01</t>
  </si>
  <si>
    <t>A2-2-202/房款/多浪小镇A1-5#、A14项目</t>
  </si>
  <si>
    <t>SCUST2051064/KXLB04/XM205.02.01</t>
  </si>
  <si>
    <t>A2-2-301/房款/多浪小镇A1-5#、A14项目</t>
  </si>
  <si>
    <t>SCUST2051065/KXLB04/XM205.02.01</t>
  </si>
  <si>
    <t>A2-2-302/房款/多浪小镇A1-5#、A14项目</t>
  </si>
  <si>
    <t>SCUST2051066/KXLB04/XM205.02.01</t>
  </si>
  <si>
    <t>A2-2-402/房款/多浪小镇A1-5#、A14项目</t>
  </si>
  <si>
    <t>SCUST2051067/KXLB04/XM205.02.01</t>
  </si>
  <si>
    <t>A2-3-301/房款/多浪小镇A1-5#、A14项目</t>
  </si>
  <si>
    <t>SCUST2051068/KXLB04/XM205.02.01</t>
  </si>
  <si>
    <t>A2-3-503/房款/多浪小镇A1-5#、A14项目</t>
  </si>
  <si>
    <t>SCUST2051070/KXLB04/XM205.02.01</t>
  </si>
  <si>
    <t>A2-109/房款/多浪小镇A1-5#、A14项目</t>
  </si>
  <si>
    <t>SCUST2051072/KXLB04/XM205.02.01</t>
  </si>
  <si>
    <t>A3-114/房款/多浪小镇A1-5#、A14项目</t>
  </si>
  <si>
    <t>SCUST2051073/KXLB04/XM205.02.01</t>
  </si>
  <si>
    <t>A3-102/房款/多浪小镇A1-5#、A14项目</t>
  </si>
  <si>
    <t>SCUST2051074/KXLB04/XM205.02.01</t>
  </si>
  <si>
    <t>A3-106/房款/多浪小镇A1-5#、A14项目</t>
  </si>
  <si>
    <t>SCUST2051075/KXLB04/XM205.02.01</t>
  </si>
  <si>
    <t>A3-117/房款/多浪小镇A1-5#、A14项目</t>
  </si>
  <si>
    <t>SCUST2051078/KXLB04/XM205.02.01</t>
  </si>
  <si>
    <t>A3-2-301/房款/多浪小镇A1-5#、A14项目</t>
  </si>
  <si>
    <t>SCUST2051079/KXLB04/XM205.02.01</t>
  </si>
  <si>
    <t>A3-2-403/房款/多浪小镇A1-5#、A14项目</t>
  </si>
  <si>
    <t>SCUST2051081/KXLB04/XM205.02.01</t>
  </si>
  <si>
    <t>A3-3-502/房款/多浪小镇A1-5#、A14项目</t>
  </si>
  <si>
    <t>SCUST2051082/KXLB04/XM205.02.01</t>
  </si>
  <si>
    <t>A4-6-401/房款/多浪小镇A1-5#、A14项目</t>
  </si>
  <si>
    <t>SCUST2051083/KXLB04/XM205.02.01</t>
  </si>
  <si>
    <t>A4-3-401/房款/多浪小镇A1-5#、A14项目</t>
  </si>
  <si>
    <t>SCUST2051084/KXLB04/XM205.02.01</t>
  </si>
  <si>
    <t>A4-4-201/房款/多浪小镇A1-5#、A14项目</t>
  </si>
  <si>
    <t>SCUST2051086/KXLB04/XM205.02.01</t>
  </si>
  <si>
    <t>A4-1-301/房款/多浪小镇A1-5#、A14项目</t>
  </si>
  <si>
    <t>SCUST2051087/KXLB04/XM205.02.01</t>
  </si>
  <si>
    <t>A4-2-401/房款/多浪小镇A1-5#、A14项目</t>
  </si>
  <si>
    <t>SCUST2051088/KXLB04/XM205.02.01</t>
  </si>
  <si>
    <t>A4-1-302/房款/多浪小镇A1-5#、A14项目</t>
  </si>
  <si>
    <t>SCUST2051089/KXLB04/XM205.02.01</t>
  </si>
  <si>
    <t>A4-2-302/房款/多浪小镇A1-5#、A14项目</t>
  </si>
  <si>
    <t>SCUST2051090/KXLB04/XM205.02.01</t>
  </si>
  <si>
    <t>A4-2-501/房款/多浪小镇A1-5#、A14项目</t>
  </si>
  <si>
    <t>SCUST2051091/KXLB04/XM205.02.01</t>
  </si>
  <si>
    <t>A4-3-202/房款/多浪小镇A1-5#、A14项目</t>
  </si>
  <si>
    <t>SCUST2051092/KXLB04/XM205.02.01</t>
  </si>
  <si>
    <t>A4-6-202/房款/多浪小镇A1-5#、A14项目</t>
  </si>
  <si>
    <t>SCUST2051093/KXLB04/XM205.02.01</t>
  </si>
  <si>
    <t>A4-6-302/房款/多浪小镇A1-5#、A14项目</t>
  </si>
  <si>
    <t>SCUST2051094/KXLB04/XM205.02.05</t>
  </si>
  <si>
    <t>多浪小镇公租房72套/房款/多浪小镇公租房</t>
  </si>
  <si>
    <t>SCUST2051095/KXLB04/XM205.02.01</t>
  </si>
  <si>
    <t>A1-111/房款/多浪小镇A1-5#、A14项目</t>
  </si>
  <si>
    <t>SCUST2051096/KXLB04/XM205.02.01</t>
  </si>
  <si>
    <t>A1-103/房款/多浪小镇A1-5#、A14项目</t>
  </si>
  <si>
    <t>SCUST2051097/KXLB04/XM205.02.01</t>
  </si>
  <si>
    <t>A1-104/房款/多浪小镇A1-5#、A14项目</t>
  </si>
  <si>
    <t>SCUST2051098/KXLB04/XM205.02.01</t>
  </si>
  <si>
    <t>A1-1-501/房款/多浪小镇A1-5#、A14项目</t>
  </si>
  <si>
    <t>SCUST2051099/KXLB04/XM205.02.01</t>
  </si>
  <si>
    <t>A1-2-402/房款/多浪小镇A1-5#、A14项目</t>
  </si>
  <si>
    <t>SCUST2051100/KXLB04/XM205.02.01</t>
  </si>
  <si>
    <t>A1-3-402/房款/多浪小镇A1-5#、A14项目</t>
  </si>
  <si>
    <t>SCUST2051101/KXLB04/XM205.02.01</t>
  </si>
  <si>
    <t>A1-3-501/房款/多浪小镇A1-5#、A14项目</t>
  </si>
  <si>
    <t>SCUST2051102/KXLB04/XM205.02.01</t>
  </si>
  <si>
    <t>A2-103/房款/多浪小镇A1-5#、A14项目</t>
  </si>
  <si>
    <t>SCUST2051103/KXLB04/XM205.02.01</t>
  </si>
  <si>
    <t>A2-1-503/房款/多浪小镇A1-5#、A14项目</t>
  </si>
  <si>
    <t>SCUST2051104/KXLB04/XM205.02.01</t>
  </si>
  <si>
    <t>A2-107/房款/多浪小镇A1-5#、A14项目</t>
  </si>
  <si>
    <t>SCUST2051105/KXLB04/XM205.02.01</t>
  </si>
  <si>
    <t>A2-108/房款/多浪小镇A1-5#、A14项目</t>
  </si>
  <si>
    <t>SCUST2051106/KXLB04/XM205.02.01</t>
  </si>
  <si>
    <t>A2-102/房款/多浪小镇A1-5#、A14项目</t>
  </si>
  <si>
    <t>SCUST2051107/KXLB04/XM205.02.01</t>
  </si>
  <si>
    <t>A2-105/房款/多浪小镇A1-5#、A14项目</t>
  </si>
  <si>
    <t>SCUST2051108/KXLB04/XM205.02.01</t>
  </si>
  <si>
    <t>A2-113/房款/多浪小镇A1-5#、A14项目</t>
  </si>
  <si>
    <t>SCUST2051109/KXLB04/XM205.02.01</t>
  </si>
  <si>
    <t>A2-1-502/房款/多浪小镇A1-5#、A14项目</t>
  </si>
  <si>
    <t>SCUST2051110/KXLB04/XM205.02.01</t>
  </si>
  <si>
    <t>A2-3-203/房款/多浪小镇A1-5#、A14项目</t>
  </si>
  <si>
    <t>SCUST2051111/KXLB04/XM205.02.01</t>
  </si>
  <si>
    <t>A2-3-502/房款/多浪小镇A1-5#、A14项目</t>
  </si>
  <si>
    <t>SCUST2051112/KXLB04/XM205.02.01</t>
  </si>
  <si>
    <t>A2-3-602/房款/多浪小镇A1-5#、A14项目</t>
  </si>
  <si>
    <t>SCUST2051113/KXLB04/XM205.02.01</t>
  </si>
  <si>
    <t>A2-2-401/房款/多浪小镇A1-5#、A14项目</t>
  </si>
  <si>
    <t>SCUST2051114/KXLB04/XM205.02.01</t>
  </si>
  <si>
    <t>A2-3-501/房款/多浪小镇A1-5#、A14项目</t>
  </si>
  <si>
    <t>SCUST2051115/KXLB04/XM205.02.01</t>
  </si>
  <si>
    <t>A3-2-303/房款/多浪小镇A1-5#、A14项目</t>
  </si>
  <si>
    <t>SCUST2051116/KXLB04/XM205.02.01</t>
  </si>
  <si>
    <t>A3-104/房款/多浪小镇A1-5#、A14项目</t>
  </si>
  <si>
    <t>SCUST2051117/KXLB04/XM205.02.01</t>
  </si>
  <si>
    <t>A3-3-303/房款/多浪小镇A1-5#、A14项目</t>
  </si>
  <si>
    <t>SCUST2051118/KXLB04/XM205.02.01</t>
  </si>
  <si>
    <t>A3-1-603/房款/多浪小镇A1-5#、A14项目</t>
  </si>
  <si>
    <t>SCUST2051119/KXLB04/XM205.02.01</t>
  </si>
  <si>
    <t>A3-1-401/房款/多浪小镇A1-5#、A14项目</t>
  </si>
  <si>
    <t>SCUST2051120/KXLB04/XM205.02.01</t>
  </si>
  <si>
    <t>A3-3-301/房款/多浪小镇A1-5#、A14项目</t>
  </si>
  <si>
    <t>SCUST2051121/KXLB04/XM205.02.01</t>
  </si>
  <si>
    <t>A3-1-502/房款/多浪小镇A1-5#、A14项目</t>
  </si>
  <si>
    <t>SCUST2051122/KXLB04/XM205.02.01</t>
  </si>
  <si>
    <t>A3-112/房款/多浪小镇A1-5#、A14项目</t>
  </si>
  <si>
    <t>SCUST2051123/KXLB04/XM205.02.01</t>
  </si>
  <si>
    <t>A3-1-201/房款/多浪小镇A1-5#、A14项目</t>
  </si>
  <si>
    <t>SCUST2051124/KXLB04/XM205.02.01</t>
  </si>
  <si>
    <t>A3-1-302/房款/多浪小镇A1-5#、A14项目</t>
  </si>
  <si>
    <t>SCUST2051125/KXLB04/XM205.02.01</t>
  </si>
  <si>
    <t>A3-1-403/房款/多浪小镇A1-5#、A14项目</t>
  </si>
  <si>
    <t>SCUST2051126/KXLB04/XM205.02.01</t>
  </si>
  <si>
    <t>A3-1-602/房款/多浪小镇A1-5#、A14项目</t>
  </si>
  <si>
    <t>SCUST2051127/KXLB04/XM205.02.01</t>
  </si>
  <si>
    <t>A3-2-203/房款/多浪小镇A1-5#、A14项目</t>
  </si>
  <si>
    <t>SCUST2051128/KXLB04/XM205.02.01</t>
  </si>
  <si>
    <t>A3-2-402/房款/多浪小镇A1-5#、A14项目</t>
  </si>
  <si>
    <t>SCUST2051129/KXLB04/XM205.02.01</t>
  </si>
  <si>
    <t>A3-3-403/房款/多浪小镇A1-5#、A14项目</t>
  </si>
  <si>
    <t>SCUST2051130/KXLB04/XM205.02.01</t>
  </si>
  <si>
    <t>A3-3-503/房款/多浪小镇A1-5#、A14项目</t>
  </si>
  <si>
    <t>SCUST2051131/KXLB04/XM205.02.01</t>
  </si>
  <si>
    <t>A3-1-501/房款/多浪小镇A1-5#、A14项目</t>
  </si>
  <si>
    <t>SCUST2051132/KXLB04/XM205.02.01</t>
  </si>
  <si>
    <t>A3-3-601/房款/多浪小镇A1-5#、A14项目</t>
  </si>
  <si>
    <t>SCUST2051133/KXLB04/XM205.02.01</t>
  </si>
  <si>
    <t>A4-5-601/房款/多浪小镇A1-5#、A14项目</t>
  </si>
  <si>
    <t>SCUST2051134/KXLB04/XM205.02.01</t>
  </si>
  <si>
    <t>A4-5-501/房款/多浪小镇A1-5#、A14项目</t>
  </si>
  <si>
    <t>SCUST2051135/KXLB04/XM205.02.01</t>
  </si>
  <si>
    <t>A4-105/房款/多浪小镇A1-5#、A14项目</t>
  </si>
  <si>
    <t>SCUST2051136/KXLB04/XM205.02.01</t>
  </si>
  <si>
    <t>A4-6-601/房款/多浪小镇A1-5#、A14项目</t>
  </si>
  <si>
    <t>SCUST2051137/KXLB04/XM205.02.01</t>
  </si>
  <si>
    <t>A4-1-201/房款/多浪小镇A1-5#、A14项目</t>
  </si>
  <si>
    <t>SCUST2051138/KXLB04/XM205.02.01</t>
  </si>
  <si>
    <t>A4-1-501/房款/多浪小镇A1-5#、A14项目</t>
  </si>
  <si>
    <t>SCUST2051139/KXLB04/XM205.02.01</t>
  </si>
  <si>
    <t>A4-108/房款/多浪小镇A1-5#、A14项目</t>
  </si>
  <si>
    <t>SCUST2051140/KXLB04/XM205.02.01</t>
  </si>
  <si>
    <t>A4-5-602/房款/多浪小镇A1-5#、A14项目</t>
  </si>
  <si>
    <t>SCUST2051141/KXLB04/XM205.02.01</t>
  </si>
  <si>
    <t>A4-1-502/房款/多浪小镇A1-5#、A14项目</t>
  </si>
  <si>
    <t>SCUST2051142/KXLB04/XM205.02.01</t>
  </si>
  <si>
    <t>A4-3-301/房款/多浪小镇A1-5#、A14项目</t>
  </si>
  <si>
    <t>SCUST2051143/KXLB04/XM205.02.01</t>
  </si>
  <si>
    <t>A4-4-302/房款/多浪小镇A1-5#、A14项目</t>
  </si>
  <si>
    <t>SCUST2051144/KXLB04/XM205.02.01</t>
  </si>
  <si>
    <t>A4-5-302/房款/多浪小镇A1-5#、A14项目</t>
  </si>
  <si>
    <t>SCUST2051145/KXLB04/XM205.02.01</t>
  </si>
  <si>
    <t>A4-5-401/房款/多浪小镇A1-5#、A14项目</t>
  </si>
  <si>
    <t>SCUST2051146/KXLB04/XM205.02.01</t>
  </si>
  <si>
    <t>A4-6-201/房款/多浪小镇A1-5#、A14项目</t>
  </si>
  <si>
    <t>SCUST2051147/KXLB04/XM205.02.01</t>
  </si>
  <si>
    <t>A5-3-301/房款/多浪小镇A1-5#、A14项目</t>
  </si>
  <si>
    <t>SCUST2051148/KXLB04/XM205.02.01</t>
  </si>
  <si>
    <t>A5-1-401/房款/多浪小镇A1-5#、A14项目</t>
  </si>
  <si>
    <t>SCUST2051149/KXLB04/XM205.02.01</t>
  </si>
  <si>
    <t>A5-1-302/房款/多浪小镇A1-5#、A14项目</t>
  </si>
  <si>
    <t>SCUST2051150/KXLB04/XM205.02.01</t>
  </si>
  <si>
    <t>A5-1-601/房款/多浪小镇A1-5#、A14项目</t>
  </si>
  <si>
    <t>SCUST2051151/KXLB04/XM205.02.01</t>
  </si>
  <si>
    <t>A14-104/房款/多浪小镇A1-5#、A14项目</t>
  </si>
  <si>
    <t>SCUST2051152/KXLB04/XM205.02.01</t>
  </si>
  <si>
    <t>A14-105/房款/多浪小镇A1-5#、A14项目</t>
  </si>
  <si>
    <t>SCUST2051153/KXLB04/XM205.03</t>
  </si>
  <si>
    <t>1-104/房款/康泰公寓</t>
  </si>
  <si>
    <t>SCUST2051154/KXLB04/XM205.03</t>
  </si>
  <si>
    <t>5-102/房款/康泰公寓</t>
  </si>
  <si>
    <t>SCUST2051155/KXLB04/XM205.02.02</t>
  </si>
  <si>
    <t>A6-1-401/房款/多浪小镇A6-9#、13#项目</t>
  </si>
  <si>
    <t>SCUST2051156/KXLB04/XM205.02.02</t>
  </si>
  <si>
    <t>A7-3-201/房款/多浪小镇A6-9#、13#项目</t>
  </si>
  <si>
    <t>SCUST2051157/KXLB04/XM205.02.02</t>
  </si>
  <si>
    <t>A7-1-102/房款/多浪小镇A6-9#、13#项目</t>
  </si>
  <si>
    <t>SCUST2051158/KXLB04/XM205.02.02</t>
  </si>
  <si>
    <t>A7-2-101/房款/多浪小镇A6-9#、13#项目</t>
  </si>
  <si>
    <t>SCUST2051159/KXLB04/XM205.02.02</t>
  </si>
  <si>
    <t>A7-1-501/房款/多浪小镇A6-9#、13#项目</t>
  </si>
  <si>
    <t>SCUST2051160/KXLB04/XM205.02.02</t>
  </si>
  <si>
    <t>A7-2-502/房款/多浪小镇A6-9#、13#项目</t>
  </si>
  <si>
    <t>SCUST2051161/KXLB04/XM205.02.02</t>
  </si>
  <si>
    <t>A7-2-402/房款/多浪小镇A6-9#、13#项目</t>
  </si>
  <si>
    <t>SCUST2051162/KXLB04/XM205.02.02</t>
  </si>
  <si>
    <t>A8-1-201/房款/多浪小镇A6-9#、13#项目</t>
  </si>
  <si>
    <t>SCUST2051163/KXLB04/XM205.02.02</t>
  </si>
  <si>
    <t>A8-2-302/房款/多浪小镇A6-9#、13#项目</t>
  </si>
  <si>
    <t>SCUST2051164/KXLB04/XM205.02.02</t>
  </si>
  <si>
    <t>SCUST2051165/KXLB04/XM205.02.02</t>
  </si>
  <si>
    <t>A8-1-202/房款/多浪小镇A6-9#、13#项目</t>
  </si>
  <si>
    <t>SCUST2051166/KXLB04/XM205.02.02</t>
  </si>
  <si>
    <t>A8-2-403/房款/多浪小镇A6-9#、13#项目</t>
  </si>
  <si>
    <t>SCUST2051167/KXLB04/XM205.02.02</t>
  </si>
  <si>
    <t>A8-1-602/房款/多浪小镇A6-9#、13#项目</t>
  </si>
  <si>
    <t>SCUST2051168/KXLB04/XM205.02.02</t>
  </si>
  <si>
    <t>A8-1-502/房款/多浪小镇A6-9#、13#项目</t>
  </si>
  <si>
    <t>SCUST2051169/KXLB04/XM205.02.02</t>
  </si>
  <si>
    <t>A8-2-602/房款/多浪小镇A6-9#、13#项目</t>
  </si>
  <si>
    <t>SCUST2051170/KXLB04/XM205.02.02</t>
  </si>
  <si>
    <t>A8-1-504/房款/多浪小镇A6-9#、13#项目</t>
  </si>
  <si>
    <t>SCUST2051171/KXLB04/XM205.02.02</t>
  </si>
  <si>
    <t>A8-1-503/房款/多浪小镇A6-9#、13#项目</t>
  </si>
  <si>
    <t>SCUST2051172/KXLB04/XM205.02.02</t>
  </si>
  <si>
    <t>A8-1-104/房款/多浪小镇A6-9#、13#项目</t>
  </si>
  <si>
    <t>SCUST2051173/KXLB04/XM205.02.02</t>
  </si>
  <si>
    <t>A8-1-103/房款/多浪小镇A6-9#、13#项目</t>
  </si>
  <si>
    <t>SCUST2051174/KXLB04/XM205.02.02</t>
  </si>
  <si>
    <t>A9-2-103/房款/多浪小镇A6-9#、13#项目</t>
  </si>
  <si>
    <t>SCUST2051175/KXLB04/XM205.02.02</t>
  </si>
  <si>
    <t>A9-1-501/房款/多浪小镇A6-9#、13#项目</t>
  </si>
  <si>
    <t>SCUST2051176/KXLB04/XM205.02.02</t>
  </si>
  <si>
    <t>A9-1-504/房款/多浪小镇A6-9#、13#项目</t>
  </si>
  <si>
    <t>SCUST2051177/KXLB04/XM205.02.02</t>
  </si>
  <si>
    <t>A9-1-601/房款/多浪小镇A6-9#、13#项目</t>
  </si>
  <si>
    <t>SCUST2051178/KXLB04/XM205.02.02</t>
  </si>
  <si>
    <t>A9-1-201/房款/多浪小镇A6-9#、13#项目</t>
  </si>
  <si>
    <t>SCUST2051179/KXLB04/XM205.02.02</t>
  </si>
  <si>
    <t>A9-2-302/房款/多浪小镇A6-9#、13#项目</t>
  </si>
  <si>
    <t>SCUST2051180/KXLB04/XM205.02.02</t>
  </si>
  <si>
    <t>A9-1-202/房款/多浪小镇A6-9#、13#项目</t>
  </si>
  <si>
    <t>SCUST2051181/KXLB04/XM205.02.02</t>
  </si>
  <si>
    <t>A9-1-204/房款/多浪小镇A6-9#、13#项目</t>
  </si>
  <si>
    <t>SCUST2051182/KXLB04/XM205.02.02</t>
  </si>
  <si>
    <t>A9-1-602/房款/多浪小镇A6-9#、13#项目</t>
  </si>
  <si>
    <t>SCUST2051183/KXLB04/XM205.02.02</t>
  </si>
  <si>
    <t>A9-2-401/房款/多浪小镇A6-9#、13#项目</t>
  </si>
  <si>
    <t>SCUST2051184/KXLB04/XM205.02.02</t>
  </si>
  <si>
    <t>A9-2-301/房款/多浪小镇A6-9#、13#项目</t>
  </si>
  <si>
    <t>SCUST2051185/KXLB04/XM205.02.02</t>
  </si>
  <si>
    <t>A9-1-102/房款/多浪小镇A6-9#、13#项目</t>
  </si>
  <si>
    <t>SCUST2051186/KXLB04/XM205.02.02</t>
  </si>
  <si>
    <t>A13-1-104/房款/多浪小镇A6-9#、13#项目</t>
  </si>
  <si>
    <t>SCUST2051187/KXLB04/XM205.02.02</t>
  </si>
  <si>
    <t>A13-1-302/房款/多浪小镇A6-9#、13#项目</t>
  </si>
  <si>
    <t>SCUST2051188/KXLB04/XM205.02.02</t>
  </si>
  <si>
    <t>A13-2-401/房款/多浪小镇A6-9#、13#项目</t>
  </si>
  <si>
    <t>SCUST2051189/KXLB04/XM205.02.02</t>
  </si>
  <si>
    <t>A13-2-602/房款/多浪小镇A6-9#、13#项目</t>
  </si>
  <si>
    <t>SCUST2051190/KXLB04/XM205.01</t>
  </si>
  <si>
    <t>C6-1-102/房款/多浪C区</t>
  </si>
  <si>
    <t>SCUST2051192/KXLB04/XM205.03</t>
  </si>
  <si>
    <t>王金川/房款/康泰公寓</t>
  </si>
  <si>
    <t>2211</t>
  </si>
  <si>
    <t>应付职工薪酬</t>
  </si>
  <si>
    <t>2211.01</t>
  </si>
  <si>
    <t>　　工资</t>
  </si>
  <si>
    <t>2211.02</t>
  </si>
  <si>
    <t>　　职工福利</t>
  </si>
  <si>
    <t>2211.03</t>
  </si>
  <si>
    <t>　　社会保险费</t>
  </si>
  <si>
    <t>2211.04</t>
  </si>
  <si>
    <t>　　工会经费</t>
  </si>
  <si>
    <t>2221</t>
  </si>
  <si>
    <t>应交税费</t>
  </si>
  <si>
    <t>2221.01</t>
  </si>
  <si>
    <t>　　应交增值税</t>
  </si>
  <si>
    <t>2221.01.01</t>
  </si>
  <si>
    <t>　　　　进项税额</t>
  </si>
  <si>
    <t>JX005/SL06/VEN99999/SHT2059999/XM205.02</t>
  </si>
  <si>
    <t>航空运输电子客票行程单/9%/期初导入不区分/期初导入不区分/多浪小镇</t>
  </si>
  <si>
    <t>JX006/SL06/VEN99999/SHT2059999/XM205.02.02</t>
  </si>
  <si>
    <t>铁路车票/9%/期初导入不区分/期初导入不区分/多浪小镇A6-9#、13#项目</t>
  </si>
  <si>
    <t>JX006/SL06/VEN99999/SHT2059999/XM205.99</t>
  </si>
  <si>
    <t>铁路车票/9%/期初导入不区分/期初导入不区分/期初导入不区分</t>
  </si>
  <si>
    <t>JX008/SL01/VEN00415/SHT2051785/XM205.02.02</t>
  </si>
  <si>
    <t>增值税专用发票/1%/阿克苏德恒广达商贸有限公司/阿克苏德恒广达商贸有限公司/多浪小镇A6-9#、13#项目</t>
  </si>
  <si>
    <t>JX008/SL01/VEN00417/SHT2051787/XM205.02</t>
  </si>
  <si>
    <t>增值税专用发票/1%/新疆慧联税务师事务所有限公司/新疆慧联税务师事务所有限公司/多浪小镇</t>
  </si>
  <si>
    <t>JX008/SL01/VEN00787/SHT2050113/XM205.02</t>
  </si>
  <si>
    <t>增值税专用发票/1%/阿克苏雅佳伟业建筑装饰有限公司/阿克苏雅佳伟业水电安装维修合同/多浪小镇</t>
  </si>
  <si>
    <t>JX008/SL05/VEN00747/SHT2050097/XM205.02</t>
  </si>
  <si>
    <t>增值税专用发票/6%/北京盈科（库尔勒）律师事务所/北京盈科律师事务所/多浪小镇</t>
  </si>
  <si>
    <t>JX008/SL06/VEN00023/SHT2051874/XM205.02.01</t>
  </si>
  <si>
    <t>增值税专用发票/9%/新疆通力建设集团股份有限公司/新疆通力建设集团股份有限公司/多浪小镇A1-5#、A14项目</t>
  </si>
  <si>
    <t>JX008/SL06/VEN00023/SHT2051874/XM205.02.02</t>
  </si>
  <si>
    <t>增值税专用发票/9%/新疆通力建设集团股份有限公司/新疆通力建设集团股份有限公司/多浪小镇A6-9#、13#项目</t>
  </si>
  <si>
    <t>JX008/SL06/VEN99999/SHT2059999/XM205.99</t>
  </si>
  <si>
    <t>增值税专用发票/9%/期初导入不区分/期初导入不区分/期初导入不区分</t>
  </si>
  <si>
    <t>JX008/SL09/VEN99999/SHT2059999/XM205.02</t>
  </si>
  <si>
    <t>增值税专用发票/13%/期初导入不区分/期初导入不区分/多浪小镇</t>
  </si>
  <si>
    <t>JX009/SL01/VEN99999/SHT2059999/XM205.99</t>
  </si>
  <si>
    <t>增值税电子专用发票/1%/期初导入不区分/期初导入不区分/期初导入不区分</t>
  </si>
  <si>
    <t>JX009/SL06/VEN00023/SHT2051874/XM205.02.01</t>
  </si>
  <si>
    <t>增值税电子专用发票/9%/新疆通力建设集团股份有限公司/新疆通力建设集团股份有限公司/多浪小镇A1-5#、A14项目</t>
  </si>
  <si>
    <t>JX099/SL99/VEN99999/SHT2059999/XM205.99</t>
  </si>
  <si>
    <t>期初导入不区分/期初导入不区分/期初导入不区分/期初导入不区分/期初导入不区分</t>
  </si>
  <si>
    <t>2221.01.02</t>
  </si>
  <si>
    <t>　　　　销项税额</t>
  </si>
  <si>
    <t>XM205.02</t>
  </si>
  <si>
    <t>XM205.03</t>
  </si>
  <si>
    <t>2221.01.05</t>
  </si>
  <si>
    <t>　　　　已交税金</t>
  </si>
  <si>
    <t>2221.01.06</t>
  </si>
  <si>
    <t>　　　　减免税款</t>
  </si>
  <si>
    <t>2221.02</t>
  </si>
  <si>
    <t>　　未交增值税</t>
  </si>
  <si>
    <t>2221.05</t>
  </si>
  <si>
    <t>　　应交企业所得税</t>
  </si>
  <si>
    <t>2221.06</t>
  </si>
  <si>
    <t>　　应交土地增值税</t>
  </si>
  <si>
    <t>XM205.01</t>
  </si>
  <si>
    <t>多浪C区</t>
  </si>
  <si>
    <t>XM205.02.01/SL01</t>
  </si>
  <si>
    <t>多浪小镇A1-5#、A14项目/1%</t>
  </si>
  <si>
    <t>XM205.02.01/SL03</t>
  </si>
  <si>
    <t>多浪小镇A1-5#、A14项目/3%</t>
  </si>
  <si>
    <t>XM205.02.01/SL99</t>
  </si>
  <si>
    <t>多浪小镇A1-5#、A14项目/期初导入不区分</t>
  </si>
  <si>
    <t>XM205.02.02/SL01</t>
  </si>
  <si>
    <t>多浪小镇A6-9#、13#项目/1%</t>
  </si>
  <si>
    <t>XM205.02.03</t>
  </si>
  <si>
    <t>XM205.03/SL01</t>
  </si>
  <si>
    <t>康泰公寓/1%</t>
  </si>
  <si>
    <t>XM205.03/SL03</t>
  </si>
  <si>
    <t>康泰公寓/3%</t>
  </si>
  <si>
    <t>XM205.03/SL99</t>
  </si>
  <si>
    <t>康泰公寓/期初导入不区分</t>
  </si>
  <si>
    <t>2221.07</t>
  </si>
  <si>
    <t>　　应交城市维护建设税</t>
  </si>
  <si>
    <t>2221.08</t>
  </si>
  <si>
    <t>　　应交房产税</t>
  </si>
  <si>
    <t>2221.09</t>
  </si>
  <si>
    <t>　　应交土地使用税</t>
  </si>
  <si>
    <t>2221.11</t>
  </si>
  <si>
    <t>　　应交教育费附加</t>
  </si>
  <si>
    <t>2221.13</t>
  </si>
  <si>
    <t>　　代扣个人所得税</t>
  </si>
  <si>
    <t>2221.14</t>
  </si>
  <si>
    <t>　　预交增值税</t>
  </si>
  <si>
    <t>2221.15</t>
  </si>
  <si>
    <t>　　待认证进项税</t>
  </si>
  <si>
    <t>VEN99999/SHT2059999/SL99/XM205.99</t>
  </si>
  <si>
    <t>期初导入不区分/期初导入不区分/期初导入不区分/期初导入不区分</t>
  </si>
  <si>
    <t>2221.16</t>
  </si>
  <si>
    <t>　　应交印花税</t>
  </si>
  <si>
    <t>2221.17</t>
  </si>
  <si>
    <t>　　地方教育费附加</t>
  </si>
  <si>
    <t>2221.18</t>
  </si>
  <si>
    <t>　　简易计税</t>
  </si>
  <si>
    <t>2241</t>
  </si>
  <si>
    <t>2241.01</t>
  </si>
  <si>
    <t>　　客户往来</t>
  </si>
  <si>
    <t>SCUST2050514/KXLB09</t>
  </si>
  <si>
    <t>康泰公寓车库124#125#刘巧丽/往来款</t>
  </si>
  <si>
    <t>SCUST2051191/KXLB09</t>
  </si>
  <si>
    <t>5-4-402/往来款</t>
  </si>
  <si>
    <t>SCUST2051192/KXLB09</t>
  </si>
  <si>
    <t>王金川/往来款</t>
  </si>
  <si>
    <t>SCUST2051193/KXLB09</t>
  </si>
  <si>
    <t>王德军康泰04库房/往来款</t>
  </si>
  <si>
    <t>2241.02</t>
  </si>
  <si>
    <t>VEN00003/KXLB09</t>
  </si>
  <si>
    <t>新疆宝发农资集团股份有限公司/往来款</t>
  </si>
  <si>
    <t>VEN00019/KXLB09</t>
  </si>
  <si>
    <t>阿克苏通力房地产开发有限公司/往来款</t>
  </si>
  <si>
    <t>VEN00031/KXLB09</t>
  </si>
  <si>
    <t>新疆通力房地产开发有限公司拜城县分公司/往来款</t>
  </si>
  <si>
    <t>VEN00040/KXLB09</t>
  </si>
  <si>
    <t>张自舟/往来款</t>
  </si>
  <si>
    <t>VEN00056/KXLB09</t>
  </si>
  <si>
    <t>周九桂/往来款</t>
  </si>
  <si>
    <t>VEN00380/KXLB09</t>
  </si>
  <si>
    <t>阿克苏市永诚广告装饰店/往来款</t>
  </si>
  <si>
    <t>VEN00390/KXLB09</t>
  </si>
  <si>
    <t>阿克苏顺裕农业科技开发有限公司/往来款</t>
  </si>
  <si>
    <t>VEN00401/KXLB09</t>
  </si>
  <si>
    <t>多浪三期入会费/往来款</t>
  </si>
  <si>
    <t>VEN00408/KXLB09</t>
  </si>
  <si>
    <t>新疆创为电力建设工程有限公司阿克苏市-分公司/往来款</t>
  </si>
  <si>
    <t>VEN00408/KXLB99</t>
  </si>
  <si>
    <t>新疆创为电力建设工程有限公司阿克苏市-分公司/期初导入不区分</t>
  </si>
  <si>
    <t>VEN00410/KXLB09</t>
  </si>
  <si>
    <t>保证金网外支付过度户/往来款</t>
  </si>
  <si>
    <t>VEN00428/KXLB09</t>
  </si>
  <si>
    <t>阿克苏市卓悦美家政服务部/往来款</t>
  </si>
  <si>
    <t>VEN00430/KXLB09</t>
  </si>
  <si>
    <t>新疆华科电力设备有限责任公司/往来款</t>
  </si>
  <si>
    <t>VEN00431/KXLB09</t>
  </si>
  <si>
    <t>康泰公寓/往来款</t>
  </si>
  <si>
    <t>VEN00433/KXLB09</t>
  </si>
  <si>
    <t>阿克苏爱家物业服务有限公司/往来款</t>
  </si>
  <si>
    <t>VEN00435/KXLB09</t>
  </si>
  <si>
    <t>保证金网外支付过渡户/往来款</t>
  </si>
  <si>
    <t>VEN00436/KXLB09</t>
  </si>
  <si>
    <t>杨兰斌/往来款</t>
  </si>
  <si>
    <t>VEN00437/KXLB09</t>
  </si>
  <si>
    <t>严晰/往来款</t>
  </si>
  <si>
    <t>VEN00438/KXLB09</t>
  </si>
  <si>
    <t>李鹏/往来款</t>
  </si>
  <si>
    <t>VEN00439/KXLB09</t>
  </si>
  <si>
    <t>浙江梅轮电梯/往来款</t>
  </si>
  <si>
    <t>VEN00441/KXLB09</t>
  </si>
  <si>
    <t>周杰/往来款</t>
  </si>
  <si>
    <t>VEN00442/KXLB09</t>
  </si>
  <si>
    <t>李建国/往来款</t>
  </si>
  <si>
    <t>VEN00443/KXLB09</t>
  </si>
  <si>
    <t>刘善学、李冬松/往来款</t>
  </si>
  <si>
    <t>VEN00446/KXLB09</t>
  </si>
  <si>
    <t>阿克苏诚达混凝土有限责任公司/往来款</t>
  </si>
  <si>
    <t>VEN00448/KXLB09</t>
  </si>
  <si>
    <t>张政龙/往来款</t>
  </si>
  <si>
    <t>VEN00449/KXLB09</t>
  </si>
  <si>
    <t>汪永洁/往来款</t>
  </si>
  <si>
    <t>VEN00450/KXLB09</t>
  </si>
  <si>
    <t>诚意金/往来款</t>
  </si>
  <si>
    <t>VEN00451/KXLB09</t>
  </si>
  <si>
    <t>新洋电力建设有限公司阿克苏分公司/往来款</t>
  </si>
  <si>
    <t>VEN00452/KXLB09</t>
  </si>
  <si>
    <t>余卫东/往来款</t>
  </si>
  <si>
    <t>VEN00453/KXLB09</t>
  </si>
  <si>
    <t>黄山/往来款</t>
  </si>
  <si>
    <t>VEN00489/KXLB09</t>
  </si>
  <si>
    <t>押金/往来款</t>
  </si>
  <si>
    <t>VEN00501/KXLB09</t>
  </si>
  <si>
    <t>吐尔迪·麦提尼亚孜/往来款</t>
  </si>
  <si>
    <t>VEN00589/KXLB09</t>
  </si>
  <si>
    <t>韩帅/往来款</t>
  </si>
  <si>
    <t>VEN00787/KXLB09</t>
  </si>
  <si>
    <t>阿克苏雅佳伟业建筑装饰有限公司/往来款</t>
  </si>
  <si>
    <t>2241.03</t>
  </si>
  <si>
    <t>yz0068/KXLB09</t>
  </si>
  <si>
    <t>崔小丽/往来款</t>
  </si>
  <si>
    <t>yz0069/KXLB09</t>
  </si>
  <si>
    <t>金红梅/往来款</t>
  </si>
  <si>
    <t>yz0176/KXLB99</t>
  </si>
  <si>
    <t>李梦鑫/期初导入不区分</t>
  </si>
  <si>
    <t>4001</t>
  </si>
  <si>
    <t>实收资本</t>
  </si>
  <si>
    <t>VEN00018</t>
  </si>
  <si>
    <t>新疆通力房地产开发有限公司</t>
  </si>
  <si>
    <t>4103</t>
  </si>
  <si>
    <t>本年利润</t>
  </si>
  <si>
    <t>4104</t>
  </si>
  <si>
    <t>利润分配</t>
  </si>
  <si>
    <t>4104.01</t>
  </si>
  <si>
    <t>　　提取法定盈余公积</t>
  </si>
  <si>
    <t>4104.06</t>
  </si>
  <si>
    <t>　　未分配利润</t>
  </si>
  <si>
    <t>5001</t>
  </si>
  <si>
    <t>开发成本</t>
  </si>
  <si>
    <t>5001.01</t>
  </si>
  <si>
    <t>　　土地征用及拆迁补偿费</t>
  </si>
  <si>
    <t>VEN99999/SHT2059999/XM205.02.01</t>
  </si>
  <si>
    <t>期初导入不区分/期初导入不区分/多浪小镇A1-5#、A14项目</t>
  </si>
  <si>
    <t>VEN99999/SHT2059999/XM205.04</t>
  </si>
  <si>
    <t>期初导入不区分/期初导入不区分/御城锦都小区</t>
  </si>
  <si>
    <t>VEN99999/SHT2059999/XM205.99</t>
  </si>
  <si>
    <t>期初导入不区分/期初导入不区分/期初导入不区分</t>
  </si>
  <si>
    <t>5001.02</t>
  </si>
  <si>
    <t>　　前期工程费</t>
  </si>
  <si>
    <t>VEN99999/SHT2059999/XM205.02.02</t>
  </si>
  <si>
    <t>期初导入不区分/期初导入不区分/多浪小镇A6-9#、13#项目</t>
  </si>
  <si>
    <t>VEN99999/SHT2059999/XM205.03</t>
  </si>
  <si>
    <t>期初导入不区分/期初导入不区分/康泰公寓</t>
  </si>
  <si>
    <t>5001.03</t>
  </si>
  <si>
    <t>　　基础设施费</t>
  </si>
  <si>
    <t>5001.04</t>
  </si>
  <si>
    <t>　　建筑安装工程费</t>
  </si>
  <si>
    <t>5001.05</t>
  </si>
  <si>
    <t>　　配套设施费</t>
  </si>
  <si>
    <t>5001.09</t>
  </si>
  <si>
    <t>　　开发成本结转</t>
  </si>
  <si>
    <t>5102</t>
  </si>
  <si>
    <t>开发间接费</t>
  </si>
  <si>
    <t>CI023</t>
  </si>
  <si>
    <t>办公费</t>
  </si>
  <si>
    <t>CI027</t>
  </si>
  <si>
    <t>维修费</t>
  </si>
  <si>
    <t>CI041</t>
  </si>
  <si>
    <t>监理费</t>
  </si>
  <si>
    <t>CI099</t>
  </si>
  <si>
    <t>FYXM02_SYS</t>
  </si>
  <si>
    <t>运费</t>
  </si>
  <si>
    <t>FYXM07_SYS</t>
  </si>
  <si>
    <t>工资</t>
  </si>
  <si>
    <t>6001</t>
  </si>
  <si>
    <t>6001.01</t>
  </si>
  <si>
    <t>　　房地产收入</t>
  </si>
  <si>
    <t>XM205.04</t>
  </si>
  <si>
    <t>御城锦都小区</t>
  </si>
  <si>
    <t>6051</t>
  </si>
  <si>
    <t>其他业务收入</t>
  </si>
  <si>
    <t>6051.01</t>
  </si>
  <si>
    <t>　　租金收入</t>
  </si>
  <si>
    <t>6301</t>
  </si>
  <si>
    <t>营业外收入</t>
  </si>
  <si>
    <t>6301.01</t>
  </si>
  <si>
    <t>　　政府补助利得</t>
  </si>
  <si>
    <t>6301.02</t>
  </si>
  <si>
    <t>　　确实无法偿付的应付款项</t>
  </si>
  <si>
    <t>6301.09</t>
  </si>
  <si>
    <t>　　其它</t>
  </si>
  <si>
    <t>6401</t>
  </si>
  <si>
    <t>主营业务成本</t>
  </si>
  <si>
    <t>6401.01</t>
  </si>
  <si>
    <t>　　房地产成本</t>
  </si>
  <si>
    <t>6403</t>
  </si>
  <si>
    <t>税金及附加</t>
  </si>
  <si>
    <t>6403.01</t>
  </si>
  <si>
    <t>　　印花税</t>
  </si>
  <si>
    <t>6403.99</t>
  </si>
  <si>
    <t>6601</t>
  </si>
  <si>
    <t>销售费用</t>
  </si>
  <si>
    <t>CI003</t>
  </si>
  <si>
    <t>展览费和广告费</t>
  </si>
  <si>
    <t>CI004</t>
  </si>
  <si>
    <t>业务宣传费</t>
  </si>
  <si>
    <t>CI028</t>
  </si>
  <si>
    <t>差旅费</t>
  </si>
  <si>
    <t>CI036</t>
  </si>
  <si>
    <t>销售佣金</t>
  </si>
  <si>
    <t>CI037</t>
  </si>
  <si>
    <t>销售套奖</t>
  </si>
  <si>
    <t>CI039</t>
  </si>
  <si>
    <t>车辆费用</t>
  </si>
  <si>
    <t>FYXM13_SYS</t>
  </si>
  <si>
    <t>团队活动费</t>
  </si>
  <si>
    <t>6602</t>
  </si>
  <si>
    <t>管理费用</t>
  </si>
  <si>
    <t>CI013</t>
  </si>
  <si>
    <t>福利费</t>
  </si>
  <si>
    <t>CI014</t>
  </si>
  <si>
    <t>社会保险</t>
  </si>
  <si>
    <t>CI015</t>
  </si>
  <si>
    <t>失业保险</t>
  </si>
  <si>
    <t>CI016</t>
  </si>
  <si>
    <t>医疗保险</t>
  </si>
  <si>
    <t>CI017</t>
  </si>
  <si>
    <t>工伤保险</t>
  </si>
  <si>
    <t>CI019</t>
  </si>
  <si>
    <t>工会经费</t>
  </si>
  <si>
    <t>CI021</t>
  </si>
  <si>
    <t>住房公积金</t>
  </si>
  <si>
    <t>CI025</t>
  </si>
  <si>
    <t>燃油费</t>
  </si>
  <si>
    <t>CI026</t>
  </si>
  <si>
    <t>保险费</t>
  </si>
  <si>
    <t>CI029</t>
  </si>
  <si>
    <t>水电费</t>
  </si>
  <si>
    <t>CI032</t>
  </si>
  <si>
    <t>评估咨询费</t>
  </si>
  <si>
    <t>CI040</t>
  </si>
  <si>
    <t>其他</t>
  </si>
  <si>
    <t>CI042</t>
  </si>
  <si>
    <t>工程管理咨询费</t>
  </si>
  <si>
    <t>CI047</t>
  </si>
  <si>
    <t>咨询管理费</t>
  </si>
  <si>
    <t>CI056</t>
  </si>
  <si>
    <t>低值易耗品</t>
  </si>
  <si>
    <t>FYXM01_SYS</t>
  </si>
  <si>
    <t>材料成本</t>
  </si>
  <si>
    <t>FYXM09_SYS</t>
  </si>
  <si>
    <t>业务招待费</t>
  </si>
  <si>
    <t>FYXM11_SYS</t>
  </si>
  <si>
    <t>交通费</t>
  </si>
  <si>
    <t>FYXM12_SYS</t>
  </si>
  <si>
    <t>电话费</t>
  </si>
  <si>
    <t>FYXM17_SYS</t>
  </si>
  <si>
    <t>租赁费</t>
  </si>
  <si>
    <t>6603</t>
  </si>
  <si>
    <t>财务费用</t>
  </si>
  <si>
    <t>6603.01</t>
  </si>
  <si>
    <t>　　利息支出</t>
  </si>
  <si>
    <t>6603.02</t>
  </si>
  <si>
    <t>　　利息收入</t>
  </si>
  <si>
    <t>6603.04</t>
  </si>
  <si>
    <t>　　手续费</t>
  </si>
  <si>
    <t>6603.06</t>
  </si>
  <si>
    <t>　　其他</t>
  </si>
  <si>
    <t>6711</t>
  </si>
  <si>
    <t>营业外支出</t>
  </si>
  <si>
    <t>6711.01</t>
  </si>
  <si>
    <t>　　罚没支出</t>
  </si>
  <si>
    <t>6711.03</t>
  </si>
  <si>
    <t>　　滞纳金</t>
  </si>
  <si>
    <t>6711.09</t>
  </si>
  <si>
    <t>6801</t>
  </si>
  <si>
    <t>所得税费用</t>
  </si>
  <si>
    <t>6901</t>
  </si>
  <si>
    <t>以前年度损益调整</t>
  </si>
  <si>
    <t>税务登记证工本费</t>
  </si>
  <si>
    <t>209</t>
  </si>
  <si>
    <t>新疆缇睦房地产开发有限责任公司阿克苏分公司</t>
  </si>
  <si>
    <t>缇睦房产阿分公司垫付刻章费</t>
  </si>
  <si>
    <t>通力房产公司阿分公司垫付刻章费</t>
  </si>
  <si>
    <t>缇睦房产阿分公司垫付所得税汇算清缴费</t>
  </si>
  <si>
    <t>审计费</t>
  </si>
  <si>
    <t>借阿分公司</t>
  </si>
  <si>
    <t>借款</t>
  </si>
  <si>
    <t>印鉴变更手续费</t>
  </si>
  <si>
    <t>新疆缇睦房地产开发有限责任公司</t>
  </si>
  <si>
    <t>通力房产公司垫付康泰公寓工程款</t>
  </si>
  <si>
    <t>通力房产阿分公司垫付康泰公寓防雷款</t>
  </si>
  <si>
    <t>通力阿克苏分公司垫付康泰公寓土地测绘费</t>
  </si>
  <si>
    <t>通力阿克苏分公司垫付土地证工本费</t>
  </si>
  <si>
    <t>通力阿克苏分公司垫付土地使用证费</t>
  </si>
  <si>
    <t>还款</t>
  </si>
  <si>
    <t>还借款</t>
  </si>
  <si>
    <t>通力房产垫付合同款</t>
  </si>
  <si>
    <t>康泰公寓门牌制作费</t>
  </si>
  <si>
    <t>还通力房产阿分公司款</t>
  </si>
  <si>
    <t>康泰公寓成本由通力房产阿克苏分公司转入</t>
  </si>
  <si>
    <t>果园项目由阿克苏通力房产开发，成本转入</t>
  </si>
  <si>
    <t>鑫通人工费转入</t>
  </si>
  <si>
    <t>缇睦房产名称变更为通力房产，余额结转</t>
  </si>
  <si>
    <t>新疆通力房地产开发有限责任公司</t>
  </si>
  <si>
    <t>收程广3-2-301借款</t>
  </si>
  <si>
    <t>收叶坤4-1-401房款</t>
  </si>
  <si>
    <t>收古云龙7-4-501房款</t>
  </si>
  <si>
    <t>收兰建军4-2-401房款</t>
  </si>
  <si>
    <t>通力房产公司垫付办公费</t>
  </si>
  <si>
    <t>收张聪6-2-502房款</t>
  </si>
  <si>
    <t>收王国静4-2-403房款</t>
  </si>
  <si>
    <t>通力房产阿克苏分公司垫付业务费</t>
  </si>
  <si>
    <t>收兰建军4-2-401借款</t>
  </si>
  <si>
    <t>收王平2-3-502借款</t>
  </si>
  <si>
    <t>还通力房产款</t>
  </si>
  <si>
    <t>退李明和3-1-501借款</t>
  </si>
  <si>
    <t>通力房产公司垫付业务费</t>
  </si>
  <si>
    <t>收王巧芳6-4-502借款</t>
  </si>
  <si>
    <t>通力房产公司垫付增资验资费</t>
  </si>
  <si>
    <t>通力房产阿克苏分公司垫付退多收房款4-1-401</t>
  </si>
  <si>
    <t>通力房产阿克苏分公司垫付刻章费</t>
  </si>
  <si>
    <t>收张明国2-1-202借款</t>
  </si>
  <si>
    <t>通力房产阿克苏分公司垫付1月份销售佣金</t>
  </si>
  <si>
    <t>支代惠灵6-1-501</t>
  </si>
  <si>
    <t>收蹇丽2-2-502室</t>
  </si>
  <si>
    <t>收王子奇2-3-201</t>
  </si>
  <si>
    <t>收许晓云3-2-302</t>
  </si>
  <si>
    <t>收赵胜得4-2-401借款</t>
  </si>
  <si>
    <t>退6-1-601借款</t>
  </si>
  <si>
    <t>收周青松2-2-101借款</t>
  </si>
  <si>
    <t>销户转款</t>
  </si>
  <si>
    <t>通力房产阿克苏分公司垫付测绘费</t>
  </si>
  <si>
    <t>通力房产阿克苏分公司垫付门牌号及门牌证号</t>
  </si>
  <si>
    <t>康泰2-3-601借款</t>
  </si>
  <si>
    <t>康泰2-1-302借款</t>
  </si>
  <si>
    <t>康泰4-2-401借款</t>
  </si>
  <si>
    <t>借通力房产公司阿克苏分公司款</t>
  </si>
  <si>
    <t>康泰6-3-502借款</t>
  </si>
  <si>
    <t>康泰2-2-601借款</t>
  </si>
  <si>
    <t>康泰2-1-301借款</t>
  </si>
  <si>
    <t>6-4-302杨均华借款</t>
  </si>
  <si>
    <t>还阿克苏通力房产公司款</t>
  </si>
  <si>
    <t>收陈祥2-2-602房款</t>
  </si>
  <si>
    <t>收李慧玲康泰2-3-501房款</t>
  </si>
  <si>
    <t>通力房产垫付康泰公寓工程款</t>
  </si>
  <si>
    <t>借通力房阿克苏分公司款</t>
  </si>
  <si>
    <t>收丁防震6-1-402房款</t>
  </si>
  <si>
    <t>收李龙6-1-202房款</t>
  </si>
  <si>
    <t>收王炯6-2-301房款</t>
  </si>
  <si>
    <t>收蒋春飞康泰2-2-201房款</t>
  </si>
  <si>
    <t>收荣艳康泰6-2-401房款</t>
  </si>
  <si>
    <t>收潘振远康泰6-3-201房款</t>
  </si>
  <si>
    <t>收刘东康泰6-1-401房款</t>
  </si>
  <si>
    <t>收王国静康泰4-2-403房款</t>
  </si>
  <si>
    <t>收李忠康泰6-1-502房款</t>
  </si>
  <si>
    <t>扣李瑞3月份社保</t>
  </si>
  <si>
    <t>李瑞-社保</t>
  </si>
  <si>
    <t>扣邵华明3月份社保</t>
  </si>
  <si>
    <t>邵华明-社保</t>
  </si>
  <si>
    <t>发放1季度绩效工资</t>
  </si>
  <si>
    <t>收张聪康泰6-2-502房款</t>
  </si>
  <si>
    <t>退付天余康泰4-2-501房款</t>
  </si>
  <si>
    <t>收李家菊康泰3-2-602房款</t>
  </si>
  <si>
    <t>收王炯康泰6-3-301房款</t>
  </si>
  <si>
    <t>收蹇丽康泰公寓2-2-502房款</t>
  </si>
  <si>
    <t>收王春丽康泰3-1-502房款</t>
  </si>
  <si>
    <t>收严均康泰6-4-501房款</t>
  </si>
  <si>
    <t>收游磊康泰2-3-302房款</t>
  </si>
  <si>
    <t>收王瑞华康泰6-4-201房款</t>
  </si>
  <si>
    <t>收张渠洪康泰3-2-202房款</t>
  </si>
  <si>
    <t>收罗世荣康泰3-1-101房款</t>
  </si>
  <si>
    <t>收付自强康泰6-2-301房款</t>
  </si>
  <si>
    <t>通力房产公司垫付报差旅费</t>
  </si>
  <si>
    <t>红枣</t>
  </si>
  <si>
    <t>新疆羌都枣业股份有限公司</t>
  </si>
  <si>
    <t>退4-1-102款</t>
  </si>
  <si>
    <t>收丁向阳康泰6-4-301房款</t>
  </si>
  <si>
    <t>收彭祥禄康泰3-2-102房款</t>
  </si>
  <si>
    <t>收谢传龙康泰6-3-601房款</t>
  </si>
  <si>
    <t>网银汇款总公司</t>
  </si>
  <si>
    <t>收黄得用康泰公寓换房款</t>
  </si>
  <si>
    <t>收黄得用康泰公寓换房款退款</t>
  </si>
  <si>
    <t>收汪得林康泰3-1-401房款</t>
  </si>
  <si>
    <t>收冯峰康泰公寓6-3-501房款</t>
  </si>
  <si>
    <t>收符波康泰3-1-501房款</t>
  </si>
  <si>
    <t>网银汇款</t>
  </si>
  <si>
    <t>管理人员4月份个人承担社保</t>
  </si>
  <si>
    <t>垫付通力阿克苏分公司审计报告费</t>
  </si>
  <si>
    <t>通力房产阿克苏分公司借款</t>
  </si>
  <si>
    <t>杨桂芝康泰2-3-601房款</t>
  </si>
  <si>
    <t>收孙雪芹4-1-202房款</t>
  </si>
  <si>
    <t>通力房产公司垫付还枣业公司款</t>
  </si>
  <si>
    <t>收唐才木康泰6-2-401房款（建行房贷款）</t>
  </si>
  <si>
    <t>收蒋春飞康泰2-2-201房款（建行房贷款）</t>
  </si>
  <si>
    <t>收陈维强康泰6-4-402房款</t>
  </si>
  <si>
    <t>收王炯康泰6-3-301房款（建行房贷款）</t>
  </si>
  <si>
    <t>收张聪康泰6-2-502房款（建行房贷款）</t>
  </si>
  <si>
    <t>收李先兵康泰6-4-202房款</t>
  </si>
  <si>
    <t>转款入新疆通力</t>
  </si>
  <si>
    <t>收权君华康泰7-5-202房款</t>
  </si>
  <si>
    <t>退丁向阳康泰6-4-301房款</t>
  </si>
  <si>
    <t>收解传龙康泰房款（建行放贷款）</t>
  </si>
  <si>
    <t>李瑞个人承担社保</t>
  </si>
  <si>
    <t>邵华明个人承担社保</t>
  </si>
  <si>
    <t>收张献军康泰2-3-602房款（工行放贷款）</t>
  </si>
  <si>
    <t>收王平康泰2-3-502房款（工行房贷款）</t>
  </si>
  <si>
    <t>收魏杰康泰6-3-502房款（工行房贷款）</t>
  </si>
  <si>
    <t>还新疆通力阿克苏分公司款</t>
  </si>
  <si>
    <t>收都彦磊康泰3-2-201房款</t>
  </si>
  <si>
    <t>收景阳康泰6-2-501房款</t>
  </si>
  <si>
    <t>收周青松康泰2-2-101房款(工行房贷款）</t>
  </si>
  <si>
    <t>收赵新红康泰6-2-402房款（工行房贷款）</t>
  </si>
  <si>
    <t>收李俊康泰3-1-201房款（工行房贷款）</t>
  </si>
  <si>
    <t>收冷磊磊康泰3-2-601房款（工行房贷款）</t>
  </si>
  <si>
    <t>收李家菊康泰3-2-602房款（建行放贷款）</t>
  </si>
  <si>
    <t>电汇款入总公司</t>
  </si>
  <si>
    <t>收冯开军康泰2-3-301房款</t>
  </si>
  <si>
    <t>收章如芬康泰2-3-402房款</t>
  </si>
  <si>
    <t>收任兴禄康泰6-4-502房款</t>
  </si>
  <si>
    <t>退赵胜得康泰4-2-401房款</t>
  </si>
  <si>
    <t>收黄得用康泰2-2-301房款</t>
  </si>
  <si>
    <t>通力房产公司垫付康泰公寓电梯款</t>
  </si>
  <si>
    <t>收李龙康泰6-1-202房款（建行房贷款）</t>
  </si>
  <si>
    <t>收王帅康泰6-3-602房款</t>
  </si>
  <si>
    <t>退王帅康泰6-3-602房款</t>
  </si>
  <si>
    <t>扣管理人员6月社保</t>
  </si>
  <si>
    <t>网银汇总公司</t>
  </si>
  <si>
    <t>网银汇款库尔勒总公司</t>
  </si>
  <si>
    <t>收丁防震康泰6-1-402房款（建行放贷款）</t>
  </si>
  <si>
    <t>收陈杰康泰2-1-502房款（工行放贷款）</t>
  </si>
  <si>
    <t>手李慧玲康泰2-3-501房款（工行放贷款）</t>
  </si>
  <si>
    <t>收胥阳阳康泰6-3-402房款</t>
  </si>
  <si>
    <t>收王子奇康泰2-3-201房款（工行放贷款）</t>
  </si>
  <si>
    <t>退刘胜菊康泰2-3-101房款</t>
  </si>
  <si>
    <t>收杨雷康泰6-1-302房款（工行放贷款）</t>
  </si>
  <si>
    <t>收杨均华康泰6-4-302房款（建行放贷款）</t>
  </si>
  <si>
    <t>收李雪康泰6-2-302房款</t>
  </si>
  <si>
    <t>垫付通力房产阿分公司款</t>
  </si>
  <si>
    <t>转款入新疆通力阿克苏分公司</t>
  </si>
  <si>
    <t>收胥阳阳康泰6-3-402房款（建行放贷款）</t>
  </si>
  <si>
    <t>收王梦杰康泰7-1-201房款</t>
  </si>
  <si>
    <t>收苗磊康泰7-4-502房款</t>
  </si>
  <si>
    <t>收曹勇军康泰3-1-602房款</t>
  </si>
  <si>
    <t>扣个人承担社保</t>
  </si>
  <si>
    <t>收张丽丽康泰7-1-401房款</t>
  </si>
  <si>
    <t>收李坤林康泰7-1-301房款</t>
  </si>
  <si>
    <t>收李雪康泰6-2-302房款（建行放贷款）</t>
  </si>
  <si>
    <t>收谢陈丽康泰3-1-401房款（建行放贷款）</t>
  </si>
  <si>
    <t>网银汇通力总公司</t>
  </si>
  <si>
    <t>退齐见社康泰1-3-401房款</t>
  </si>
  <si>
    <t>收郭怀鸽康泰7-3-302房款</t>
  </si>
  <si>
    <t>收代艳琼康泰2-1-302房款</t>
  </si>
  <si>
    <t>收荣小民康泰6-1-301房款</t>
  </si>
  <si>
    <t>收郭怀鸽康泰7-1-501房款</t>
  </si>
  <si>
    <t>退朱双平康泰2-3-102房款</t>
  </si>
  <si>
    <t>通力房产垫付支康泰公寓工程款</t>
  </si>
  <si>
    <t>收杨伟康泰3-1-301房款</t>
  </si>
  <si>
    <t>收付智琼康泰3-1-402房款</t>
  </si>
  <si>
    <t>管理人员8月份社保</t>
  </si>
  <si>
    <t>退付亮亮康泰1-2-201房款</t>
  </si>
  <si>
    <t>收彭祥禄康泰3-2-102房款（建行放贷款）</t>
  </si>
  <si>
    <t>收李鹏飞康泰3-1-302房款（建行放贷款）</t>
  </si>
  <si>
    <t>收李建超康泰3-2-401房款（工行放贷款）</t>
  </si>
  <si>
    <t>收付自强康泰6-2-301房款（建行放贷款）</t>
  </si>
  <si>
    <t>汇款库尔勒公司</t>
  </si>
  <si>
    <t>收王志宏康泰2-1-401房款</t>
  </si>
  <si>
    <t>收1-1-601莫玉蓉房款</t>
  </si>
  <si>
    <t>2-1-402赵东洋房款</t>
  </si>
  <si>
    <t>2-2-602陈美华房款</t>
  </si>
  <si>
    <t>6-1-501代惠灵房款</t>
  </si>
  <si>
    <t>康泰公寓天然气入户费</t>
  </si>
  <si>
    <t>7-5-202权君华房款</t>
  </si>
  <si>
    <t>通力房产公司垫付土地平整费</t>
  </si>
  <si>
    <t>借通力房产公司款</t>
  </si>
  <si>
    <t>退7-4-401叶阿听房款</t>
  </si>
  <si>
    <t>预付康泰公寓箱变款</t>
  </si>
  <si>
    <t>收莫美容康泰4-1-301房款</t>
  </si>
  <si>
    <t>收漆爱明康泰6-3-401房款</t>
  </si>
  <si>
    <t>退李彭彭康泰1-3-302房款</t>
  </si>
  <si>
    <t>收刘玉河康泰6-1-401房款（工行放贷款）</t>
  </si>
  <si>
    <t>收李俊霞康泰1-2-401房款</t>
  </si>
  <si>
    <t>收李风军康泰1-2-402房款</t>
  </si>
  <si>
    <t>退张龙康泰7-5-401房款</t>
  </si>
  <si>
    <t>收代艳琼康泰2-1-302房款（建行放贷款)</t>
  </si>
  <si>
    <t>收王帅康泰6-3-602房款（建行放贷款）</t>
  </si>
  <si>
    <t>退路真真康泰1-3-501房款</t>
  </si>
  <si>
    <t>通力房产阿分公司借款</t>
  </si>
  <si>
    <t>收王杰康泰6-3-302房款</t>
  </si>
  <si>
    <t>收祝东帅康泰3-1-102房款</t>
  </si>
  <si>
    <t>收周元康泰7-5-302房款</t>
  </si>
  <si>
    <t>退李新云康泰1-3-301房款</t>
  </si>
  <si>
    <t>收王文康泰4-1-201房款</t>
  </si>
  <si>
    <t>收程广康泰3-2-301房款（建行放贷款）</t>
  </si>
  <si>
    <t>收王志宏康泰2-1-401房款（建行放贷款）</t>
  </si>
  <si>
    <t>收李娟康泰2-2-202房款</t>
  </si>
  <si>
    <t>王建成康泰7-5-402房款</t>
  </si>
  <si>
    <t>网银汇款库尔勒公司</t>
  </si>
  <si>
    <t>退任小龙康泰1-4-401房款</t>
  </si>
  <si>
    <t>收李刘任康泰4-1-302房款（建行放贷款）</t>
  </si>
  <si>
    <t>收田海涛康泰1-2-502房款</t>
  </si>
  <si>
    <t>退李玉清康泰2-2-102房款</t>
  </si>
  <si>
    <t>收蔡均康泰2-1-301房款</t>
  </si>
  <si>
    <t>收杨伟康泰3-1-301房款（建行放贷款）</t>
  </si>
  <si>
    <t>收漆爱明康泰6-3-401房款（建行放贷款）</t>
  </si>
  <si>
    <t>收权君华康泰7-5-202房款（建行放贷款）</t>
  </si>
  <si>
    <t>收谭玉荣康泰2-1-102房款</t>
  </si>
  <si>
    <t>收廖彩云康泰3-2-501房款</t>
  </si>
  <si>
    <t>管理人员10月份社保</t>
  </si>
  <si>
    <t>收叶坤康泰4-1-401房款（建行放贷款）</t>
  </si>
  <si>
    <t>收虞军康泰6-1-101房款</t>
  </si>
  <si>
    <t>收霍存武康泰1-1-602房款</t>
  </si>
  <si>
    <t>收周元康泰7-5-302房款（建行放贷款）</t>
  </si>
  <si>
    <t>收景阳康泰6-2-501房款（建行放贷款）</t>
  </si>
  <si>
    <t>收李娟康泰2-2-202房款（建行放贷款）</t>
  </si>
  <si>
    <t>收王建成康泰7-5-402房款（建行放贷款）</t>
  </si>
  <si>
    <t>收张莉康泰4-3-401房款（建行放贷款）</t>
  </si>
  <si>
    <t>收张明国康泰2-1-202房款</t>
  </si>
  <si>
    <t>收莫玉蓉康泰7-1-601房款</t>
  </si>
  <si>
    <t>收李军英康泰7-5-301房款</t>
  </si>
  <si>
    <t>收李克永康泰2-2-501房款（工行放贷款）</t>
  </si>
  <si>
    <t>收邢飞康泰7-5-201房款</t>
  </si>
  <si>
    <t>通力房产阿克苏分公司、通力房产垫付康泰公寓工程款</t>
  </si>
  <si>
    <t>壁挂炉</t>
  </si>
  <si>
    <t>收贾秀娟康泰4-1-101房款</t>
  </si>
  <si>
    <t>退黄荍康泰1-4-502房款</t>
  </si>
  <si>
    <t>收吉权康泰3-1-202房款</t>
  </si>
  <si>
    <t>退莫玉蓉差价款</t>
  </si>
  <si>
    <t>退肖厚胜康泰1-1-201房款</t>
  </si>
  <si>
    <t>收刘增银康泰2-2-401房款（建行放贷款）</t>
  </si>
  <si>
    <t>收李熙康泰4-3-503房款（建行放贷款）</t>
  </si>
  <si>
    <t>收苗磊康泰7-4-502房款（建行放贷款）</t>
  </si>
  <si>
    <t>管理人员11月份社保</t>
  </si>
  <si>
    <t>收史延成康泰7-4-301房款</t>
  </si>
  <si>
    <t>退邢飞康泰7-5-201房款</t>
  </si>
  <si>
    <t>收韩芳康泰2-1-101房款</t>
  </si>
  <si>
    <t>收韩小朋康泰6-4-602房款</t>
  </si>
  <si>
    <t>退尤岗锋康泰3-2-101房款</t>
  </si>
  <si>
    <t>电汇款入库尔勒公司</t>
  </si>
  <si>
    <t>通力房产阿克苏分公司垫付康泰公寓工程款</t>
  </si>
  <si>
    <t>通力房产垫付拆迁置换款</t>
  </si>
  <si>
    <t>办公用品</t>
  </si>
  <si>
    <t>邵华明</t>
  </si>
  <si>
    <t>调6月16#凭证，拜城世纪佳园电费由通力房产垫付，误入通力股份</t>
  </si>
  <si>
    <t>调2014年4月5#、13#凭证，入错科目</t>
  </si>
  <si>
    <t>计提12月工资及四季度绩效</t>
  </si>
  <si>
    <t>通力房产垫付枣款</t>
  </si>
  <si>
    <t>通力房产垫付李瑞、邵华明款</t>
  </si>
  <si>
    <t>通力房产垫付拆迁安置补偿款</t>
  </si>
  <si>
    <t>收贾秀娟贷款</t>
  </si>
  <si>
    <t>康泰公寓借款转入</t>
  </si>
  <si>
    <t>收毛淑梅康泰7-4-101房款</t>
  </si>
  <si>
    <t>收李小辉康泰7-1-301房款</t>
  </si>
  <si>
    <t>收郑家洪康泰7-1-701房款</t>
  </si>
  <si>
    <t>收史延成康泰7-4-301房款（建行放贷款）</t>
  </si>
  <si>
    <t>收贾秀娟康泰4-1-101房款（建行放贷款）</t>
  </si>
  <si>
    <t>收都彦磊康泰3-2-201房款（建行放贷款）</t>
  </si>
  <si>
    <t>收廖彩云康泰3-2-501房款（建行放贷款）</t>
  </si>
  <si>
    <t>收虞军康泰6-1-101房款（建行放贷款）</t>
  </si>
  <si>
    <t>韩小朋康泰6-4-602房款</t>
  </si>
  <si>
    <t>收王梦杰康泰7-1-201房款（建行放贷款）</t>
  </si>
  <si>
    <t>退李忠康泰6-1-502房款</t>
  </si>
  <si>
    <t>退佐树兰康泰6-3-202房款</t>
  </si>
  <si>
    <t>收候长碧康泰2-1-501房款</t>
  </si>
  <si>
    <t>收韩芳康泰2-1-101房款（建行放贷款）</t>
  </si>
  <si>
    <t>收徐跃群康泰2-2-601房款</t>
  </si>
  <si>
    <t>串户</t>
  </si>
  <si>
    <t>单位往来有误</t>
  </si>
  <si>
    <t>收王巧芳康泰6-4-502房款</t>
  </si>
  <si>
    <t>收樊浪康泰1-1-301房款</t>
  </si>
  <si>
    <t>管理人员1月份社保</t>
  </si>
  <si>
    <t>收黄玉荣康泰3-2-502房款</t>
  </si>
  <si>
    <t>还款阿分公司</t>
  </si>
  <si>
    <t>4-1-102房款</t>
  </si>
  <si>
    <t>7-1-901房款</t>
  </si>
  <si>
    <t>通力房产阿克苏分公司垫付工程款</t>
  </si>
  <si>
    <t>通力房产垫付还邵华明款</t>
  </si>
  <si>
    <t>康泰公寓工程款</t>
  </si>
  <si>
    <t>收安东方康泰7-5-401房款</t>
  </si>
  <si>
    <t>收黎军英康泰7-5-301房款</t>
  </si>
  <si>
    <t>退史同军康泰1-2-301房款</t>
  </si>
  <si>
    <t>退王桂梅康泰2-2-302房款</t>
  </si>
  <si>
    <t>收柯海燕康泰4-3-403房款</t>
  </si>
  <si>
    <t>收丁永刚康泰4-2-401房款</t>
  </si>
  <si>
    <t>收谭晓洪康泰7-3-602房款</t>
  </si>
  <si>
    <t>管理人员2月份工资</t>
  </si>
  <si>
    <t>7-3-702房款</t>
  </si>
  <si>
    <t>6-1-301款</t>
  </si>
  <si>
    <t>7-4-101款</t>
  </si>
  <si>
    <t>4-2-401款</t>
  </si>
  <si>
    <t>2-2-601款</t>
  </si>
  <si>
    <t>收施永星康泰7-3-202房款</t>
  </si>
  <si>
    <t>收李小辉康泰7-1-301房款（建行放贷款）</t>
  </si>
  <si>
    <t>收吉权康泰3-1-202房款（建行放贷款）</t>
  </si>
  <si>
    <t>收安东方康泰7-5-401房款（建行放贷款）</t>
  </si>
  <si>
    <t>库尔勒公司汇款</t>
  </si>
  <si>
    <t>收杜向龙康泰1-3-502房款</t>
  </si>
  <si>
    <t>收郭怀鸽康泰7-1-401房款</t>
  </si>
  <si>
    <t>收陆隆芹康泰7-3-201房款</t>
  </si>
  <si>
    <t>管理人员3月份工资</t>
  </si>
  <si>
    <t>收李爱梅康泰7-1-801房款</t>
  </si>
  <si>
    <t>收丁永刚康泰4-2-401房款（建行放贷款）</t>
  </si>
  <si>
    <t>收周学朋康泰4-3-403房款（建行放贷款）</t>
  </si>
  <si>
    <t>收谭晓洪康泰7-3-702房款（建行放贷款)</t>
  </si>
  <si>
    <t>收韩小朋康泰6-4-602房款（建行放贷款）</t>
  </si>
  <si>
    <t>退田荣康泰1-2-202房款</t>
  </si>
  <si>
    <t>收施海涛康泰7-1-901房款</t>
  </si>
  <si>
    <t>公文包</t>
  </si>
  <si>
    <t>收李俊霞康泰7-4-401房款</t>
  </si>
  <si>
    <t>收李风军康泰7-4-402房款</t>
  </si>
  <si>
    <t>通力房产公司垫付</t>
  </si>
  <si>
    <t>收郭怀鸽康泰7-1-401房款（建行放贷款）</t>
  </si>
  <si>
    <t>收施永星康泰7-3-202房款（建行放贷款）</t>
  </si>
  <si>
    <t>收陆隆芹康泰7-3-201房款（建行放贷款）</t>
  </si>
  <si>
    <t>管理人员4月份工资</t>
  </si>
  <si>
    <t>通力房产阿克苏分公司垫付姚文洁借支</t>
  </si>
  <si>
    <t>收尤正民康泰6-1-201房款（建行放贷款）</t>
  </si>
  <si>
    <t>所得税鉴征报告</t>
  </si>
  <si>
    <t>瓷砖</t>
  </si>
  <si>
    <t>康泰工程款</t>
  </si>
  <si>
    <t>通力房产垫付企业所得税</t>
  </si>
  <si>
    <t>通力房产垫付姚文洁借支</t>
  </si>
  <si>
    <t>报票冲借支</t>
  </si>
  <si>
    <t>高百仪</t>
  </si>
  <si>
    <t>付工程款</t>
  </si>
  <si>
    <t>公告费</t>
  </si>
  <si>
    <t>5月份销售佣金</t>
  </si>
  <si>
    <t>管理人员5月份工资</t>
  </si>
  <si>
    <t>管理人员6月份工资</t>
  </si>
  <si>
    <t>收李俊霞康泰7-4-401房款（建行放贷款）</t>
  </si>
  <si>
    <t>收刘虹康泰7-1-502房款（建行放贷款）</t>
  </si>
  <si>
    <t>收张鹏程康泰2-1-601房款（建行放贷款）</t>
  </si>
  <si>
    <t>收常芳芳康泰7-1-802房款（建行放贷款）</t>
  </si>
  <si>
    <t>收施海涛康泰7-1-901房款（建行放贷款）</t>
  </si>
  <si>
    <t>收杨光元康泰4-3-603房款（建行放贷款）</t>
  </si>
  <si>
    <t>通力房产公司垫付税金</t>
  </si>
  <si>
    <t>姚文洁工资</t>
  </si>
  <si>
    <t>退4-3-603款</t>
  </si>
  <si>
    <t>退7-1-802款</t>
  </si>
  <si>
    <t>计提7月工资</t>
  </si>
  <si>
    <t>借通力房产阿克苏分公司款</t>
  </si>
  <si>
    <t>通力房产垫付发电机组款</t>
  </si>
  <si>
    <t>退7-1-502、2-1-601款</t>
  </si>
  <si>
    <t>退王项坤款</t>
  </si>
  <si>
    <t>退借款</t>
  </si>
  <si>
    <t>退4-3-102</t>
  </si>
  <si>
    <t>计提8月工资</t>
  </si>
  <si>
    <t>计提9月及三季度绩效</t>
  </si>
  <si>
    <t>姚文洁还款</t>
  </si>
  <si>
    <t>借通力房产款</t>
  </si>
  <si>
    <t>10月工资</t>
  </si>
  <si>
    <t>通力房产垫付报票</t>
  </si>
  <si>
    <t>11月工资</t>
  </si>
  <si>
    <t>计提12月工资、四季度绩效</t>
  </si>
  <si>
    <t>通力房产垫付还款</t>
  </si>
  <si>
    <t>支周九桂款</t>
  </si>
  <si>
    <t>周九桂</t>
  </si>
  <si>
    <t>退康泰公寓房款</t>
  </si>
  <si>
    <t>个人住房贷款</t>
  </si>
  <si>
    <t>个人住房贷款1-1-602</t>
  </si>
  <si>
    <t>个住房贷款4-3-501</t>
  </si>
  <si>
    <t>支康泰公寓工程款</t>
  </si>
  <si>
    <t>调2015年11月29#凭证</t>
  </si>
  <si>
    <t>个人住房贷款7-2-601</t>
  </si>
  <si>
    <t>计提1月工资</t>
  </si>
  <si>
    <t>4-2-201、1-1-1101、1-2-201、6-1-601</t>
  </si>
  <si>
    <t>1-3-602、1-4-601、1-3-601</t>
  </si>
  <si>
    <t>6-1-602、6-2-202、6-2-602</t>
  </si>
  <si>
    <t>退7-2-602房款</t>
  </si>
  <si>
    <t>还通力房产阿克苏分公司</t>
  </si>
  <si>
    <t>总公司垫付销售公司康泰公寓借款</t>
  </si>
  <si>
    <t>通力房产垫付康泰工程款</t>
  </si>
  <si>
    <t>计提2月工资</t>
  </si>
  <si>
    <t>4-2-302、6-2-201、4-3-301</t>
  </si>
  <si>
    <t>还通力房产公司</t>
  </si>
  <si>
    <t>个人住房贷款7-1-302</t>
  </si>
  <si>
    <t>退康泰公寓7-1-302房款</t>
  </si>
  <si>
    <t>2-1-602个贷款</t>
  </si>
  <si>
    <t>预付销售公司款</t>
  </si>
  <si>
    <t>房款4-2-501</t>
  </si>
  <si>
    <t>计提3月工资及一季度绩效</t>
  </si>
  <si>
    <t>还通力房产阿克苏</t>
  </si>
  <si>
    <t>收张华贷款</t>
  </si>
  <si>
    <t>个人贷款聂鹏程6-2-102</t>
  </si>
  <si>
    <t>个人贷款陈云6-1-102</t>
  </si>
  <si>
    <t>个人住房贷款林朝霞1-2-501</t>
  </si>
  <si>
    <t>个人住房贷款黄保然4-2-402</t>
  </si>
  <si>
    <t>个人住房贷款王玲1-3-501</t>
  </si>
  <si>
    <t>个人住房贷款杨照耀6-1-602</t>
  </si>
  <si>
    <t>个人住房贷款杨小霞6-4-101</t>
  </si>
  <si>
    <t>个人住房贷款孙卫升4-3-602</t>
  </si>
  <si>
    <t>个人住房贷款孙卫升4-3-402</t>
  </si>
  <si>
    <t>个人住房贷款张小勇6-2-602</t>
  </si>
  <si>
    <t>个人住房贷款张小营1-3-301</t>
  </si>
  <si>
    <t>4月销售代理费</t>
  </si>
  <si>
    <t>计提4月工资</t>
  </si>
  <si>
    <t>退房-诚达混凝土</t>
  </si>
  <si>
    <t>阿克苏诚达混凝土有限责任公司</t>
  </si>
  <si>
    <t>退1-4-601房款</t>
  </si>
  <si>
    <t>退6-1-102房款</t>
  </si>
  <si>
    <t>退1-1-302久安消防房款</t>
  </si>
  <si>
    <t>收爱家物业服务公司电费</t>
  </si>
  <si>
    <t>阿克苏爱家物业服务有限公司</t>
  </si>
  <si>
    <t>退6-2-102聂鹏程房款</t>
  </si>
  <si>
    <t>李瑞报票</t>
  </si>
  <si>
    <t>冯慧还款</t>
  </si>
  <si>
    <t>通力房产垫付退7-2-801款</t>
  </si>
  <si>
    <t>销售代理费</t>
  </si>
  <si>
    <t>计提5月工资</t>
  </si>
  <si>
    <t>付康泰公寓电费</t>
  </si>
  <si>
    <t>1-4-201退房-严晰、李源等</t>
  </si>
  <si>
    <t>严晰、李源、吴正宇、王刚</t>
  </si>
  <si>
    <t>1-1-109</t>
  </si>
  <si>
    <t>付15#电梯质保金</t>
  </si>
  <si>
    <t>还款-通力房产公司</t>
  </si>
  <si>
    <t>杨兰斌退房</t>
  </si>
  <si>
    <t>杨兰斌</t>
  </si>
  <si>
    <t>7-3-401退房-青松建化</t>
  </si>
  <si>
    <t>新疆青松建材化工股份有限公司</t>
  </si>
  <si>
    <t>1-1-801退房-青松建化</t>
  </si>
  <si>
    <t>收爱家物业电费</t>
  </si>
  <si>
    <t>退房1-1-109-刘全伟李中超</t>
  </si>
  <si>
    <t>刘全伟-李中超</t>
  </si>
  <si>
    <t>转账-通力房产</t>
  </si>
  <si>
    <t>转账</t>
  </si>
  <si>
    <t>1-109</t>
  </si>
  <si>
    <t>退房-门面房1-109</t>
  </si>
  <si>
    <t>严晰</t>
  </si>
  <si>
    <t>天然气安装费</t>
  </si>
  <si>
    <t>彩印宣传单</t>
  </si>
  <si>
    <t>通力房产垫付多浪工程款</t>
  </si>
  <si>
    <t>计提6月工资及二季度绩效</t>
  </si>
  <si>
    <t>通力阿克苏分公司垫付康泰电费</t>
  </si>
  <si>
    <t>通力房产垫付阿壁挂炉款</t>
  </si>
  <si>
    <t>1-3-202退姚延琼房款</t>
  </si>
  <si>
    <t>还通力公司款</t>
  </si>
  <si>
    <t>7月销售代理费</t>
  </si>
  <si>
    <t>退1-4-202包王野房款</t>
  </si>
  <si>
    <t>1-1-107</t>
  </si>
  <si>
    <t>还款-通力房产</t>
  </si>
  <si>
    <t>退新华水暖房款</t>
  </si>
  <si>
    <t>8月销售代理费</t>
  </si>
  <si>
    <t>通力房产垫付壁挂炉款</t>
  </si>
  <si>
    <t>退1-1-107款</t>
  </si>
  <si>
    <t>1-1-105</t>
  </si>
  <si>
    <t>住宿费</t>
  </si>
  <si>
    <t>还款-通力房产总公司</t>
  </si>
  <si>
    <t>还款-分公司</t>
  </si>
  <si>
    <t>9月销售代理费</t>
  </si>
  <si>
    <t>计提9月工资及三季度绩效</t>
  </si>
  <si>
    <t>还款-陶悦</t>
  </si>
  <si>
    <t>分公司还款</t>
  </si>
  <si>
    <t>计提10月工资</t>
  </si>
  <si>
    <t>雷作超服务费</t>
  </si>
  <si>
    <t>康泰电费-爱家</t>
  </si>
  <si>
    <t>11月销售代理费</t>
  </si>
  <si>
    <t>计提11月工资</t>
  </si>
  <si>
    <t>支康泰退契税</t>
  </si>
  <si>
    <t>分公司转账</t>
  </si>
  <si>
    <t>康泰安装费</t>
  </si>
  <si>
    <t>巴州青橄榄电子科技有限公司</t>
  </si>
  <si>
    <t>12月销售代理费</t>
  </si>
  <si>
    <t>康泰住户退契税</t>
  </si>
  <si>
    <t>冲李瑞账</t>
  </si>
  <si>
    <t>安装服务-康泰门卫道闸安装</t>
  </si>
  <si>
    <t>退契税</t>
  </si>
  <si>
    <t>收通力房产房款</t>
  </si>
  <si>
    <t>工程款-杜少校</t>
  </si>
  <si>
    <t>还款-工程款据</t>
  </si>
  <si>
    <t>李瑞、邵华明款转通力房产</t>
  </si>
  <si>
    <t>张璐燕</t>
  </si>
  <si>
    <t>工程款--通力股份</t>
  </si>
  <si>
    <t>通力房产垫付销售代理费</t>
  </si>
  <si>
    <t>康泰公寓预算费</t>
  </si>
  <si>
    <t>分公司还阿克苏通力房款</t>
  </si>
  <si>
    <t>2月工资</t>
  </si>
  <si>
    <t>还款-库尔勒</t>
  </si>
  <si>
    <t>刘善学、李冬松</t>
  </si>
  <si>
    <t>邵华明借支</t>
  </si>
  <si>
    <t>3月工资及绩效</t>
  </si>
  <si>
    <t>分公司还通力款</t>
  </si>
  <si>
    <t>张政龙工程款</t>
  </si>
  <si>
    <t>退4-3-403房款</t>
  </si>
  <si>
    <t>还款-通力总公司房款</t>
  </si>
  <si>
    <t>拜城-工程款7-16-1602</t>
  </si>
  <si>
    <t>浙江梅轮电梯-工程款</t>
  </si>
  <si>
    <t>浙江梅轮电梯</t>
  </si>
  <si>
    <t>李鹏5-1-904工程款</t>
  </si>
  <si>
    <t>咨询费</t>
  </si>
  <si>
    <t>4月工资</t>
  </si>
  <si>
    <t>分公司转阿克苏通力房款</t>
  </si>
  <si>
    <t>康泰大门钢材款+人工费</t>
  </si>
  <si>
    <t>冲邵华明借支</t>
  </si>
  <si>
    <t>还款-拜城分公司</t>
  </si>
  <si>
    <t>分公司-转账</t>
  </si>
  <si>
    <t>转账-库尔勒</t>
  </si>
  <si>
    <t>停车费.业务费</t>
  </si>
  <si>
    <t>谭春玉</t>
  </si>
  <si>
    <t>5月工资</t>
  </si>
  <si>
    <t>转账-拜城公司</t>
  </si>
  <si>
    <t>转账-库尔勒通力</t>
  </si>
  <si>
    <t>拜城借支</t>
  </si>
  <si>
    <t>拜城公司还款</t>
  </si>
  <si>
    <t>内部转款</t>
  </si>
  <si>
    <t>阿克苏通力转库尔勒总公司</t>
  </si>
  <si>
    <t>C4-1-601木合旦·马木提</t>
  </si>
  <si>
    <t>宣传彩页</t>
  </si>
  <si>
    <t>7月工资</t>
  </si>
  <si>
    <t>内部转往来</t>
  </si>
  <si>
    <t>分公司转--阿克苏通力</t>
  </si>
  <si>
    <t>多浪维修井盖费用</t>
  </si>
  <si>
    <t>张自舟</t>
  </si>
  <si>
    <t>还款梁春艳</t>
  </si>
  <si>
    <t>8月工资</t>
  </si>
  <si>
    <t>C4-1-502努尔尼沙·也克亚房款</t>
  </si>
  <si>
    <t>5-108商铺租金及保证金</t>
  </si>
  <si>
    <t>转账-库尔勒总公司</t>
  </si>
  <si>
    <t>借支-转阿克苏通力</t>
  </si>
  <si>
    <t>通力房产垫付还青橄榄公司款</t>
  </si>
  <si>
    <t>阿克苏分公司垫付梅轮电梯款</t>
  </si>
  <si>
    <t>9月工资及三季度绩效</t>
  </si>
  <si>
    <t>5号楼负24号</t>
  </si>
  <si>
    <t>停车位</t>
  </si>
  <si>
    <t>收1号楼负13/14车位</t>
  </si>
  <si>
    <t>收1-15号车位（宋世群）</t>
  </si>
  <si>
    <t>还款张璐燕</t>
  </si>
  <si>
    <t>收5号楼车位（洪雪玲）159-161/198-200</t>
  </si>
  <si>
    <t>收5号楼153车位（梁春艳）</t>
  </si>
  <si>
    <t>收1号楼117车位（刘峰）</t>
  </si>
  <si>
    <t>周杰抵康泰公寓5-5-404房款</t>
  </si>
  <si>
    <t>周杰抵康泰公寓5-5-403房款</t>
  </si>
  <si>
    <t>收1#15号宋世群车位费</t>
  </si>
  <si>
    <t>收09号曹强车位款</t>
  </si>
  <si>
    <t>收5号楼154号车位梁春艳款</t>
  </si>
  <si>
    <t>付康泰公寓工程款</t>
  </si>
  <si>
    <t>收赵静24号地下车库定金</t>
  </si>
  <si>
    <t>收王德军04号地下车库订金</t>
  </si>
  <si>
    <t>收赵坤07号地下车库定金</t>
  </si>
  <si>
    <t>收王德军10号车库定金</t>
  </si>
  <si>
    <t>转往来</t>
  </si>
  <si>
    <t>通力公司垫付康泰公寓工程款</t>
  </si>
  <si>
    <t>5-104-2钟文龙商铺租金</t>
  </si>
  <si>
    <t>自行车棚维修</t>
  </si>
  <si>
    <t>5#地下室30号.29号刘峰车库款</t>
  </si>
  <si>
    <t>5#地下车库29.30刘峰车库款</t>
  </si>
  <si>
    <t>李瑞差旅费</t>
  </si>
  <si>
    <t>赵静24号地下车库租金</t>
  </si>
  <si>
    <t>业务费</t>
  </si>
  <si>
    <t>转0033账户</t>
  </si>
  <si>
    <t>收5-104-21商铺定金</t>
  </si>
  <si>
    <t>2016年周杰工程款</t>
  </si>
  <si>
    <t>12月工资及绩效</t>
  </si>
  <si>
    <t>收物业停车费</t>
  </si>
  <si>
    <t>付康泰公寓10.11月销售佣金</t>
  </si>
  <si>
    <t>武喜荣</t>
  </si>
  <si>
    <t>报销费用</t>
  </si>
  <si>
    <t>收到0856转0033</t>
  </si>
  <si>
    <t>收康泰12月份停车费</t>
  </si>
  <si>
    <t>转往来0856转0033</t>
  </si>
  <si>
    <t>转款到总部</t>
  </si>
  <si>
    <t>公司转往来</t>
  </si>
  <si>
    <t>收18年1月份停车费</t>
  </si>
  <si>
    <t>支康泰电热带款（附普票）库尔勒往来</t>
  </si>
  <si>
    <t>C4-2-602努尔艾力·依明建行放贷款</t>
  </si>
  <si>
    <t>退5-104-2钟文龙商铺租金</t>
  </si>
  <si>
    <t>许总折子转入</t>
  </si>
  <si>
    <t>康泰木方</t>
  </si>
  <si>
    <t>0856转0033</t>
  </si>
  <si>
    <t>支付报销款</t>
  </si>
  <si>
    <t>垫付税友软件续费</t>
  </si>
  <si>
    <t>往来款</t>
  </si>
  <si>
    <t>支李全伟业务费</t>
  </si>
  <si>
    <t>垫付还款</t>
  </si>
  <si>
    <t>内部转往来款</t>
  </si>
  <si>
    <t>内部转往来（总部）</t>
  </si>
  <si>
    <t>总公司转款</t>
  </si>
  <si>
    <t>收多浪A区场地租金</t>
  </si>
  <si>
    <t>公司内部往来转账</t>
  </si>
  <si>
    <t>公司内部往来转账（总公司）</t>
  </si>
  <si>
    <t>1-2月份销售佣金</t>
  </si>
  <si>
    <t>内部转往来（股份转入0033）</t>
  </si>
  <si>
    <t>支付通力华府出让金</t>
  </si>
  <si>
    <t>支付康泰公寓材料款</t>
  </si>
  <si>
    <t>收C5-3-402阿木提江·马木提工行放贷房款</t>
  </si>
  <si>
    <t>收A12-4-601买买江·艾山工行放贷房款</t>
  </si>
  <si>
    <t>收A11-1-101佐热木·亚森工行放贷房款</t>
  </si>
  <si>
    <t>收A12-2-601阿布都肉苏力工行放贷房款.</t>
  </si>
  <si>
    <t>收A12-5-301热娜古丽·米吉提工行放贷房款</t>
  </si>
  <si>
    <t>收C3-1-501热合曼江·玉苏甫提工行放贷房款</t>
  </si>
  <si>
    <t>支付阿克苏天磊速迅材料款</t>
  </si>
  <si>
    <t>车用汽油</t>
  </si>
  <si>
    <t>李全伟</t>
  </si>
  <si>
    <t>内部转往来（0856转0033）</t>
  </si>
  <si>
    <t>支付康泰3、4月销售佣金</t>
  </si>
  <si>
    <t>支付多浪A区新售房装修款</t>
  </si>
  <si>
    <t>屈玉强</t>
  </si>
  <si>
    <t>支付业务费、餐费等</t>
  </si>
  <si>
    <t>内部转往来（0033转电站）</t>
  </si>
  <si>
    <t>收A12-5-501买买提·托乎提工行放贷房款</t>
  </si>
  <si>
    <t>支付材料款</t>
  </si>
  <si>
    <t>张政龙</t>
  </si>
  <si>
    <t>支付康泰2017年11月暂扣销售佣金</t>
  </si>
  <si>
    <t>支付康泰5月销售佣金</t>
  </si>
  <si>
    <t>支付康泰5月销售佣金及暂扣1万佣金</t>
  </si>
  <si>
    <t>支付多浪工程款（新项目）</t>
  </si>
  <si>
    <t>内部转往来（0033转0406）</t>
  </si>
  <si>
    <t>支付工程款（康泰公寓配套工程款）</t>
  </si>
  <si>
    <t>收A1-2-502吐尔洪·艾依提诚意金</t>
  </si>
  <si>
    <t>诚意金</t>
  </si>
  <si>
    <t>收A1-1-302阿孜古丽·吐尔迪诚意金</t>
  </si>
  <si>
    <t>退7-2-802贷款保证金</t>
  </si>
  <si>
    <t>汪永洁</t>
  </si>
  <si>
    <t>收A2-3-602图尔洪·斯迪克房款</t>
  </si>
  <si>
    <t>收3-1-602阿依古丽·伊米尔诚意金</t>
  </si>
  <si>
    <t>收A1-3-202托乎提·沙吾尔诚意金</t>
  </si>
  <si>
    <t>支付多浪小镇A1-5#/14号楼工程款</t>
  </si>
  <si>
    <t>银行放贷A12-4-502房款</t>
  </si>
  <si>
    <t>银行放贷C5-2-202房款</t>
  </si>
  <si>
    <t>支付多浪小镇A区1-5#、14号楼及警卫室建设工程</t>
  </si>
  <si>
    <t>收多浪小镇A区3-3-602诚意金</t>
  </si>
  <si>
    <t>银行房款A12-3-101房款</t>
  </si>
  <si>
    <t>银行房款C8-3-502房款</t>
  </si>
  <si>
    <t>收多浪小镇A区1-2-402房款</t>
  </si>
  <si>
    <t>收1#楼王金川房款</t>
  </si>
  <si>
    <t>收A1-2-201阿依古丽·哈斯木诚意金</t>
  </si>
  <si>
    <t>支多浪工程款（转库尔勒往来） 新项目</t>
  </si>
  <si>
    <t>支康泰公寓工程款（转库尔勒往来）</t>
  </si>
  <si>
    <t>收多浪新项目A1-2-202库尔班·麦麦提诚意金</t>
  </si>
  <si>
    <t>收多浪新项目A2-3-203玉素甫江·哈瓦拉诚意金</t>
  </si>
  <si>
    <t>收多浪新项目A1-11#玉素甫江·哈瓦拉商铺诚意金</t>
  </si>
  <si>
    <t>收多浪新项目A2-2#玉素甫江·哈瓦拉诚意金</t>
  </si>
  <si>
    <t>收多浪新项目A2-1#玉素甫江·哈瓦拉诚意金</t>
  </si>
  <si>
    <t>收多浪新项目A1-12#玉素甫江·哈瓦拉诚意金</t>
  </si>
  <si>
    <t>收多浪新项目A2#吐尼亚孜·托合尼亚孜诚意金</t>
  </si>
  <si>
    <t>收A12-5-502艾合买提·马不力房款</t>
  </si>
  <si>
    <t>支付库尔勒春雷广告制作中心款</t>
  </si>
  <si>
    <t>新疆华科电力设备有限责任公司转入</t>
  </si>
  <si>
    <t>新疆华科电力设备有限责任公司</t>
  </si>
  <si>
    <t>收A1-09卡哈尔·阿木提商铺诚意金</t>
  </si>
  <si>
    <t>收A4-5-402莫敏·热西提诚意金</t>
  </si>
  <si>
    <t>收A1-3-201吐尔地·达吾提诚意金</t>
  </si>
  <si>
    <t>收A1-04商铺吐尔地·达吾提诚意金</t>
  </si>
  <si>
    <t>支康泰6月销售佣金</t>
  </si>
  <si>
    <t>收A3-3-202吐逊古丽·艾麦尔诚意金</t>
  </si>
  <si>
    <t>收A3-16商铺吐尔逊·托合尼牙孜诚意金</t>
  </si>
  <si>
    <t>收A3-12商铺吐尼牙孜·托合尼牙孜诚意金</t>
  </si>
  <si>
    <t>收A4-2-202左力胡马·司马义诚意金</t>
  </si>
  <si>
    <t>收A3-3-203木合塔尔·木尔提扎诚意金</t>
  </si>
  <si>
    <t>收A1-2-401买尔旦·买吾兰诚意金</t>
  </si>
  <si>
    <t>收A2-17商铺古丽阿依木·吐尼亚孜诚意金</t>
  </si>
  <si>
    <t>收A3-1-203托胡提·塔瓦台库力诚意金</t>
  </si>
  <si>
    <t>收A4-6-201库尔班·吾休尔诚意金</t>
  </si>
  <si>
    <t>收A2-1-203吐尼亚孜·托合尼亚孜诚意金</t>
  </si>
  <si>
    <t>收A2-1-201古丽阿依木·吐尼亚孜诚意金</t>
  </si>
  <si>
    <t>收A3-2-203古丽阿依木·吐尼亚孜诚意金</t>
  </si>
  <si>
    <t>收A2-2-202热汗古力·拜克尔诚意金</t>
  </si>
  <si>
    <t>收A2-16商铺图拉比耶姆·麦麦提诚意金</t>
  </si>
  <si>
    <t>收A2-1-302阿力木江·吐尔逊诚意金</t>
  </si>
  <si>
    <t>收A3-02商铺努尔比艳·麦麦提诚意金</t>
  </si>
  <si>
    <t>支付工程款（多浪小镇A区1-5#楼和警卫室工程款）</t>
  </si>
  <si>
    <t>收A2-3-202艾麦提·巴腊提诚意金</t>
  </si>
  <si>
    <t>收A2-1-402麦麦提·赛麦提诚意金</t>
  </si>
  <si>
    <t>支付工程款（乌鲁木齐转往来）</t>
  </si>
  <si>
    <t>退6-4-201王瑞华契税</t>
  </si>
  <si>
    <t>退康泰2、3、4、6#住户契税</t>
  </si>
  <si>
    <t>内部转款 0856转0033</t>
  </si>
  <si>
    <t>收A3-1-201古丽阿依木·吐尼牙孜诚意金</t>
  </si>
  <si>
    <t>收A3-2-203古丽米热·艾合麦提诚意金</t>
  </si>
  <si>
    <t>收A1-3-501艾克热木·赛麦提诚意金</t>
  </si>
  <si>
    <t>收A2-3-402托合尼牙孜·牙森诚意金</t>
  </si>
  <si>
    <t>收A1-1-402艾尼瓦·阿布拉诚意金</t>
  </si>
  <si>
    <t>收地区公积金管理中心公积金款</t>
  </si>
  <si>
    <t>内部转款 转库尔勒</t>
  </si>
  <si>
    <t>收A3-14商铺热比亚·麦提力诚意金</t>
  </si>
  <si>
    <t>收A4-5-201米尼沙汗·艾沙诚意金</t>
  </si>
  <si>
    <t>收A1-3-401艾热提·米基提诚意金</t>
  </si>
  <si>
    <t>收A4-6-201古力尼萨·麦麦提诚意金</t>
  </si>
  <si>
    <t>收A1-10商铺艾买尔·那买提诚意金</t>
  </si>
  <si>
    <t>收康泰王金川门面房款</t>
  </si>
  <si>
    <t>退康泰6-2-302李雪契税</t>
  </si>
  <si>
    <t>退康泰2、3、4、6#契税余款 还回大账</t>
  </si>
  <si>
    <t>收A4-1-201祖丽凯麦尔·艾麦提诚意金</t>
  </si>
  <si>
    <t>收A3-1-502艾沙·艾合麦提诚意金</t>
  </si>
  <si>
    <t>收A4-4-202阿力木·吐尔迪诚意金</t>
  </si>
  <si>
    <t>收A1-1商铺阿斯艳·祖努诚意金</t>
  </si>
  <si>
    <t>收A2-2-203阿布拉·沙依木诚意金</t>
  </si>
  <si>
    <t>收A4-3-202约尔古丽·达尼亚诚意金</t>
  </si>
  <si>
    <t>收A4-1-302萨拉木·如孜诚意金</t>
  </si>
  <si>
    <t>收A4-1-202麦迪尼亚提·米吉提诚意金</t>
  </si>
  <si>
    <t>收A4-6-202布尼牙孜汗·达尼牙诚意金</t>
  </si>
  <si>
    <t>收A4-4-201约然木·阿布拉诚意金</t>
  </si>
  <si>
    <t>支抵账房C4-1-402回款</t>
  </si>
  <si>
    <t>内部转款（0856转0033）</t>
  </si>
  <si>
    <t>收A2-1-502巴哈古丽·阿布都肉苏力诚意金</t>
  </si>
  <si>
    <t>收A1-2-602帕黑尔丁·麦麦提诚意金</t>
  </si>
  <si>
    <t>收A1-05商铺艾克然木·吐尔逊诚意金</t>
  </si>
  <si>
    <t>收A2-3-302艾克然木·吐尔逊诚意金</t>
  </si>
  <si>
    <t>收A1-1-302阿孜古丽·吐尔地诚意金</t>
  </si>
  <si>
    <t>收A2-1-602图尔贡·阿卜拉诚意金</t>
  </si>
  <si>
    <t>收A1-08商铺阿克卡日·依马木马牙孜诚意金</t>
  </si>
  <si>
    <t>收A4-6-501艾合提·热合曼诚意金</t>
  </si>
  <si>
    <t>收A3-2-202热孜瓦古丽·买买提诚意金</t>
  </si>
  <si>
    <t>收A2-3-502图迪喀日·吾麦尔诚意金</t>
  </si>
  <si>
    <t>收A4-3-201阿巴斯·阿吾提诚意金</t>
  </si>
  <si>
    <t>收A1-2-601吐尔逊·阿不都热西提诚意金</t>
  </si>
  <si>
    <t>收C5-3-502穆萨·如则工行房贷款</t>
  </si>
  <si>
    <t>通力房产垫付款</t>
  </si>
  <si>
    <t>退2-3-601杨桂芝契税</t>
  </si>
  <si>
    <t>收A1-3-301阿斯古丽·图尔荪诚意金</t>
  </si>
  <si>
    <t>收A1-102阿吾提·阿合尼亚孜诚意金</t>
  </si>
  <si>
    <t>内部转款 9516转0033</t>
  </si>
  <si>
    <t>退A4-4-202阿力木·吐尔迪诚意金</t>
  </si>
  <si>
    <t>退6-3-602王帅契税</t>
  </si>
  <si>
    <t>退A1-3-501艾克热木·赛麦提诚意金</t>
  </si>
  <si>
    <t>收A4-1-401麦合木提·图尔迪诚意金</t>
  </si>
  <si>
    <t>收A2-2-502肉孜古力·吐逊诚意金</t>
  </si>
  <si>
    <t>收A2-2-302吐尔逊江·玉苏甫江诚意金</t>
  </si>
  <si>
    <t>退4-3-501隆翠华契税</t>
  </si>
  <si>
    <t>收A2-11商铺吐尔逊江·玉苏甫江诚意金</t>
  </si>
  <si>
    <t>收A3-2-302海尔尼沙·阿吾提诚意金</t>
  </si>
  <si>
    <t>收A3-2-202阿依先木·热合曼诚意金</t>
  </si>
  <si>
    <t>退A1-2-601吐尔逊·阿不都热西提诚意金</t>
  </si>
  <si>
    <t>内部转款 （4297转0856）</t>
  </si>
  <si>
    <t>内部转款 （0033转拜城分公司）</t>
  </si>
  <si>
    <t>退A1-04、A1-3-201、A1-09、A3-02、A2-3-602、A3-2-202诚意金</t>
  </si>
  <si>
    <t>内部转款 （9516转0033）</t>
  </si>
  <si>
    <t>退2-1-101韩芳契税</t>
  </si>
  <si>
    <t>退A4-1-202麦迪尼亚提·米吉提诚意金</t>
  </si>
  <si>
    <t>退A1-102阿吾提·阿合尼亚孜诚意金</t>
  </si>
  <si>
    <t>退A3-14热比亚·麦提力诚意金</t>
  </si>
  <si>
    <t>退A1-2-401买尔旦·买吾兰诚意金</t>
  </si>
  <si>
    <t>退A3-1-602阿依古丽·伊米尔诚意金</t>
  </si>
  <si>
    <t>支康泰1-3-501壁挂炉费用</t>
  </si>
  <si>
    <t>温宿县容声厨卫店</t>
  </si>
  <si>
    <t>支工程款（拜城世纪佳园）</t>
  </si>
  <si>
    <t>支多浪A区做活动买油费用</t>
  </si>
  <si>
    <t>阿克苏市汇商商行</t>
  </si>
  <si>
    <t>退4-2-602王雨维修基金及办证费、印花税、代办费</t>
  </si>
  <si>
    <t>退4-1-102王力办证费</t>
  </si>
  <si>
    <t>支赵玉忠商铺租金</t>
  </si>
  <si>
    <t>退A2-3-202.1-2-502.1-3-401.2-2-302.2-11.4-6-202.2-1-502诚意</t>
  </si>
  <si>
    <t>支多浪做活动费用（库尔勒往来）（附专票）</t>
  </si>
  <si>
    <t>支内部转款 0033转库尔勒</t>
  </si>
  <si>
    <t>支工程款（多浪）</t>
  </si>
  <si>
    <t>支黄光珍住宿费</t>
  </si>
  <si>
    <t>新疆通力房地产开发有限公司拜城县分公司</t>
  </si>
  <si>
    <t>谭春玉还款</t>
  </si>
  <si>
    <t>退A4-1-201祖丽凯麦尔·艾麦提诚意金</t>
  </si>
  <si>
    <t>退多浪A3-3-203木合塔尔·木尔提扎诚意金</t>
  </si>
  <si>
    <t>退多浪A3-1-203托胡提·塔瓦台库力诚意金</t>
  </si>
  <si>
    <t>退6-1-502余志成办证费</t>
  </si>
  <si>
    <t>支工程款（多浪新项目）</t>
  </si>
  <si>
    <t>支工程款（康泰公寓外配套）</t>
  </si>
  <si>
    <t>支业务费</t>
  </si>
  <si>
    <t>支康泰7月、8月佣金及多浪A区10月佣金</t>
  </si>
  <si>
    <t>冲李全伟借支</t>
  </si>
  <si>
    <t>支阀门龙头费用</t>
  </si>
  <si>
    <t>支内部转款（0033转库尔勒）</t>
  </si>
  <si>
    <t>支车辆保险费、油费</t>
  </si>
  <si>
    <t>支李全伟多浪小镇、康泰公寓预算费</t>
  </si>
  <si>
    <t>支1-1-502、1-3-301、6-3-101装修押金</t>
  </si>
  <si>
    <t>支多浪工程款（新项目）</t>
  </si>
  <si>
    <t>收 王金川 门面房款</t>
  </si>
  <si>
    <t>退5-106宋谨帅房租</t>
  </si>
  <si>
    <t>支李娟业务费</t>
  </si>
  <si>
    <t>支多浪A区材料费</t>
  </si>
  <si>
    <t>冲屈玉强借支</t>
  </si>
  <si>
    <t>支李全伟交通费</t>
  </si>
  <si>
    <t>油费</t>
  </si>
  <si>
    <t>调整</t>
  </si>
  <si>
    <t>合并单位</t>
  </si>
  <si>
    <t>退A4-5-201米尼沙汗·艾沙诚意金</t>
  </si>
  <si>
    <t>退A3-1-502艾沙·艾合麦提诚意金</t>
  </si>
  <si>
    <t>退A3-16吐尔逊·托合尼牙孜诚意金</t>
  </si>
  <si>
    <t>支房产报销费</t>
  </si>
  <si>
    <t>支康泰工程款</t>
  </si>
  <si>
    <t>支多浪A区11月佣金</t>
  </si>
  <si>
    <t>支多浪免租房改造费</t>
  </si>
  <si>
    <t>支康泰道闸门安装费</t>
  </si>
  <si>
    <t>支多浪A区12月佣金</t>
  </si>
  <si>
    <t>退6-4-502任兴禄契税</t>
  </si>
  <si>
    <t>收15-B-302艾力江·依力亚尔房款</t>
  </si>
  <si>
    <t>多浪小镇材料费</t>
  </si>
  <si>
    <t>退A2-1-302（换成A1-1-102）阿力木江·吐尔逊诚意金</t>
  </si>
  <si>
    <t>阿克苏顺裕农业科技开发有限公司</t>
  </si>
  <si>
    <t>退A2-112何良商铺诚意金</t>
  </si>
  <si>
    <t>退A2-2-203阿布拉·沙依木诚意金</t>
  </si>
  <si>
    <t>退A4-4-201约然木·阿布拉诚意金</t>
  </si>
  <si>
    <t>退4-2-202孙雪芹房产证代办费</t>
  </si>
  <si>
    <t>退2-1-501候长碧房产证代办费</t>
  </si>
  <si>
    <t>退2-1-201兰建均房产证代办费</t>
  </si>
  <si>
    <t>退4-2-201高雅琳、4-3-101高红云房产证代办费</t>
  </si>
  <si>
    <t>收怡和15-B-302艾力江·依力亚尔房款</t>
  </si>
  <si>
    <t>退3-2-302许晓云房产证办证费</t>
  </si>
  <si>
    <t>支工程款（康泰）</t>
  </si>
  <si>
    <t>退李华2-2-402房产证代办费</t>
  </si>
  <si>
    <t>退A1-08阿克卡日·依马木尼牙孜诚意金</t>
  </si>
  <si>
    <t>退4-2-101武喜荣房产证代办费</t>
  </si>
  <si>
    <t>支陈经易交通费</t>
  </si>
  <si>
    <t>支税友服务费</t>
  </si>
  <si>
    <t>支办公费</t>
  </si>
  <si>
    <t>退4-2-601唐月萍房产证代办费</t>
  </si>
  <si>
    <t>支多浪售房部监控款</t>
  </si>
  <si>
    <t>阿克苏市拓隆电子商行</t>
  </si>
  <si>
    <t>支多浪新项目1月佣金</t>
  </si>
  <si>
    <t>收C11-1-601艾亥提·萨木萨克公积金放贷款</t>
  </si>
  <si>
    <t>工程款（多浪新项目）</t>
  </si>
  <si>
    <t>收C3-101艾合麦提江·图拉克房款</t>
  </si>
  <si>
    <t>收C3-113先木西努尔·木塔力甫房款</t>
  </si>
  <si>
    <t>收C4-110、C4-111柔鲜古丽·麦麦提商铺款</t>
  </si>
  <si>
    <t>收C3-102、C3-103、C3-104阿力木江·牙生房款</t>
  </si>
  <si>
    <t>工程款（康泰）</t>
  </si>
  <si>
    <t>车用汽油（附专票）</t>
  </si>
  <si>
    <t>支多浪新项目2月销售佣金</t>
  </si>
  <si>
    <t>内部往来(0856转0033)</t>
  </si>
  <si>
    <t>支诉讼费（宝发收据）</t>
  </si>
  <si>
    <t>退章如芬、冯开军办证费</t>
  </si>
  <si>
    <t>支康泰2-1-502陈杰房产证代办费</t>
  </si>
  <si>
    <t>支A4-5-202沙迪克·沙迪尔诚意金</t>
  </si>
  <si>
    <t>退A2-1-402麦麦提·赛麦提诚意金</t>
  </si>
  <si>
    <t>退A1-3-601阿不力米提·卡地尔诚意金</t>
  </si>
  <si>
    <t>支办公室装修款</t>
  </si>
  <si>
    <t>阿克苏众之鑫金属制品有限责任公司</t>
  </si>
  <si>
    <t>支新洋电力工程款</t>
  </si>
  <si>
    <t>新洋电力建设有限公司阿克苏分公司</t>
  </si>
  <si>
    <t>支沙石料材料款</t>
  </si>
  <si>
    <t>支运费</t>
  </si>
  <si>
    <t>余卫东</t>
  </si>
  <si>
    <t>支借支</t>
  </si>
  <si>
    <t>支办公室装修材料款（附专票）</t>
  </si>
  <si>
    <t>支创为线路改造工程款</t>
  </si>
  <si>
    <t>新疆创为电力建设工程有限公司阿克苏市一分公司</t>
  </si>
  <si>
    <t>退C3-09商铺押金</t>
  </si>
  <si>
    <t>退C4-4木瓦汗·木沙商铺押金</t>
  </si>
  <si>
    <t>退C3-03阿孜古力·吐尔洪商铺押金</t>
  </si>
  <si>
    <t>退怡和孙云海办证费</t>
  </si>
  <si>
    <t>支多浪土地土地平整费</t>
  </si>
  <si>
    <t>退C2-12商户押金</t>
  </si>
  <si>
    <t>支多浪新项目3月销售佣金</t>
  </si>
  <si>
    <t>退C3-01商铺押金</t>
  </si>
  <si>
    <t>退C3-05商户押金</t>
  </si>
  <si>
    <t>退C4-10、11商铺租金</t>
  </si>
  <si>
    <t>退C3-4商铺押金</t>
  </si>
  <si>
    <t>退C3-2商铺押金</t>
  </si>
  <si>
    <t>退C3-9商铺押金</t>
  </si>
  <si>
    <t>退 C3-6、7押金</t>
  </si>
  <si>
    <t>支新洋电力10KV电力安装费</t>
  </si>
  <si>
    <t>创为电力工程款（附专票）</t>
  </si>
  <si>
    <t>支C8-2-502巴哈尔古力·苏甫尔借支</t>
  </si>
  <si>
    <t>工程款收据（康泰）抵账A1-1-401</t>
  </si>
  <si>
    <t>收C3-106米日万古力·吾加木尼亚孜房款往来</t>
  </si>
  <si>
    <t>收C16-103亚力昆·艾买尔房款往来</t>
  </si>
  <si>
    <t>收C3-105阿力木江·阿吾提房款往来</t>
  </si>
  <si>
    <t>收C3-110阿力米热·亚力昆房款往来</t>
  </si>
  <si>
    <t>收C2-112古力先·如孜房款往来</t>
  </si>
  <si>
    <t>收C7-2-402阿里木江·提力瓦力地房款往来</t>
  </si>
  <si>
    <t>收C16-103亚力昆·艾买尔房款</t>
  </si>
  <si>
    <t>收A4-3-302还款</t>
  </si>
  <si>
    <t>支免租房装修款</t>
  </si>
  <si>
    <t>支拜城分公司税控服务费年费</t>
  </si>
  <si>
    <t>退C3-06押金款</t>
  </si>
  <si>
    <t>退4-3-102王祥坤保证金</t>
  </si>
  <si>
    <t>退A1-1-202阿不都热依木·阿不来提诚意金</t>
  </si>
  <si>
    <t>支5月工资</t>
  </si>
  <si>
    <t>黄山</t>
  </si>
  <si>
    <t>支首付借款</t>
  </si>
  <si>
    <t>扶贫款</t>
  </si>
  <si>
    <t>收内部往来（0856转0033）</t>
  </si>
  <si>
    <t>补发朱鑫玮5月工资</t>
  </si>
  <si>
    <t>收C5-113往来款</t>
  </si>
  <si>
    <t>退A2-3-402肉孜古丽·赛买提诚意金</t>
  </si>
  <si>
    <t>支办公室安装监控费用</t>
  </si>
  <si>
    <t>退康泰5-108商铺押金</t>
  </si>
  <si>
    <t>退A1-1-302艾来提·木塔力甫诚意金</t>
  </si>
  <si>
    <t>支多浪新项目监控款</t>
  </si>
  <si>
    <t>新洋电力工程款（附专票）</t>
  </si>
  <si>
    <t>退康泰代国财维修基金</t>
  </si>
  <si>
    <t>退4-3-102王项坤代办费</t>
  </si>
  <si>
    <t>支康泰1、5、7#维修基金</t>
  </si>
  <si>
    <t>收阿力米热·亚里坤房款往来款</t>
  </si>
  <si>
    <t>支多浪A去售房部装修款保证金</t>
  </si>
  <si>
    <t>退何逢林15-B-503房产证代办费</t>
  </si>
  <si>
    <t>退康泰3-2-602李家菊房产证代办费</t>
  </si>
  <si>
    <t>退3-1-201李俊房产证工本费</t>
  </si>
  <si>
    <t>支多浪A区室外椅子</t>
  </si>
  <si>
    <t>阿克苏市卓悦美家政服务部</t>
  </si>
  <si>
    <t>支龚雪换锁费</t>
  </si>
  <si>
    <t>C2-110房款往来款</t>
  </si>
  <si>
    <t>C2-111房款往来款</t>
  </si>
  <si>
    <t>A1-3-502图尔贡·阿西尔首付还款</t>
  </si>
  <si>
    <t>A4-4-302阿卜杜热伊木·阿卜来提首付还款</t>
  </si>
  <si>
    <t>收A4-6-402吾尔尼萨·库尔班首付还款</t>
  </si>
  <si>
    <t>收C3-105房款往来</t>
  </si>
  <si>
    <t>收C3-2-302房款往来</t>
  </si>
  <si>
    <t>收A12-1-102房款往来</t>
  </si>
  <si>
    <t>收C6-2-101房款往来</t>
  </si>
  <si>
    <t>收A4-5-401努尔麦麦提·库尔班房款往来</t>
  </si>
  <si>
    <t>收康泰1-103刘永平商铺往来款</t>
  </si>
  <si>
    <t>退A2-16图拉比耶姆·麦麦提商铺诚意金</t>
  </si>
  <si>
    <t>工程款（刘永平电站租赁费）</t>
  </si>
  <si>
    <t>温宿</t>
  </si>
  <si>
    <t>支多浪新项目室外椅子</t>
  </si>
  <si>
    <t>支多浪新项目监控款（附专票）</t>
  </si>
  <si>
    <t>退C5-1-502亚森·塔提力克房款</t>
  </si>
  <si>
    <t>支免租房恢复费用（家政服务发票）</t>
  </si>
  <si>
    <t>收C3-106房款往来款</t>
  </si>
  <si>
    <t>收C8-2-302房款往来</t>
  </si>
  <si>
    <t>收C2-101房款往来款</t>
  </si>
  <si>
    <t>支龚雪文件柜换锁</t>
  </si>
  <si>
    <t>收C2-112往来款（其中5000由A2-3-202转入）</t>
  </si>
  <si>
    <t>收C4-113往来款</t>
  </si>
  <si>
    <t>收C16-103往来款</t>
  </si>
  <si>
    <t>收C5-102往来款</t>
  </si>
  <si>
    <t>收C5-103往来款</t>
  </si>
  <si>
    <t>收C6-1-302往来款</t>
  </si>
  <si>
    <t>收C4-3-402往来款</t>
  </si>
  <si>
    <t>收A12-3-201往来款</t>
  </si>
  <si>
    <t>收C7-2-102往来款</t>
  </si>
  <si>
    <t>收A12-3-601往来款</t>
  </si>
  <si>
    <t>收C3-112往来款</t>
  </si>
  <si>
    <t>收C3-111往来款</t>
  </si>
  <si>
    <t>收A4-1-502阿布迪维力·艾合麦提还款</t>
  </si>
  <si>
    <t>收A3-104托合提·买买提还款</t>
  </si>
  <si>
    <t>支4-2-403王国静房产证工本费</t>
  </si>
  <si>
    <t>支7-2-702胡忠燕房产证代办费</t>
  </si>
  <si>
    <t>退康泰幼儿园租赁押金</t>
  </si>
  <si>
    <t>C16-101房款往来</t>
  </si>
  <si>
    <t>C3-112房款往来</t>
  </si>
  <si>
    <t>C3-111房款往来</t>
  </si>
  <si>
    <t>C2-106房款往来</t>
  </si>
  <si>
    <t>C2-107房款往来</t>
  </si>
  <si>
    <t>C2-102房款往来</t>
  </si>
  <si>
    <t>C2-103房款往来</t>
  </si>
  <si>
    <t>A12-2-302房款往来</t>
  </si>
  <si>
    <t>A3-1-203房款往来</t>
  </si>
  <si>
    <t>A5-1-201还款</t>
  </si>
  <si>
    <t>退康泰6-4-501杨华英房产证代办费、工本费</t>
  </si>
  <si>
    <t>退康泰1-1-1101王潇宇房产证代办费、工本费</t>
  </si>
  <si>
    <t>退康泰6-2-401唐才木房产证代办费、工本费</t>
  </si>
  <si>
    <t>退康泰7-5-301张宏代办费、工本费</t>
  </si>
  <si>
    <t>退康泰4-3-401居光伟工本费</t>
  </si>
  <si>
    <t>支C6-2-202借款</t>
  </si>
  <si>
    <t>A12-1-201房款往来</t>
  </si>
  <si>
    <t>门帘发票</t>
  </si>
  <si>
    <t>阿克苏日报订报费</t>
  </si>
  <si>
    <t>电子设备</t>
  </si>
  <si>
    <t>广告费</t>
  </si>
  <si>
    <t>快递费发票</t>
  </si>
  <si>
    <t>杨红梅</t>
  </si>
  <si>
    <t>阿克苏分公司往来款</t>
  </si>
  <si>
    <t>阿克苏分公司艾海提往来款</t>
  </si>
  <si>
    <t>阿克苏分公司刘永平往来款</t>
  </si>
  <si>
    <t>C7-1-101公积金贷款往来款</t>
  </si>
  <si>
    <t>A12-2-302米尔扎艾合麦提建行放贷款往来</t>
  </si>
  <si>
    <t>内部往来（0856转0033）</t>
  </si>
  <si>
    <t>内部往来（0033转0856）</t>
  </si>
  <si>
    <t>支交通费</t>
  </si>
  <si>
    <t>支10KV电力工程款抵账房A4-2-202</t>
  </si>
  <si>
    <t>内部往来（0033转总公司）</t>
  </si>
  <si>
    <t>交通费发票</t>
  </si>
  <si>
    <t>矿泉水发票</t>
  </si>
  <si>
    <t>车用汽油发票</t>
  </si>
  <si>
    <t>郭满庆</t>
  </si>
  <si>
    <t>餐饮费发票</t>
  </si>
  <si>
    <t>办公室换锁发票</t>
  </si>
  <si>
    <t>饮料发票</t>
  </si>
  <si>
    <t>业务费发票</t>
  </si>
  <si>
    <t>合并同单位</t>
  </si>
  <si>
    <t>垫付阿克苏分公司款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</si>
</sst>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  <numFmt numFmtId="178" formatCode="##\-#\-###"/>
    <numFmt numFmtId="179" formatCode="0_ "/>
  </numFmts>
  <fonts count="41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9"/>
      <name val="SimSun"/>
      <charset val="134"/>
    </font>
    <font>
      <u/>
      <sz val="9"/>
      <color rgb="FF0000FF"/>
      <name val="SimSun"/>
      <charset val="134"/>
    </font>
    <font>
      <sz val="11"/>
      <color indexed="8"/>
      <name val="宋体"/>
      <charset val="134"/>
      <scheme val="minor"/>
    </font>
    <font>
      <sz val="9"/>
      <color rgb="FF000000"/>
      <name val="SimSun"/>
      <charset val="134"/>
    </font>
    <font>
      <sz val="10"/>
      <name val="宋体"/>
      <charset val="134"/>
    </font>
    <font>
      <sz val="10"/>
      <name val="Times New Roman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Times New Roman"/>
      <charset val="0"/>
    </font>
    <font>
      <sz val="10"/>
      <name val="宋体"/>
      <charset val="0"/>
      <scheme val="minor"/>
    </font>
    <font>
      <sz val="9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color rgb="FF000000"/>
      <name val="微软雅黑"/>
      <charset val="134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Times New Roman"/>
      <charset val="0"/>
    </font>
    <font>
      <sz val="9"/>
      <name val="宋体"/>
      <charset val="134"/>
    </font>
    <font>
      <b/>
      <sz val="9"/>
      <color indexed="8"/>
      <name val="宋体"/>
      <charset val="134"/>
    </font>
    <font>
      <sz val="9"/>
      <color indexed="8"/>
      <name val="宋体"/>
      <charset val="134"/>
    </font>
    <font>
      <b/>
      <sz val="9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8" borderId="20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9" borderId="23" applyNumberFormat="0" applyAlignment="0" applyProtection="0">
      <alignment vertical="center"/>
    </xf>
    <xf numFmtId="0" fontId="26" fillId="10" borderId="24" applyNumberFormat="0" applyAlignment="0" applyProtection="0">
      <alignment vertical="center"/>
    </xf>
    <xf numFmtId="0" fontId="27" fillId="10" borderId="23" applyNumberFormat="0" applyAlignment="0" applyProtection="0">
      <alignment vertical="center"/>
    </xf>
    <xf numFmtId="0" fontId="28" fillId="11" borderId="25" applyNumberFormat="0" applyAlignment="0" applyProtection="0">
      <alignment vertical="center"/>
    </xf>
    <xf numFmtId="0" fontId="29" fillId="0" borderId="26" applyNumberFormat="0" applyFill="0" applyAlignment="0" applyProtection="0">
      <alignment vertical="center"/>
    </xf>
    <xf numFmtId="0" fontId="30" fillId="0" borderId="27" applyNumberFormat="0" applyFill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</cellStyleXfs>
  <cellXfs count="23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4" fontId="4" fillId="0" borderId="0" xfId="0" applyNumberFormat="1" applyFont="1" applyFill="1" applyAlignment="1"/>
    <xf numFmtId="0" fontId="4" fillId="2" borderId="0" xfId="0" applyFont="1" applyFill="1" applyAlignment="1">
      <alignment vertical="center"/>
    </xf>
    <xf numFmtId="4" fontId="4" fillId="3" borderId="0" xfId="0" applyNumberFormat="1" applyFont="1" applyFill="1" applyAlignment="1"/>
    <xf numFmtId="176" fontId="0" fillId="0" borderId="0" xfId="0" applyNumberFormat="1">
      <alignment vertical="center"/>
    </xf>
    <xf numFmtId="0" fontId="0" fillId="3" borderId="0" xfId="0" applyFill="1">
      <alignment vertical="center"/>
    </xf>
    <xf numFmtId="176" fontId="0" fillId="2" borderId="0" xfId="0" applyNumberFormat="1" applyFill="1">
      <alignment vertical="center"/>
    </xf>
    <xf numFmtId="0" fontId="0" fillId="2" borderId="0" xfId="0" applyFill="1">
      <alignment vertical="center"/>
    </xf>
    <xf numFmtId="176" fontId="0" fillId="4" borderId="0" xfId="0" applyNumberFormat="1" applyFill="1">
      <alignment vertical="center"/>
    </xf>
    <xf numFmtId="0" fontId="0" fillId="4" borderId="0" xfId="0" applyFill="1">
      <alignment vertical="center"/>
    </xf>
    <xf numFmtId="176" fontId="0" fillId="3" borderId="0" xfId="0" applyNumberFormat="1" applyFill="1">
      <alignment vertical="center"/>
    </xf>
    <xf numFmtId="4" fontId="5" fillId="0" borderId="2" xfId="0" applyNumberFormat="1" applyFont="1" applyBorder="1" applyAlignment="1">
      <alignment horizontal="right" vertical="center" wrapText="1"/>
    </xf>
    <xf numFmtId="3" fontId="4" fillId="0" borderId="0" xfId="0" applyNumberFormat="1" applyFont="1" applyFill="1" applyAlignment="1"/>
    <xf numFmtId="0" fontId="0" fillId="0" borderId="0" xfId="0" applyAlignment="1">
      <alignment horizontal="left" vertical="center"/>
    </xf>
    <xf numFmtId="0" fontId="1" fillId="4" borderId="0" xfId="0" applyFont="1" applyFill="1" applyAlignment="1">
      <alignment vertical="center"/>
    </xf>
    <xf numFmtId="176" fontId="1" fillId="0" borderId="0" xfId="0" applyNumberFormat="1" applyFont="1" applyFill="1" applyAlignment="1">
      <alignment vertical="center"/>
    </xf>
    <xf numFmtId="0" fontId="1" fillId="3" borderId="0" xfId="0" applyFont="1" applyFill="1" applyAlignment="1">
      <alignment vertical="center"/>
    </xf>
    <xf numFmtId="176" fontId="1" fillId="3" borderId="0" xfId="0" applyNumberFormat="1" applyFont="1" applyFill="1" applyAlignment="1">
      <alignment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176" fontId="1" fillId="2" borderId="0" xfId="0" applyNumberFormat="1" applyFont="1" applyFill="1" applyAlignment="1">
      <alignment vertical="center"/>
    </xf>
    <xf numFmtId="177" fontId="1" fillId="0" borderId="0" xfId="0" applyNumberFormat="1" applyFont="1" applyFill="1" applyAlignment="1">
      <alignment vertical="center"/>
    </xf>
    <xf numFmtId="0" fontId="5" fillId="0" borderId="2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4" fontId="2" fillId="4" borderId="1" xfId="0" applyNumberFormat="1" applyFont="1" applyFill="1" applyBorder="1" applyAlignment="1">
      <alignment horizontal="right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4" fontId="2" fillId="3" borderId="1" xfId="0" applyNumberFormat="1" applyFont="1" applyFill="1" applyBorder="1" applyAlignment="1">
      <alignment horizontal="right" vertical="center" wrapText="1"/>
    </xf>
    <xf numFmtId="176" fontId="1" fillId="5" borderId="0" xfId="0" applyNumberFormat="1" applyFont="1" applyFill="1" applyAlignment="1">
      <alignment vertical="center"/>
    </xf>
    <xf numFmtId="0" fontId="6" fillId="4" borderId="0" xfId="0" applyNumberFormat="1" applyFont="1" applyFill="1" applyAlignment="1" applyProtection="1">
      <alignment horizontal="center" vertical="center"/>
    </xf>
    <xf numFmtId="0" fontId="6" fillId="4" borderId="0" xfId="0" applyNumberFormat="1" applyFont="1" applyFill="1" applyAlignment="1" applyProtection="1">
      <alignment horizontal="center" vertical="center" shrinkToFit="1"/>
    </xf>
    <xf numFmtId="176" fontId="7" fillId="4" borderId="0" xfId="0" applyNumberFormat="1" applyFont="1" applyFill="1">
      <alignment vertical="center"/>
    </xf>
    <xf numFmtId="0" fontId="7" fillId="0" borderId="0" xfId="0" applyFont="1" applyFill="1" applyAlignment="1">
      <alignment horizontal="center" vertical="center"/>
    </xf>
    <xf numFmtId="176" fontId="7" fillId="0" borderId="0" xfId="0" applyNumberFormat="1" applyFont="1" applyFill="1">
      <alignment vertical="center"/>
    </xf>
    <xf numFmtId="0" fontId="7" fillId="4" borderId="0" xfId="0" applyFont="1" applyFill="1" applyAlignment="1">
      <alignment vertical="center" wrapText="1"/>
    </xf>
    <xf numFmtId="0" fontId="7" fillId="4" borderId="0" xfId="0" applyFont="1" applyFill="1">
      <alignment vertical="center"/>
    </xf>
    <xf numFmtId="176" fontId="7" fillId="4" borderId="0" xfId="0" applyNumberFormat="1" applyFont="1" applyFill="1" applyAlignment="1">
      <alignment horizontal="right" vertical="center"/>
    </xf>
    <xf numFmtId="0" fontId="8" fillId="4" borderId="0" xfId="0" applyFont="1" applyFill="1">
      <alignment vertical="center"/>
    </xf>
    <xf numFmtId="0" fontId="6" fillId="3" borderId="3" xfId="0" applyNumberFormat="1" applyFont="1" applyFill="1" applyBorder="1" applyAlignment="1" applyProtection="1">
      <alignment horizontal="center" vertical="center"/>
    </xf>
    <xf numFmtId="0" fontId="6" fillId="3" borderId="4" xfId="0" applyNumberFormat="1" applyFont="1" applyFill="1" applyBorder="1" applyAlignment="1" applyProtection="1">
      <alignment horizontal="center" vertical="center"/>
    </xf>
    <xf numFmtId="0" fontId="6" fillId="3" borderId="5" xfId="0" applyNumberFormat="1" applyFont="1" applyFill="1" applyBorder="1" applyAlignment="1" applyProtection="1">
      <alignment horizontal="center" vertical="center"/>
    </xf>
    <xf numFmtId="176" fontId="6" fillId="4" borderId="3" xfId="0" applyNumberFormat="1" applyFont="1" applyFill="1" applyBorder="1" applyAlignment="1">
      <alignment horizontal="center" vertical="center"/>
    </xf>
    <xf numFmtId="176" fontId="7" fillId="4" borderId="3" xfId="0" applyNumberFormat="1" applyFont="1" applyFill="1" applyBorder="1" applyAlignment="1">
      <alignment horizontal="center" vertical="center"/>
    </xf>
    <xf numFmtId="0" fontId="6" fillId="3" borderId="6" xfId="0" applyNumberFormat="1" applyFont="1" applyFill="1" applyBorder="1" applyAlignment="1" applyProtection="1">
      <alignment horizontal="center" vertical="center"/>
    </xf>
    <xf numFmtId="0" fontId="6" fillId="3" borderId="7" xfId="0" applyNumberFormat="1" applyFont="1" applyFill="1" applyBorder="1" applyAlignment="1" applyProtection="1">
      <alignment horizontal="center" vertical="center" shrinkToFit="1"/>
    </xf>
    <xf numFmtId="0" fontId="6" fillId="3" borderId="6" xfId="0" applyNumberFormat="1" applyFont="1" applyFill="1" applyBorder="1" applyAlignment="1" applyProtection="1">
      <alignment horizontal="center" vertical="center" wrapText="1"/>
    </xf>
    <xf numFmtId="0" fontId="6" fillId="3" borderId="3" xfId="0" applyNumberFormat="1" applyFont="1" applyFill="1" applyBorder="1" applyAlignment="1" applyProtection="1">
      <alignment horizontal="center" vertical="center" wrapText="1"/>
    </xf>
    <xf numFmtId="0" fontId="6" fillId="3" borderId="8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3" borderId="9" xfId="0" applyNumberFormat="1" applyFont="1" applyFill="1" applyBorder="1" applyAlignment="1" applyProtection="1">
      <alignment horizontal="center" vertical="center"/>
    </xf>
    <xf numFmtId="0" fontId="6" fillId="3" borderId="10" xfId="0" applyNumberFormat="1" applyFont="1" applyFill="1" applyBorder="1" applyAlignment="1" applyProtection="1">
      <alignment horizontal="center" vertical="center" shrinkToFit="1"/>
    </xf>
    <xf numFmtId="0" fontId="6" fillId="3" borderId="9" xfId="0" applyNumberFormat="1" applyFont="1" applyFill="1" applyBorder="1" applyAlignment="1" applyProtection="1">
      <alignment horizontal="center" vertical="center" wrapText="1"/>
    </xf>
    <xf numFmtId="0" fontId="6" fillId="3" borderId="11" xfId="0" applyNumberFormat="1" applyFont="1" applyFill="1" applyBorder="1" applyAlignment="1" applyProtection="1">
      <alignment horizontal="center" vertical="center" wrapText="1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178" fontId="9" fillId="3" borderId="4" xfId="0" applyNumberFormat="1" applyFont="1" applyFill="1" applyBorder="1" applyAlignment="1" applyProtection="1">
      <alignment horizontal="left" vertical="center" shrinkToFit="1"/>
    </xf>
    <xf numFmtId="0" fontId="10" fillId="3" borderId="3" xfId="0" applyFont="1" applyFill="1" applyBorder="1" applyAlignment="1" applyProtection="1">
      <alignment horizontal="center" vertical="center"/>
    </xf>
    <xf numFmtId="0" fontId="10" fillId="3" borderId="3" xfId="0" applyNumberFormat="1" applyFont="1" applyFill="1" applyBorder="1" applyAlignment="1" applyProtection="1">
      <alignment horizontal="center" vertical="center"/>
    </xf>
    <xf numFmtId="0" fontId="6" fillId="3" borderId="12" xfId="0" applyNumberFormat="1" applyFont="1" applyFill="1" applyBorder="1" applyAlignment="1" applyProtection="1">
      <alignment horizontal="center" vertical="center"/>
      <protection locked="0" hidden="1"/>
    </xf>
    <xf numFmtId="176" fontId="7" fillId="4" borderId="3" xfId="0" applyNumberFormat="1" applyFont="1" applyFill="1" applyBorder="1">
      <alignment vertical="center"/>
    </xf>
    <xf numFmtId="49" fontId="11" fillId="3" borderId="4" xfId="0" applyNumberFormat="1" applyFont="1" applyFill="1" applyBorder="1" applyAlignment="1" applyProtection="1">
      <alignment horizontal="left" vertical="center" shrinkToFit="1"/>
    </xf>
    <xf numFmtId="0" fontId="9" fillId="0" borderId="3" xfId="0" applyFont="1" applyFill="1" applyBorder="1" applyAlignment="1">
      <alignment horizontal="center" vertical="center" wrapText="1"/>
    </xf>
    <xf numFmtId="176" fontId="9" fillId="0" borderId="6" xfId="0" applyNumberFormat="1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/>
    </xf>
    <xf numFmtId="176" fontId="7" fillId="0" borderId="0" xfId="0" applyNumberFormat="1" applyFont="1" applyFill="1" applyAlignment="1">
      <alignment horizontal="center" vertical="center"/>
    </xf>
    <xf numFmtId="176" fontId="7" fillId="0" borderId="12" xfId="0" applyNumberFormat="1" applyFont="1" applyFill="1" applyBorder="1" applyAlignment="1">
      <alignment horizontal="center" vertical="center"/>
    </xf>
    <xf numFmtId="176" fontId="9" fillId="0" borderId="13" xfId="0" applyNumberFormat="1" applyFont="1" applyFill="1" applyBorder="1" applyAlignment="1">
      <alignment horizontal="center" vertical="center"/>
    </xf>
    <xf numFmtId="176" fontId="9" fillId="0" borderId="14" xfId="0" applyNumberFormat="1" applyFont="1" applyFill="1" applyBorder="1" applyAlignment="1">
      <alignment horizontal="center" vertical="center"/>
    </xf>
    <xf numFmtId="176" fontId="7" fillId="0" borderId="15" xfId="0" applyNumberFormat="1" applyFont="1" applyFill="1" applyBorder="1">
      <alignment vertical="center"/>
    </xf>
    <xf numFmtId="176" fontId="7" fillId="0" borderId="3" xfId="0" applyNumberFormat="1" applyFont="1" applyFill="1" applyBorder="1" applyAlignment="1">
      <alignment horizontal="right" vertical="center"/>
    </xf>
    <xf numFmtId="176" fontId="7" fillId="0" borderId="3" xfId="0" applyNumberFormat="1" applyFont="1" applyFill="1" applyBorder="1">
      <alignment vertical="center"/>
    </xf>
    <xf numFmtId="0" fontId="7" fillId="4" borderId="3" xfId="0" applyFont="1" applyFill="1" applyBorder="1">
      <alignment vertical="center"/>
    </xf>
    <xf numFmtId="176" fontId="7" fillId="4" borderId="12" xfId="0" applyNumberFormat="1" applyFont="1" applyFill="1" applyBorder="1">
      <alignment vertical="center"/>
    </xf>
    <xf numFmtId="176" fontId="7" fillId="0" borderId="12" xfId="0" applyNumberFormat="1" applyFont="1" applyFill="1" applyBorder="1" applyAlignment="1">
      <alignment horizontal="right" vertical="center"/>
    </xf>
    <xf numFmtId="176" fontId="7" fillId="4" borderId="12" xfId="0" applyNumberFormat="1" applyFont="1" applyFill="1" applyBorder="1" applyAlignment="1">
      <alignment horizontal="right" vertical="center"/>
    </xf>
    <xf numFmtId="0" fontId="7" fillId="4" borderId="3" xfId="0" applyFont="1" applyFill="1" applyBorder="1" applyAlignment="1">
      <alignment vertical="center" wrapText="1"/>
    </xf>
    <xf numFmtId="176" fontId="7" fillId="0" borderId="3" xfId="0" applyNumberFormat="1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176" fontId="7" fillId="2" borderId="3" xfId="0" applyNumberFormat="1" applyFont="1" applyFill="1" applyBorder="1">
      <alignment vertical="center"/>
    </xf>
    <xf numFmtId="176" fontId="7" fillId="0" borderId="3" xfId="0" applyNumberFormat="1" applyFont="1" applyFill="1" applyBorder="1" applyAlignment="1">
      <alignment vertical="center"/>
    </xf>
    <xf numFmtId="0" fontId="12" fillId="3" borderId="12" xfId="0" applyNumberFormat="1" applyFont="1" applyFill="1" applyBorder="1" applyAlignment="1" applyProtection="1">
      <alignment horizontal="center" vertical="center"/>
      <protection locked="0" hidden="1"/>
    </xf>
    <xf numFmtId="0" fontId="13" fillId="0" borderId="0" xfId="0" applyFont="1">
      <alignment vertical="center"/>
    </xf>
    <xf numFmtId="0" fontId="7" fillId="2" borderId="0" xfId="0" applyFont="1" applyFill="1">
      <alignment vertical="center"/>
    </xf>
    <xf numFmtId="0" fontId="7" fillId="0" borderId="0" xfId="0" applyFont="1" applyFill="1">
      <alignment vertical="center"/>
    </xf>
    <xf numFmtId="176" fontId="7" fillId="6" borderId="0" xfId="0" applyNumberFormat="1" applyFont="1" applyFill="1">
      <alignment vertical="center"/>
    </xf>
    <xf numFmtId="0" fontId="7" fillId="3" borderId="0" xfId="0" applyNumberFormat="1" applyFont="1" applyFill="1" applyBorder="1" applyAlignment="1" applyProtection="1">
      <alignment horizontal="center" vertical="center"/>
    </xf>
    <xf numFmtId="0" fontId="7" fillId="3" borderId="3" xfId="0" applyNumberFormat="1" applyFont="1" applyFill="1" applyBorder="1" applyAlignment="1" applyProtection="1">
      <alignment horizontal="center" vertical="center"/>
    </xf>
    <xf numFmtId="0" fontId="6" fillId="3" borderId="0" xfId="0" applyNumberFormat="1" applyFont="1" applyFill="1" applyAlignment="1" applyProtection="1">
      <alignment horizontal="center" vertical="center"/>
    </xf>
    <xf numFmtId="0" fontId="6" fillId="3" borderId="3" xfId="0" applyNumberFormat="1" applyFont="1" applyFill="1" applyBorder="1" applyAlignment="1" applyProtection="1">
      <alignment horizontal="center" vertical="center" shrinkToFit="1"/>
    </xf>
    <xf numFmtId="0" fontId="7" fillId="3" borderId="3" xfId="0" applyNumberFormat="1" applyFont="1" applyFill="1" applyBorder="1" applyAlignment="1" applyProtection="1">
      <alignment horizontal="center" vertical="center" wrapText="1"/>
    </xf>
    <xf numFmtId="0" fontId="7" fillId="3" borderId="0" xfId="0" applyNumberFormat="1" applyFont="1" applyFill="1" applyAlignment="1" applyProtection="1">
      <alignment horizontal="center" vertical="center"/>
    </xf>
    <xf numFmtId="0" fontId="7" fillId="3" borderId="3" xfId="0" applyNumberFormat="1" applyFont="1" applyFill="1" applyBorder="1" applyAlignment="1" applyProtection="1">
      <alignment horizontal="center" vertical="center" shrinkToFit="1"/>
    </xf>
    <xf numFmtId="178" fontId="7" fillId="3" borderId="4" xfId="0" applyNumberFormat="1" applyFont="1" applyFill="1" applyBorder="1" applyAlignment="1" applyProtection="1">
      <alignment horizontal="center" vertical="center" shrinkToFit="1"/>
    </xf>
    <xf numFmtId="49" fontId="10" fillId="3" borderId="4" xfId="0" applyNumberFormat="1" applyFont="1" applyFill="1" applyBorder="1" applyAlignment="1" applyProtection="1">
      <alignment horizontal="center" vertical="center" shrinkToFit="1"/>
    </xf>
    <xf numFmtId="178" fontId="10" fillId="3" borderId="4" xfId="0" applyNumberFormat="1" applyFont="1" applyFill="1" applyBorder="1" applyAlignment="1" applyProtection="1">
      <alignment horizontal="center" vertical="center" shrinkToFit="1"/>
    </xf>
    <xf numFmtId="0" fontId="7" fillId="2" borderId="3" xfId="0" applyNumberFormat="1" applyFont="1" applyFill="1" applyBorder="1" applyAlignment="1" applyProtection="1">
      <alignment horizontal="center" vertical="center"/>
    </xf>
    <xf numFmtId="49" fontId="10" fillId="2" borderId="4" xfId="0" applyNumberFormat="1" applyFont="1" applyFill="1" applyBorder="1" applyAlignment="1" applyProtection="1">
      <alignment horizontal="center" vertical="center" shrinkToFit="1"/>
    </xf>
    <xf numFmtId="0" fontId="10" fillId="2" borderId="3" xfId="0" applyFont="1" applyFill="1" applyBorder="1" applyAlignment="1" applyProtection="1">
      <alignment horizontal="center" vertical="center"/>
    </xf>
    <xf numFmtId="0" fontId="10" fillId="2" borderId="3" xfId="0" applyNumberFormat="1" applyFont="1" applyFill="1" applyBorder="1" applyAlignment="1" applyProtection="1">
      <alignment horizontal="center" vertical="center"/>
    </xf>
    <xf numFmtId="0" fontId="6" fillId="2" borderId="12" xfId="0" applyNumberFormat="1" applyFont="1" applyFill="1" applyBorder="1" applyAlignment="1" applyProtection="1">
      <alignment horizontal="center" vertical="center" wrapText="1"/>
      <protection locked="0" hidden="1"/>
    </xf>
    <xf numFmtId="0" fontId="9" fillId="0" borderId="8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9" fillId="0" borderId="11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/>
    </xf>
    <xf numFmtId="176" fontId="9" fillId="0" borderId="9" xfId="0" applyNumberFormat="1" applyFont="1" applyFill="1" applyBorder="1" applyAlignment="1">
      <alignment horizontal="center" vertical="center"/>
    </xf>
    <xf numFmtId="176" fontId="9" fillId="0" borderId="3" xfId="0" applyNumberFormat="1" applyFont="1" applyFill="1" applyBorder="1">
      <alignment vertical="center"/>
    </xf>
    <xf numFmtId="176" fontId="6" fillId="0" borderId="3" xfId="0" applyNumberFormat="1" applyFont="1" applyFill="1" applyBorder="1">
      <alignment vertical="center"/>
    </xf>
    <xf numFmtId="0" fontId="7" fillId="0" borderId="3" xfId="0" applyFont="1" applyFill="1" applyBorder="1">
      <alignment vertical="center"/>
    </xf>
    <xf numFmtId="4" fontId="7" fillId="0" borderId="0" xfId="0" applyNumberFormat="1" applyFont="1" applyFill="1">
      <alignment vertical="center"/>
    </xf>
    <xf numFmtId="176" fontId="7" fillId="2" borderId="3" xfId="0" applyNumberFormat="1" applyFont="1" applyFill="1" applyBorder="1" applyAlignment="1">
      <alignment horizontal="right" vertical="center"/>
    </xf>
    <xf numFmtId="0" fontId="7" fillId="2" borderId="3" xfId="0" applyFont="1" applyFill="1" applyBorder="1">
      <alignment vertical="center"/>
    </xf>
    <xf numFmtId="176" fontId="7" fillId="2" borderId="0" xfId="0" applyNumberFormat="1" applyFont="1" applyFill="1">
      <alignment vertical="center"/>
    </xf>
    <xf numFmtId="0" fontId="6" fillId="0" borderId="3" xfId="0" applyFont="1" applyFill="1" applyBorder="1">
      <alignment vertical="center"/>
    </xf>
    <xf numFmtId="176" fontId="9" fillId="6" borderId="3" xfId="0" applyNumberFormat="1" applyFont="1" applyFill="1" applyBorder="1">
      <alignment vertical="center"/>
    </xf>
    <xf numFmtId="176" fontId="6" fillId="6" borderId="3" xfId="0" applyNumberFormat="1" applyFont="1" applyFill="1" applyBorder="1">
      <alignment vertical="center"/>
    </xf>
    <xf numFmtId="0" fontId="6" fillId="3" borderId="16" xfId="0" applyNumberFormat="1" applyFont="1" applyFill="1" applyBorder="1" applyAlignment="1" applyProtection="1">
      <alignment horizontal="center" vertical="center"/>
      <protection locked="0" hidden="1"/>
    </xf>
    <xf numFmtId="178" fontId="10" fillId="2" borderId="4" xfId="0" applyNumberFormat="1" applyFont="1" applyFill="1" applyBorder="1" applyAlignment="1" applyProtection="1">
      <alignment horizontal="center" vertical="center" shrinkToFit="1"/>
    </xf>
    <xf numFmtId="0" fontId="6" fillId="2" borderId="16" xfId="0" applyNumberFormat="1" applyFont="1" applyFill="1" applyBorder="1" applyAlignment="1" applyProtection="1">
      <alignment horizontal="center" vertical="center"/>
      <protection locked="0" hidden="1"/>
    </xf>
    <xf numFmtId="0" fontId="7" fillId="3" borderId="16" xfId="0" applyNumberFormat="1" applyFont="1" applyFill="1" applyBorder="1" applyAlignment="1" applyProtection="1">
      <alignment horizontal="center" vertical="center"/>
      <protection locked="0" hidden="1"/>
    </xf>
    <xf numFmtId="0" fontId="7" fillId="2" borderId="16" xfId="0" applyNumberFormat="1" applyFont="1" applyFill="1" applyBorder="1" applyAlignment="1" applyProtection="1">
      <alignment horizontal="center" vertical="center"/>
      <protection locked="0" hidden="1"/>
    </xf>
    <xf numFmtId="0" fontId="7" fillId="3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6" fillId="2" borderId="16" xfId="0" applyNumberFormat="1" applyFont="1" applyFill="1" applyBorder="1" applyAlignment="1" applyProtection="1">
      <alignment horizontal="center" vertical="center" wrapText="1"/>
      <protection locked="0" hidden="1"/>
    </xf>
    <xf numFmtId="0" fontId="7" fillId="3" borderId="3" xfId="0" applyFont="1" applyFill="1" applyBorder="1" applyAlignment="1" applyProtection="1">
      <alignment horizontal="center" vertical="center"/>
    </xf>
    <xf numFmtId="0" fontId="7" fillId="2" borderId="3" xfId="0" applyFont="1" applyFill="1" applyBorder="1" applyAlignment="1" applyProtection="1">
      <alignment horizontal="center" vertical="center"/>
    </xf>
    <xf numFmtId="0" fontId="6" fillId="2" borderId="12" xfId="0" applyNumberFormat="1" applyFont="1" applyFill="1" applyBorder="1" applyAlignment="1" applyProtection="1">
      <alignment horizontal="center" vertical="center"/>
      <protection locked="0" hidden="1"/>
    </xf>
    <xf numFmtId="0" fontId="7" fillId="2" borderId="12" xfId="0" applyNumberFormat="1" applyFont="1" applyFill="1" applyBorder="1" applyAlignment="1" applyProtection="1">
      <alignment horizontal="center" vertical="center"/>
      <protection locked="0" hidden="1"/>
    </xf>
    <xf numFmtId="179" fontId="10" fillId="3" borderId="3" xfId="0" applyNumberFormat="1" applyFont="1" applyFill="1" applyBorder="1" applyAlignment="1" applyProtection="1">
      <alignment horizontal="center" vertical="center"/>
    </xf>
    <xf numFmtId="0" fontId="6" fillId="2" borderId="3" xfId="0" applyFont="1" applyFill="1" applyBorder="1">
      <alignment vertical="center"/>
    </xf>
    <xf numFmtId="176" fontId="7" fillId="2" borderId="6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176" fontId="7" fillId="2" borderId="13" xfId="0" applyNumberFormat="1" applyFont="1" applyFill="1" applyBorder="1" applyAlignment="1">
      <alignment horizontal="right" vertical="center"/>
    </xf>
    <xf numFmtId="176" fontId="7" fillId="2" borderId="9" xfId="0" applyNumberFormat="1" applyFont="1" applyFill="1" applyBorder="1" applyAlignment="1">
      <alignment horizontal="right" vertical="center"/>
    </xf>
    <xf numFmtId="4" fontId="7" fillId="2" borderId="0" xfId="0" applyNumberFormat="1" applyFont="1" applyFill="1">
      <alignment vertical="center"/>
    </xf>
    <xf numFmtId="0" fontId="7" fillId="3" borderId="12" xfId="0" applyNumberFormat="1" applyFont="1" applyFill="1" applyBorder="1" applyAlignment="1" applyProtection="1">
      <alignment horizontal="center" vertical="center"/>
      <protection locked="0" hidden="1"/>
    </xf>
    <xf numFmtId="0" fontId="10" fillId="2" borderId="6" xfId="0" applyNumberFormat="1" applyFont="1" applyFill="1" applyBorder="1" applyAlignment="1" applyProtection="1">
      <alignment horizontal="center" vertical="center"/>
    </xf>
    <xf numFmtId="0" fontId="6" fillId="2" borderId="5" xfId="0" applyNumberFormat="1" applyFont="1" applyFill="1" applyBorder="1" applyAlignment="1" applyProtection="1">
      <alignment horizontal="center" vertical="center"/>
      <protection locked="0" hidden="1"/>
    </xf>
    <xf numFmtId="0" fontId="10" fillId="2" borderId="13" xfId="0" applyNumberFormat="1" applyFont="1" applyFill="1" applyBorder="1" applyAlignment="1" applyProtection="1">
      <alignment horizontal="center" vertical="center"/>
    </xf>
    <xf numFmtId="0" fontId="7" fillId="2" borderId="0" xfId="0" applyNumberFormat="1" applyFont="1" applyFill="1" applyBorder="1" applyAlignment="1" applyProtection="1">
      <alignment horizontal="center" vertical="center"/>
      <protection locked="0" hidden="1"/>
    </xf>
    <xf numFmtId="49" fontId="10" fillId="2" borderId="7" xfId="0" applyNumberFormat="1" applyFont="1" applyFill="1" applyBorder="1" applyAlignment="1" applyProtection="1">
      <alignment horizontal="center" vertical="center" shrinkToFit="1"/>
    </xf>
    <xf numFmtId="0" fontId="10" fillId="2" borderId="6" xfId="0" applyFont="1" applyFill="1" applyBorder="1" applyAlignment="1" applyProtection="1">
      <alignment horizontal="center" vertical="center"/>
    </xf>
    <xf numFmtId="176" fontId="7" fillId="2" borderId="6" xfId="0" applyNumberFormat="1" applyFont="1" applyFill="1" applyBorder="1">
      <alignment vertical="center"/>
    </xf>
    <xf numFmtId="0" fontId="7" fillId="3" borderId="3" xfId="0" applyFont="1" applyFill="1" applyBorder="1">
      <alignment vertical="center"/>
    </xf>
    <xf numFmtId="0" fontId="6" fillId="3" borderId="3" xfId="0" applyFont="1" applyFill="1" applyBorder="1">
      <alignment vertical="center"/>
    </xf>
    <xf numFmtId="0" fontId="9" fillId="0" borderId="0" xfId="0" applyFont="1" applyFill="1" applyAlignment="1">
      <alignment horizontal="center" vertical="center"/>
    </xf>
    <xf numFmtId="176" fontId="9" fillId="0" borderId="0" xfId="0" applyNumberFormat="1" applyFont="1" applyFill="1">
      <alignment vertical="center"/>
    </xf>
    <xf numFmtId="0" fontId="9" fillId="0" borderId="0" xfId="0" applyNumberFormat="1" applyFont="1" applyFill="1" applyBorder="1" applyAlignment="1" applyProtection="1">
      <alignment horizontal="center" vertical="center" shrinkToFit="1"/>
    </xf>
    <xf numFmtId="0" fontId="9" fillId="0" borderId="0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Alignment="1" applyProtection="1">
      <alignment horizontal="center" vertical="center"/>
    </xf>
    <xf numFmtId="0" fontId="9" fillId="0" borderId="0" xfId="0" applyFont="1" applyFill="1" applyAlignment="1">
      <alignment vertical="center" wrapText="1"/>
    </xf>
    <xf numFmtId="0" fontId="9" fillId="0" borderId="0" xfId="0" applyFont="1" applyFill="1">
      <alignment vertical="center"/>
    </xf>
    <xf numFmtId="0" fontId="9" fillId="3" borderId="3" xfId="0" applyNumberFormat="1" applyFont="1" applyFill="1" applyBorder="1" applyAlignment="1" applyProtection="1">
      <alignment horizontal="center" vertical="center"/>
    </xf>
    <xf numFmtId="0" fontId="9" fillId="3" borderId="5" xfId="0" applyNumberFormat="1" applyFont="1" applyFill="1" applyBorder="1" applyAlignment="1" applyProtection="1">
      <alignment horizontal="center" vertical="center"/>
    </xf>
    <xf numFmtId="0" fontId="9" fillId="3" borderId="3" xfId="0" applyNumberFormat="1" applyFont="1" applyFill="1" applyBorder="1" applyAlignment="1" applyProtection="1">
      <alignment horizontal="center" vertical="center" shrinkToFit="1"/>
    </xf>
    <xf numFmtId="0" fontId="9" fillId="3" borderId="3" xfId="0" applyNumberFormat="1" applyFont="1" applyFill="1" applyBorder="1" applyAlignment="1" applyProtection="1">
      <alignment horizontal="center" vertical="center" wrapText="1"/>
    </xf>
    <xf numFmtId="0" fontId="9" fillId="3" borderId="10" xfId="0" applyNumberFormat="1" applyFont="1" applyFill="1" applyBorder="1" applyAlignment="1" applyProtection="1">
      <alignment horizontal="center" vertical="center" shrinkToFit="1"/>
    </xf>
    <xf numFmtId="0" fontId="9" fillId="3" borderId="10" xfId="0" applyNumberFormat="1" applyFont="1" applyFill="1" applyBorder="1" applyAlignment="1" applyProtection="1">
      <alignment horizontal="left" vertical="center" shrinkToFit="1"/>
    </xf>
    <xf numFmtId="0" fontId="9" fillId="3" borderId="9" xfId="0" applyNumberFormat="1" applyFont="1" applyFill="1" applyBorder="1" applyAlignment="1" applyProtection="1">
      <alignment horizontal="center" vertical="center" wrapText="1"/>
    </xf>
    <xf numFmtId="0" fontId="9" fillId="3" borderId="3" xfId="0" applyNumberFormat="1" applyFont="1" applyFill="1" applyBorder="1" applyAlignment="1" applyProtection="1">
      <alignment vertical="center" wrapText="1"/>
    </xf>
    <xf numFmtId="0" fontId="11" fillId="3" borderId="3" xfId="0" applyNumberFormat="1" applyFont="1" applyFill="1" applyBorder="1" applyAlignment="1" applyProtection="1">
      <alignment vertical="center"/>
    </xf>
    <xf numFmtId="0" fontId="9" fillId="3" borderId="11" xfId="0" applyNumberFormat="1" applyFont="1" applyFill="1" applyBorder="1" applyAlignment="1" applyProtection="1">
      <alignment horizontal="center" vertical="center" wrapText="1"/>
    </xf>
    <xf numFmtId="176" fontId="9" fillId="3" borderId="11" xfId="0" applyNumberFormat="1" applyFont="1" applyFill="1" applyBorder="1" applyAlignment="1" applyProtection="1">
      <alignment horizontal="right" vertical="center" wrapText="1"/>
    </xf>
    <xf numFmtId="0" fontId="9" fillId="3" borderId="12" xfId="0" applyNumberFormat="1" applyFont="1" applyFill="1" applyBorder="1" applyAlignment="1" applyProtection="1">
      <alignment horizontal="center" vertical="center"/>
      <protection locked="0" hidden="1"/>
    </xf>
    <xf numFmtId="0" fontId="11" fillId="3" borderId="3" xfId="0" applyFont="1" applyFill="1" applyBorder="1" applyAlignment="1" applyProtection="1">
      <alignment horizontal="center" vertical="center"/>
    </xf>
    <xf numFmtId="0" fontId="9" fillId="3" borderId="3" xfId="0" applyNumberFormat="1" applyFont="1" applyFill="1" applyBorder="1" applyAlignment="1" applyProtection="1">
      <alignment horizontal="center" vertical="center"/>
      <protection locked="0" hidden="1"/>
    </xf>
    <xf numFmtId="176" fontId="9" fillId="3" borderId="12" xfId="0" applyNumberFormat="1" applyFont="1" applyFill="1" applyBorder="1" applyAlignment="1" applyProtection="1">
      <alignment horizontal="right" vertical="center"/>
      <protection locked="0" hidden="1"/>
    </xf>
    <xf numFmtId="0" fontId="9" fillId="3" borderId="9" xfId="0" applyNumberFormat="1" applyFont="1" applyFill="1" applyBorder="1" applyAlignment="1" applyProtection="1">
      <alignment horizontal="center" vertical="center" shrinkToFit="1"/>
    </xf>
    <xf numFmtId="49" fontId="11" fillId="3" borderId="17" xfId="0" applyNumberFormat="1" applyFont="1" applyFill="1" applyBorder="1" applyAlignment="1" applyProtection="1">
      <alignment horizontal="left" vertical="center" shrinkToFit="1"/>
    </xf>
    <xf numFmtId="0" fontId="9" fillId="0" borderId="5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NumberFormat="1" applyFont="1" applyFill="1" applyBorder="1" applyAlignment="1" applyProtection="1">
      <alignment horizontal="center" vertical="center" wrapText="1"/>
    </xf>
    <xf numFmtId="0" fontId="9" fillId="0" borderId="3" xfId="0" applyFont="1" applyFill="1" applyBorder="1" applyAlignment="1">
      <alignment vertical="center" wrapText="1"/>
    </xf>
    <xf numFmtId="0" fontId="9" fillId="0" borderId="3" xfId="0" applyFont="1" applyFill="1" applyBorder="1">
      <alignment vertical="center"/>
    </xf>
    <xf numFmtId="176" fontId="9" fillId="0" borderId="3" xfId="0" applyNumberFormat="1" applyFont="1" applyFill="1" applyBorder="1" applyAlignment="1" applyProtection="1">
      <alignment horizontal="right" vertical="center" wrapText="1"/>
    </xf>
    <xf numFmtId="176" fontId="9" fillId="2" borderId="3" xfId="0" applyNumberFormat="1" applyFont="1" applyFill="1" applyBorder="1" applyAlignment="1" applyProtection="1">
      <alignment horizontal="right" vertical="center" wrapText="1"/>
    </xf>
    <xf numFmtId="176" fontId="9" fillId="4" borderId="3" xfId="0" applyNumberFormat="1" applyFont="1" applyFill="1" applyBorder="1" applyAlignment="1" applyProtection="1">
      <alignment horizontal="right" vertical="center" wrapText="1"/>
    </xf>
    <xf numFmtId="0" fontId="14" fillId="0" borderId="3" xfId="0" applyFont="1" applyBorder="1" applyAlignment="1">
      <alignment horizontal="center" vertical="center"/>
    </xf>
    <xf numFmtId="176" fontId="9" fillId="0" borderId="3" xfId="0" applyNumberFormat="1" applyFont="1" applyFill="1" applyBorder="1" applyAlignment="1">
      <alignment horizontal="center" vertical="center"/>
    </xf>
    <xf numFmtId="176" fontId="9" fillId="0" borderId="3" xfId="0" applyNumberFormat="1" applyFont="1" applyFill="1" applyBorder="1" applyAlignment="1">
      <alignment horizontal="center" vertical="center" wrapText="1"/>
    </xf>
    <xf numFmtId="176" fontId="9" fillId="2" borderId="3" xfId="0" applyNumberFormat="1" applyFont="1" applyFill="1" applyBorder="1">
      <alignment vertical="center"/>
    </xf>
    <xf numFmtId="176" fontId="9" fillId="7" borderId="3" xfId="0" applyNumberFormat="1" applyFont="1" applyFill="1" applyBorder="1">
      <alignment vertical="center"/>
    </xf>
    <xf numFmtId="176" fontId="5" fillId="0" borderId="3" xfId="0" applyNumberFormat="1" applyFont="1" applyBorder="1">
      <alignment vertical="center"/>
    </xf>
    <xf numFmtId="176" fontId="9" fillId="0" borderId="0" xfId="0" applyNumberFormat="1" applyFont="1" applyFill="1" applyAlignment="1">
      <alignment horizontal="center" vertical="center"/>
    </xf>
    <xf numFmtId="0" fontId="0" fillId="0" borderId="3" xfId="0" applyBorder="1">
      <alignment vertical="center"/>
    </xf>
    <xf numFmtId="0" fontId="11" fillId="3" borderId="3" xfId="0" applyNumberFormat="1" applyFont="1" applyFill="1" applyBorder="1" applyAlignment="1" applyProtection="1">
      <alignment horizontal="center" vertical="center"/>
      <protection locked="0" hidden="1"/>
    </xf>
    <xf numFmtId="0" fontId="9" fillId="3" borderId="3" xfId="0" applyNumberFormat="1" applyFont="1" applyFill="1" applyBorder="1" applyAlignment="1" applyProtection="1">
      <alignment horizontal="center" vertical="center" wrapText="1"/>
      <protection locked="0" hidden="1"/>
    </xf>
    <xf numFmtId="3" fontId="5" fillId="0" borderId="3" xfId="0" applyNumberFormat="1" applyFont="1" applyBorder="1">
      <alignment vertical="center"/>
    </xf>
    <xf numFmtId="0" fontId="9" fillId="3" borderId="0" xfId="0" applyFont="1" applyFill="1" applyBorder="1" applyAlignment="1">
      <alignment horizontal="center" vertical="center"/>
    </xf>
    <xf numFmtId="49" fontId="11" fillId="3" borderId="18" xfId="0" applyNumberFormat="1" applyFont="1" applyFill="1" applyBorder="1" applyAlignment="1" applyProtection="1">
      <alignment horizontal="left" vertical="center" shrinkToFit="1"/>
    </xf>
    <xf numFmtId="0" fontId="9" fillId="3" borderId="16" xfId="0" applyNumberFormat="1" applyFont="1" applyFill="1" applyBorder="1" applyAlignment="1" applyProtection="1">
      <alignment horizontal="center" vertical="center"/>
      <protection locked="0" hidden="1"/>
    </xf>
    <xf numFmtId="0" fontId="9" fillId="3" borderId="11" xfId="0" applyNumberFormat="1" applyFont="1" applyFill="1" applyBorder="1" applyAlignment="1" applyProtection="1">
      <alignment horizontal="center" vertical="center"/>
      <protection locked="0" hidden="1"/>
    </xf>
    <xf numFmtId="176" fontId="9" fillId="3" borderId="11" xfId="0" applyNumberFormat="1" applyFont="1" applyFill="1" applyBorder="1" applyAlignment="1" applyProtection="1">
      <alignment horizontal="right" vertical="center"/>
      <protection locked="0" hidden="1"/>
    </xf>
    <xf numFmtId="176" fontId="9" fillId="3" borderId="3" xfId="0" applyNumberFormat="1" applyFont="1" applyFill="1" applyBorder="1" applyAlignment="1" applyProtection="1">
      <alignment horizontal="right" vertical="center"/>
    </xf>
    <xf numFmtId="176" fontId="9" fillId="3" borderId="3" xfId="0" applyNumberFormat="1" applyFont="1" applyFill="1" applyBorder="1" applyAlignment="1" applyProtection="1">
      <alignment horizontal="right" vertical="center"/>
      <protection locked="0" hidden="1"/>
    </xf>
    <xf numFmtId="176" fontId="9" fillId="6" borderId="3" xfId="0" applyNumberFormat="1" applyFont="1" applyFill="1" applyBorder="1" applyAlignment="1" applyProtection="1">
      <alignment horizontal="right" vertical="center" wrapText="1"/>
    </xf>
    <xf numFmtId="4" fontId="15" fillId="0" borderId="0" xfId="0" applyNumberFormat="1" applyFont="1">
      <alignment vertical="center"/>
    </xf>
    <xf numFmtId="4" fontId="9" fillId="0" borderId="0" xfId="0" applyNumberFormat="1" applyFont="1" applyFill="1">
      <alignment vertical="center"/>
    </xf>
    <xf numFmtId="0" fontId="9" fillId="3" borderId="3" xfId="0" applyFont="1" applyFill="1" applyBorder="1" applyAlignment="1" applyProtection="1">
      <alignment horizontal="center" vertical="center"/>
      <protection locked="0"/>
    </xf>
    <xf numFmtId="49" fontId="11" fillId="3" borderId="3" xfId="0" applyNumberFormat="1" applyFont="1" applyFill="1" applyBorder="1" applyAlignment="1" applyProtection="1">
      <alignment horizontal="left" vertical="center" shrinkToFit="1"/>
    </xf>
    <xf numFmtId="176" fontId="16" fillId="0" borderId="3" xfId="0" applyNumberFormat="1" applyFont="1" applyFill="1" applyBorder="1" applyAlignment="1" applyProtection="1">
      <alignment horizontal="right" vertical="center" wrapText="1"/>
    </xf>
    <xf numFmtId="0" fontId="9" fillId="2" borderId="3" xfId="0" applyFont="1" applyFill="1" applyBorder="1">
      <alignment vertical="center"/>
    </xf>
    <xf numFmtId="49" fontId="11" fillId="3" borderId="19" xfId="0" applyNumberFormat="1" applyFont="1" applyFill="1" applyBorder="1" applyAlignment="1" applyProtection="1">
      <alignment horizontal="left" vertical="center" shrinkToFit="1"/>
    </xf>
    <xf numFmtId="176" fontId="9" fillId="0" borderId="6" xfId="0" applyNumberFormat="1" applyFont="1" applyFill="1" applyBorder="1" applyAlignment="1" applyProtection="1">
      <alignment horizontal="right" vertical="center" wrapText="1"/>
    </xf>
    <xf numFmtId="176" fontId="9" fillId="0" borderId="9" xfId="0" applyNumberFormat="1" applyFont="1" applyFill="1" applyBorder="1" applyAlignment="1" applyProtection="1">
      <alignment horizontal="right" vertical="center" wrapText="1"/>
    </xf>
    <xf numFmtId="176" fontId="9" fillId="0" borderId="0" xfId="0" applyNumberFormat="1" applyFont="1" applyFill="1" applyBorder="1" applyAlignment="1" applyProtection="1">
      <alignment horizontal="center" vertical="center" shrinkToFit="1"/>
    </xf>
    <xf numFmtId="176" fontId="9" fillId="0" borderId="0" xfId="0" applyNumberFormat="1" applyFont="1" applyFill="1" applyBorder="1" applyAlignment="1" applyProtection="1">
      <alignment horizontal="center" vertical="center"/>
    </xf>
    <xf numFmtId="176" fontId="9" fillId="0" borderId="0" xfId="0" applyNumberFormat="1" applyFont="1" applyFill="1" applyAlignment="1" applyProtection="1">
      <alignment horizontal="center" vertical="center"/>
    </xf>
    <xf numFmtId="176" fontId="9" fillId="0" borderId="0" xfId="0" applyNumberFormat="1" applyFont="1" applyFill="1" applyAlignment="1" applyProtection="1">
      <alignment horizontal="right" vertical="center"/>
    </xf>
    <xf numFmtId="176" fontId="9" fillId="0" borderId="0" xfId="0" applyNumberFormat="1" applyFont="1" applyFill="1" applyAlignment="1">
      <alignment vertical="center" wrapText="1"/>
    </xf>
    <xf numFmtId="176" fontId="9" fillId="0" borderId="9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fgColor rgb="FFFFFF00"/>
          <bgColor rgb="FFFFFF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externalLink" Target="externalLinks/externalLink4.xml"/><Relationship Id="rId1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2.xml"/><Relationship Id="rId14" Type="http://schemas.openxmlformats.org/officeDocument/2006/relationships/externalLink" Target="externalLinks/externalLink1.xml"/><Relationship Id="rId13" Type="http://schemas.openxmlformats.org/officeDocument/2006/relationships/customXml" Target="../customXml/item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16</xdr:col>
      <xdr:colOff>55880</xdr:colOff>
      <xdr:row>305</xdr:row>
      <xdr:rowOff>34925</xdr:rowOff>
    </xdr:from>
    <xdr:to>
      <xdr:col>38</xdr:col>
      <xdr:colOff>335280</xdr:colOff>
      <xdr:row>426</xdr:row>
      <xdr:rowOff>52705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81125" y="514350"/>
          <a:ext cx="16207105" cy="395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200025</xdr:colOff>
      <xdr:row>487</xdr:row>
      <xdr:rowOff>144145</xdr:rowOff>
    </xdr:from>
    <xdr:to>
      <xdr:col>35</xdr:col>
      <xdr:colOff>374650</xdr:colOff>
      <xdr:row>492</xdr:row>
      <xdr:rowOff>161925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225270" y="3943350"/>
          <a:ext cx="14044930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27</xdr:col>
      <xdr:colOff>49530</xdr:colOff>
      <xdr:row>9</xdr:row>
      <xdr:rowOff>29845</xdr:rowOff>
    </xdr:from>
    <xdr:to>
      <xdr:col>51</xdr:col>
      <xdr:colOff>30480</xdr:colOff>
      <xdr:row>460</xdr:row>
      <xdr:rowOff>0</xdr:rowOff>
    </xdr:to>
    <xdr:pic>
      <xdr:nvPicPr>
        <xdr:cNvPr id="5" name="图片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458680" y="514350"/>
          <a:ext cx="16440150" cy="22288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17</xdr:col>
      <xdr:colOff>318135</xdr:colOff>
      <xdr:row>1049</xdr:row>
      <xdr:rowOff>32385</xdr:rowOff>
    </xdr:from>
    <xdr:to>
      <xdr:col>29</xdr:col>
      <xdr:colOff>99060</xdr:colOff>
      <xdr:row>1506</xdr:row>
      <xdr:rowOff>74295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33900" y="1038225"/>
          <a:ext cx="8924925" cy="2819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38463;&#20811;&#33487;&#36890;&#21147;&#30003;&#25253;&#34920;\&#31246;&#21153;&#31995;&#32479;&#36827;&#39033;&#23548;&#20986;\&#20973;&#35777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38463;&#20811;&#33487;&#36890;&#21147;&#30003;&#25253;&#34920;\&#20840;&#37327;&#21457;&#31080;&#26597;&#35810;&#23548;&#20986;&#32467;&#26524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&#38463;&#20811;&#33487;&#36890;&#21147;&#30003;&#25253;&#34920;\&#31246;&#21153;&#31995;&#32479;&#36827;&#39033;&#23548;&#20986;\&#20973;&#35777;-&#38463;&#20811;&#33487;&#20998;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ublic\Documents\WinService%20Files\9a0f76541de047e697bc3300a5f4f0b9\&#31185;&#30446;&#20313;&#39069;&#34920;_2024010515093133_18825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4">
          <cell r="J4" t="str">
            <v>7-2-902</v>
          </cell>
          <cell r="K4">
            <v>343143</v>
          </cell>
        </row>
        <row r="5">
          <cell r="J5" t="str">
            <v>7-2-901</v>
          </cell>
          <cell r="K5">
            <v>343143</v>
          </cell>
        </row>
        <row r="6">
          <cell r="J6" t="str">
            <v>7-2-802</v>
          </cell>
          <cell r="K6">
            <v>257349</v>
          </cell>
        </row>
        <row r="7">
          <cell r="J7" t="str">
            <v>2-1-102</v>
          </cell>
          <cell r="K7">
            <v>431074</v>
          </cell>
        </row>
        <row r="8">
          <cell r="J8" t="str">
            <v>2-1-201</v>
          </cell>
          <cell r="K8">
            <v>458720</v>
          </cell>
        </row>
        <row r="9">
          <cell r="J9" t="str">
            <v>2-1-202</v>
          </cell>
          <cell r="K9">
            <v>457253</v>
          </cell>
        </row>
        <row r="10">
          <cell r="J10" t="str">
            <v>2-1-302</v>
          </cell>
          <cell r="K10">
            <v>452266</v>
          </cell>
        </row>
        <row r="11">
          <cell r="J11" t="str">
            <v>2-1-401</v>
          </cell>
          <cell r="K11">
            <v>444963</v>
          </cell>
        </row>
        <row r="12">
          <cell r="J12" t="str">
            <v>2-1-402</v>
          </cell>
          <cell r="K12">
            <v>431074</v>
          </cell>
        </row>
        <row r="13">
          <cell r="J13" t="str">
            <v>2-1-502</v>
          </cell>
          <cell r="K13">
            <v>394923</v>
          </cell>
        </row>
        <row r="14">
          <cell r="J14" t="str">
            <v>2-2-101</v>
          </cell>
          <cell r="K14">
            <v>453513</v>
          </cell>
        </row>
        <row r="15">
          <cell r="J15" t="str">
            <v>2-2-201</v>
          </cell>
          <cell r="K15">
            <v>457253</v>
          </cell>
        </row>
        <row r="16">
          <cell r="J16" t="str">
            <v>2-2-202</v>
          </cell>
          <cell r="K16">
            <v>457253</v>
          </cell>
        </row>
        <row r="17">
          <cell r="J17" t="str">
            <v>2-2-301</v>
          </cell>
          <cell r="K17">
            <v>452266</v>
          </cell>
        </row>
        <row r="18">
          <cell r="J18" t="str">
            <v>2-2-401</v>
          </cell>
          <cell r="K18">
            <v>443540</v>
          </cell>
        </row>
        <row r="19">
          <cell r="J19" t="str">
            <v>2-2-402</v>
          </cell>
          <cell r="K19">
            <v>443540</v>
          </cell>
        </row>
        <row r="20">
          <cell r="J20" t="str">
            <v>2-2-502</v>
          </cell>
          <cell r="K20">
            <v>391183</v>
          </cell>
        </row>
        <row r="21">
          <cell r="J21" t="str">
            <v>2-2-602</v>
          </cell>
          <cell r="K21">
            <v>343864</v>
          </cell>
        </row>
        <row r="22">
          <cell r="J22" t="str">
            <v>2-3-201</v>
          </cell>
          <cell r="K22">
            <v>434814</v>
          </cell>
        </row>
        <row r="23">
          <cell r="J23" t="str">
            <v>2-3-301</v>
          </cell>
          <cell r="K23">
            <v>429828</v>
          </cell>
        </row>
        <row r="24">
          <cell r="J24" t="str">
            <v>2-3-302</v>
          </cell>
          <cell r="K24">
            <v>431207</v>
          </cell>
        </row>
        <row r="25">
          <cell r="J25" t="str">
            <v>2-3-402</v>
          </cell>
          <cell r="K25">
            <v>441212</v>
          </cell>
        </row>
        <row r="26">
          <cell r="J26" t="str">
            <v>2-3-501</v>
          </cell>
          <cell r="K26">
            <v>394923</v>
          </cell>
        </row>
        <row r="27">
          <cell r="J27" t="str">
            <v>2-3-502</v>
          </cell>
          <cell r="K27">
            <v>402443</v>
          </cell>
        </row>
        <row r="28">
          <cell r="J28" t="str">
            <v>2-3-601</v>
          </cell>
          <cell r="K28">
            <v>347388</v>
          </cell>
        </row>
        <row r="29">
          <cell r="J29" t="str">
            <v>2-3-602</v>
          </cell>
          <cell r="K29">
            <v>340322</v>
          </cell>
        </row>
        <row r="30">
          <cell r="J30" t="str">
            <v>3-1-101</v>
          </cell>
          <cell r="K30">
            <v>355687</v>
          </cell>
        </row>
        <row r="31">
          <cell r="J31" t="str">
            <v>3-1-102</v>
          </cell>
          <cell r="K31">
            <v>354451</v>
          </cell>
        </row>
        <row r="32">
          <cell r="J32" t="str">
            <v>3-1-201</v>
          </cell>
          <cell r="K32">
            <v>355687</v>
          </cell>
        </row>
        <row r="33">
          <cell r="J33" t="str">
            <v>3-1-301</v>
          </cell>
          <cell r="K33">
            <v>354709</v>
          </cell>
        </row>
        <row r="34">
          <cell r="J34" t="str">
            <v>3-1-302</v>
          </cell>
          <cell r="K34">
            <v>350554</v>
          </cell>
        </row>
        <row r="35">
          <cell r="J35" t="str">
            <v>3-1-401</v>
          </cell>
          <cell r="K35">
            <v>347866</v>
          </cell>
        </row>
        <row r="36">
          <cell r="J36" t="str">
            <v>3-1-402</v>
          </cell>
          <cell r="K36">
            <v>346656</v>
          </cell>
        </row>
        <row r="37">
          <cell r="J37" t="str">
            <v>3-1-501</v>
          </cell>
          <cell r="K37">
            <v>309736</v>
          </cell>
        </row>
        <row r="38">
          <cell r="J38" t="str">
            <v>3-1-502</v>
          </cell>
          <cell r="K38">
            <v>308658</v>
          </cell>
        </row>
        <row r="39">
          <cell r="J39" t="str">
            <v>3-1-602</v>
          </cell>
          <cell r="K39">
            <v>267049</v>
          </cell>
        </row>
        <row r="40">
          <cell r="J40" t="str">
            <v>3-2-102</v>
          </cell>
          <cell r="K40">
            <v>356378</v>
          </cell>
        </row>
        <row r="41">
          <cell r="J41" t="str">
            <v>3-2-202</v>
          </cell>
          <cell r="K41">
            <v>358621</v>
          </cell>
        </row>
        <row r="42">
          <cell r="J42" t="str">
            <v>3-2-302</v>
          </cell>
          <cell r="K42">
            <v>354710</v>
          </cell>
        </row>
        <row r="43">
          <cell r="J43" t="str">
            <v>3-2-401</v>
          </cell>
          <cell r="K43">
            <v>343733</v>
          </cell>
        </row>
        <row r="44">
          <cell r="J44" t="str">
            <v>3-2-402</v>
          </cell>
          <cell r="K44">
            <v>347866</v>
          </cell>
        </row>
        <row r="45">
          <cell r="J45" t="str">
            <v>3-2-601</v>
          </cell>
          <cell r="K45">
            <v>260728</v>
          </cell>
        </row>
        <row r="46">
          <cell r="J46" t="str">
            <v>3-2-602</v>
          </cell>
          <cell r="K46">
            <v>265335</v>
          </cell>
        </row>
        <row r="47">
          <cell r="J47" t="str">
            <v>4-1-101</v>
          </cell>
          <cell r="K47">
            <v>345901</v>
          </cell>
        </row>
        <row r="48">
          <cell r="J48" t="str">
            <v>4-1-201</v>
          </cell>
          <cell r="K48">
            <v>348130</v>
          </cell>
        </row>
        <row r="49">
          <cell r="J49" t="str">
            <v>4-1-202</v>
          </cell>
          <cell r="K49">
            <v>346956</v>
          </cell>
        </row>
        <row r="50">
          <cell r="J50" t="str">
            <v>4-1-301</v>
          </cell>
          <cell r="K50">
            <v>344333</v>
          </cell>
        </row>
        <row r="51">
          <cell r="J51" t="str">
            <v>4-1-302</v>
          </cell>
          <cell r="K51">
            <v>343172</v>
          </cell>
        </row>
        <row r="52">
          <cell r="J52" t="str">
            <v>4-1-401</v>
          </cell>
          <cell r="K52">
            <v>312998</v>
          </cell>
        </row>
        <row r="53">
          <cell r="J53" t="str">
            <v>4-2-403</v>
          </cell>
          <cell r="K53">
            <v>451225</v>
          </cell>
        </row>
        <row r="54">
          <cell r="J54" t="str">
            <v>4-2-601</v>
          </cell>
          <cell r="K54">
            <v>367299</v>
          </cell>
        </row>
        <row r="55">
          <cell r="J55" t="str">
            <v>4-3-401</v>
          </cell>
          <cell r="K55">
            <v>453733</v>
          </cell>
        </row>
        <row r="56">
          <cell r="J56" t="str">
            <v>4-3-503</v>
          </cell>
          <cell r="K56">
            <v>415045</v>
          </cell>
        </row>
        <row r="57">
          <cell r="J57" t="str">
            <v>6-1-202</v>
          </cell>
          <cell r="K57">
            <v>391209</v>
          </cell>
        </row>
        <row r="58">
          <cell r="J58" t="str">
            <v>6-1-401</v>
          </cell>
          <cell r="K58">
            <v>352575</v>
          </cell>
        </row>
        <row r="59">
          <cell r="J59" t="str">
            <v>6-1-402</v>
          </cell>
          <cell r="K59">
            <v>351381</v>
          </cell>
        </row>
        <row r="60">
          <cell r="J60" t="str">
            <v>6-1-501</v>
          </cell>
          <cell r="K60">
            <v>321607</v>
          </cell>
        </row>
        <row r="61">
          <cell r="J61" t="str">
            <v>6-2-301</v>
          </cell>
          <cell r="K61">
            <v>393167</v>
          </cell>
        </row>
        <row r="62">
          <cell r="J62" t="str">
            <v>6-2-302</v>
          </cell>
          <cell r="K62">
            <v>345553</v>
          </cell>
        </row>
        <row r="63">
          <cell r="J63" t="str">
            <v>6-2-401</v>
          </cell>
          <cell r="K63">
            <v>351381</v>
          </cell>
        </row>
        <row r="64">
          <cell r="J64" t="str">
            <v>6-2-501</v>
          </cell>
          <cell r="K64">
            <v>320497</v>
          </cell>
        </row>
        <row r="65">
          <cell r="J65" t="str">
            <v>6-2-502</v>
          </cell>
          <cell r="K65">
            <v>323215</v>
          </cell>
        </row>
        <row r="66">
          <cell r="J66" t="str">
            <v>6-3-201</v>
          </cell>
          <cell r="K66">
            <v>389257</v>
          </cell>
        </row>
        <row r="67">
          <cell r="J67" t="str">
            <v>6-3-301</v>
          </cell>
          <cell r="K67">
            <v>393142</v>
          </cell>
        </row>
        <row r="68">
          <cell r="J68" t="str">
            <v>6-3-302</v>
          </cell>
          <cell r="K68">
            <v>345553</v>
          </cell>
        </row>
        <row r="69">
          <cell r="J69" t="str">
            <v>6-3-401</v>
          </cell>
          <cell r="K69">
            <v>351380</v>
          </cell>
        </row>
        <row r="70">
          <cell r="J70" t="str">
            <v>6-3-402</v>
          </cell>
          <cell r="K70">
            <v>351380</v>
          </cell>
        </row>
        <row r="71">
          <cell r="J71" t="str">
            <v>6-3-501</v>
          </cell>
          <cell r="K71">
            <v>319331</v>
          </cell>
        </row>
        <row r="72">
          <cell r="J72" t="str">
            <v>6-3-502</v>
          </cell>
          <cell r="K72">
            <v>319351</v>
          </cell>
        </row>
        <row r="73">
          <cell r="J73" t="str">
            <v>6-3-601</v>
          </cell>
          <cell r="K73">
            <v>298587</v>
          </cell>
        </row>
        <row r="74">
          <cell r="J74" t="str">
            <v>6-3-602</v>
          </cell>
          <cell r="K74">
            <v>292289</v>
          </cell>
        </row>
        <row r="75">
          <cell r="J75" t="str">
            <v>6-4-201</v>
          </cell>
          <cell r="K75">
            <v>391199</v>
          </cell>
        </row>
        <row r="76">
          <cell r="J76" t="str">
            <v>6-4-202</v>
          </cell>
          <cell r="K76">
            <v>392529</v>
          </cell>
        </row>
        <row r="77">
          <cell r="J77" t="str">
            <v>6-4-402</v>
          </cell>
          <cell r="K77">
            <v>352574</v>
          </cell>
        </row>
        <row r="78">
          <cell r="J78" t="str">
            <v>6-4-501</v>
          </cell>
          <cell r="K78">
            <v>320496</v>
          </cell>
        </row>
        <row r="79">
          <cell r="J79" t="str">
            <v>6-4-302</v>
          </cell>
          <cell r="K79">
            <v>394477</v>
          </cell>
        </row>
        <row r="80">
          <cell r="J80" t="str">
            <v>7-3-802</v>
          </cell>
          <cell r="K80">
            <v>281260</v>
          </cell>
        </row>
        <row r="81">
          <cell r="J81" t="str">
            <v>7-4-501</v>
          </cell>
          <cell r="K81">
            <v>314098</v>
          </cell>
        </row>
        <row r="82">
          <cell r="J82" t="str">
            <v>7-4-502</v>
          </cell>
          <cell r="K82">
            <v>297972</v>
          </cell>
        </row>
        <row r="83">
          <cell r="J83" t="str">
            <v>7-5-202</v>
          </cell>
          <cell r="K83">
            <v>370584</v>
          </cell>
        </row>
        <row r="84">
          <cell r="J84" t="str">
            <v>7-5-302</v>
          </cell>
          <cell r="K84">
            <v>366625</v>
          </cell>
        </row>
        <row r="85">
          <cell r="J85" t="str">
            <v>7-5-402</v>
          </cell>
          <cell r="K85">
            <v>333423</v>
          </cell>
        </row>
        <row r="86">
          <cell r="J86" t="str">
            <v>7-2-701</v>
          </cell>
          <cell r="K86">
            <v>296237</v>
          </cell>
        </row>
        <row r="87">
          <cell r="J87" t="str">
            <v>2-2-102</v>
          </cell>
          <cell r="K87">
            <v>453513</v>
          </cell>
        </row>
        <row r="88">
          <cell r="J88" t="str">
            <v>2-3-202</v>
          </cell>
          <cell r="K88">
            <v>432400</v>
          </cell>
        </row>
        <row r="89">
          <cell r="J89" t="str">
            <v>7-1-902</v>
          </cell>
          <cell r="K89">
            <v>241762</v>
          </cell>
        </row>
        <row r="90">
          <cell r="J90" t="str">
            <v>4-2-202</v>
          </cell>
          <cell r="K90">
            <v>445170</v>
          </cell>
        </row>
        <row r="91">
          <cell r="J91" t="str">
            <v>7-1-802</v>
          </cell>
          <cell r="K91">
            <v>275165</v>
          </cell>
        </row>
        <row r="92">
          <cell r="J92" t="str">
            <v>7-1-501</v>
          </cell>
          <cell r="K92">
            <v>281260</v>
          </cell>
        </row>
        <row r="93">
          <cell r="J93" t="str">
            <v>7-3-902</v>
          </cell>
          <cell r="K93">
            <v>240038</v>
          </cell>
        </row>
        <row r="94">
          <cell r="J94" t="str">
            <v>4-3-603</v>
          </cell>
          <cell r="K94">
            <v>266754</v>
          </cell>
        </row>
        <row r="95">
          <cell r="J95" t="str">
            <v>4-3-102</v>
          </cell>
          <cell r="K95">
            <v>360017.9</v>
          </cell>
        </row>
        <row r="96">
          <cell r="J96" t="str">
            <v>4-3-501</v>
          </cell>
          <cell r="K96">
            <v>376639</v>
          </cell>
        </row>
        <row r="97">
          <cell r="J97" t="str">
            <v>4-3-601</v>
          </cell>
          <cell r="K97">
            <v>303810</v>
          </cell>
        </row>
        <row r="98">
          <cell r="J98" t="str">
            <v>7-3-502</v>
          </cell>
          <cell r="K98">
            <v>289230.6</v>
          </cell>
        </row>
        <row r="99">
          <cell r="J99" t="str">
            <v>2-3-101</v>
          </cell>
          <cell r="K99">
            <v>324116.4</v>
          </cell>
        </row>
        <row r="100">
          <cell r="J100" t="str">
            <v>7-2-201</v>
          </cell>
          <cell r="K100">
            <v>304182.4</v>
          </cell>
        </row>
        <row r="101">
          <cell r="J101" t="str">
            <v>7-4-302</v>
          </cell>
          <cell r="K101">
            <v>293221</v>
          </cell>
        </row>
        <row r="102">
          <cell r="J102" t="str">
            <v>7-3-701</v>
          </cell>
          <cell r="K102">
            <v>270162</v>
          </cell>
        </row>
        <row r="103">
          <cell r="J103" t="str">
            <v>4-2-503</v>
          </cell>
          <cell r="K103">
            <v>354277</v>
          </cell>
        </row>
        <row r="104">
          <cell r="J104" t="str">
            <v>1-1-902</v>
          </cell>
          <cell r="K104">
            <v>269776.2</v>
          </cell>
        </row>
        <row r="105">
          <cell r="J105" t="str">
            <v>7-2-601</v>
          </cell>
          <cell r="K105">
            <v>265211.6</v>
          </cell>
        </row>
        <row r="106">
          <cell r="J106" t="str">
            <v>7-2-602</v>
          </cell>
          <cell r="K106">
            <v>265211.6</v>
          </cell>
        </row>
        <row r="107">
          <cell r="J107" t="str">
            <v>7-1-302</v>
          </cell>
          <cell r="K107">
            <v>269082</v>
          </cell>
        </row>
        <row r="108">
          <cell r="J108" t="str">
            <v>1-1-802</v>
          </cell>
          <cell r="K108">
            <v>316157</v>
          </cell>
        </row>
        <row r="109">
          <cell r="J109" t="str">
            <v>2-3-102</v>
          </cell>
          <cell r="K109">
            <v>404069</v>
          </cell>
        </row>
        <row r="110">
          <cell r="J110" t="str">
            <v>7-3-302</v>
          </cell>
          <cell r="K110">
            <v>268161</v>
          </cell>
        </row>
        <row r="111">
          <cell r="J111" t="str">
            <v>6-1-102</v>
          </cell>
          <cell r="K111">
            <v>301072</v>
          </cell>
        </row>
        <row r="112">
          <cell r="J112" t="str">
            <v>4-1-102</v>
          </cell>
          <cell r="K112">
            <v>269582</v>
          </cell>
        </row>
        <row r="113">
          <cell r="J113" t="str">
            <v>6-2-102</v>
          </cell>
          <cell r="K113">
            <v>296216</v>
          </cell>
        </row>
        <row r="114">
          <cell r="J114" t="str">
            <v>1#楼2-6层</v>
          </cell>
          <cell r="K114">
            <v>7937228</v>
          </cell>
        </row>
        <row r="115">
          <cell r="J115" t="str">
            <v>7-3-901</v>
          </cell>
          <cell r="K115">
            <v>240656</v>
          </cell>
        </row>
        <row r="116">
          <cell r="J116" t="str">
            <v>2-1-601</v>
          </cell>
          <cell r="K116">
            <v>294600</v>
          </cell>
        </row>
        <row r="117">
          <cell r="J117" t="str">
            <v>4-2-603</v>
          </cell>
          <cell r="K117">
            <v>310263.9</v>
          </cell>
        </row>
        <row r="118">
          <cell r="J118" t="str">
            <v>7-1-202</v>
          </cell>
          <cell r="K118">
            <v>268214</v>
          </cell>
        </row>
        <row r="119">
          <cell r="J119" t="str">
            <v>7-1-502</v>
          </cell>
          <cell r="K119">
            <v>281169</v>
          </cell>
        </row>
        <row r="120">
          <cell r="J120" t="str">
            <v>7-3-602</v>
          </cell>
          <cell r="K120">
            <v>270081</v>
          </cell>
        </row>
        <row r="121">
          <cell r="J121" t="str">
            <v>6-3-202</v>
          </cell>
          <cell r="K121">
            <v>301091</v>
          </cell>
        </row>
        <row r="122">
          <cell r="J122" t="str">
            <v>7-3-601</v>
          </cell>
          <cell r="K122">
            <v>257349</v>
          </cell>
        </row>
        <row r="123">
          <cell r="J123" t="str">
            <v>1-4-601</v>
          </cell>
          <cell r="K123">
            <v>197455</v>
          </cell>
        </row>
        <row r="124">
          <cell r="J124" t="str">
            <v>1-4-402</v>
          </cell>
          <cell r="K124">
            <v>284534</v>
          </cell>
        </row>
        <row r="125">
          <cell r="J125" t="str">
            <v>5-4-702</v>
          </cell>
          <cell r="K125">
            <v>273373</v>
          </cell>
        </row>
        <row r="126">
          <cell r="J126" t="str">
            <v>1-4-502</v>
          </cell>
          <cell r="K126">
            <v>262177</v>
          </cell>
        </row>
        <row r="127">
          <cell r="J127" t="str">
            <v>1-1-301</v>
          </cell>
          <cell r="K127">
            <v>297768</v>
          </cell>
        </row>
        <row r="128">
          <cell r="J128" t="str">
            <v>5-3-901</v>
          </cell>
          <cell r="K128">
            <v>287864</v>
          </cell>
        </row>
        <row r="129">
          <cell r="J129" t="str">
            <v>1-3-201</v>
          </cell>
          <cell r="K129">
            <v>304411</v>
          </cell>
        </row>
        <row r="130">
          <cell r="J130" t="str">
            <v>1-2-302</v>
          </cell>
          <cell r="K130">
            <v>285083</v>
          </cell>
        </row>
        <row r="131">
          <cell r="J131" t="str">
            <v>1-4-501</v>
          </cell>
          <cell r="K131">
            <v>249327</v>
          </cell>
        </row>
        <row r="132">
          <cell r="J132" t="str">
            <v>1-1-502</v>
          </cell>
          <cell r="K132">
            <v>270738</v>
          </cell>
        </row>
        <row r="133">
          <cell r="J133" t="str">
            <v>1-4-602</v>
          </cell>
          <cell r="K133">
            <v>207142</v>
          </cell>
        </row>
        <row r="134">
          <cell r="J134" t="str">
            <v>1-2-402</v>
          </cell>
          <cell r="K134">
            <v>270587</v>
          </cell>
        </row>
        <row r="135">
          <cell r="J135" t="str">
            <v>1-2-201</v>
          </cell>
          <cell r="K135">
            <v>307975</v>
          </cell>
        </row>
        <row r="136">
          <cell r="J136" t="str">
            <v>6-4-401</v>
          </cell>
          <cell r="K136">
            <v>284886</v>
          </cell>
        </row>
        <row r="137">
          <cell r="J137" t="str">
            <v>1-1-302</v>
          </cell>
          <cell r="K137">
            <v>262881</v>
          </cell>
        </row>
        <row r="138">
          <cell r="J138" t="str">
            <v>5-4-301</v>
          </cell>
          <cell r="K138">
            <v>263900</v>
          </cell>
        </row>
        <row r="139">
          <cell r="J139" t="str">
            <v>1-1-1101</v>
          </cell>
          <cell r="K139">
            <v>235190</v>
          </cell>
        </row>
        <row r="140">
          <cell r="J140" t="str">
            <v>5-3-301</v>
          </cell>
          <cell r="K140">
            <v>264602</v>
          </cell>
        </row>
        <row r="141">
          <cell r="J141" t="str">
            <v>5-4-901</v>
          </cell>
          <cell r="K141">
            <v>284200</v>
          </cell>
        </row>
        <row r="142">
          <cell r="J142" t="str">
            <v>5-3-602</v>
          </cell>
          <cell r="K142">
            <v>271387</v>
          </cell>
        </row>
        <row r="143">
          <cell r="J143" t="str">
            <v>1-1-401</v>
          </cell>
          <cell r="K143">
            <v>264548</v>
          </cell>
        </row>
        <row r="144">
          <cell r="J144" t="str">
            <v>5-5-304</v>
          </cell>
          <cell r="K144">
            <v>110932</v>
          </cell>
        </row>
        <row r="145">
          <cell r="J145" t="str">
            <v>7-3-201</v>
          </cell>
          <cell r="K145">
            <v>288803</v>
          </cell>
        </row>
        <row r="146">
          <cell r="J146" t="str">
            <v>5-1-203</v>
          </cell>
          <cell r="K146">
            <v>197104</v>
          </cell>
        </row>
        <row r="147">
          <cell r="J147" t="str">
            <v>5-5-202</v>
          </cell>
          <cell r="K147">
            <v>154030</v>
          </cell>
        </row>
        <row r="148">
          <cell r="J148" t="str">
            <v>3-2-101</v>
          </cell>
          <cell r="K148">
            <v>152381</v>
          </cell>
        </row>
        <row r="149">
          <cell r="J149" t="str">
            <v>7-1-702</v>
          </cell>
          <cell r="K149">
            <v>266880</v>
          </cell>
        </row>
        <row r="150">
          <cell r="J150" t="str">
            <v>5-1-301</v>
          </cell>
          <cell r="K150">
            <v>179166</v>
          </cell>
        </row>
        <row r="151">
          <cell r="J151" t="str">
            <v>5-4-1101</v>
          </cell>
          <cell r="K151">
            <v>242357</v>
          </cell>
        </row>
        <row r="152">
          <cell r="J152" t="str">
            <v>6-2-101</v>
          </cell>
          <cell r="K152">
            <v>289511</v>
          </cell>
        </row>
        <row r="153">
          <cell r="J153" t="str">
            <v>5-1-404</v>
          </cell>
          <cell r="K153">
            <v>167102</v>
          </cell>
        </row>
        <row r="154">
          <cell r="J154" t="str">
            <v>5-3-1102</v>
          </cell>
          <cell r="K154">
            <v>237625</v>
          </cell>
        </row>
        <row r="155">
          <cell r="J155" t="str">
            <v>5-3-402</v>
          </cell>
          <cell r="K155">
            <v>275264</v>
          </cell>
        </row>
        <row r="156">
          <cell r="J156" t="str">
            <v>1-4-201</v>
          </cell>
          <cell r="K156">
            <v>301583</v>
          </cell>
        </row>
        <row r="157">
          <cell r="J157" t="str">
            <v>1-1-1102</v>
          </cell>
          <cell r="K157">
            <v>257519</v>
          </cell>
        </row>
        <row r="158">
          <cell r="J158" t="str">
            <v>6-3-101</v>
          </cell>
          <cell r="K158">
            <v>291360</v>
          </cell>
        </row>
        <row r="159">
          <cell r="J159" t="str">
            <v>1-2-401</v>
          </cell>
          <cell r="K159">
            <v>271173</v>
          </cell>
        </row>
        <row r="160">
          <cell r="J160" t="str">
            <v>1-1-801</v>
          </cell>
          <cell r="K160">
            <v>273360</v>
          </cell>
        </row>
        <row r="161">
          <cell r="J161" t="str">
            <v>1-3-601</v>
          </cell>
          <cell r="K161">
            <v>198084</v>
          </cell>
        </row>
        <row r="162">
          <cell r="J162" t="str">
            <v>1-1-701</v>
          </cell>
          <cell r="K162">
            <v>280195</v>
          </cell>
        </row>
        <row r="163">
          <cell r="J163" t="str">
            <v>7-4-202</v>
          </cell>
          <cell r="K163">
            <v>285587</v>
          </cell>
        </row>
        <row r="164">
          <cell r="J164" t="str">
            <v>1-3-602</v>
          </cell>
          <cell r="K164">
            <v>198084</v>
          </cell>
        </row>
        <row r="165">
          <cell r="J165" t="str">
            <v>1-1-201</v>
          </cell>
          <cell r="K165">
            <v>261608</v>
          </cell>
        </row>
        <row r="166">
          <cell r="J166" t="str">
            <v>1-4-202</v>
          </cell>
          <cell r="K166">
            <v>324165</v>
          </cell>
        </row>
        <row r="167">
          <cell r="J167" t="str">
            <v>1-3-302</v>
          </cell>
          <cell r="K167">
            <v>304471</v>
          </cell>
        </row>
        <row r="168">
          <cell r="J168" t="str">
            <v>4-2-602</v>
          </cell>
          <cell r="K168">
            <v>101760</v>
          </cell>
        </row>
        <row r="169">
          <cell r="J169" t="str">
            <v>1-1-501</v>
          </cell>
          <cell r="K169">
            <v>267488</v>
          </cell>
        </row>
        <row r="170">
          <cell r="J170" t="str">
            <v>1-1-202</v>
          </cell>
          <cell r="K170">
            <v>260857</v>
          </cell>
        </row>
        <row r="171">
          <cell r="J171" t="str">
            <v>1-1-402</v>
          </cell>
          <cell r="K171">
            <v>266785</v>
          </cell>
        </row>
        <row r="172">
          <cell r="J172" t="str">
            <v>1-3-402</v>
          </cell>
          <cell r="K172">
            <v>271200</v>
          </cell>
        </row>
        <row r="173">
          <cell r="J173" t="str">
            <v>7-2-502</v>
          </cell>
          <cell r="K173">
            <v>260207</v>
          </cell>
        </row>
        <row r="174">
          <cell r="J174" t="str">
            <v>7-2-801</v>
          </cell>
          <cell r="K174">
            <v>266880</v>
          </cell>
        </row>
        <row r="175">
          <cell r="J175" t="str">
            <v>1-1-1001</v>
          </cell>
          <cell r="K175">
            <v>278242</v>
          </cell>
        </row>
        <row r="176">
          <cell r="J176" t="str">
            <v>7-2-501</v>
          </cell>
          <cell r="K176">
            <v>259255</v>
          </cell>
        </row>
        <row r="177">
          <cell r="J177" t="str">
            <v>7-1-602</v>
          </cell>
          <cell r="K177">
            <v>260017</v>
          </cell>
        </row>
        <row r="178">
          <cell r="J178" t="str">
            <v>1-4-401</v>
          </cell>
          <cell r="K178">
            <v>266704</v>
          </cell>
        </row>
        <row r="179">
          <cell r="J179" t="str">
            <v>7-3-401</v>
          </cell>
          <cell r="K179">
            <v>256396</v>
          </cell>
        </row>
        <row r="180">
          <cell r="J180" t="str">
            <v>7-5-102</v>
          </cell>
          <cell r="K180">
            <v>289383</v>
          </cell>
        </row>
        <row r="181">
          <cell r="J181" t="str">
            <v>7-5-201</v>
          </cell>
          <cell r="K181">
            <v>285587</v>
          </cell>
        </row>
        <row r="182">
          <cell r="J182" t="str">
            <v>1-1-901</v>
          </cell>
          <cell r="K182">
            <v>278242</v>
          </cell>
        </row>
        <row r="183">
          <cell r="J183" t="str">
            <v>7-1-801</v>
          </cell>
          <cell r="K183">
            <v>290827</v>
          </cell>
        </row>
        <row r="184">
          <cell r="J184" t="str">
            <v>7-1-402</v>
          </cell>
          <cell r="K184">
            <v>238286</v>
          </cell>
        </row>
        <row r="185">
          <cell r="J185" t="str">
            <v>7-3-301</v>
          </cell>
          <cell r="K185">
            <v>254506</v>
          </cell>
        </row>
        <row r="186">
          <cell r="J186" t="str">
            <v>5-2-1102</v>
          </cell>
          <cell r="K186">
            <v>244152</v>
          </cell>
        </row>
        <row r="187">
          <cell r="J187" t="str">
            <v>5-4-501</v>
          </cell>
          <cell r="K187">
            <v>289033</v>
          </cell>
        </row>
        <row r="188">
          <cell r="J188" t="str">
            <v>5-2-1101</v>
          </cell>
          <cell r="K188">
            <v>244152</v>
          </cell>
        </row>
        <row r="189">
          <cell r="J189" t="str">
            <v>5-4-202</v>
          </cell>
          <cell r="K189">
            <v>279173</v>
          </cell>
        </row>
        <row r="190">
          <cell r="J190" t="str">
            <v>5-3-202</v>
          </cell>
          <cell r="K190">
            <v>279142</v>
          </cell>
        </row>
        <row r="191">
          <cell r="J191" t="str">
            <v>5-5-301</v>
          </cell>
          <cell r="K191">
            <v>112986</v>
          </cell>
        </row>
        <row r="192">
          <cell r="J192" t="str">
            <v>1-4-301</v>
          </cell>
          <cell r="K192">
            <v>313146</v>
          </cell>
        </row>
        <row r="193">
          <cell r="J193" t="str">
            <v>6-2-601</v>
          </cell>
          <cell r="K193">
            <v>180570</v>
          </cell>
        </row>
        <row r="194">
          <cell r="J194" t="str">
            <v>5-4-1102</v>
          </cell>
          <cell r="K194">
            <v>242357</v>
          </cell>
        </row>
        <row r="195">
          <cell r="J195" t="str">
            <v>5-4-902</v>
          </cell>
          <cell r="K195">
            <v>280334</v>
          </cell>
        </row>
        <row r="196">
          <cell r="J196" t="str">
            <v>7-3-402</v>
          </cell>
          <cell r="K196">
            <v>238286</v>
          </cell>
        </row>
        <row r="197">
          <cell r="J197" t="str">
            <v>7-2-402</v>
          </cell>
          <cell r="K197">
            <v>238286</v>
          </cell>
        </row>
        <row r="198">
          <cell r="J198" t="str">
            <v>5-2-502</v>
          </cell>
          <cell r="K198">
            <v>273567</v>
          </cell>
        </row>
        <row r="199">
          <cell r="J199" t="str">
            <v>5-4-502</v>
          </cell>
          <cell r="K199">
            <v>273567</v>
          </cell>
        </row>
        <row r="200">
          <cell r="J200" t="str">
            <v>5-3-502</v>
          </cell>
          <cell r="K200">
            <v>274294</v>
          </cell>
        </row>
        <row r="201">
          <cell r="J201" t="str">
            <v>5-4-302</v>
          </cell>
          <cell r="K201">
            <v>251283</v>
          </cell>
        </row>
        <row r="202">
          <cell r="J202" t="str">
            <v>5-1-304</v>
          </cell>
          <cell r="K202">
            <v>163307</v>
          </cell>
        </row>
        <row r="203">
          <cell r="J203" t="str">
            <v>5-1-401</v>
          </cell>
          <cell r="K203">
            <v>190323</v>
          </cell>
        </row>
        <row r="204">
          <cell r="J204" t="str">
            <v>1-3-301</v>
          </cell>
          <cell r="K204">
            <v>302537</v>
          </cell>
        </row>
        <row r="205">
          <cell r="J205" t="str">
            <v>5-4-601</v>
          </cell>
          <cell r="K205">
            <v>276467</v>
          </cell>
        </row>
        <row r="206">
          <cell r="J206" t="str">
            <v>4-3-202</v>
          </cell>
          <cell r="K206">
            <v>435543</v>
          </cell>
        </row>
        <row r="207">
          <cell r="J207" t="str">
            <v>5-3-401</v>
          </cell>
          <cell r="K207">
            <v>273325</v>
          </cell>
        </row>
        <row r="208">
          <cell r="J208" t="str">
            <v>5-1-701</v>
          </cell>
          <cell r="K208">
            <v>193605</v>
          </cell>
        </row>
        <row r="209">
          <cell r="J209" t="str">
            <v>5-3-501</v>
          </cell>
          <cell r="K209">
            <v>277202</v>
          </cell>
        </row>
        <row r="210">
          <cell r="J210" t="str">
            <v>5-2-302</v>
          </cell>
          <cell r="K210">
            <v>270666</v>
          </cell>
        </row>
        <row r="211">
          <cell r="J211" t="str">
            <v>5-3-802</v>
          </cell>
          <cell r="K211">
            <v>285925</v>
          </cell>
        </row>
        <row r="212">
          <cell r="J212" t="str">
            <v>5-1-501</v>
          </cell>
          <cell r="K212">
            <v>192160</v>
          </cell>
        </row>
        <row r="213">
          <cell r="J213" t="str">
            <v>5-3-302</v>
          </cell>
          <cell r="K213">
            <v>261501</v>
          </cell>
        </row>
        <row r="214">
          <cell r="J214" t="str">
            <v>康泰住户</v>
          </cell>
          <cell r="K214">
            <v>-12955</v>
          </cell>
        </row>
        <row r="215">
          <cell r="J215" t="str">
            <v>5-3-1002</v>
          </cell>
          <cell r="K215">
            <v>283017</v>
          </cell>
        </row>
        <row r="216">
          <cell r="J216" t="str">
            <v>7-1-601</v>
          </cell>
          <cell r="K216">
            <v>328902</v>
          </cell>
        </row>
        <row r="217">
          <cell r="J217" t="str">
            <v>5-1-601</v>
          </cell>
          <cell r="K217">
            <v>185072</v>
          </cell>
        </row>
        <row r="218">
          <cell r="J218" t="str">
            <v>5-5-203</v>
          </cell>
          <cell r="K218">
            <v>155093</v>
          </cell>
        </row>
        <row r="219">
          <cell r="J219" t="str">
            <v>5-4-801</v>
          </cell>
          <cell r="K219">
            <v>278401</v>
          </cell>
        </row>
        <row r="220">
          <cell r="J220" t="str">
            <v>5-4-201</v>
          </cell>
          <cell r="K220">
            <v>276466</v>
          </cell>
        </row>
        <row r="221">
          <cell r="J221" t="str">
            <v>5-1-202</v>
          </cell>
          <cell r="K221">
            <v>196633</v>
          </cell>
        </row>
        <row r="222">
          <cell r="J222" t="str">
            <v>5-2-501</v>
          </cell>
          <cell r="K222">
            <v>271634</v>
          </cell>
        </row>
        <row r="223">
          <cell r="J223" t="str">
            <v>5-4-701</v>
          </cell>
          <cell r="K223">
            <v>278400</v>
          </cell>
        </row>
        <row r="224">
          <cell r="J224" t="str">
            <v>5-1-1101</v>
          </cell>
          <cell r="K224">
            <v>175097</v>
          </cell>
        </row>
        <row r="225">
          <cell r="J225" t="str">
            <v>5-3-701</v>
          </cell>
          <cell r="K225">
            <v>278171</v>
          </cell>
        </row>
        <row r="226">
          <cell r="J226" t="str">
            <v>5-3-902</v>
          </cell>
          <cell r="K226">
            <v>283987</v>
          </cell>
        </row>
        <row r="227">
          <cell r="J227" t="str">
            <v>5-4-802</v>
          </cell>
          <cell r="K227">
            <v>272406</v>
          </cell>
        </row>
        <row r="228">
          <cell r="J228" t="str">
            <v>5-5-1003</v>
          </cell>
          <cell r="K228">
            <v>20815</v>
          </cell>
        </row>
        <row r="229">
          <cell r="J229" t="str">
            <v>7-1-301</v>
          </cell>
          <cell r="K229">
            <v>321257</v>
          </cell>
        </row>
        <row r="230">
          <cell r="J230" t="str">
            <v>1-3-202</v>
          </cell>
          <cell r="K230">
            <v>304089.95</v>
          </cell>
        </row>
        <row r="231">
          <cell r="J231" t="str">
            <v>7-1-701</v>
          </cell>
          <cell r="K231">
            <v>338468</v>
          </cell>
        </row>
        <row r="232">
          <cell r="J232" t="str">
            <v>5-2-402</v>
          </cell>
          <cell r="K232">
            <v>270666</v>
          </cell>
        </row>
        <row r="233">
          <cell r="J233" t="str">
            <v>5-4-401</v>
          </cell>
          <cell r="K233">
            <v>277434</v>
          </cell>
        </row>
        <row r="234">
          <cell r="J234" t="str">
            <v>4-2-301</v>
          </cell>
          <cell r="K234">
            <v>456330</v>
          </cell>
        </row>
        <row r="235">
          <cell r="J235" t="str">
            <v>7-1-201</v>
          </cell>
          <cell r="K235">
            <v>321249</v>
          </cell>
        </row>
        <row r="236">
          <cell r="J236" t="str">
            <v>5-2-301</v>
          </cell>
          <cell r="K236">
            <v>261000</v>
          </cell>
        </row>
        <row r="237">
          <cell r="J237" t="str">
            <v>7-1-401</v>
          </cell>
          <cell r="K237">
            <v>293697.95</v>
          </cell>
        </row>
        <row r="238">
          <cell r="J238" t="str">
            <v>7-2-202</v>
          </cell>
          <cell r="K238">
            <v>285905</v>
          </cell>
        </row>
        <row r="239">
          <cell r="J239" t="str">
            <v>7-3-702</v>
          </cell>
          <cell r="K239">
            <v>295610</v>
          </cell>
        </row>
        <row r="240">
          <cell r="J240" t="str">
            <v>7-1-901</v>
          </cell>
          <cell r="K240">
            <v>263744</v>
          </cell>
        </row>
        <row r="241">
          <cell r="J241" t="str">
            <v>1-2-501</v>
          </cell>
          <cell r="K241">
            <v>249867</v>
          </cell>
        </row>
        <row r="242">
          <cell r="J242" t="str">
            <v>1-2-602</v>
          </cell>
          <cell r="K242">
            <v>198042</v>
          </cell>
        </row>
        <row r="243">
          <cell r="J243" t="str">
            <v>5-1-1103</v>
          </cell>
          <cell r="K243">
            <v>177162</v>
          </cell>
        </row>
        <row r="244">
          <cell r="J244" t="str">
            <v>1-3-501</v>
          </cell>
          <cell r="K244">
            <v>249376</v>
          </cell>
        </row>
        <row r="245">
          <cell r="J245" t="str">
            <v>5-2-702</v>
          </cell>
          <cell r="K245">
            <v>282074</v>
          </cell>
        </row>
        <row r="246">
          <cell r="J246" t="str">
            <v>5-4-602</v>
          </cell>
          <cell r="K246">
            <v>270667</v>
          </cell>
        </row>
        <row r="247">
          <cell r="J247" t="str">
            <v>5-4-1001</v>
          </cell>
          <cell r="K247">
            <v>287874</v>
          </cell>
        </row>
        <row r="248">
          <cell r="J248" t="str">
            <v>5-4-402</v>
          </cell>
          <cell r="K248">
            <v>282847</v>
          </cell>
        </row>
        <row r="249">
          <cell r="J249" t="str">
            <v>5-3-1101</v>
          </cell>
          <cell r="K249">
            <v>258148</v>
          </cell>
        </row>
        <row r="250">
          <cell r="J250" t="str">
            <v>5-1-1104</v>
          </cell>
          <cell r="K250">
            <v>163306</v>
          </cell>
        </row>
        <row r="251">
          <cell r="J251" t="str">
            <v>5-1-1102</v>
          </cell>
          <cell r="K251">
            <v>176696</v>
          </cell>
        </row>
        <row r="252">
          <cell r="J252" t="str">
            <v>5-5-303</v>
          </cell>
          <cell r="K252">
            <v>157143</v>
          </cell>
        </row>
        <row r="253">
          <cell r="J253" t="str">
            <v>4-2-101</v>
          </cell>
          <cell r="K253">
            <v>405627</v>
          </cell>
        </row>
        <row r="254">
          <cell r="J254" t="str">
            <v>1-2-202</v>
          </cell>
          <cell r="K254">
            <v>299578</v>
          </cell>
        </row>
        <row r="255">
          <cell r="J255" t="str">
            <v>5-1-504</v>
          </cell>
          <cell r="K255">
            <v>171387</v>
          </cell>
        </row>
        <row r="256">
          <cell r="J256" t="str">
            <v>5-3-601</v>
          </cell>
          <cell r="K256">
            <v>274294</v>
          </cell>
        </row>
        <row r="257">
          <cell r="J257" t="str">
            <v>5-2-601</v>
          </cell>
          <cell r="K257">
            <v>276273</v>
          </cell>
        </row>
        <row r="258">
          <cell r="J258" t="str">
            <v>5-1-801</v>
          </cell>
          <cell r="K258">
            <v>192292</v>
          </cell>
        </row>
        <row r="259">
          <cell r="J259" t="str">
            <v>5-3-201</v>
          </cell>
          <cell r="K259">
            <v>266734</v>
          </cell>
        </row>
        <row r="260">
          <cell r="J260" t="str">
            <v>5-1-604</v>
          </cell>
          <cell r="K260">
            <v>184852</v>
          </cell>
        </row>
        <row r="261">
          <cell r="J261" t="str">
            <v>5-2-202</v>
          </cell>
          <cell r="K261">
            <v>280334</v>
          </cell>
        </row>
        <row r="262">
          <cell r="J262" t="str">
            <v>5-1-204</v>
          </cell>
          <cell r="K262">
            <v>176284</v>
          </cell>
        </row>
        <row r="263">
          <cell r="J263" t="str">
            <v>5-1-201</v>
          </cell>
          <cell r="K263">
            <v>196886</v>
          </cell>
        </row>
        <row r="264">
          <cell r="J264" t="str">
            <v>7-4-201</v>
          </cell>
          <cell r="K264">
            <v>275533</v>
          </cell>
        </row>
        <row r="265">
          <cell r="J265" t="str">
            <v>7-2-401</v>
          </cell>
          <cell r="K265">
            <v>238095</v>
          </cell>
        </row>
        <row r="266">
          <cell r="J266" t="str">
            <v>1-2-601</v>
          </cell>
          <cell r="K266">
            <v>195254</v>
          </cell>
        </row>
        <row r="267">
          <cell r="J267" t="str">
            <v>1-1-1002</v>
          </cell>
          <cell r="K267">
            <v>261870</v>
          </cell>
        </row>
        <row r="268">
          <cell r="J268" t="str">
            <v>1-4-302</v>
          </cell>
          <cell r="K268">
            <v>304857</v>
          </cell>
        </row>
        <row r="269">
          <cell r="J269" t="str">
            <v>4-2-201</v>
          </cell>
          <cell r="K269">
            <v>441844</v>
          </cell>
        </row>
        <row r="270">
          <cell r="J270" t="str">
            <v>1-1-601</v>
          </cell>
          <cell r="K270">
            <v>256763</v>
          </cell>
        </row>
        <row r="271">
          <cell r="J271" t="str">
            <v>5-2-602</v>
          </cell>
          <cell r="K271">
            <v>283813</v>
          </cell>
        </row>
        <row r="272">
          <cell r="J272" t="str">
            <v>5-2-701</v>
          </cell>
          <cell r="K272">
            <v>284200</v>
          </cell>
        </row>
        <row r="273">
          <cell r="J273" t="str">
            <v>4-2-102</v>
          </cell>
          <cell r="K273">
            <v>423971</v>
          </cell>
        </row>
        <row r="274">
          <cell r="J274" t="str">
            <v>7-3-501</v>
          </cell>
          <cell r="K274">
            <v>238095</v>
          </cell>
        </row>
        <row r="275">
          <cell r="J275" t="str">
            <v>5-1-503</v>
          </cell>
          <cell r="K275">
            <v>209338</v>
          </cell>
        </row>
        <row r="276">
          <cell r="J276" t="str">
            <v>5-3-702</v>
          </cell>
          <cell r="K276">
            <v>276232</v>
          </cell>
        </row>
        <row r="277">
          <cell r="J277" t="str">
            <v>5-2-801</v>
          </cell>
          <cell r="K277">
            <v>294833</v>
          </cell>
        </row>
        <row r="278">
          <cell r="J278" t="str">
            <v>5-2-802</v>
          </cell>
          <cell r="K278">
            <v>294833</v>
          </cell>
        </row>
        <row r="279">
          <cell r="J279" t="str">
            <v>5-2-901</v>
          </cell>
          <cell r="K279">
            <v>294833</v>
          </cell>
        </row>
        <row r="280">
          <cell r="J280" t="str">
            <v>5-2-902</v>
          </cell>
          <cell r="K280">
            <v>294833</v>
          </cell>
        </row>
        <row r="281">
          <cell r="J281" t="str">
            <v>5-2-1001</v>
          </cell>
          <cell r="K281">
            <v>294833</v>
          </cell>
        </row>
        <row r="282">
          <cell r="J282" t="str">
            <v>5-2-1002</v>
          </cell>
          <cell r="K282">
            <v>294833</v>
          </cell>
        </row>
        <row r="283">
          <cell r="J283" t="str">
            <v>5-5-1002</v>
          </cell>
          <cell r="K283">
            <v>162981</v>
          </cell>
        </row>
        <row r="284">
          <cell r="J284" t="str">
            <v>6-1-101</v>
          </cell>
          <cell r="K284">
            <v>346922</v>
          </cell>
        </row>
        <row r="285">
          <cell r="J285" t="str">
            <v>6-1-201</v>
          </cell>
          <cell r="K285">
            <v>373837</v>
          </cell>
        </row>
        <row r="286">
          <cell r="J286" t="str">
            <v>6-1-301</v>
          </cell>
          <cell r="K286">
            <v>373837</v>
          </cell>
        </row>
        <row r="287">
          <cell r="J287" t="str">
            <v>6-1-302</v>
          </cell>
          <cell r="K287">
            <v>329098</v>
          </cell>
        </row>
        <row r="288">
          <cell r="J288" t="str">
            <v>6-1-502</v>
          </cell>
          <cell r="K288">
            <v>247333</v>
          </cell>
        </row>
        <row r="289">
          <cell r="J289" t="str">
            <v>6-1-601</v>
          </cell>
          <cell r="K289">
            <v>189263</v>
          </cell>
        </row>
        <row r="290">
          <cell r="J290" t="str">
            <v>6-1-602</v>
          </cell>
          <cell r="K290">
            <v>186836</v>
          </cell>
        </row>
        <row r="291">
          <cell r="J291" t="str">
            <v>6-2-201</v>
          </cell>
          <cell r="K291">
            <v>282111</v>
          </cell>
        </row>
        <row r="292">
          <cell r="J292" t="str">
            <v>6-2-202</v>
          </cell>
          <cell r="K292">
            <v>295985</v>
          </cell>
        </row>
        <row r="293">
          <cell r="J293" t="str">
            <v>6-2-402</v>
          </cell>
          <cell r="K293">
            <v>334648</v>
          </cell>
        </row>
        <row r="294">
          <cell r="J294" t="str">
            <v>6-2-602</v>
          </cell>
          <cell r="K294">
            <v>186836</v>
          </cell>
        </row>
        <row r="295">
          <cell r="J295" t="str">
            <v>6-3-102</v>
          </cell>
          <cell r="K295">
            <v>291360</v>
          </cell>
        </row>
        <row r="296">
          <cell r="J296" t="str">
            <v>6-4-101</v>
          </cell>
          <cell r="K296">
            <v>293025</v>
          </cell>
        </row>
        <row r="297">
          <cell r="J297" t="str">
            <v>6-4-102</v>
          </cell>
          <cell r="K297">
            <v>292350</v>
          </cell>
        </row>
        <row r="298">
          <cell r="J298" t="str">
            <v>6-4-301</v>
          </cell>
          <cell r="K298">
            <v>364247</v>
          </cell>
        </row>
        <row r="299">
          <cell r="J299" t="str">
            <v>6-4-502</v>
          </cell>
          <cell r="K299">
            <v>301632</v>
          </cell>
        </row>
        <row r="300">
          <cell r="J300" t="str">
            <v>6-4-602</v>
          </cell>
          <cell r="K300">
            <v>262042</v>
          </cell>
        </row>
        <row r="301">
          <cell r="J301" t="str">
            <v>7-3-202</v>
          </cell>
          <cell r="K301">
            <v>288803</v>
          </cell>
        </row>
        <row r="302">
          <cell r="J302" t="str">
            <v>7-4-101</v>
          </cell>
          <cell r="K302">
            <v>346989</v>
          </cell>
        </row>
        <row r="303">
          <cell r="J303" t="str">
            <v>7-4-102</v>
          </cell>
          <cell r="K303">
            <v>288566</v>
          </cell>
        </row>
        <row r="304">
          <cell r="J304" t="str">
            <v>7-4-301</v>
          </cell>
          <cell r="K304">
            <v>347956</v>
          </cell>
        </row>
        <row r="305">
          <cell r="J305" t="str">
            <v>7-4-401</v>
          </cell>
          <cell r="K305">
            <v>331199</v>
          </cell>
        </row>
        <row r="306">
          <cell r="J306" t="str">
            <v>7-4-402</v>
          </cell>
          <cell r="K306">
            <v>331233</v>
          </cell>
        </row>
        <row r="307">
          <cell r="J307" t="str">
            <v>7-5-101</v>
          </cell>
          <cell r="K307">
            <v>288381</v>
          </cell>
        </row>
        <row r="308">
          <cell r="J308" t="str">
            <v>7-5-301</v>
          </cell>
          <cell r="K308">
            <v>347955</v>
          </cell>
        </row>
        <row r="309">
          <cell r="J309" t="str">
            <v>7-3-801</v>
          </cell>
          <cell r="K309">
            <v>206050</v>
          </cell>
        </row>
        <row r="310">
          <cell r="J310" t="str">
            <v>1-1-602</v>
          </cell>
          <cell r="K310">
            <v>296725</v>
          </cell>
        </row>
        <row r="311">
          <cell r="J311" t="str">
            <v>1-1-702</v>
          </cell>
          <cell r="K311">
            <v>291592</v>
          </cell>
        </row>
        <row r="312">
          <cell r="J312" t="str">
            <v>1-2-502</v>
          </cell>
          <cell r="K312">
            <v>310979</v>
          </cell>
        </row>
        <row r="313">
          <cell r="J313" t="str">
            <v>2-1-101</v>
          </cell>
          <cell r="K313">
            <v>452967</v>
          </cell>
        </row>
        <row r="314">
          <cell r="J314" t="str">
            <v>2-1-301</v>
          </cell>
          <cell r="K314">
            <v>453718</v>
          </cell>
        </row>
        <row r="315">
          <cell r="J315" t="str">
            <v>2-1-501</v>
          </cell>
          <cell r="K315">
            <v>390437</v>
          </cell>
        </row>
        <row r="316">
          <cell r="J316" t="str">
            <v>2-1-602</v>
          </cell>
          <cell r="K316">
            <v>230182</v>
          </cell>
        </row>
        <row r="317">
          <cell r="J317" t="str">
            <v>2-2-302</v>
          </cell>
          <cell r="K317">
            <v>411378</v>
          </cell>
        </row>
        <row r="318">
          <cell r="J318" t="str">
            <v>2-2-501</v>
          </cell>
          <cell r="K318">
            <v>394923</v>
          </cell>
        </row>
        <row r="319">
          <cell r="J319" t="str">
            <v>2-2-601</v>
          </cell>
          <cell r="K319">
            <v>345391</v>
          </cell>
        </row>
        <row r="320">
          <cell r="J320" t="str">
            <v>3-1-202</v>
          </cell>
          <cell r="K320">
            <v>366142</v>
          </cell>
        </row>
        <row r="321">
          <cell r="J321" t="str">
            <v>3-1-601</v>
          </cell>
          <cell r="K321">
            <v>337978</v>
          </cell>
        </row>
        <row r="322">
          <cell r="J322" t="str">
            <v>3-2-201</v>
          </cell>
          <cell r="K322">
            <v>357406</v>
          </cell>
        </row>
        <row r="323">
          <cell r="J323" t="str">
            <v>3-2-301</v>
          </cell>
          <cell r="K323">
            <v>350554</v>
          </cell>
        </row>
        <row r="324">
          <cell r="J324" t="str">
            <v>3-2-501</v>
          </cell>
          <cell r="K324">
            <v>305736</v>
          </cell>
        </row>
        <row r="325">
          <cell r="J325" t="str">
            <v>3-2-502</v>
          </cell>
          <cell r="K325">
            <v>307780</v>
          </cell>
        </row>
        <row r="326">
          <cell r="J326" t="str">
            <v>4-2-302</v>
          </cell>
          <cell r="K326">
            <v>452590</v>
          </cell>
        </row>
        <row r="327">
          <cell r="J327" t="str">
            <v>4-2-401</v>
          </cell>
          <cell r="K327">
            <v>400223</v>
          </cell>
        </row>
        <row r="328">
          <cell r="J328" t="str">
            <v>4-2-402</v>
          </cell>
          <cell r="K328">
            <v>142900</v>
          </cell>
        </row>
        <row r="329">
          <cell r="J329" t="str">
            <v>4-2-501</v>
          </cell>
          <cell r="K329">
            <v>324246</v>
          </cell>
        </row>
        <row r="330">
          <cell r="J330" t="str">
            <v>4-3-602</v>
          </cell>
          <cell r="K330">
            <v>110137.74</v>
          </cell>
        </row>
        <row r="331">
          <cell r="J331" t="str">
            <v>5-3-1001</v>
          </cell>
          <cell r="K331">
            <v>288833</v>
          </cell>
        </row>
        <row r="332">
          <cell r="J332" t="str">
            <v>5-1-901</v>
          </cell>
          <cell r="K332">
            <v>193605</v>
          </cell>
        </row>
        <row r="333">
          <cell r="J333" t="str">
            <v>1#楼1-7</v>
          </cell>
          <cell r="K333">
            <v>1417286</v>
          </cell>
        </row>
        <row r="334">
          <cell r="J334" t="str">
            <v>6-4-601</v>
          </cell>
          <cell r="K334">
            <v>205692</v>
          </cell>
        </row>
        <row r="335">
          <cell r="J335" t="str">
            <v>5-1-1004</v>
          </cell>
          <cell r="K335">
            <v>183629</v>
          </cell>
        </row>
        <row r="336">
          <cell r="J336" t="str">
            <v>5-1-1001</v>
          </cell>
          <cell r="K336">
            <v>203448</v>
          </cell>
        </row>
        <row r="337">
          <cell r="J337" t="str">
            <v>4-2-502</v>
          </cell>
          <cell r="K337">
            <v>127983</v>
          </cell>
        </row>
        <row r="338">
          <cell r="J338" t="str">
            <v>1-3-502</v>
          </cell>
          <cell r="K338">
            <v>256142</v>
          </cell>
        </row>
        <row r="339">
          <cell r="J339" t="str">
            <v>1-3-401</v>
          </cell>
          <cell r="K339">
            <v>283191</v>
          </cell>
        </row>
        <row r="340">
          <cell r="J340" t="str">
            <v>5-4-1002</v>
          </cell>
          <cell r="K340">
            <v>287099</v>
          </cell>
        </row>
        <row r="341">
          <cell r="J341" t="str">
            <v>5-1-804</v>
          </cell>
          <cell r="K341">
            <v>120000</v>
          </cell>
        </row>
        <row r="342">
          <cell r="J342" t="str">
            <v>5-101门面</v>
          </cell>
          <cell r="K342">
            <v>1150466</v>
          </cell>
        </row>
        <row r="343">
          <cell r="J343" t="str">
            <v>5-5-1101</v>
          </cell>
          <cell r="K343">
            <v>112986</v>
          </cell>
        </row>
        <row r="344">
          <cell r="J344" t="str">
            <v>5-5-503</v>
          </cell>
          <cell r="K344">
            <v>156873</v>
          </cell>
        </row>
        <row r="345">
          <cell r="J345" t="str">
            <v>5-5-1104</v>
          </cell>
          <cell r="K345">
            <v>111671</v>
          </cell>
        </row>
        <row r="346">
          <cell r="J346" t="str">
            <v>5-5-1103</v>
          </cell>
          <cell r="K346">
            <v>151198</v>
          </cell>
        </row>
        <row r="347">
          <cell r="J347" t="str">
            <v>5-5-703</v>
          </cell>
          <cell r="K347">
            <v>160210</v>
          </cell>
        </row>
        <row r="348">
          <cell r="J348" t="str">
            <v>1-2-301</v>
          </cell>
          <cell r="K348">
            <v>290544</v>
          </cell>
        </row>
        <row r="349">
          <cell r="J349" t="str">
            <v>5-5-601</v>
          </cell>
          <cell r="K349">
            <v>116683</v>
          </cell>
        </row>
        <row r="350">
          <cell r="J350" t="str">
            <v>5-5-602</v>
          </cell>
          <cell r="K350">
            <v>156903</v>
          </cell>
        </row>
        <row r="351">
          <cell r="J351" t="str">
            <v>5-104-1</v>
          </cell>
          <cell r="K351">
            <v>442583</v>
          </cell>
        </row>
        <row r="352">
          <cell r="J352" t="str">
            <v>5-103</v>
          </cell>
          <cell r="K352">
            <v>1129865</v>
          </cell>
        </row>
        <row r="353">
          <cell r="J353" t="str">
            <v>5-1-704</v>
          </cell>
          <cell r="K353">
            <v>142858</v>
          </cell>
        </row>
        <row r="354">
          <cell r="J354" t="str">
            <v>5-5-401/5-5402</v>
          </cell>
          <cell r="K354">
            <v>277441</v>
          </cell>
        </row>
        <row r="355">
          <cell r="J355" t="str">
            <v>4-3-101</v>
          </cell>
          <cell r="K355">
            <v>438095</v>
          </cell>
        </row>
        <row r="356">
          <cell r="J356" t="str">
            <v>5-1-302</v>
          </cell>
          <cell r="K356">
            <v>206757</v>
          </cell>
        </row>
        <row r="357">
          <cell r="J357" t="str">
            <v>5-5-702</v>
          </cell>
          <cell r="K357">
            <v>160770</v>
          </cell>
        </row>
        <row r="358">
          <cell r="J358" t="str">
            <v>5-5-701</v>
          </cell>
          <cell r="K358">
            <v>119559</v>
          </cell>
        </row>
        <row r="359">
          <cell r="J359" t="str">
            <v>5-5-504</v>
          </cell>
          <cell r="K359">
            <v>119149</v>
          </cell>
        </row>
        <row r="360">
          <cell r="J360" t="str">
            <v>5-2-201</v>
          </cell>
          <cell r="K360">
            <v>279145</v>
          </cell>
        </row>
        <row r="361">
          <cell r="J361" t="str">
            <v>5-5-501</v>
          </cell>
          <cell r="K361">
            <v>119559</v>
          </cell>
        </row>
        <row r="362">
          <cell r="J362" t="str">
            <v>5-5-502</v>
          </cell>
          <cell r="K362">
            <v>160770</v>
          </cell>
        </row>
        <row r="363">
          <cell r="J363" t="str">
            <v>5-5-904</v>
          </cell>
          <cell r="K363">
            <v>120792</v>
          </cell>
        </row>
        <row r="364">
          <cell r="J364" t="str">
            <v>5-3-801</v>
          </cell>
          <cell r="K364">
            <v>285924</v>
          </cell>
        </row>
        <row r="365">
          <cell r="J365" t="str">
            <v>5-1-402</v>
          </cell>
          <cell r="K365">
            <v>182944</v>
          </cell>
        </row>
        <row r="366">
          <cell r="J366" t="str">
            <v>5-5-804</v>
          </cell>
          <cell r="K366">
            <v>120381</v>
          </cell>
        </row>
        <row r="367">
          <cell r="J367" t="str">
            <v>5-5-1102</v>
          </cell>
          <cell r="K367">
            <v>151931</v>
          </cell>
        </row>
        <row r="368">
          <cell r="J368" t="str">
            <v>5-5-803</v>
          </cell>
          <cell r="K368">
            <v>160544</v>
          </cell>
        </row>
        <row r="369">
          <cell r="J369" t="str">
            <v>5-5-1004</v>
          </cell>
          <cell r="K369">
            <v>119395</v>
          </cell>
        </row>
        <row r="370">
          <cell r="J370" t="str">
            <v>5-5-704</v>
          </cell>
          <cell r="K370">
            <v>119560</v>
          </cell>
        </row>
        <row r="371">
          <cell r="J371" t="str">
            <v>5-1-403</v>
          </cell>
          <cell r="K371">
            <v>190816</v>
          </cell>
        </row>
        <row r="372">
          <cell r="J372" t="str">
            <v>5-5-302</v>
          </cell>
          <cell r="K372">
            <v>168506</v>
          </cell>
        </row>
        <row r="373">
          <cell r="J373" t="str">
            <v>5-5-903</v>
          </cell>
          <cell r="K373">
            <v>160544</v>
          </cell>
        </row>
        <row r="374">
          <cell r="J374" t="str">
            <v>5-5-901</v>
          </cell>
          <cell r="K374">
            <v>118738</v>
          </cell>
        </row>
        <row r="375">
          <cell r="J375" t="str">
            <v>5-5-902</v>
          </cell>
          <cell r="K375">
            <v>159666</v>
          </cell>
        </row>
        <row r="376">
          <cell r="J376" t="str">
            <v>4-3-201</v>
          </cell>
          <cell r="K376">
            <v>459020</v>
          </cell>
        </row>
        <row r="377">
          <cell r="J377" t="str">
            <v>5-5-604</v>
          </cell>
          <cell r="K377">
            <v>119148</v>
          </cell>
        </row>
        <row r="378">
          <cell r="J378" t="str">
            <v>5-1-303</v>
          </cell>
          <cell r="K378">
            <v>192674.95</v>
          </cell>
        </row>
        <row r="379">
          <cell r="J379" t="str">
            <v>4-3-302</v>
          </cell>
          <cell r="K379">
            <v>471548</v>
          </cell>
        </row>
        <row r="380">
          <cell r="J380" t="str">
            <v>5-4-101</v>
          </cell>
          <cell r="K380">
            <v>110314</v>
          </cell>
        </row>
        <row r="381">
          <cell r="J381" t="str">
            <v>4-1-402</v>
          </cell>
          <cell r="K381">
            <v>280952</v>
          </cell>
        </row>
        <row r="382">
          <cell r="J382" t="str">
            <v>4-3-301</v>
          </cell>
          <cell r="K382">
            <v>431038</v>
          </cell>
        </row>
        <row r="383">
          <cell r="J383" t="str">
            <v>4-3-402</v>
          </cell>
          <cell r="K383">
            <v>135227</v>
          </cell>
        </row>
        <row r="384">
          <cell r="J384" t="str">
            <v>4-3-403</v>
          </cell>
          <cell r="K384">
            <v>381019</v>
          </cell>
        </row>
        <row r="385">
          <cell r="J385" t="str">
            <v>4-3-502</v>
          </cell>
          <cell r="K385">
            <v>124601</v>
          </cell>
        </row>
        <row r="386">
          <cell r="J386" t="str">
            <v>7-2-302</v>
          </cell>
          <cell r="K386">
            <v>246777</v>
          </cell>
        </row>
        <row r="387">
          <cell r="J387" t="str">
            <v>7-5-401</v>
          </cell>
          <cell r="K387">
            <v>313804</v>
          </cell>
        </row>
        <row r="388">
          <cell r="J388" t="str">
            <v>2-3-401</v>
          </cell>
          <cell r="K388">
            <v>19048</v>
          </cell>
        </row>
        <row r="389">
          <cell r="J389" t="str">
            <v>5-1-903</v>
          </cell>
          <cell r="K389">
            <v>175532</v>
          </cell>
        </row>
        <row r="390">
          <cell r="J390" t="str">
            <v>5-2-401</v>
          </cell>
          <cell r="K390">
            <v>22915</v>
          </cell>
        </row>
        <row r="391">
          <cell r="J391" t="str">
            <v>1-106-1</v>
          </cell>
          <cell r="K391">
            <v>9524</v>
          </cell>
        </row>
        <row r="392">
          <cell r="J392" t="str">
            <v>5-5-1001</v>
          </cell>
          <cell r="K392">
            <v>121203</v>
          </cell>
        </row>
        <row r="393">
          <cell r="J393" t="str">
            <v>5-5-801/802</v>
          </cell>
          <cell r="K393">
            <v>133708</v>
          </cell>
        </row>
        <row r="394">
          <cell r="J394" t="str">
            <v>5-5-802</v>
          </cell>
          <cell r="K394">
            <v>150476</v>
          </cell>
        </row>
        <row r="395">
          <cell r="J395" t="str">
            <v>5-1-602</v>
          </cell>
          <cell r="K395">
            <v>196062</v>
          </cell>
        </row>
        <row r="396">
          <cell r="J396" t="str">
            <v>5-1-603</v>
          </cell>
          <cell r="K396">
            <v>198391</v>
          </cell>
        </row>
        <row r="397">
          <cell r="J397" t="str">
            <v>5-5-204</v>
          </cell>
          <cell r="K397">
            <v>119148</v>
          </cell>
        </row>
        <row r="398">
          <cell r="J398" t="str">
            <v>5-5-201</v>
          </cell>
          <cell r="K398">
            <v>762</v>
          </cell>
        </row>
        <row r="399">
          <cell r="J399" t="str">
            <v>5-1-803</v>
          </cell>
          <cell r="K399">
            <v>197676</v>
          </cell>
        </row>
        <row r="400">
          <cell r="J400" t="str">
            <v>5-1-703</v>
          </cell>
          <cell r="K400">
            <v>200535</v>
          </cell>
        </row>
        <row r="401">
          <cell r="J401" t="str">
            <v>5-1-502</v>
          </cell>
          <cell r="K401">
            <v>196062</v>
          </cell>
        </row>
        <row r="402">
          <cell r="J402" t="str">
            <v>5-1-902</v>
          </cell>
          <cell r="K402">
            <v>195064</v>
          </cell>
        </row>
        <row r="403">
          <cell r="J403" t="str">
            <v>5-1-1002</v>
          </cell>
          <cell r="K403">
            <v>196489</v>
          </cell>
        </row>
        <row r="404">
          <cell r="J404" t="str">
            <v>5-1-802</v>
          </cell>
          <cell r="K404">
            <v>193160</v>
          </cell>
        </row>
        <row r="405">
          <cell r="J405" t="str">
            <v>1-103</v>
          </cell>
          <cell r="K405">
            <v>727448</v>
          </cell>
        </row>
        <row r="406">
          <cell r="J406" t="str">
            <v>1-107</v>
          </cell>
          <cell r="K406">
            <v>285714</v>
          </cell>
        </row>
        <row r="407">
          <cell r="J407" t="str">
            <v>5-110-1</v>
          </cell>
          <cell r="K407">
            <v>79838</v>
          </cell>
        </row>
        <row r="408">
          <cell r="J408" t="str">
            <v>5-106</v>
          </cell>
          <cell r="K408">
            <v>899778</v>
          </cell>
        </row>
        <row r="409">
          <cell r="J409" t="str">
            <v>1-110</v>
          </cell>
          <cell r="K409">
            <v>9524</v>
          </cell>
        </row>
        <row r="410">
          <cell r="J410" t="str">
            <v>1-108-1</v>
          </cell>
          <cell r="K410">
            <v>542857.14</v>
          </cell>
        </row>
        <row r="411">
          <cell r="J411" t="str">
            <v>5-108</v>
          </cell>
          <cell r="K411">
            <v>809523</v>
          </cell>
        </row>
        <row r="412">
          <cell r="J412" t="str">
            <v>5-2-101</v>
          </cell>
          <cell r="K412">
            <v>292741</v>
          </cell>
        </row>
        <row r="413">
          <cell r="J413" t="str">
            <v>1-104</v>
          </cell>
          <cell r="K413">
            <v>190476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信息汇总表"/>
      <sheetName val="Sheet1"/>
      <sheetName val="发票基础信息"/>
      <sheetName val="货物清单"/>
    </sheetNames>
    <sheetDataSet>
      <sheetData sheetId="0">
        <row r="2">
          <cell r="M2" t="str">
            <v>5-1-1102</v>
          </cell>
          <cell r="N2" t="str">
            <v>平方米</v>
          </cell>
          <cell r="O2" t="str">
            <v>68.26</v>
          </cell>
          <cell r="P2" t="str">
            <v>2718.0046879578085</v>
          </cell>
          <cell r="Q2">
            <v>185531</v>
          </cell>
          <cell r="R2" t="str">
            <v>0%</v>
          </cell>
          <cell r="S2">
            <v>0</v>
          </cell>
          <cell r="T2">
            <v>185531</v>
          </cell>
        </row>
        <row r="3">
          <cell r="M3" t="str">
            <v>4-2-102</v>
          </cell>
          <cell r="N3" t="str">
            <v>平方米</v>
          </cell>
          <cell r="O3" t="str">
            <v>148.39</v>
          </cell>
          <cell r="P3" t="str">
            <v>3000</v>
          </cell>
          <cell r="Q3">
            <v>445170</v>
          </cell>
          <cell r="R3" t="str">
            <v>0%</v>
          </cell>
          <cell r="S3">
            <v>0</v>
          </cell>
          <cell r="T3">
            <v>445170</v>
          </cell>
        </row>
        <row r="4">
          <cell r="M4" t="str">
            <v>1-2-202</v>
          </cell>
          <cell r="N4" t="str">
            <v>平方米</v>
          </cell>
          <cell r="O4" t="str">
            <v>101.47</v>
          </cell>
          <cell r="P4" t="str">
            <v>3100</v>
          </cell>
          <cell r="Q4">
            <v>314557</v>
          </cell>
          <cell r="R4" t="str">
            <v>0%</v>
          </cell>
          <cell r="S4">
            <v>0</v>
          </cell>
          <cell r="T4">
            <v>314557</v>
          </cell>
        </row>
        <row r="5">
          <cell r="M5" t="str">
            <v>5-1-404</v>
          </cell>
          <cell r="N5" t="str">
            <v>平方米</v>
          </cell>
          <cell r="O5" t="str">
            <v>64.27</v>
          </cell>
          <cell r="P5" t="str">
            <v>2729.9984440641047</v>
          </cell>
          <cell r="Q5">
            <v>175457</v>
          </cell>
          <cell r="R5" t="str">
            <v>0%</v>
          </cell>
          <cell r="S5">
            <v>0</v>
          </cell>
          <cell r="T5">
            <v>175457</v>
          </cell>
        </row>
        <row r="6">
          <cell r="M6" t="str">
            <v>7-5-402</v>
          </cell>
          <cell r="N6" t="str">
            <v>平方米</v>
          </cell>
          <cell r="O6" t="str">
            <v>90.9</v>
          </cell>
          <cell r="P6" t="str">
            <v>3667.997799779978</v>
          </cell>
          <cell r="Q6">
            <v>333421</v>
          </cell>
          <cell r="R6" t="str">
            <v>0%</v>
          </cell>
          <cell r="S6">
            <v>0</v>
          </cell>
          <cell r="T6">
            <v>333421</v>
          </cell>
        </row>
        <row r="7">
          <cell r="M7" t="str">
            <v>7-2-502</v>
          </cell>
          <cell r="N7" t="str">
            <v>平方米</v>
          </cell>
          <cell r="O7" t="str">
            <v>100.08</v>
          </cell>
          <cell r="P7" t="str">
            <v>2729.996003197442</v>
          </cell>
          <cell r="Q7">
            <v>273218</v>
          </cell>
          <cell r="R7" t="str">
            <v>0%</v>
          </cell>
          <cell r="S7">
            <v>0</v>
          </cell>
          <cell r="T7">
            <v>273218</v>
          </cell>
        </row>
        <row r="8">
          <cell r="M8" t="str">
            <v>2-1-601</v>
          </cell>
          <cell r="N8" t="str">
            <v>平方米</v>
          </cell>
          <cell r="O8" t="str">
            <v>117.84</v>
          </cell>
          <cell r="P8" t="str">
            <v>2500</v>
          </cell>
          <cell r="Q8">
            <v>294600</v>
          </cell>
          <cell r="R8" t="str">
            <v>0%</v>
          </cell>
          <cell r="S8">
            <v>0</v>
          </cell>
          <cell r="T8">
            <v>294600</v>
          </cell>
        </row>
        <row r="9">
          <cell r="M9" t="str">
            <v>5-2-402</v>
          </cell>
          <cell r="N9" t="str">
            <v>平方米</v>
          </cell>
          <cell r="O9" t="str">
            <v>101.5</v>
          </cell>
          <cell r="P9" t="str">
            <v>2800</v>
          </cell>
          <cell r="Q9">
            <v>284200</v>
          </cell>
          <cell r="R9" t="str">
            <v>0%</v>
          </cell>
          <cell r="S9">
            <v>0</v>
          </cell>
          <cell r="T9">
            <v>284200</v>
          </cell>
        </row>
        <row r="10">
          <cell r="M10" t="str">
            <v>5-1-201</v>
          </cell>
          <cell r="N10" t="str">
            <v>平方米</v>
          </cell>
          <cell r="O10" t="str">
            <v>68.91</v>
          </cell>
          <cell r="P10" t="str">
            <v>3000</v>
          </cell>
          <cell r="Q10">
            <v>206730</v>
          </cell>
          <cell r="R10" t="str">
            <v>0%</v>
          </cell>
          <cell r="S10">
            <v>0</v>
          </cell>
          <cell r="T10">
            <v>206730</v>
          </cell>
        </row>
        <row r="11">
          <cell r="M11" t="str">
            <v>4-2-101</v>
          </cell>
          <cell r="N11" t="str">
            <v>平方米</v>
          </cell>
          <cell r="O11" t="str">
            <v>152.11</v>
          </cell>
          <cell r="P11" t="str">
            <v>2800</v>
          </cell>
          <cell r="Q11">
            <v>425908</v>
          </cell>
          <cell r="R11" t="str">
            <v>0%</v>
          </cell>
          <cell r="S11">
            <v>0</v>
          </cell>
          <cell r="T11">
            <v>425908</v>
          </cell>
        </row>
        <row r="12">
          <cell r="M12" t="str">
            <v>1-4-401</v>
          </cell>
          <cell r="N12" t="str">
            <v>平方米</v>
          </cell>
          <cell r="O12" t="str">
            <v>101.17</v>
          </cell>
          <cell r="P12" t="str">
            <v>2768.0043491153506</v>
          </cell>
          <cell r="Q12">
            <v>280039</v>
          </cell>
          <cell r="R12" t="str">
            <v>0%</v>
          </cell>
          <cell r="S12">
            <v>0</v>
          </cell>
          <cell r="T12">
            <v>280039</v>
          </cell>
        </row>
        <row r="13">
          <cell r="M13" t="str">
            <v>2-1-501</v>
          </cell>
          <cell r="N13" t="str">
            <v>平方米</v>
          </cell>
          <cell r="O13" t="str">
            <v>125.06</v>
          </cell>
          <cell r="P13" t="str">
            <v>3121.9974412282104</v>
          </cell>
          <cell r="Q13">
            <v>390437</v>
          </cell>
          <cell r="R13" t="str">
            <v>0%</v>
          </cell>
          <cell r="S13">
            <v>0</v>
          </cell>
          <cell r="T13">
            <v>390437</v>
          </cell>
        </row>
        <row r="14">
          <cell r="M14" t="str">
            <v>4-2-603</v>
          </cell>
          <cell r="N14" t="str">
            <v>平方米</v>
          </cell>
          <cell r="O14" t="str">
            <v>116.64</v>
          </cell>
          <cell r="P14" t="str">
            <v>2660.013717421125</v>
          </cell>
          <cell r="Q14">
            <v>310264</v>
          </cell>
          <cell r="R14" t="str">
            <v>0%</v>
          </cell>
          <cell r="S14">
            <v>0</v>
          </cell>
          <cell r="T14">
            <v>310264</v>
          </cell>
        </row>
        <row r="15">
          <cell r="M15" t="str">
            <v>4-3-202</v>
          </cell>
          <cell r="N15" t="str">
            <v>平方米</v>
          </cell>
          <cell r="O15" t="str">
            <v>152.44</v>
          </cell>
          <cell r="P15" t="str">
            <v>3000</v>
          </cell>
          <cell r="Q15">
            <v>457320</v>
          </cell>
          <cell r="R15" t="str">
            <v>0%</v>
          </cell>
          <cell r="S15">
            <v>0</v>
          </cell>
          <cell r="T15">
            <v>457320</v>
          </cell>
        </row>
        <row r="16">
          <cell r="M16" t="str">
            <v>5-4-202</v>
          </cell>
          <cell r="N16" t="str">
            <v>平方米</v>
          </cell>
          <cell r="O16" t="str">
            <v>101.5</v>
          </cell>
          <cell r="P16" t="str">
            <v>2888</v>
          </cell>
          <cell r="Q16">
            <v>293132</v>
          </cell>
          <cell r="R16" t="str">
            <v>0%</v>
          </cell>
          <cell r="S16">
            <v>0</v>
          </cell>
          <cell r="T16">
            <v>293132</v>
          </cell>
        </row>
        <row r="17">
          <cell r="M17" t="str">
            <v>5-1-401</v>
          </cell>
          <cell r="N17" t="str">
            <v>平方米</v>
          </cell>
          <cell r="O17" t="str">
            <v>68.91</v>
          </cell>
          <cell r="P17" t="str">
            <v>2900</v>
          </cell>
          <cell r="Q17">
            <v>199839</v>
          </cell>
          <cell r="R17" t="str">
            <v>0%</v>
          </cell>
          <cell r="S17">
            <v>0</v>
          </cell>
          <cell r="T17">
            <v>199839</v>
          </cell>
        </row>
        <row r="18">
          <cell r="M18" t="str">
            <v>5-2-601</v>
          </cell>
          <cell r="N18" t="str">
            <v>平方米</v>
          </cell>
          <cell r="O18" t="str">
            <v>101.5</v>
          </cell>
          <cell r="P18" t="str">
            <v>2950</v>
          </cell>
          <cell r="Q18">
            <v>299425</v>
          </cell>
          <cell r="R18" t="str">
            <v>0%</v>
          </cell>
          <cell r="S18">
            <v>0</v>
          </cell>
          <cell r="T18">
            <v>299425</v>
          </cell>
        </row>
        <row r="19">
          <cell r="M19" t="str">
            <v>6-4-102</v>
          </cell>
          <cell r="N19" t="str">
            <v>平方米</v>
          </cell>
          <cell r="O19" t="str">
            <v>97.45</v>
          </cell>
          <cell r="P19" t="str">
            <v>3149.9948691636737</v>
          </cell>
          <cell r="Q19">
            <v>306967</v>
          </cell>
          <cell r="R19" t="str">
            <v>0%</v>
          </cell>
          <cell r="S19">
            <v>0</v>
          </cell>
          <cell r="T19">
            <v>306967</v>
          </cell>
        </row>
        <row r="20">
          <cell r="M20" t="str">
            <v>5-4-601</v>
          </cell>
          <cell r="N20" t="str">
            <v>平方米</v>
          </cell>
          <cell r="O20" t="str">
            <v>101.5</v>
          </cell>
          <cell r="P20" t="str">
            <v>2860</v>
          </cell>
          <cell r="Q20">
            <v>290290</v>
          </cell>
          <cell r="R20" t="str">
            <v>0%</v>
          </cell>
          <cell r="S20">
            <v>0</v>
          </cell>
          <cell r="T20">
            <v>290290</v>
          </cell>
        </row>
        <row r="21">
          <cell r="M21" t="str">
            <v>1-4-602</v>
          </cell>
          <cell r="N21" t="str">
            <v>平方米</v>
          </cell>
          <cell r="O21" t="str">
            <v>99.77</v>
          </cell>
          <cell r="P21" t="str">
            <v>2180.004009221209</v>
          </cell>
          <cell r="Q21">
            <v>217499</v>
          </cell>
          <cell r="R21" t="str">
            <v>0%</v>
          </cell>
          <cell r="S21">
            <v>0</v>
          </cell>
          <cell r="T21">
            <v>217499</v>
          </cell>
        </row>
        <row r="22">
          <cell r="M22" t="str">
            <v>1-4-201</v>
          </cell>
          <cell r="N22" t="str">
            <v>平方米</v>
          </cell>
          <cell r="O22" t="str">
            <v>101.17</v>
          </cell>
          <cell r="P22" t="str">
            <v>3129.999011564693</v>
          </cell>
          <cell r="Q22">
            <v>316662</v>
          </cell>
          <cell r="R22" t="str">
            <v>0%</v>
          </cell>
          <cell r="S22">
            <v>0</v>
          </cell>
          <cell r="T22">
            <v>316662</v>
          </cell>
        </row>
        <row r="23">
          <cell r="M23" t="str">
            <v>5-4-901</v>
          </cell>
          <cell r="N23" t="str">
            <v>平方米</v>
          </cell>
          <cell r="O23" t="str">
            <v>101.5</v>
          </cell>
          <cell r="P23" t="str">
            <v>2940</v>
          </cell>
          <cell r="Q23">
            <v>298410</v>
          </cell>
          <cell r="R23" t="str">
            <v>0%</v>
          </cell>
          <cell r="S23">
            <v>0</v>
          </cell>
          <cell r="T23">
            <v>298410</v>
          </cell>
        </row>
        <row r="24">
          <cell r="M24" t="str">
            <v>4-3-402</v>
          </cell>
          <cell r="N24" t="str">
            <v>平方米</v>
          </cell>
          <cell r="O24" t="str">
            <v>50.71</v>
          </cell>
          <cell r="P24" t="str">
            <v>2800</v>
          </cell>
          <cell r="Q24">
            <v>141988</v>
          </cell>
          <cell r="R24" t="str">
            <v>0%</v>
          </cell>
          <cell r="S24">
            <v>0</v>
          </cell>
          <cell r="T24">
            <v>141988</v>
          </cell>
        </row>
        <row r="25">
          <cell r="M25" t="str">
            <v>4-3-602</v>
          </cell>
          <cell r="N25" t="str">
            <v>平方米</v>
          </cell>
          <cell r="O25" t="str">
            <v>50.88</v>
          </cell>
          <cell r="P25" t="str">
            <v>2250</v>
          </cell>
          <cell r="Q25">
            <v>114480</v>
          </cell>
          <cell r="R25" t="str">
            <v>0%</v>
          </cell>
          <cell r="S25">
            <v>0</v>
          </cell>
          <cell r="T25">
            <v>114480</v>
          </cell>
        </row>
        <row r="26">
          <cell r="M26" t="str">
            <v>5-2-301</v>
          </cell>
          <cell r="N26" t="str">
            <v>平方米</v>
          </cell>
          <cell r="O26" t="str">
            <v>101.5</v>
          </cell>
          <cell r="P26" t="str">
            <v>2700</v>
          </cell>
          <cell r="Q26">
            <v>274050</v>
          </cell>
          <cell r="R26" t="str">
            <v>0%</v>
          </cell>
          <cell r="S26">
            <v>0</v>
          </cell>
          <cell r="T26">
            <v>274050</v>
          </cell>
        </row>
        <row r="27">
          <cell r="M27" t="str">
            <v>5-2-1102</v>
          </cell>
          <cell r="N27" t="str">
            <v>平方米</v>
          </cell>
          <cell r="O27" t="str">
            <v>94.25</v>
          </cell>
          <cell r="P27" t="str">
            <v>2720</v>
          </cell>
          <cell r="Q27">
            <v>256360</v>
          </cell>
          <cell r="R27" t="str">
            <v>0%</v>
          </cell>
          <cell r="S27">
            <v>0</v>
          </cell>
          <cell r="T27">
            <v>256360</v>
          </cell>
        </row>
        <row r="28">
          <cell r="M28" t="str">
            <v>5-2-1101</v>
          </cell>
          <cell r="N28" t="str">
            <v>平方米</v>
          </cell>
          <cell r="O28" t="str">
            <v>94.25</v>
          </cell>
          <cell r="P28" t="str">
            <v>2720</v>
          </cell>
          <cell r="Q28">
            <v>256360</v>
          </cell>
          <cell r="R28" t="str">
            <v>0%</v>
          </cell>
          <cell r="S28">
            <v>0</v>
          </cell>
          <cell r="T28">
            <v>256360</v>
          </cell>
        </row>
        <row r="29">
          <cell r="M29" t="str">
            <v>7-3-902</v>
          </cell>
          <cell r="N29" t="str">
            <v>平方米</v>
          </cell>
          <cell r="O29" t="str">
            <v>92.93</v>
          </cell>
          <cell r="P29" t="str">
            <v>2582.997955450339</v>
          </cell>
          <cell r="Q29">
            <v>240038</v>
          </cell>
          <cell r="R29" t="str">
            <v>0%</v>
          </cell>
          <cell r="S29">
            <v>0</v>
          </cell>
          <cell r="T29">
            <v>240038</v>
          </cell>
        </row>
        <row r="30">
          <cell r="M30" t="str">
            <v>1-4-301</v>
          </cell>
          <cell r="N30" t="str">
            <v>平方米</v>
          </cell>
          <cell r="O30" t="str">
            <v>101.17</v>
          </cell>
          <cell r="P30" t="str">
            <v>3250.0049421765348</v>
          </cell>
          <cell r="Q30">
            <v>328803</v>
          </cell>
          <cell r="R30" t="str">
            <v>0%</v>
          </cell>
          <cell r="S30">
            <v>0</v>
          </cell>
          <cell r="T30">
            <v>328803</v>
          </cell>
        </row>
        <row r="31">
          <cell r="M31" t="str">
            <v>7-1-602</v>
          </cell>
          <cell r="N31" t="str">
            <v>平方米</v>
          </cell>
          <cell r="O31" t="str">
            <v>100.08</v>
          </cell>
          <cell r="P31" t="str">
            <v>2727.997601918465</v>
          </cell>
          <cell r="Q31">
            <v>273018</v>
          </cell>
          <cell r="R31" t="str">
            <v>0%</v>
          </cell>
          <cell r="S31">
            <v>0</v>
          </cell>
          <cell r="T31">
            <v>273018</v>
          </cell>
        </row>
        <row r="32">
          <cell r="M32" t="str">
            <v>7-4-202</v>
          </cell>
          <cell r="N32" t="str">
            <v>平方米</v>
          </cell>
          <cell r="O32" t="str">
            <v>97.74</v>
          </cell>
          <cell r="P32" t="str">
            <v>3067.9967260077756</v>
          </cell>
          <cell r="Q32">
            <v>299866</v>
          </cell>
          <cell r="R32" t="str">
            <v>0%</v>
          </cell>
          <cell r="S32">
            <v>0</v>
          </cell>
          <cell r="T32">
            <v>299866</v>
          </cell>
        </row>
        <row r="33">
          <cell r="M33" t="str">
            <v>7-5-201</v>
          </cell>
          <cell r="N33" t="str">
            <v>平方米</v>
          </cell>
          <cell r="O33" t="str">
            <v>97.74</v>
          </cell>
          <cell r="P33" t="str">
            <v>3067.9967260077756</v>
          </cell>
          <cell r="Q33">
            <v>299866</v>
          </cell>
          <cell r="R33" t="str">
            <v>0%</v>
          </cell>
          <cell r="S33">
            <v>0</v>
          </cell>
          <cell r="T33">
            <v>299866</v>
          </cell>
        </row>
        <row r="34">
          <cell r="M34" t="str">
            <v>5-4-802</v>
          </cell>
          <cell r="N34" t="str">
            <v>平方米</v>
          </cell>
          <cell r="O34" t="str">
            <v>101.5</v>
          </cell>
          <cell r="P34" t="str">
            <v>2818</v>
          </cell>
          <cell r="Q34">
            <v>286027</v>
          </cell>
          <cell r="R34" t="str">
            <v>0%</v>
          </cell>
          <cell r="S34">
            <v>0</v>
          </cell>
          <cell r="T34">
            <v>286027</v>
          </cell>
        </row>
        <row r="35">
          <cell r="M35" t="str">
            <v>1-3-402</v>
          </cell>
          <cell r="N35" t="str">
            <v>平方米</v>
          </cell>
          <cell r="O35" t="str">
            <v>101.49</v>
          </cell>
          <cell r="P35" t="str">
            <v>2800</v>
          </cell>
          <cell r="Q35">
            <v>284172</v>
          </cell>
          <cell r="R35" t="str">
            <v>0%</v>
          </cell>
          <cell r="S35">
            <v>0</v>
          </cell>
          <cell r="T35">
            <v>284172</v>
          </cell>
        </row>
        <row r="36">
          <cell r="M36" t="str">
            <v>5-1-601</v>
          </cell>
          <cell r="N36" t="str">
            <v>平方米</v>
          </cell>
          <cell r="O36" t="str">
            <v>68.91</v>
          </cell>
          <cell r="P36" t="str">
            <v>2819.997097663619</v>
          </cell>
          <cell r="Q36">
            <v>194326</v>
          </cell>
          <cell r="R36" t="str">
            <v>0%</v>
          </cell>
          <cell r="S36">
            <v>0</v>
          </cell>
          <cell r="T36">
            <v>194326</v>
          </cell>
        </row>
        <row r="37">
          <cell r="M37" t="str">
            <v>2-3-101</v>
          </cell>
          <cell r="N37" t="str">
            <v>平方米</v>
          </cell>
          <cell r="O37" t="str">
            <v>124.66</v>
          </cell>
          <cell r="P37" t="str">
            <v>2600</v>
          </cell>
          <cell r="Q37">
            <v>324116</v>
          </cell>
          <cell r="R37" t="str">
            <v>0%</v>
          </cell>
          <cell r="S37">
            <v>0</v>
          </cell>
          <cell r="T37">
            <v>324116</v>
          </cell>
        </row>
        <row r="38">
          <cell r="M38" t="str">
            <v>5-3-701</v>
          </cell>
          <cell r="N38" t="str">
            <v>平方米</v>
          </cell>
          <cell r="O38" t="str">
            <v>101.77</v>
          </cell>
          <cell r="P38" t="str">
            <v>2870.0009826078413</v>
          </cell>
          <cell r="Q38">
            <v>292080</v>
          </cell>
          <cell r="R38" t="str">
            <v>0%</v>
          </cell>
          <cell r="S38">
            <v>0</v>
          </cell>
          <cell r="T38">
            <v>292080</v>
          </cell>
        </row>
        <row r="39">
          <cell r="M39" t="str">
            <v>5-2-501</v>
          </cell>
          <cell r="N39" t="str">
            <v>平方米</v>
          </cell>
          <cell r="O39" t="str">
            <v>101.5</v>
          </cell>
          <cell r="P39" t="str">
            <v>2810</v>
          </cell>
          <cell r="Q39">
            <v>285215</v>
          </cell>
          <cell r="R39" t="str">
            <v>0%</v>
          </cell>
          <cell r="S39">
            <v>0</v>
          </cell>
          <cell r="T39">
            <v>285215</v>
          </cell>
        </row>
        <row r="40">
          <cell r="M40" t="str">
            <v>7-2-602</v>
          </cell>
          <cell r="N40" t="str">
            <v>平方米</v>
          </cell>
          <cell r="O40" t="str">
            <v>100.08</v>
          </cell>
          <cell r="P40" t="str">
            <v>2650</v>
          </cell>
          <cell r="Q40">
            <v>265212</v>
          </cell>
          <cell r="R40" t="str">
            <v>0%</v>
          </cell>
          <cell r="S40">
            <v>0</v>
          </cell>
          <cell r="T40">
            <v>265212</v>
          </cell>
        </row>
        <row r="41">
          <cell r="M41" t="str">
            <v>5-3-1101</v>
          </cell>
          <cell r="N41" t="str">
            <v>平方米</v>
          </cell>
          <cell r="O41" t="str">
            <v>94.51</v>
          </cell>
          <cell r="P41" t="str">
            <v>2976.002539413819</v>
          </cell>
          <cell r="Q41">
            <v>281262</v>
          </cell>
          <cell r="R41" t="str">
            <v>0%</v>
          </cell>
          <cell r="S41">
            <v>0</v>
          </cell>
          <cell r="T41">
            <v>281262</v>
          </cell>
        </row>
        <row r="42">
          <cell r="M42" t="str">
            <v>5-1-1104</v>
          </cell>
          <cell r="N42" t="str">
            <v>平方米</v>
          </cell>
          <cell r="O42" t="str">
            <v>64.27</v>
          </cell>
          <cell r="P42" t="str">
            <v>2667.9943986307762</v>
          </cell>
          <cell r="Q42">
            <v>171472</v>
          </cell>
          <cell r="R42" t="str">
            <v>0%</v>
          </cell>
          <cell r="S42">
            <v>0</v>
          </cell>
          <cell r="T42">
            <v>171472</v>
          </cell>
        </row>
        <row r="43">
          <cell r="M43" t="str">
            <v>7-3-601</v>
          </cell>
          <cell r="N43" t="str">
            <v>平方米</v>
          </cell>
          <cell r="O43" t="str">
            <v>100.08</v>
          </cell>
          <cell r="P43" t="str">
            <v>2700</v>
          </cell>
          <cell r="Q43">
            <v>270216</v>
          </cell>
          <cell r="R43" t="str">
            <v>0%</v>
          </cell>
          <cell r="S43">
            <v>0</v>
          </cell>
          <cell r="T43">
            <v>270216</v>
          </cell>
        </row>
        <row r="44">
          <cell r="M44" t="str">
            <v>7-4-201</v>
          </cell>
          <cell r="N44" t="str">
            <v>平方米</v>
          </cell>
          <cell r="O44" t="str">
            <v>97.74</v>
          </cell>
          <cell r="P44" t="str">
            <v>2959.9959075097195</v>
          </cell>
          <cell r="Q44">
            <v>289310</v>
          </cell>
          <cell r="R44" t="str">
            <v>0%</v>
          </cell>
          <cell r="S44">
            <v>0</v>
          </cell>
          <cell r="T44">
            <v>289310</v>
          </cell>
        </row>
        <row r="45">
          <cell r="M45" t="str">
            <v>7-5-102</v>
          </cell>
          <cell r="N45" t="str">
            <v>平方米</v>
          </cell>
          <cell r="O45" t="str">
            <v>98.08</v>
          </cell>
          <cell r="P45" t="str">
            <v>3098.0016313213705</v>
          </cell>
          <cell r="Q45">
            <v>303852</v>
          </cell>
          <cell r="R45" t="str">
            <v>0%</v>
          </cell>
          <cell r="S45">
            <v>0</v>
          </cell>
          <cell r="T45">
            <v>303852</v>
          </cell>
        </row>
        <row r="46">
          <cell r="M46" t="str">
            <v>5-4-201</v>
          </cell>
          <cell r="N46" t="str">
            <v>平方米</v>
          </cell>
          <cell r="O46" t="str">
            <v>101.5</v>
          </cell>
          <cell r="P46" t="str">
            <v>2860</v>
          </cell>
          <cell r="Q46">
            <v>290290</v>
          </cell>
          <cell r="R46" t="str">
            <v>0%</v>
          </cell>
          <cell r="S46">
            <v>0</v>
          </cell>
          <cell r="T46">
            <v>290290</v>
          </cell>
        </row>
        <row r="47">
          <cell r="M47" t="str">
            <v>5-4-501</v>
          </cell>
          <cell r="N47" t="str">
            <v>平方米</v>
          </cell>
          <cell r="O47" t="str">
            <v>101.5</v>
          </cell>
          <cell r="P47" t="str">
            <v>2990</v>
          </cell>
          <cell r="Q47">
            <v>303485</v>
          </cell>
          <cell r="R47" t="str">
            <v>0%</v>
          </cell>
          <cell r="S47">
            <v>0</v>
          </cell>
          <cell r="T47">
            <v>303485</v>
          </cell>
        </row>
        <row r="48">
          <cell r="M48" t="str">
            <v>5-4-1102</v>
          </cell>
          <cell r="N48" t="str">
            <v>平方米</v>
          </cell>
          <cell r="O48" t="str">
            <v>94.25</v>
          </cell>
          <cell r="P48" t="str">
            <v>2700</v>
          </cell>
          <cell r="Q48">
            <v>254475</v>
          </cell>
          <cell r="R48" t="str">
            <v>0%</v>
          </cell>
          <cell r="S48">
            <v>0</v>
          </cell>
          <cell r="T48">
            <v>254475</v>
          </cell>
        </row>
        <row r="49">
          <cell r="M49" t="str">
            <v>5-4-1101</v>
          </cell>
          <cell r="N49" t="str">
            <v>平方米</v>
          </cell>
          <cell r="O49" t="str">
            <v>94.25</v>
          </cell>
          <cell r="P49" t="str">
            <v>2700</v>
          </cell>
          <cell r="Q49">
            <v>254475</v>
          </cell>
          <cell r="R49" t="str">
            <v>0%</v>
          </cell>
          <cell r="S49">
            <v>0</v>
          </cell>
          <cell r="T49">
            <v>254475</v>
          </cell>
        </row>
        <row r="50">
          <cell r="M50" t="str">
            <v>5-4-302</v>
          </cell>
          <cell r="N50" t="str">
            <v>平方米</v>
          </cell>
          <cell r="O50" t="str">
            <v>101.5</v>
          </cell>
          <cell r="P50" t="str">
            <v>2698</v>
          </cell>
          <cell r="Q50">
            <v>273847</v>
          </cell>
          <cell r="R50" t="str">
            <v>0%</v>
          </cell>
          <cell r="S50">
            <v>0</v>
          </cell>
          <cell r="T50">
            <v>273847</v>
          </cell>
        </row>
        <row r="51">
          <cell r="M51" t="str">
            <v>5-4-1001</v>
          </cell>
          <cell r="N51" t="str">
            <v>平方米</v>
          </cell>
          <cell r="O51" t="str">
            <v>101.5</v>
          </cell>
          <cell r="P51" t="str">
            <v>3040</v>
          </cell>
          <cell r="Q51">
            <v>308560</v>
          </cell>
          <cell r="R51" t="str">
            <v>0%</v>
          </cell>
          <cell r="S51">
            <v>0</v>
          </cell>
          <cell r="T51">
            <v>308560</v>
          </cell>
        </row>
        <row r="52">
          <cell r="M52" t="str">
            <v>5-2-702</v>
          </cell>
          <cell r="N52" t="str">
            <v>平方米</v>
          </cell>
          <cell r="O52" t="str">
            <v>101.5</v>
          </cell>
          <cell r="P52" t="str">
            <v>2918</v>
          </cell>
          <cell r="Q52">
            <v>296177</v>
          </cell>
          <cell r="R52" t="str">
            <v>0%</v>
          </cell>
          <cell r="S52">
            <v>0</v>
          </cell>
          <cell r="T52">
            <v>296177</v>
          </cell>
        </row>
        <row r="53">
          <cell r="M53" t="str">
            <v>1-4-202</v>
          </cell>
          <cell r="N53" t="str">
            <v>平方米</v>
          </cell>
          <cell r="O53" t="str">
            <v>106.7</v>
          </cell>
          <cell r="P53" t="str">
            <v>3190</v>
          </cell>
          <cell r="Q53">
            <v>340373</v>
          </cell>
          <cell r="R53" t="str">
            <v>0%</v>
          </cell>
          <cell r="S53">
            <v>0</v>
          </cell>
          <cell r="T53">
            <v>340373</v>
          </cell>
        </row>
        <row r="54">
          <cell r="M54" t="str">
            <v>7-3-301</v>
          </cell>
          <cell r="N54" t="str">
            <v>平方米</v>
          </cell>
          <cell r="O54" t="str">
            <v>100.08</v>
          </cell>
          <cell r="P54" t="str">
            <v>2669.994004796163</v>
          </cell>
          <cell r="Q54">
            <v>267213</v>
          </cell>
          <cell r="R54" t="str">
            <v>0%</v>
          </cell>
          <cell r="S54">
            <v>0</v>
          </cell>
          <cell r="T54">
            <v>267213</v>
          </cell>
        </row>
        <row r="55">
          <cell r="M55" t="str">
            <v>5-1-501</v>
          </cell>
          <cell r="N55" t="str">
            <v>平方米</v>
          </cell>
          <cell r="O55" t="str">
            <v>68.91</v>
          </cell>
          <cell r="P55" t="str">
            <v>2927.9930343926862</v>
          </cell>
          <cell r="Q55">
            <v>201768</v>
          </cell>
          <cell r="R55" t="str">
            <v>0%</v>
          </cell>
          <cell r="S55">
            <v>0</v>
          </cell>
          <cell r="T55">
            <v>201768</v>
          </cell>
        </row>
        <row r="56">
          <cell r="M56" t="str">
            <v>7-4-102</v>
          </cell>
          <cell r="N56" t="str">
            <v>平方米</v>
          </cell>
          <cell r="O56" t="str">
            <v>97.74</v>
          </cell>
          <cell r="P56" t="str">
            <v>3100</v>
          </cell>
          <cell r="Q56">
            <v>302994</v>
          </cell>
          <cell r="R56" t="str">
            <v>0%</v>
          </cell>
          <cell r="S56">
            <v>0</v>
          </cell>
          <cell r="T56">
            <v>302994</v>
          </cell>
        </row>
        <row r="57">
          <cell r="M57" t="str">
            <v>5-1-1101</v>
          </cell>
          <cell r="N57" t="str">
            <v>平方米</v>
          </cell>
          <cell r="O57" t="str">
            <v>68.91</v>
          </cell>
          <cell r="P57" t="str">
            <v>2567.9872297199245</v>
          </cell>
          <cell r="Q57">
            <v>176960</v>
          </cell>
          <cell r="R57" t="str">
            <v>0%</v>
          </cell>
          <cell r="S57">
            <v>0</v>
          </cell>
          <cell r="T57">
            <v>176960</v>
          </cell>
        </row>
        <row r="58">
          <cell r="M58" t="str">
            <v>4-2-301</v>
          </cell>
          <cell r="N58" t="str">
            <v>平方米</v>
          </cell>
          <cell r="O58" t="str">
            <v>152.11</v>
          </cell>
          <cell r="P58" t="str">
            <v>3150.0032870948658</v>
          </cell>
          <cell r="Q58">
            <v>479147</v>
          </cell>
          <cell r="R58" t="str">
            <v>0%</v>
          </cell>
          <cell r="S58">
            <v>0</v>
          </cell>
          <cell r="T58">
            <v>479147</v>
          </cell>
        </row>
        <row r="59">
          <cell r="M59" t="str">
            <v>5-1-304</v>
          </cell>
          <cell r="N59" t="str">
            <v>平方米</v>
          </cell>
          <cell r="O59" t="str">
            <v>64.27</v>
          </cell>
          <cell r="P59" t="str">
            <v>2667.9943986307762</v>
          </cell>
          <cell r="Q59">
            <v>171472</v>
          </cell>
          <cell r="R59" t="str">
            <v>0%</v>
          </cell>
          <cell r="S59">
            <v>0</v>
          </cell>
          <cell r="T59">
            <v>171472</v>
          </cell>
        </row>
        <row r="60">
          <cell r="M60" t="str">
            <v>5-4-702</v>
          </cell>
          <cell r="N60" t="str">
            <v>平方米</v>
          </cell>
          <cell r="O60" t="str">
            <v>101.5</v>
          </cell>
          <cell r="P60" t="str">
            <v>2828</v>
          </cell>
          <cell r="Q60">
            <v>287042</v>
          </cell>
          <cell r="R60" t="str">
            <v>0%</v>
          </cell>
          <cell r="S60">
            <v>0</v>
          </cell>
          <cell r="T60">
            <v>287042</v>
          </cell>
        </row>
        <row r="61">
          <cell r="M61" t="str">
            <v>5-3-301</v>
          </cell>
          <cell r="N61" t="str">
            <v>平方米</v>
          </cell>
          <cell r="O61" t="str">
            <v>101.77</v>
          </cell>
          <cell r="P61" t="str">
            <v>2729.9990173921587</v>
          </cell>
          <cell r="Q61">
            <v>277832</v>
          </cell>
          <cell r="R61" t="str">
            <v>0%</v>
          </cell>
          <cell r="S61">
            <v>0</v>
          </cell>
          <cell r="T61">
            <v>277832</v>
          </cell>
        </row>
        <row r="62">
          <cell r="M62" t="str">
            <v>5-3-402</v>
          </cell>
          <cell r="N62" t="str">
            <v>平方米</v>
          </cell>
          <cell r="O62" t="str">
            <v>101.77</v>
          </cell>
          <cell r="P62" t="str">
            <v>2840.0019652156825</v>
          </cell>
          <cell r="Q62">
            <v>289027</v>
          </cell>
          <cell r="R62" t="str">
            <v>0%</v>
          </cell>
          <cell r="S62">
            <v>0</v>
          </cell>
          <cell r="T62">
            <v>289027</v>
          </cell>
        </row>
        <row r="63">
          <cell r="M63" t="str">
            <v>5-2-502</v>
          </cell>
          <cell r="N63" t="str">
            <v>平方米</v>
          </cell>
          <cell r="O63" t="str">
            <v>101.5</v>
          </cell>
          <cell r="P63" t="str">
            <v>2830</v>
          </cell>
          <cell r="Q63">
            <v>287245</v>
          </cell>
          <cell r="R63" t="str">
            <v>0%</v>
          </cell>
          <cell r="S63">
            <v>0</v>
          </cell>
          <cell r="T63">
            <v>287245</v>
          </cell>
        </row>
        <row r="64">
          <cell r="M64" t="str">
            <v>5-4-502</v>
          </cell>
          <cell r="N64" t="str">
            <v>平方米</v>
          </cell>
          <cell r="O64" t="str">
            <v>101.5</v>
          </cell>
          <cell r="P64" t="str">
            <v>2830</v>
          </cell>
          <cell r="Q64">
            <v>287245</v>
          </cell>
          <cell r="R64" t="str">
            <v>0%</v>
          </cell>
          <cell r="S64">
            <v>0</v>
          </cell>
          <cell r="T64">
            <v>287245</v>
          </cell>
        </row>
        <row r="65">
          <cell r="M65" t="str">
            <v>3-2-602</v>
          </cell>
          <cell r="N65" t="str">
            <v>平方米</v>
          </cell>
          <cell r="O65" t="str">
            <v>90.62</v>
          </cell>
          <cell r="P65" t="str">
            <v>2927.996027367027</v>
          </cell>
          <cell r="Q65">
            <v>265335</v>
          </cell>
          <cell r="R65" t="str">
            <v>0%</v>
          </cell>
          <cell r="S65">
            <v>0</v>
          </cell>
          <cell r="T65">
            <v>265335</v>
          </cell>
        </row>
        <row r="66">
          <cell r="M66" t="str">
            <v>5-4-301</v>
          </cell>
          <cell r="N66" t="str">
            <v>平方米</v>
          </cell>
          <cell r="O66" t="str">
            <v>101.5</v>
          </cell>
          <cell r="P66" t="str">
            <v>2730</v>
          </cell>
          <cell r="Q66">
            <v>277095</v>
          </cell>
          <cell r="R66" t="str">
            <v>0%</v>
          </cell>
          <cell r="S66">
            <v>0</v>
          </cell>
          <cell r="T66">
            <v>277095</v>
          </cell>
        </row>
        <row r="67">
          <cell r="M67" t="str">
            <v>2-3-202</v>
          </cell>
          <cell r="N67" t="str">
            <v>平方米</v>
          </cell>
          <cell r="O67" t="str">
            <v>125.06</v>
          </cell>
          <cell r="P67" t="str">
            <v>3487.997761074684</v>
          </cell>
          <cell r="Q67">
            <v>436209</v>
          </cell>
          <cell r="R67" t="str">
            <v>0%</v>
          </cell>
          <cell r="S67">
            <v>0</v>
          </cell>
          <cell r="T67">
            <v>436209</v>
          </cell>
        </row>
        <row r="68">
          <cell r="M68" t="str">
            <v>5-3-902</v>
          </cell>
          <cell r="N68" t="str">
            <v>平方米</v>
          </cell>
          <cell r="O68" t="str">
            <v>101.77</v>
          </cell>
          <cell r="P68" t="str">
            <v>2929.9990173921587</v>
          </cell>
          <cell r="Q68">
            <v>298186</v>
          </cell>
          <cell r="R68" t="str">
            <v>0%</v>
          </cell>
          <cell r="S68">
            <v>0</v>
          </cell>
          <cell r="T68">
            <v>298186</v>
          </cell>
        </row>
        <row r="69">
          <cell r="M69" t="str">
            <v>5-3-501</v>
          </cell>
          <cell r="N69" t="str">
            <v>平方米</v>
          </cell>
          <cell r="O69" t="str">
            <v>101.77</v>
          </cell>
          <cell r="P69" t="str">
            <v>2859.9980347843175</v>
          </cell>
          <cell r="Q69">
            <v>291062</v>
          </cell>
          <cell r="R69" t="str">
            <v>0%</v>
          </cell>
          <cell r="S69">
            <v>0</v>
          </cell>
          <cell r="T69">
            <v>291062</v>
          </cell>
        </row>
        <row r="70">
          <cell r="M70" t="str">
            <v>5-3-602</v>
          </cell>
          <cell r="N70" t="str">
            <v>平方米</v>
          </cell>
          <cell r="O70" t="str">
            <v>101.77</v>
          </cell>
          <cell r="P70" t="str">
            <v>2800</v>
          </cell>
          <cell r="Q70">
            <v>284956</v>
          </cell>
          <cell r="R70" t="str">
            <v>0%</v>
          </cell>
          <cell r="S70">
            <v>0</v>
          </cell>
          <cell r="T70">
            <v>284956</v>
          </cell>
        </row>
        <row r="71">
          <cell r="M71" t="str">
            <v>5-1-301</v>
          </cell>
          <cell r="N71" t="str">
            <v>平方米</v>
          </cell>
          <cell r="O71" t="str">
            <v>68.91</v>
          </cell>
          <cell r="P71" t="str">
            <v>2729.995646495429</v>
          </cell>
          <cell r="Q71">
            <v>188124</v>
          </cell>
          <cell r="R71" t="str">
            <v>0%</v>
          </cell>
          <cell r="S71">
            <v>0</v>
          </cell>
          <cell r="T71">
            <v>188124</v>
          </cell>
        </row>
        <row r="72">
          <cell r="M72" t="str">
            <v>5-2-302</v>
          </cell>
          <cell r="N72" t="str">
            <v>平方米</v>
          </cell>
          <cell r="O72" t="str">
            <v>101.5</v>
          </cell>
          <cell r="P72" t="str">
            <v>2800</v>
          </cell>
          <cell r="Q72">
            <v>284200</v>
          </cell>
          <cell r="R72" t="str">
            <v>0%</v>
          </cell>
          <cell r="S72">
            <v>0</v>
          </cell>
          <cell r="T72">
            <v>284200</v>
          </cell>
        </row>
        <row r="73">
          <cell r="M73" t="str">
            <v>5-3-302</v>
          </cell>
          <cell r="N73" t="str">
            <v>平方米</v>
          </cell>
          <cell r="O73" t="str">
            <v>101.77</v>
          </cell>
          <cell r="P73" t="str">
            <v>2698.0053060823425</v>
          </cell>
          <cell r="Q73">
            <v>274576</v>
          </cell>
          <cell r="R73" t="str">
            <v>0%</v>
          </cell>
          <cell r="S73">
            <v>0</v>
          </cell>
          <cell r="T73">
            <v>274576</v>
          </cell>
        </row>
        <row r="74">
          <cell r="M74" t="str">
            <v>2-1-201</v>
          </cell>
          <cell r="N74" t="str">
            <v>平方米</v>
          </cell>
          <cell r="O74" t="str">
            <v>125.06</v>
          </cell>
          <cell r="P74" t="str">
            <v>3667.9993603070525</v>
          </cell>
          <cell r="Q74">
            <v>458720</v>
          </cell>
          <cell r="R74" t="str">
            <v>0%</v>
          </cell>
          <cell r="S74">
            <v>0</v>
          </cell>
          <cell r="T74">
            <v>458720</v>
          </cell>
        </row>
        <row r="75">
          <cell r="M75" t="str">
            <v>5-3-401</v>
          </cell>
          <cell r="N75" t="str">
            <v>平方米</v>
          </cell>
          <cell r="O75" t="str">
            <v>101.77</v>
          </cell>
          <cell r="P75" t="str">
            <v>2819.996069568635</v>
          </cell>
          <cell r="Q75">
            <v>286991</v>
          </cell>
          <cell r="R75" t="str">
            <v>0%</v>
          </cell>
          <cell r="S75">
            <v>0</v>
          </cell>
          <cell r="T75">
            <v>286991</v>
          </cell>
        </row>
        <row r="76">
          <cell r="M76" t="str">
            <v>5-1-701</v>
          </cell>
          <cell r="N76" t="str">
            <v>平方米</v>
          </cell>
          <cell r="O76" t="str">
            <v>68.91</v>
          </cell>
          <cell r="P76" t="str">
            <v>2950.007255840952</v>
          </cell>
          <cell r="Q76">
            <v>203285</v>
          </cell>
          <cell r="R76" t="str">
            <v>0%</v>
          </cell>
          <cell r="S76">
            <v>0</v>
          </cell>
          <cell r="T76">
            <v>203285</v>
          </cell>
        </row>
        <row r="77">
          <cell r="M77" t="str">
            <v>5-4-701</v>
          </cell>
          <cell r="N77" t="str">
            <v>平方米</v>
          </cell>
          <cell r="O77" t="str">
            <v>101.5</v>
          </cell>
          <cell r="P77" t="str">
            <v>2880</v>
          </cell>
          <cell r="Q77">
            <v>292320</v>
          </cell>
          <cell r="R77" t="str">
            <v>0%</v>
          </cell>
          <cell r="S77">
            <v>0</v>
          </cell>
          <cell r="T77">
            <v>292320</v>
          </cell>
        </row>
        <row r="78">
          <cell r="M78" t="str">
            <v>5-5-304</v>
          </cell>
          <cell r="N78" t="str">
            <v>平方米</v>
          </cell>
          <cell r="O78" t="str">
            <v>43.14</v>
          </cell>
          <cell r="P78" t="str">
            <v>2700</v>
          </cell>
          <cell r="Q78">
            <v>116478</v>
          </cell>
          <cell r="R78" t="str">
            <v>0%</v>
          </cell>
          <cell r="S78">
            <v>0</v>
          </cell>
          <cell r="T78">
            <v>116478</v>
          </cell>
        </row>
        <row r="79">
          <cell r="M79" t="str">
            <v>4-1-301</v>
          </cell>
          <cell r="N79" t="str">
            <v>平方米</v>
          </cell>
          <cell r="O79" t="str">
            <v>94.91</v>
          </cell>
          <cell r="P79" t="str">
            <v>3627.9949425771783</v>
          </cell>
          <cell r="Q79">
            <v>344333</v>
          </cell>
          <cell r="R79" t="str">
            <v>0%</v>
          </cell>
          <cell r="S79">
            <v>0</v>
          </cell>
          <cell r="T79">
            <v>344333</v>
          </cell>
        </row>
        <row r="80">
          <cell r="M80" t="str">
            <v>4-2-402</v>
          </cell>
          <cell r="N80" t="str">
            <v>平方米</v>
          </cell>
          <cell r="O80" t="str">
            <v>50.71</v>
          </cell>
          <cell r="P80" t="str">
            <v>2817.984618418458</v>
          </cell>
          <cell r="Q80">
            <v>142900</v>
          </cell>
          <cell r="R80" t="str">
            <v>0%</v>
          </cell>
          <cell r="S80">
            <v>0</v>
          </cell>
          <cell r="T80">
            <v>142900</v>
          </cell>
        </row>
        <row r="81">
          <cell r="M81" t="str">
            <v>5-4-602</v>
          </cell>
          <cell r="N81" t="str">
            <v>平方米</v>
          </cell>
          <cell r="O81" t="str">
            <v>101.5</v>
          </cell>
          <cell r="P81" t="str">
            <v>2800</v>
          </cell>
          <cell r="Q81">
            <v>284200</v>
          </cell>
          <cell r="R81" t="str">
            <v>0%</v>
          </cell>
          <cell r="S81">
            <v>0</v>
          </cell>
          <cell r="T81">
            <v>284200</v>
          </cell>
        </row>
        <row r="82">
          <cell r="M82" t="str">
            <v>5-5-203</v>
          </cell>
          <cell r="N82" t="str">
            <v>平方米</v>
          </cell>
          <cell r="O82" t="str">
            <v>58.41</v>
          </cell>
          <cell r="P82" t="str">
            <v>2787.998630371512</v>
          </cell>
          <cell r="Q82">
            <v>162847</v>
          </cell>
          <cell r="R82" t="str">
            <v>0%</v>
          </cell>
          <cell r="S82">
            <v>0</v>
          </cell>
          <cell r="T82">
            <v>162847</v>
          </cell>
        </row>
        <row r="83">
          <cell r="M83" t="str">
            <v>5-1-202</v>
          </cell>
          <cell r="N83" t="str">
            <v>平方米</v>
          </cell>
          <cell r="O83" t="str">
            <v>74.86</v>
          </cell>
          <cell r="P83" t="str">
            <v>2758.001602992252</v>
          </cell>
          <cell r="Q83">
            <v>206464</v>
          </cell>
          <cell r="R83" t="str">
            <v>0%</v>
          </cell>
          <cell r="S83">
            <v>0</v>
          </cell>
          <cell r="T83">
            <v>206464</v>
          </cell>
        </row>
        <row r="84">
          <cell r="M84" t="str">
            <v>5-1-203</v>
          </cell>
          <cell r="N84" t="str">
            <v>平方米</v>
          </cell>
          <cell r="O84" t="str">
            <v>75.04</v>
          </cell>
          <cell r="P84" t="str">
            <v>2757.995735607676</v>
          </cell>
          <cell r="Q84">
            <v>206960</v>
          </cell>
          <cell r="R84" t="str">
            <v>0%</v>
          </cell>
          <cell r="S84">
            <v>0</v>
          </cell>
          <cell r="T84">
            <v>206960</v>
          </cell>
        </row>
        <row r="85">
          <cell r="M85" t="str">
            <v>5-5-202</v>
          </cell>
          <cell r="N85" t="str">
            <v>平方米</v>
          </cell>
          <cell r="O85" t="str">
            <v>58.01</v>
          </cell>
          <cell r="P85" t="str">
            <v>2788.0020686088606</v>
          </cell>
          <cell r="Q85">
            <v>161732</v>
          </cell>
          <cell r="R85" t="str">
            <v>0%</v>
          </cell>
          <cell r="S85">
            <v>0</v>
          </cell>
          <cell r="T85">
            <v>161732</v>
          </cell>
        </row>
        <row r="86">
          <cell r="M86" t="str">
            <v>1-4-501</v>
          </cell>
          <cell r="N86" t="str">
            <v>平方米</v>
          </cell>
          <cell r="O86" t="str">
            <v>101.17</v>
          </cell>
          <cell r="P86" t="str">
            <v>2580.0039537412276</v>
          </cell>
          <cell r="Q86">
            <v>261019</v>
          </cell>
          <cell r="R86" t="str">
            <v>0%</v>
          </cell>
          <cell r="S86">
            <v>0</v>
          </cell>
          <cell r="T86">
            <v>261019</v>
          </cell>
        </row>
        <row r="87">
          <cell r="M87" t="str">
            <v>7-3-402</v>
          </cell>
          <cell r="N87" t="str">
            <v>平方米</v>
          </cell>
          <cell r="O87" t="str">
            <v>100.08</v>
          </cell>
          <cell r="P87" t="str">
            <v>2500</v>
          </cell>
          <cell r="Q87">
            <v>250200</v>
          </cell>
          <cell r="R87" t="str">
            <v>0%</v>
          </cell>
          <cell r="S87">
            <v>0</v>
          </cell>
          <cell r="T87">
            <v>250200</v>
          </cell>
        </row>
        <row r="88">
          <cell r="M88" t="str">
            <v>7-1-401</v>
          </cell>
          <cell r="N88" t="str">
            <v>平方米</v>
          </cell>
          <cell r="O88" t="str">
            <v>100.45</v>
          </cell>
          <cell r="P88" t="str">
            <v>3070.0049776007963</v>
          </cell>
          <cell r="Q88">
            <v>308382</v>
          </cell>
          <cell r="R88" t="str">
            <v>0%</v>
          </cell>
          <cell r="S88">
            <v>0</v>
          </cell>
          <cell r="T88">
            <v>308382</v>
          </cell>
        </row>
        <row r="89">
          <cell r="M89" t="str">
            <v>5-3-601</v>
          </cell>
          <cell r="N89" t="str">
            <v>平方米</v>
          </cell>
          <cell r="O89" t="str">
            <v>101.77</v>
          </cell>
          <cell r="P89" t="str">
            <v>2829.9990173921587</v>
          </cell>
          <cell r="Q89">
            <v>288009</v>
          </cell>
          <cell r="R89" t="str">
            <v>0%</v>
          </cell>
          <cell r="S89">
            <v>0</v>
          </cell>
          <cell r="T89">
            <v>288009</v>
          </cell>
        </row>
        <row r="90">
          <cell r="M90" t="str">
            <v>7-1-901</v>
          </cell>
          <cell r="N90" t="str">
            <v>平方米</v>
          </cell>
          <cell r="O90" t="str">
            <v>92.93</v>
          </cell>
          <cell r="P90" t="str">
            <v>2979.995695684924</v>
          </cell>
          <cell r="Q90">
            <v>276931</v>
          </cell>
          <cell r="R90" t="str">
            <v>0%</v>
          </cell>
          <cell r="S90">
            <v>0</v>
          </cell>
          <cell r="T90">
            <v>276931</v>
          </cell>
        </row>
        <row r="91">
          <cell r="M91" t="str">
            <v>6-3-102</v>
          </cell>
          <cell r="N91" t="str">
            <v>平方米</v>
          </cell>
          <cell r="O91" t="str">
            <v>97.12</v>
          </cell>
          <cell r="P91" t="str">
            <v>3150</v>
          </cell>
          <cell r="Q91">
            <v>305928</v>
          </cell>
          <cell r="R91" t="str">
            <v>0%</v>
          </cell>
          <cell r="S91">
            <v>0</v>
          </cell>
          <cell r="T91">
            <v>305928</v>
          </cell>
        </row>
        <row r="92">
          <cell r="M92" t="str">
            <v>1-1-501</v>
          </cell>
          <cell r="N92" t="str">
            <v>平方米</v>
          </cell>
          <cell r="O92" t="str">
            <v>102.51</v>
          </cell>
          <cell r="P92" t="str">
            <v>2729.997073456248</v>
          </cell>
          <cell r="Q92">
            <v>279852</v>
          </cell>
          <cell r="R92" t="str">
            <v>0%</v>
          </cell>
          <cell r="S92">
            <v>0</v>
          </cell>
          <cell r="T92">
            <v>279852</v>
          </cell>
        </row>
        <row r="93">
          <cell r="M93" t="str">
            <v>7-1-601</v>
          </cell>
          <cell r="N93" t="str">
            <v>平方米</v>
          </cell>
          <cell r="O93" t="str">
            <v>100.45</v>
          </cell>
          <cell r="P93" t="str">
            <v>3437.9990044798406</v>
          </cell>
          <cell r="Q93">
            <v>345347</v>
          </cell>
          <cell r="R93" t="str">
            <v>0%</v>
          </cell>
          <cell r="S93">
            <v>0</v>
          </cell>
          <cell r="T93">
            <v>345347</v>
          </cell>
        </row>
        <row r="94">
          <cell r="M94" t="str">
            <v>1-1-901</v>
          </cell>
          <cell r="N94" t="str">
            <v>平方米</v>
          </cell>
          <cell r="O94" t="str">
            <v>102.51</v>
          </cell>
          <cell r="P94" t="str">
            <v>2850.0048775729197</v>
          </cell>
          <cell r="Q94">
            <v>292154</v>
          </cell>
          <cell r="R94" t="str">
            <v>0%</v>
          </cell>
          <cell r="S94">
            <v>0</v>
          </cell>
          <cell r="T94">
            <v>292154</v>
          </cell>
        </row>
        <row r="95">
          <cell r="M95" t="str">
            <v>6-3-202</v>
          </cell>
          <cell r="N95" t="str">
            <v>平方米</v>
          </cell>
          <cell r="O95" t="str">
            <v>97.12</v>
          </cell>
          <cell r="P95" t="str">
            <v>3100</v>
          </cell>
          <cell r="Q95">
            <v>301072</v>
          </cell>
          <cell r="R95" t="str">
            <v>0%</v>
          </cell>
          <cell r="S95">
            <v>0</v>
          </cell>
          <cell r="T95">
            <v>301072</v>
          </cell>
        </row>
        <row r="96">
          <cell r="M96" t="str">
            <v>2-1-202</v>
          </cell>
          <cell r="N96" t="str">
            <v>平方米</v>
          </cell>
          <cell r="O96" t="str">
            <v>124.66</v>
          </cell>
          <cell r="P96" t="str">
            <v>3668.000962618322</v>
          </cell>
          <cell r="Q96">
            <v>457253</v>
          </cell>
          <cell r="R96" t="str">
            <v>0%</v>
          </cell>
          <cell r="S96">
            <v>0</v>
          </cell>
          <cell r="T96">
            <v>457253</v>
          </cell>
        </row>
        <row r="97">
          <cell r="M97" t="str">
            <v>5-4-801</v>
          </cell>
          <cell r="N97" t="str">
            <v>平方米</v>
          </cell>
          <cell r="O97" t="str">
            <v>101.5</v>
          </cell>
          <cell r="P97" t="str">
            <v>2880</v>
          </cell>
          <cell r="Q97">
            <v>292320</v>
          </cell>
          <cell r="R97" t="str">
            <v>0%</v>
          </cell>
          <cell r="S97">
            <v>0</v>
          </cell>
          <cell r="T97">
            <v>292320</v>
          </cell>
        </row>
        <row r="98">
          <cell r="M98" t="str">
            <v>5-3-202</v>
          </cell>
          <cell r="N98" t="str">
            <v>平方米</v>
          </cell>
          <cell r="O98" t="str">
            <v>101.77</v>
          </cell>
          <cell r="P98" t="str">
            <v>2880.003930431365</v>
          </cell>
          <cell r="Q98">
            <v>293098</v>
          </cell>
          <cell r="R98" t="str">
            <v>0%</v>
          </cell>
          <cell r="S98">
            <v>0</v>
          </cell>
          <cell r="T98">
            <v>293098</v>
          </cell>
        </row>
        <row r="99">
          <cell r="M99" t="str">
            <v>5-3-1002</v>
          </cell>
          <cell r="N99" t="str">
            <v>平方米</v>
          </cell>
          <cell r="O99" t="str">
            <v>101.77</v>
          </cell>
          <cell r="P99" t="str">
            <v>2919.996069568635</v>
          </cell>
          <cell r="Q99">
            <v>297168</v>
          </cell>
          <cell r="R99" t="str">
            <v>0%</v>
          </cell>
          <cell r="S99">
            <v>0</v>
          </cell>
          <cell r="T99">
            <v>297168</v>
          </cell>
        </row>
        <row r="100">
          <cell r="M100" t="str">
            <v>3-2-101</v>
          </cell>
          <cell r="N100" t="str">
            <v>平方米</v>
          </cell>
          <cell r="O100" t="str">
            <v>97.43</v>
          </cell>
          <cell r="P100" t="str">
            <v>3150.0051318895617</v>
          </cell>
          <cell r="Q100">
            <v>306905</v>
          </cell>
          <cell r="R100" t="str">
            <v>0%</v>
          </cell>
          <cell r="S100">
            <v>0</v>
          </cell>
          <cell r="T100">
            <v>306905</v>
          </cell>
        </row>
        <row r="101">
          <cell r="M101" t="str">
            <v>4-1-102</v>
          </cell>
          <cell r="N101" t="str">
            <v>平方米</v>
          </cell>
          <cell r="O101" t="str">
            <v>94.59</v>
          </cell>
          <cell r="P101" t="str">
            <v>2850.0052859710327</v>
          </cell>
          <cell r="Q101">
            <v>269582</v>
          </cell>
          <cell r="R101" t="str">
            <v>0%</v>
          </cell>
          <cell r="S101">
            <v>0</v>
          </cell>
          <cell r="T101">
            <v>269582</v>
          </cell>
        </row>
        <row r="102">
          <cell r="M102" t="str">
            <v>7-2-601</v>
          </cell>
          <cell r="N102" t="str">
            <v>平方米</v>
          </cell>
          <cell r="O102" t="str">
            <v>100.08</v>
          </cell>
          <cell r="P102" t="str">
            <v>2650</v>
          </cell>
          <cell r="Q102">
            <v>265212</v>
          </cell>
          <cell r="R102" t="str">
            <v>0%</v>
          </cell>
          <cell r="S102">
            <v>0</v>
          </cell>
          <cell r="T102">
            <v>265212</v>
          </cell>
        </row>
        <row r="103">
          <cell r="M103" t="str">
            <v>1-1-302</v>
          </cell>
          <cell r="N103" t="str">
            <v>平方米</v>
          </cell>
          <cell r="O103" t="str">
            <v>103.38</v>
          </cell>
          <cell r="P103" t="str">
            <v>2670.003869220352</v>
          </cell>
          <cell r="Q103">
            <v>276025</v>
          </cell>
          <cell r="R103" t="str">
            <v>0%</v>
          </cell>
          <cell r="S103">
            <v>0</v>
          </cell>
          <cell r="T103">
            <v>276025</v>
          </cell>
        </row>
        <row r="104">
          <cell r="M104" t="str">
            <v>1-1-1101</v>
          </cell>
          <cell r="N104" t="str">
            <v>平方米</v>
          </cell>
          <cell r="O104" t="str">
            <v>94.98</v>
          </cell>
          <cell r="P104" t="str">
            <v>2600</v>
          </cell>
          <cell r="Q104">
            <v>246948</v>
          </cell>
          <cell r="R104" t="str">
            <v>0%</v>
          </cell>
          <cell r="S104">
            <v>0</v>
          </cell>
          <cell r="T104">
            <v>246948</v>
          </cell>
        </row>
        <row r="105">
          <cell r="M105" t="str">
            <v>6-2-601</v>
          </cell>
          <cell r="N105" t="str">
            <v>平方米</v>
          </cell>
          <cell r="O105" t="str">
            <v>89.99</v>
          </cell>
          <cell r="P105" t="str">
            <v>2218.002000222247</v>
          </cell>
          <cell r="Q105">
            <v>199598</v>
          </cell>
          <cell r="R105" t="str">
            <v>0%</v>
          </cell>
          <cell r="S105">
            <v>0</v>
          </cell>
          <cell r="T105">
            <v>199598</v>
          </cell>
        </row>
        <row r="106">
          <cell r="M106" t="str">
            <v>1-1-402</v>
          </cell>
          <cell r="N106" t="str">
            <v>平方米</v>
          </cell>
          <cell r="O106" t="str">
            <v>103.38</v>
          </cell>
          <cell r="P106" t="str">
            <v>2700</v>
          </cell>
          <cell r="Q106">
            <v>279126</v>
          </cell>
          <cell r="R106" t="str">
            <v>0%</v>
          </cell>
          <cell r="S106">
            <v>0</v>
          </cell>
          <cell r="T106">
            <v>279126</v>
          </cell>
        </row>
        <row r="107">
          <cell r="M107" t="str">
            <v>7-2-301</v>
          </cell>
          <cell r="N107" t="str">
            <v>平方米</v>
          </cell>
          <cell r="O107" t="str">
            <v>100.08</v>
          </cell>
          <cell r="P107" t="str">
            <v>2600</v>
          </cell>
          <cell r="Q107">
            <v>260208</v>
          </cell>
          <cell r="R107" t="str">
            <v>0%</v>
          </cell>
          <cell r="S107">
            <v>0</v>
          </cell>
          <cell r="T107">
            <v>260208</v>
          </cell>
        </row>
        <row r="108">
          <cell r="M108" t="str">
            <v>1-3-202</v>
          </cell>
          <cell r="N108" t="str">
            <v>平方米</v>
          </cell>
          <cell r="O108" t="str">
            <v>101.49</v>
          </cell>
          <cell r="P108" t="str">
            <v>3150.004926593753</v>
          </cell>
          <cell r="Q108">
            <v>319694</v>
          </cell>
          <cell r="R108" t="str">
            <v>0%</v>
          </cell>
          <cell r="S108">
            <v>0</v>
          </cell>
          <cell r="T108">
            <v>319694</v>
          </cell>
        </row>
        <row r="109">
          <cell r="M109" t="str">
            <v>7-1-702</v>
          </cell>
          <cell r="N109" t="str">
            <v>平方米</v>
          </cell>
          <cell r="O109" t="str">
            <v>100.08</v>
          </cell>
          <cell r="P109" t="str">
            <v>2800</v>
          </cell>
          <cell r="Q109">
            <v>280224</v>
          </cell>
          <cell r="R109" t="str">
            <v>0%</v>
          </cell>
          <cell r="S109">
            <v>0</v>
          </cell>
          <cell r="T109">
            <v>280224</v>
          </cell>
        </row>
        <row r="110">
          <cell r="M110" t="str">
            <v>4-1-101</v>
          </cell>
          <cell r="N110" t="str">
            <v>平方米</v>
          </cell>
          <cell r="O110" t="str">
            <v>94.91</v>
          </cell>
          <cell r="P110" t="str">
            <v>3637.993888947424</v>
          </cell>
          <cell r="Q110">
            <v>345282</v>
          </cell>
          <cell r="R110" t="str">
            <v>0%</v>
          </cell>
          <cell r="S110">
            <v>0</v>
          </cell>
          <cell r="T110">
            <v>345282</v>
          </cell>
        </row>
        <row r="111">
          <cell r="M111" t="str">
            <v>1-2-601</v>
          </cell>
          <cell r="N111" t="str">
            <v>平方米</v>
          </cell>
          <cell r="O111" t="str">
            <v>94.74</v>
          </cell>
          <cell r="P111" t="str">
            <v>2163.9962001266626</v>
          </cell>
          <cell r="Q111">
            <v>205017</v>
          </cell>
          <cell r="R111" t="str">
            <v>0%</v>
          </cell>
          <cell r="S111">
            <v>0</v>
          </cell>
          <cell r="T111">
            <v>205017</v>
          </cell>
        </row>
        <row r="112">
          <cell r="M112" t="str">
            <v>4-3-301</v>
          </cell>
          <cell r="N112" t="str">
            <v>平方米</v>
          </cell>
          <cell r="O112" t="str">
            <v>148.39</v>
          </cell>
          <cell r="P112" t="str">
            <v>3050.0033694992926</v>
          </cell>
          <cell r="Q112">
            <v>452590</v>
          </cell>
          <cell r="R112" t="str">
            <v>0%</v>
          </cell>
          <cell r="S112">
            <v>0</v>
          </cell>
          <cell r="T112">
            <v>452590</v>
          </cell>
        </row>
        <row r="113">
          <cell r="M113" t="str">
            <v>4-2-302</v>
          </cell>
          <cell r="N113" t="str">
            <v>平方米</v>
          </cell>
          <cell r="O113" t="str">
            <v>148.39</v>
          </cell>
          <cell r="P113" t="str">
            <v>3050.0033694992926</v>
          </cell>
          <cell r="Q113">
            <v>452590</v>
          </cell>
          <cell r="R113" t="str">
            <v>0%</v>
          </cell>
          <cell r="S113">
            <v>0</v>
          </cell>
          <cell r="T113">
            <v>452590</v>
          </cell>
        </row>
        <row r="114">
          <cell r="M114" t="str">
            <v>7-3-901</v>
          </cell>
          <cell r="N114" t="str">
            <v>平方米</v>
          </cell>
          <cell r="O114" t="str">
            <v>92.56</v>
          </cell>
          <cell r="P114" t="str">
            <v>2600</v>
          </cell>
          <cell r="Q114">
            <v>240656</v>
          </cell>
          <cell r="R114" t="str">
            <v>0%</v>
          </cell>
          <cell r="S114">
            <v>0</v>
          </cell>
          <cell r="T114">
            <v>240656</v>
          </cell>
        </row>
        <row r="115">
          <cell r="M115" t="str">
            <v>7-3-802</v>
          </cell>
          <cell r="N115" t="str">
            <v>平方米</v>
          </cell>
          <cell r="O115" t="str">
            <v>100.45</v>
          </cell>
          <cell r="P115" t="str">
            <v>2800</v>
          </cell>
          <cell r="Q115">
            <v>281260</v>
          </cell>
          <cell r="R115" t="str">
            <v>0%</v>
          </cell>
          <cell r="S115">
            <v>0</v>
          </cell>
          <cell r="T115">
            <v>281260</v>
          </cell>
        </row>
        <row r="116">
          <cell r="M116" t="str">
            <v>7-2-801</v>
          </cell>
          <cell r="N116" t="str">
            <v>平方米</v>
          </cell>
          <cell r="O116" t="str">
            <v>100.08</v>
          </cell>
          <cell r="P116" t="str">
            <v>2800</v>
          </cell>
          <cell r="Q116">
            <v>280224</v>
          </cell>
          <cell r="R116" t="str">
            <v>0%</v>
          </cell>
          <cell r="S116">
            <v>0</v>
          </cell>
          <cell r="T116">
            <v>280224</v>
          </cell>
        </row>
        <row r="117">
          <cell r="M117" t="str">
            <v>6-2-201</v>
          </cell>
          <cell r="N117" t="str">
            <v>平方米</v>
          </cell>
          <cell r="O117" t="str">
            <v>97.12</v>
          </cell>
          <cell r="P117" t="str">
            <v>3050</v>
          </cell>
          <cell r="Q117">
            <v>296216</v>
          </cell>
          <cell r="R117" t="str">
            <v>0%</v>
          </cell>
          <cell r="S117">
            <v>0</v>
          </cell>
          <cell r="T117">
            <v>296216</v>
          </cell>
        </row>
        <row r="118">
          <cell r="M118" t="str">
            <v>1-4-402</v>
          </cell>
          <cell r="N118" t="str">
            <v>平方米</v>
          </cell>
          <cell r="O118" t="str">
            <v>106.7</v>
          </cell>
          <cell r="P118" t="str">
            <v>2800</v>
          </cell>
          <cell r="Q118">
            <v>298760</v>
          </cell>
          <cell r="R118" t="str">
            <v>0%</v>
          </cell>
          <cell r="S118">
            <v>0</v>
          </cell>
          <cell r="T118">
            <v>298760</v>
          </cell>
        </row>
        <row r="119">
          <cell r="M119" t="str">
            <v>1-1-202</v>
          </cell>
          <cell r="N119" t="str">
            <v>平方米</v>
          </cell>
          <cell r="O119" t="str">
            <v>103.38</v>
          </cell>
          <cell r="P119" t="str">
            <v>2639.9980653898238</v>
          </cell>
          <cell r="Q119">
            <v>272923</v>
          </cell>
          <cell r="R119" t="str">
            <v>0%</v>
          </cell>
          <cell r="S119">
            <v>0</v>
          </cell>
          <cell r="T119">
            <v>272923</v>
          </cell>
        </row>
        <row r="120">
          <cell r="M120" t="str">
            <v>1-1-201</v>
          </cell>
          <cell r="N120" t="str">
            <v>平方米</v>
          </cell>
          <cell r="O120" t="str">
            <v>102.51</v>
          </cell>
          <cell r="P120" t="str">
            <v>2670.002926543752</v>
          </cell>
          <cell r="Q120">
            <v>273702</v>
          </cell>
          <cell r="R120" t="str">
            <v>0%</v>
          </cell>
          <cell r="S120">
            <v>0</v>
          </cell>
          <cell r="T120">
            <v>273702</v>
          </cell>
        </row>
        <row r="121">
          <cell r="M121" t="str">
            <v>6-4-101</v>
          </cell>
          <cell r="N121" t="str">
            <v>平方米</v>
          </cell>
          <cell r="O121" t="str">
            <v>97.12</v>
          </cell>
          <cell r="P121" t="str">
            <v>3167.998352553542</v>
          </cell>
          <cell r="Q121">
            <v>307676</v>
          </cell>
          <cell r="R121" t="str">
            <v>0%</v>
          </cell>
          <cell r="S121">
            <v>0</v>
          </cell>
          <cell r="T121">
            <v>307676</v>
          </cell>
        </row>
        <row r="122">
          <cell r="M122" t="str">
            <v>7-3-501</v>
          </cell>
          <cell r="N122" t="str">
            <v>平方米</v>
          </cell>
          <cell r="O122" t="str">
            <v>100.08</v>
          </cell>
          <cell r="P122" t="str">
            <v>2498.001598721023</v>
          </cell>
          <cell r="Q122">
            <v>250000</v>
          </cell>
          <cell r="R122" t="str">
            <v>0%</v>
          </cell>
          <cell r="S122">
            <v>0</v>
          </cell>
          <cell r="T122">
            <v>250000</v>
          </cell>
        </row>
        <row r="123">
          <cell r="M123" t="str">
            <v>7-2-401</v>
          </cell>
          <cell r="N123" t="str">
            <v>平方米</v>
          </cell>
          <cell r="O123" t="str">
            <v>100.08</v>
          </cell>
          <cell r="P123" t="str">
            <v>2498.001598721023</v>
          </cell>
          <cell r="Q123">
            <v>250000</v>
          </cell>
          <cell r="R123" t="str">
            <v>0%</v>
          </cell>
          <cell r="S123">
            <v>0</v>
          </cell>
          <cell r="T123">
            <v>250000</v>
          </cell>
        </row>
        <row r="124">
          <cell r="M124" t="str">
            <v>7-3-801</v>
          </cell>
          <cell r="N124" t="str">
            <v>平方米</v>
          </cell>
          <cell r="O124" t="str">
            <v>100.08</v>
          </cell>
          <cell r="P124" t="str">
            <v>2597.921662669864</v>
          </cell>
          <cell r="Q124">
            <v>260000</v>
          </cell>
          <cell r="R124" t="str">
            <v>0%</v>
          </cell>
          <cell r="S124">
            <v>0</v>
          </cell>
          <cell r="T124">
            <v>260000</v>
          </cell>
        </row>
        <row r="125">
          <cell r="M125" t="str">
            <v>6-2-402</v>
          </cell>
          <cell r="N125" t="str">
            <v>平方米</v>
          </cell>
          <cell r="O125" t="str">
            <v>97.12</v>
          </cell>
          <cell r="P125" t="str">
            <v>3617.998352553542</v>
          </cell>
          <cell r="Q125">
            <v>351380</v>
          </cell>
          <cell r="R125" t="str">
            <v>0%</v>
          </cell>
          <cell r="S125">
            <v>0</v>
          </cell>
          <cell r="T125">
            <v>351380</v>
          </cell>
        </row>
        <row r="126">
          <cell r="M126" t="str">
            <v>1-4-601</v>
          </cell>
          <cell r="N126" t="str">
            <v>平方米</v>
          </cell>
          <cell r="O126" t="str">
            <v>94.24</v>
          </cell>
          <cell r="P126" t="str">
            <v>2200</v>
          </cell>
          <cell r="Q126">
            <v>207328</v>
          </cell>
          <cell r="R126" t="str">
            <v>0%</v>
          </cell>
          <cell r="S126">
            <v>0</v>
          </cell>
          <cell r="T126">
            <v>207328</v>
          </cell>
        </row>
        <row r="127">
          <cell r="M127" t="str">
            <v>7-2-501</v>
          </cell>
          <cell r="N127" t="str">
            <v>平方米</v>
          </cell>
          <cell r="O127" t="str">
            <v>100.08</v>
          </cell>
          <cell r="P127" t="str">
            <v>2720.003996802558</v>
          </cell>
          <cell r="Q127">
            <v>272218</v>
          </cell>
          <cell r="R127" t="str">
            <v>0%</v>
          </cell>
          <cell r="S127">
            <v>0</v>
          </cell>
          <cell r="T127">
            <v>272218</v>
          </cell>
        </row>
        <row r="128">
          <cell r="M128" t="str">
            <v>7-3-401</v>
          </cell>
          <cell r="N128" t="str">
            <v>平方米</v>
          </cell>
          <cell r="O128" t="str">
            <v>100.08</v>
          </cell>
          <cell r="P128" t="str">
            <v>2689.998001598721</v>
          </cell>
          <cell r="Q128">
            <v>269215</v>
          </cell>
          <cell r="R128" t="str">
            <v>0%</v>
          </cell>
          <cell r="S128">
            <v>0</v>
          </cell>
          <cell r="T128">
            <v>269215</v>
          </cell>
        </row>
        <row r="129">
          <cell r="M129" t="str">
            <v>4-2-501</v>
          </cell>
          <cell r="N129" t="str">
            <v>平方米</v>
          </cell>
          <cell r="O129" t="str">
            <v>124.71</v>
          </cell>
          <cell r="P129" t="str">
            <v>2600</v>
          </cell>
          <cell r="Q129">
            <v>324246</v>
          </cell>
          <cell r="R129" t="str">
            <v>0%</v>
          </cell>
          <cell r="S129">
            <v>0</v>
          </cell>
          <cell r="T129">
            <v>324246</v>
          </cell>
        </row>
        <row r="130">
          <cell r="M130" t="str">
            <v>6-2-602</v>
          </cell>
          <cell r="N130" t="str">
            <v>平方米</v>
          </cell>
          <cell r="O130" t="str">
            <v>89.99</v>
          </cell>
          <cell r="P130" t="str">
            <v>2179.9977775308366</v>
          </cell>
          <cell r="Q130">
            <v>196178</v>
          </cell>
          <cell r="R130" t="str">
            <v>0%</v>
          </cell>
          <cell r="S130">
            <v>0</v>
          </cell>
          <cell r="T130">
            <v>196178</v>
          </cell>
        </row>
        <row r="131">
          <cell r="M131" t="str">
            <v>1-2-302</v>
          </cell>
          <cell r="N131" t="str">
            <v>平方米</v>
          </cell>
          <cell r="O131" t="str">
            <v>101.47</v>
          </cell>
          <cell r="P131" t="str">
            <v>2950.0049275647975</v>
          </cell>
          <cell r="Q131">
            <v>299337</v>
          </cell>
          <cell r="R131" t="str">
            <v>0%</v>
          </cell>
          <cell r="S131">
            <v>0</v>
          </cell>
          <cell r="T131">
            <v>299337</v>
          </cell>
        </row>
        <row r="132">
          <cell r="M132" t="str">
            <v>1-3-302</v>
          </cell>
          <cell r="N132" t="str">
            <v>平方米</v>
          </cell>
          <cell r="O132" t="str">
            <v>101.49</v>
          </cell>
          <cell r="P132" t="str">
            <v>3150.024632968765</v>
          </cell>
          <cell r="Q132">
            <v>319696</v>
          </cell>
          <cell r="R132" t="str">
            <v>0%</v>
          </cell>
          <cell r="S132">
            <v>0</v>
          </cell>
          <cell r="T132">
            <v>319696</v>
          </cell>
        </row>
        <row r="133">
          <cell r="M133" t="str">
            <v>3-2-201</v>
          </cell>
          <cell r="N133" t="str">
            <v>平方米</v>
          </cell>
          <cell r="O133" t="str">
            <v>97.43</v>
          </cell>
          <cell r="P133" t="str">
            <v>3668.007800472134</v>
          </cell>
          <cell r="Q133">
            <v>357374</v>
          </cell>
          <cell r="R133" t="str">
            <v>0%</v>
          </cell>
          <cell r="S133">
            <v>0</v>
          </cell>
          <cell r="T133">
            <v>357374</v>
          </cell>
        </row>
        <row r="134">
          <cell r="M134" t="str">
            <v>1-3-201</v>
          </cell>
          <cell r="N134" t="str">
            <v>平方米</v>
          </cell>
          <cell r="O134" t="str">
            <v>101.49</v>
          </cell>
          <cell r="P134" t="str">
            <v>3150.024632968765</v>
          </cell>
          <cell r="Q134">
            <v>319696</v>
          </cell>
          <cell r="R134" t="str">
            <v>0%</v>
          </cell>
          <cell r="S134">
            <v>0</v>
          </cell>
          <cell r="T134">
            <v>319696</v>
          </cell>
        </row>
        <row r="135">
          <cell r="M135" t="str">
            <v>6-1-602</v>
          </cell>
          <cell r="N135" t="str">
            <v>平方米</v>
          </cell>
          <cell r="O135" t="str">
            <v>89.99</v>
          </cell>
          <cell r="P135" t="str">
            <v>2179.9977775308366</v>
          </cell>
          <cell r="Q135">
            <v>196178</v>
          </cell>
          <cell r="R135" t="str">
            <v>0%</v>
          </cell>
          <cell r="S135">
            <v>0</v>
          </cell>
          <cell r="T135">
            <v>196178</v>
          </cell>
        </row>
        <row r="136">
          <cell r="M136" t="str">
            <v>6-3-101</v>
          </cell>
          <cell r="N136" t="str">
            <v>平方米</v>
          </cell>
          <cell r="O136" t="str">
            <v>97.12</v>
          </cell>
          <cell r="P136" t="str">
            <v>3150</v>
          </cell>
          <cell r="Q136">
            <v>305928</v>
          </cell>
          <cell r="R136" t="str">
            <v>0%</v>
          </cell>
          <cell r="S136">
            <v>0</v>
          </cell>
          <cell r="T136">
            <v>305928</v>
          </cell>
        </row>
        <row r="137">
          <cell r="M137" t="str">
            <v>1-1-801</v>
          </cell>
          <cell r="N137" t="str">
            <v>平方米</v>
          </cell>
          <cell r="O137" t="str">
            <v>102.51</v>
          </cell>
          <cell r="P137" t="str">
            <v>2800</v>
          </cell>
          <cell r="Q137">
            <v>287028</v>
          </cell>
          <cell r="R137" t="str">
            <v>0%</v>
          </cell>
          <cell r="S137">
            <v>0</v>
          </cell>
          <cell r="T137">
            <v>287028</v>
          </cell>
        </row>
        <row r="138">
          <cell r="M138" t="str">
            <v>1-1-502</v>
          </cell>
          <cell r="N138" t="str">
            <v>平方米</v>
          </cell>
          <cell r="O138" t="str">
            <v>103.38</v>
          </cell>
          <cell r="P138" t="str">
            <v>2739.9980653898238</v>
          </cell>
          <cell r="Q138">
            <v>283261</v>
          </cell>
          <cell r="R138" t="str">
            <v>0%</v>
          </cell>
          <cell r="S138">
            <v>0</v>
          </cell>
          <cell r="T138">
            <v>283261</v>
          </cell>
        </row>
        <row r="139">
          <cell r="M139" t="str">
            <v>6-1-601</v>
          </cell>
          <cell r="N139" t="str">
            <v>平方米</v>
          </cell>
          <cell r="O139" t="str">
            <v>90.33</v>
          </cell>
          <cell r="P139" t="str">
            <v>2200</v>
          </cell>
          <cell r="Q139">
            <v>198726</v>
          </cell>
          <cell r="R139" t="str">
            <v>0%</v>
          </cell>
          <cell r="S139">
            <v>0</v>
          </cell>
          <cell r="T139">
            <v>198726</v>
          </cell>
        </row>
        <row r="140">
          <cell r="M140" t="str">
            <v>1-2-402</v>
          </cell>
          <cell r="N140" t="str">
            <v>平方米</v>
          </cell>
          <cell r="O140" t="str">
            <v>101.47</v>
          </cell>
          <cell r="P140" t="str">
            <v>2800</v>
          </cell>
          <cell r="Q140">
            <v>284116</v>
          </cell>
          <cell r="R140" t="str">
            <v>0%</v>
          </cell>
          <cell r="S140">
            <v>0</v>
          </cell>
          <cell r="T140">
            <v>284116</v>
          </cell>
        </row>
        <row r="141">
          <cell r="M141" t="str">
            <v>1-2-501</v>
          </cell>
          <cell r="N141" t="str">
            <v>平方米</v>
          </cell>
          <cell r="O141" t="str">
            <v>101.69</v>
          </cell>
          <cell r="P141" t="str">
            <v>2579.9980332382734</v>
          </cell>
          <cell r="Q141">
            <v>262360</v>
          </cell>
          <cell r="R141" t="str">
            <v>0%</v>
          </cell>
          <cell r="S141">
            <v>0</v>
          </cell>
          <cell r="T141">
            <v>262360</v>
          </cell>
        </row>
        <row r="142">
          <cell r="M142" t="str">
            <v>1-2-602</v>
          </cell>
          <cell r="N142" t="str">
            <v>平方米</v>
          </cell>
          <cell r="O142" t="str">
            <v>94.52</v>
          </cell>
          <cell r="P142" t="str">
            <v>2200</v>
          </cell>
          <cell r="Q142">
            <v>207944</v>
          </cell>
          <cell r="R142" t="str">
            <v>0%</v>
          </cell>
          <cell r="S142">
            <v>0</v>
          </cell>
          <cell r="T142">
            <v>207944</v>
          </cell>
        </row>
        <row r="143">
          <cell r="M143" t="str">
            <v>7-5-301</v>
          </cell>
          <cell r="N143" t="str">
            <v>平方米</v>
          </cell>
          <cell r="O143" t="str">
            <v>97.74</v>
          </cell>
          <cell r="P143" t="str">
            <v>3738.0090034786167</v>
          </cell>
          <cell r="Q143">
            <v>365353</v>
          </cell>
          <cell r="R143" t="str">
            <v>0%</v>
          </cell>
          <cell r="S143">
            <v>0</v>
          </cell>
          <cell r="T143">
            <v>365353</v>
          </cell>
        </row>
        <row r="144">
          <cell r="M144" t="str">
            <v>1-1-1002</v>
          </cell>
          <cell r="N144" t="str">
            <v>平方米</v>
          </cell>
          <cell r="O144" t="str">
            <v>103.76</v>
          </cell>
          <cell r="P144" t="str">
            <v>2650.3469545104085</v>
          </cell>
          <cell r="Q144">
            <v>275000</v>
          </cell>
          <cell r="R144" t="str">
            <v>0%</v>
          </cell>
          <cell r="S144">
            <v>0</v>
          </cell>
          <cell r="T144">
            <v>275000</v>
          </cell>
        </row>
        <row r="145">
          <cell r="M145" t="str">
            <v>6-2-101</v>
          </cell>
          <cell r="N145" t="str">
            <v>平方米</v>
          </cell>
          <cell r="O145" t="str">
            <v>97.12</v>
          </cell>
          <cell r="P145" t="str">
            <v>3130.0041186161448</v>
          </cell>
          <cell r="Q145">
            <v>303986</v>
          </cell>
          <cell r="R145" t="str">
            <v>0%</v>
          </cell>
          <cell r="S145">
            <v>0</v>
          </cell>
          <cell r="T145">
            <v>303986</v>
          </cell>
        </row>
        <row r="146">
          <cell r="M146" t="str">
            <v>1-2-401</v>
          </cell>
          <cell r="N146" t="str">
            <v>平方米</v>
          </cell>
          <cell r="O146" t="str">
            <v>101.69</v>
          </cell>
          <cell r="P146" t="str">
            <v>2800</v>
          </cell>
          <cell r="Q146">
            <v>284732</v>
          </cell>
          <cell r="R146" t="str">
            <v>0%</v>
          </cell>
          <cell r="S146">
            <v>0</v>
          </cell>
          <cell r="T146">
            <v>284732</v>
          </cell>
        </row>
        <row r="147">
          <cell r="M147" t="str">
            <v>4-2-602</v>
          </cell>
          <cell r="N147" t="str">
            <v>平方米</v>
          </cell>
          <cell r="O147" t="str">
            <v>50.88</v>
          </cell>
          <cell r="P147" t="str">
            <v>2100</v>
          </cell>
          <cell r="Q147">
            <v>106848</v>
          </cell>
          <cell r="R147" t="str">
            <v>0%</v>
          </cell>
          <cell r="S147">
            <v>0</v>
          </cell>
          <cell r="T147">
            <v>106848</v>
          </cell>
        </row>
        <row r="148">
          <cell r="M148" t="str">
            <v>1-2-201</v>
          </cell>
          <cell r="N148" t="str">
            <v>平方米</v>
          </cell>
          <cell r="O148" t="str">
            <v>101.69</v>
          </cell>
          <cell r="P148" t="str">
            <v>3179.9980332382734</v>
          </cell>
          <cell r="Q148">
            <v>323374</v>
          </cell>
          <cell r="R148" t="str">
            <v>0%</v>
          </cell>
          <cell r="S148">
            <v>0</v>
          </cell>
          <cell r="T148">
            <v>323374</v>
          </cell>
        </row>
        <row r="149">
          <cell r="M149" t="str">
            <v>1-3-301</v>
          </cell>
          <cell r="N149" t="str">
            <v>平方米</v>
          </cell>
          <cell r="O149" t="str">
            <v>101.49</v>
          </cell>
          <cell r="P149" t="str">
            <v>3130.0029559562518</v>
          </cell>
          <cell r="Q149">
            <v>317664</v>
          </cell>
          <cell r="R149" t="str">
            <v>0%</v>
          </cell>
          <cell r="S149">
            <v>0</v>
          </cell>
          <cell r="T149">
            <v>317664</v>
          </cell>
        </row>
        <row r="150">
          <cell r="M150" t="str">
            <v>1-1-702</v>
          </cell>
          <cell r="N150" t="str">
            <v>平方米</v>
          </cell>
          <cell r="O150" t="str">
            <v>103.76</v>
          </cell>
          <cell r="P150" t="str">
            <v>2800</v>
          </cell>
          <cell r="Q150">
            <v>290528</v>
          </cell>
          <cell r="R150" t="str">
            <v>0%</v>
          </cell>
          <cell r="S150">
            <v>0</v>
          </cell>
          <cell r="T150">
            <v>290528</v>
          </cell>
        </row>
        <row r="151">
          <cell r="M151" t="str">
            <v>1-4-502</v>
          </cell>
          <cell r="N151" t="str">
            <v>平方米</v>
          </cell>
          <cell r="O151" t="str">
            <v>106.7</v>
          </cell>
          <cell r="P151" t="str">
            <v>2580</v>
          </cell>
          <cell r="Q151">
            <v>275286</v>
          </cell>
          <cell r="R151" t="str">
            <v>0%</v>
          </cell>
          <cell r="S151">
            <v>0</v>
          </cell>
          <cell r="T151">
            <v>275286</v>
          </cell>
        </row>
        <row r="152">
          <cell r="M152" t="str">
            <v>1-1-1001</v>
          </cell>
          <cell r="N152" t="str">
            <v>平方米</v>
          </cell>
          <cell r="O152" t="str">
            <v>102.51</v>
          </cell>
          <cell r="P152" t="str">
            <v>2850.0048775729197</v>
          </cell>
          <cell r="Q152">
            <v>292154</v>
          </cell>
          <cell r="R152" t="str">
            <v>0%</v>
          </cell>
          <cell r="S152">
            <v>0</v>
          </cell>
          <cell r="T152">
            <v>292154</v>
          </cell>
        </row>
        <row r="153">
          <cell r="M153" t="str">
            <v>1-1-401</v>
          </cell>
          <cell r="N153" t="str">
            <v>平方米</v>
          </cell>
          <cell r="O153" t="str">
            <v>102.51</v>
          </cell>
          <cell r="P153" t="str">
            <v>2700</v>
          </cell>
          <cell r="Q153">
            <v>276777</v>
          </cell>
          <cell r="R153" t="str">
            <v>0%</v>
          </cell>
          <cell r="S153">
            <v>0</v>
          </cell>
          <cell r="T153">
            <v>276777</v>
          </cell>
        </row>
        <row r="154">
          <cell r="M154" t="str">
            <v>6-3-502</v>
          </cell>
          <cell r="N154" t="str">
            <v>平方米</v>
          </cell>
          <cell r="O154" t="str">
            <v>97.12</v>
          </cell>
          <cell r="P154" t="str">
            <v>3287.994233937397</v>
          </cell>
          <cell r="Q154">
            <v>319330</v>
          </cell>
          <cell r="R154" t="str">
            <v>0%</v>
          </cell>
          <cell r="S154">
            <v>0</v>
          </cell>
          <cell r="T154">
            <v>319330</v>
          </cell>
        </row>
        <row r="155">
          <cell r="M155" t="str">
            <v>6-3-401</v>
          </cell>
          <cell r="N155" t="str">
            <v>平方米</v>
          </cell>
          <cell r="O155" t="str">
            <v>97.12</v>
          </cell>
          <cell r="P155" t="str">
            <v>3617.998352553542</v>
          </cell>
          <cell r="Q155">
            <v>351380</v>
          </cell>
          <cell r="R155" t="str">
            <v>0%</v>
          </cell>
          <cell r="S155">
            <v>0</v>
          </cell>
          <cell r="T155">
            <v>351380</v>
          </cell>
        </row>
        <row r="156">
          <cell r="M156" t="str">
            <v>4-2-403</v>
          </cell>
          <cell r="N156" t="str">
            <v>平方米</v>
          </cell>
          <cell r="O156" t="str">
            <v>125.41</v>
          </cell>
          <cell r="P156" t="str">
            <v>3597.9985647077588</v>
          </cell>
          <cell r="Q156">
            <v>451225</v>
          </cell>
          <cell r="R156" t="str">
            <v>0%</v>
          </cell>
          <cell r="S156">
            <v>0</v>
          </cell>
          <cell r="T156">
            <v>451225</v>
          </cell>
        </row>
        <row r="157">
          <cell r="M157" t="str">
            <v>6-1-501</v>
          </cell>
          <cell r="N157" t="str">
            <v>平方米</v>
          </cell>
          <cell r="O157" t="str">
            <v>97.45</v>
          </cell>
          <cell r="P157" t="str">
            <v>3300</v>
          </cell>
          <cell r="Q157">
            <v>321585</v>
          </cell>
          <cell r="R157" t="str">
            <v>0%</v>
          </cell>
          <cell r="S157">
            <v>0</v>
          </cell>
          <cell r="T157">
            <v>321585</v>
          </cell>
        </row>
        <row r="158">
          <cell r="M158" t="str">
            <v>2-2-201</v>
          </cell>
          <cell r="N158" t="str">
            <v>平方米</v>
          </cell>
          <cell r="O158" t="str">
            <v>124.66</v>
          </cell>
          <cell r="P158" t="str">
            <v>3668.000962618322</v>
          </cell>
          <cell r="Q158">
            <v>457253</v>
          </cell>
          <cell r="R158" t="str">
            <v>0%</v>
          </cell>
          <cell r="S158">
            <v>0</v>
          </cell>
          <cell r="T158">
            <v>457253</v>
          </cell>
        </row>
        <row r="159">
          <cell r="M159" t="str">
            <v>2-3-602</v>
          </cell>
          <cell r="N159" t="str">
            <v>平方米</v>
          </cell>
          <cell r="O159" t="str">
            <v>117.84</v>
          </cell>
          <cell r="P159" t="str">
            <v>2888.000678886626</v>
          </cell>
          <cell r="Q159">
            <v>340322</v>
          </cell>
          <cell r="R159" t="str">
            <v>0%</v>
          </cell>
          <cell r="S159">
            <v>0</v>
          </cell>
          <cell r="T159">
            <v>340322</v>
          </cell>
        </row>
        <row r="160">
          <cell r="M160" t="str">
            <v>7-5-401</v>
          </cell>
          <cell r="N160" t="str">
            <v>平方米</v>
          </cell>
          <cell r="O160" t="str">
            <v>90.57</v>
          </cell>
          <cell r="P160" t="str">
            <v>3638.401236612565</v>
          </cell>
          <cell r="Q160">
            <v>329530</v>
          </cell>
          <cell r="R160" t="str">
            <v>0%</v>
          </cell>
          <cell r="S160">
            <v>0</v>
          </cell>
          <cell r="T160">
            <v>329530</v>
          </cell>
        </row>
        <row r="161">
          <cell r="M161" t="str">
            <v>2-1-502</v>
          </cell>
          <cell r="N161" t="str">
            <v>平方米</v>
          </cell>
          <cell r="O161" t="str">
            <v>124.66</v>
          </cell>
          <cell r="P161" t="str">
            <v>3168.000962618322</v>
          </cell>
          <cell r="Q161">
            <v>394923</v>
          </cell>
          <cell r="R161" t="str">
            <v>0%</v>
          </cell>
          <cell r="S161">
            <v>0</v>
          </cell>
          <cell r="T161">
            <v>394923</v>
          </cell>
        </row>
        <row r="162">
          <cell r="M162" t="str">
            <v>4-3-601</v>
          </cell>
          <cell r="N162" t="str">
            <v>平方米</v>
          </cell>
          <cell r="O162" t="str">
            <v>116.64</v>
          </cell>
          <cell r="P162" t="str">
            <v>2600</v>
          </cell>
          <cell r="Q162">
            <v>303264</v>
          </cell>
          <cell r="R162" t="str">
            <v>0%</v>
          </cell>
          <cell r="S162">
            <v>0</v>
          </cell>
          <cell r="T162">
            <v>303264</v>
          </cell>
        </row>
        <row r="163">
          <cell r="M163" t="str">
            <v>1-1-1102</v>
          </cell>
          <cell r="N163" t="str">
            <v>平方米</v>
          </cell>
          <cell r="O163" t="str">
            <v>96.23</v>
          </cell>
          <cell r="P163" t="str">
            <v>2800</v>
          </cell>
          <cell r="Q163">
            <v>269444</v>
          </cell>
          <cell r="R163" t="str">
            <v>0%</v>
          </cell>
          <cell r="S163">
            <v>0</v>
          </cell>
          <cell r="T163">
            <v>269444</v>
          </cell>
        </row>
        <row r="164">
          <cell r="M164" t="str">
            <v>7-2-702</v>
          </cell>
          <cell r="N164" t="str">
            <v>平方米</v>
          </cell>
          <cell r="O164" t="str">
            <v>100.08</v>
          </cell>
          <cell r="P164" t="str">
            <v>2520.003996802558</v>
          </cell>
          <cell r="Q164">
            <v>252202</v>
          </cell>
          <cell r="R164" t="str">
            <v>0%</v>
          </cell>
          <cell r="S164">
            <v>0</v>
          </cell>
          <cell r="T164">
            <v>252202</v>
          </cell>
        </row>
        <row r="165">
          <cell r="M165" t="str">
            <v>6-3-501</v>
          </cell>
          <cell r="N165" t="str">
            <v>平方米</v>
          </cell>
          <cell r="O165" t="str">
            <v>97.12</v>
          </cell>
          <cell r="P165" t="str">
            <v>3288</v>
          </cell>
          <cell r="Q165">
            <v>319330.56</v>
          </cell>
          <cell r="R165" t="str">
            <v>0%</v>
          </cell>
          <cell r="S165">
            <v>0</v>
          </cell>
          <cell r="T165">
            <v>319330.56</v>
          </cell>
        </row>
        <row r="166">
          <cell r="M166" t="str">
            <v>2-1-302</v>
          </cell>
          <cell r="N166" t="str">
            <v>平方米</v>
          </cell>
          <cell r="O166" t="str">
            <v>124.66</v>
          </cell>
          <cell r="P166" t="str">
            <v>3627.9961495267125</v>
          </cell>
          <cell r="Q166">
            <v>452266</v>
          </cell>
          <cell r="R166" t="str">
            <v>0%</v>
          </cell>
          <cell r="S166">
            <v>0</v>
          </cell>
          <cell r="T166">
            <v>452266</v>
          </cell>
        </row>
        <row r="167">
          <cell r="M167" t="str">
            <v>3-1-301</v>
          </cell>
          <cell r="N167" t="str">
            <v>平方米</v>
          </cell>
          <cell r="O167" t="str">
            <v>97.77</v>
          </cell>
          <cell r="P167" t="str">
            <v>3627.994272271658</v>
          </cell>
          <cell r="Q167">
            <v>354709</v>
          </cell>
          <cell r="R167" t="str">
            <v>0%</v>
          </cell>
          <cell r="S167">
            <v>0</v>
          </cell>
          <cell r="T167">
            <v>354709</v>
          </cell>
        </row>
        <row r="168">
          <cell r="M168" t="str">
            <v>7-1-801</v>
          </cell>
          <cell r="N168" t="str">
            <v>平方米</v>
          </cell>
          <cell r="O168" t="str">
            <v>100.45</v>
          </cell>
          <cell r="P168" t="str">
            <v>2895.2380952380954</v>
          </cell>
          <cell r="Q168">
            <v>290826.67</v>
          </cell>
          <cell r="R168" t="str">
            <v>5%</v>
          </cell>
          <cell r="S168">
            <v>14541.33</v>
          </cell>
          <cell r="T168">
            <v>305368</v>
          </cell>
        </row>
        <row r="169">
          <cell r="M169" t="str">
            <v>1-3-501</v>
          </cell>
          <cell r="N169" t="str">
            <v>平方米</v>
          </cell>
          <cell r="O169" t="str">
            <v>101.49</v>
          </cell>
          <cell r="P169" t="str">
            <v>2457.140980345237</v>
          </cell>
          <cell r="Q169">
            <v>249375.24</v>
          </cell>
          <cell r="R169" t="str">
            <v>5%</v>
          </cell>
          <cell r="S169">
            <v>12468.76</v>
          </cell>
          <cell r="T169">
            <v>261844</v>
          </cell>
        </row>
        <row r="170">
          <cell r="M170" t="str">
            <v>2-3-302</v>
          </cell>
          <cell r="N170" t="str">
            <v>平方米</v>
          </cell>
          <cell r="O170" t="str">
            <v>125.06</v>
          </cell>
          <cell r="P170" t="str">
            <v>3448.0009595394213</v>
          </cell>
          <cell r="Q170">
            <v>431207</v>
          </cell>
          <cell r="R170" t="str">
            <v>0%</v>
          </cell>
          <cell r="S170">
            <v>0</v>
          </cell>
          <cell r="T170">
            <v>431207</v>
          </cell>
        </row>
        <row r="171">
          <cell r="M171" t="str">
            <v>7-3-201</v>
          </cell>
          <cell r="N171" t="str">
            <v>平方米</v>
          </cell>
          <cell r="O171" t="str">
            <v>100.08</v>
          </cell>
          <cell r="P171" t="str">
            <v>3029.996003197442</v>
          </cell>
          <cell r="Q171">
            <v>303242</v>
          </cell>
          <cell r="R171" t="str">
            <v>0%</v>
          </cell>
          <cell r="S171">
            <v>0</v>
          </cell>
          <cell r="T171">
            <v>303242</v>
          </cell>
        </row>
        <row r="172">
          <cell r="M172" t="str">
            <v>6-4-402</v>
          </cell>
          <cell r="N172" t="str">
            <v>平方米</v>
          </cell>
          <cell r="O172" t="str">
            <v>97.45</v>
          </cell>
          <cell r="P172" t="str">
            <v>3445.7133084121283</v>
          </cell>
          <cell r="Q172">
            <v>335784.76</v>
          </cell>
          <cell r="R172" t="str">
            <v>5%</v>
          </cell>
          <cell r="S172">
            <v>16789.24</v>
          </cell>
          <cell r="T172">
            <v>352574</v>
          </cell>
        </row>
        <row r="173">
          <cell r="M173" t="str">
            <v>5-5-503</v>
          </cell>
          <cell r="N173" t="str">
            <v>平方米</v>
          </cell>
          <cell r="O173" t="str">
            <v>58.41</v>
          </cell>
          <cell r="P173" t="str">
            <v>2685.7110246940756</v>
          </cell>
          <cell r="Q173">
            <v>156872.38</v>
          </cell>
          <cell r="R173" t="str">
            <v>5%</v>
          </cell>
          <cell r="S173">
            <v>7843.62</v>
          </cell>
          <cell r="T173">
            <v>164716</v>
          </cell>
        </row>
        <row r="174">
          <cell r="M174" t="str">
            <v>7-4-301</v>
          </cell>
          <cell r="N174" t="str">
            <v>平方米</v>
          </cell>
          <cell r="O174" t="str">
            <v>97.74</v>
          </cell>
          <cell r="P174" t="str">
            <v>3559.998830717063</v>
          </cell>
          <cell r="Q174">
            <v>347954.29</v>
          </cell>
          <cell r="R174" t="str">
            <v>5%</v>
          </cell>
          <cell r="S174">
            <v>17397.71</v>
          </cell>
          <cell r="T174">
            <v>365352</v>
          </cell>
        </row>
        <row r="175">
          <cell r="M175" t="str">
            <v>6-3-302</v>
          </cell>
          <cell r="N175" t="str">
            <v>平方米</v>
          </cell>
          <cell r="O175" t="str">
            <v>97.12</v>
          </cell>
          <cell r="P175" t="str">
            <v>3393.1121048089744</v>
          </cell>
          <cell r="Q175">
            <v>329539.05</v>
          </cell>
          <cell r="R175" t="str">
            <v>5%</v>
          </cell>
          <cell r="S175">
            <v>16476.95</v>
          </cell>
          <cell r="T175">
            <v>346016</v>
          </cell>
        </row>
        <row r="176">
          <cell r="M176" t="str">
            <v>7-3-202</v>
          </cell>
          <cell r="N176" t="str">
            <v>平方米</v>
          </cell>
          <cell r="O176" t="str">
            <v>100.08</v>
          </cell>
          <cell r="P176" t="str">
            <v>2885.710479235659</v>
          </cell>
          <cell r="Q176">
            <v>288801.9</v>
          </cell>
          <cell r="R176" t="str">
            <v>5%</v>
          </cell>
          <cell r="S176">
            <v>14440.1</v>
          </cell>
          <cell r="T176">
            <v>303242</v>
          </cell>
        </row>
        <row r="177">
          <cell r="M177" t="str">
            <v>6-3-201</v>
          </cell>
          <cell r="N177" t="str">
            <v>平方米</v>
          </cell>
          <cell r="O177" t="str">
            <v>97.12</v>
          </cell>
          <cell r="P177" t="str">
            <v>3817.143249392014</v>
          </cell>
          <cell r="Q177">
            <v>370720.95</v>
          </cell>
          <cell r="R177" t="str">
            <v>5%</v>
          </cell>
          <cell r="S177">
            <v>18536.05</v>
          </cell>
          <cell r="T177">
            <v>389257</v>
          </cell>
        </row>
        <row r="178">
          <cell r="M178" t="str">
            <v>5-5-1004</v>
          </cell>
          <cell r="N178" t="str">
            <v>平方米</v>
          </cell>
          <cell r="O178" t="str">
            <v>43.14</v>
          </cell>
          <cell r="P178" t="str">
            <v>2767.622579861801</v>
          </cell>
          <cell r="Q178">
            <v>119395.24</v>
          </cell>
          <cell r="R178" t="str">
            <v>5%</v>
          </cell>
          <cell r="S178">
            <v>5969.76</v>
          </cell>
          <cell r="T178">
            <v>125365</v>
          </cell>
        </row>
        <row r="179">
          <cell r="M179" t="str">
            <v>5-5-1101</v>
          </cell>
          <cell r="N179" t="str">
            <v>平方米</v>
          </cell>
          <cell r="O179" t="str">
            <v>43.14</v>
          </cell>
          <cell r="P179" t="str">
            <v>2619.0476190476193</v>
          </cell>
          <cell r="Q179">
            <v>112985.71</v>
          </cell>
          <cell r="R179" t="str">
            <v>5%</v>
          </cell>
          <cell r="S179">
            <v>5649.29</v>
          </cell>
          <cell r="T179">
            <v>118635</v>
          </cell>
        </row>
        <row r="180">
          <cell r="M180" t="str">
            <v>5-5-1102</v>
          </cell>
          <cell r="N180" t="str">
            <v>平方米</v>
          </cell>
          <cell r="O180" t="str">
            <v>58.01</v>
          </cell>
          <cell r="P180" t="str">
            <v>2619.0394102822993</v>
          </cell>
          <cell r="Q180">
            <v>151930.48</v>
          </cell>
          <cell r="R180" t="str">
            <v>5%</v>
          </cell>
          <cell r="S180">
            <v>7596.52</v>
          </cell>
          <cell r="T180">
            <v>159527</v>
          </cell>
        </row>
        <row r="181">
          <cell r="M181" t="str">
            <v>5-5-904</v>
          </cell>
          <cell r="N181" t="str">
            <v>平方米</v>
          </cell>
          <cell r="O181" t="str">
            <v>43.14</v>
          </cell>
          <cell r="P181" t="str">
            <v>2800.0088306068833</v>
          </cell>
          <cell r="Q181">
            <v>120792.38</v>
          </cell>
          <cell r="R181" t="str">
            <v>5%</v>
          </cell>
          <cell r="S181">
            <v>6039.62</v>
          </cell>
          <cell r="T181">
            <v>126832</v>
          </cell>
        </row>
        <row r="182">
          <cell r="M182" t="str">
            <v>5-3-901</v>
          </cell>
          <cell r="N182" t="str">
            <v>平方米</v>
          </cell>
          <cell r="O182" t="str">
            <v>101.77</v>
          </cell>
          <cell r="P182" t="str">
            <v>2828.5723643884203</v>
          </cell>
          <cell r="Q182">
            <v>287863.81</v>
          </cell>
          <cell r="R182" t="str">
            <v>5%</v>
          </cell>
          <cell r="S182">
            <v>14393.19</v>
          </cell>
          <cell r="T182">
            <v>302257</v>
          </cell>
        </row>
        <row r="183">
          <cell r="M183" t="str">
            <v>5-2-201</v>
          </cell>
          <cell r="N183" t="str">
            <v>平方米</v>
          </cell>
          <cell r="O183" t="str">
            <v>101.5</v>
          </cell>
          <cell r="P183" t="str">
            <v>2731.4285714285716</v>
          </cell>
          <cell r="Q183">
            <v>277240</v>
          </cell>
          <cell r="R183" t="str">
            <v>5%</v>
          </cell>
          <cell r="S183">
            <v>13862</v>
          </cell>
          <cell r="T183">
            <v>291102</v>
          </cell>
        </row>
        <row r="184">
          <cell r="M184" t="str">
            <v>5-3-801</v>
          </cell>
          <cell r="N184" t="str">
            <v>平方米</v>
          </cell>
          <cell r="O184" t="str">
            <v>101.77</v>
          </cell>
          <cell r="P184" t="str">
            <v>2809.5191304388513</v>
          </cell>
          <cell r="Q184">
            <v>285924.76</v>
          </cell>
          <cell r="R184" t="str">
            <v>5%</v>
          </cell>
          <cell r="S184">
            <v>14296.24</v>
          </cell>
          <cell r="T184">
            <v>300221</v>
          </cell>
        </row>
        <row r="185">
          <cell r="M185" t="str">
            <v>5-5-804</v>
          </cell>
          <cell r="N185" t="str">
            <v>平方米</v>
          </cell>
          <cell r="O185" t="str">
            <v>43.14</v>
          </cell>
          <cell r="P185" t="str">
            <v>2790.471775172749</v>
          </cell>
          <cell r="Q185">
            <v>120380.95</v>
          </cell>
          <cell r="R185" t="str">
            <v>5%</v>
          </cell>
          <cell r="S185">
            <v>6019.05</v>
          </cell>
          <cell r="T185">
            <v>126400</v>
          </cell>
        </row>
        <row r="186">
          <cell r="M186" t="str">
            <v>5-3-802</v>
          </cell>
          <cell r="N186" t="str">
            <v>平方米</v>
          </cell>
          <cell r="O186" t="str">
            <v>101.77</v>
          </cell>
          <cell r="P186" t="str">
            <v>2809.5284886087675</v>
          </cell>
          <cell r="Q186">
            <v>285925.71</v>
          </cell>
          <cell r="R186" t="str">
            <v>5%</v>
          </cell>
          <cell r="S186">
            <v>14296.29</v>
          </cell>
          <cell r="T186">
            <v>300222</v>
          </cell>
        </row>
        <row r="187">
          <cell r="M187" t="str">
            <v>5-5-504</v>
          </cell>
          <cell r="N187" t="str">
            <v>平方米</v>
          </cell>
          <cell r="O187" t="str">
            <v>43.14</v>
          </cell>
          <cell r="P187" t="str">
            <v>2761.904761904762</v>
          </cell>
          <cell r="Q187">
            <v>119148.57</v>
          </cell>
          <cell r="R187" t="str">
            <v>5%</v>
          </cell>
          <cell r="S187">
            <v>5957.43</v>
          </cell>
          <cell r="T187">
            <v>125106</v>
          </cell>
        </row>
        <row r="188">
          <cell r="M188" t="str">
            <v>5-5-502</v>
          </cell>
          <cell r="N188" t="str">
            <v>平方米</v>
          </cell>
          <cell r="O188" t="str">
            <v>58.01</v>
          </cell>
          <cell r="P188" t="str">
            <v>2771.4269296755074</v>
          </cell>
          <cell r="Q188">
            <v>160770.48</v>
          </cell>
          <cell r="R188" t="str">
            <v>5%</v>
          </cell>
          <cell r="S188">
            <v>8038.52</v>
          </cell>
          <cell r="T188">
            <v>168809</v>
          </cell>
        </row>
        <row r="189">
          <cell r="M189" t="str">
            <v>5-5-501</v>
          </cell>
          <cell r="N189" t="str">
            <v>平方米</v>
          </cell>
          <cell r="O189" t="str">
            <v>43.14</v>
          </cell>
          <cell r="P189" t="str">
            <v>2771.419740821688</v>
          </cell>
          <cell r="Q189">
            <v>119559.05</v>
          </cell>
          <cell r="R189" t="str">
            <v>5%</v>
          </cell>
          <cell r="S189">
            <v>5977.95</v>
          </cell>
          <cell r="T189">
            <v>125537</v>
          </cell>
        </row>
        <row r="190">
          <cell r="M190" t="str">
            <v>5-4-101</v>
          </cell>
          <cell r="N190" t="str">
            <v>平方米</v>
          </cell>
          <cell r="O190" t="str">
            <v>38.61</v>
          </cell>
          <cell r="P190" t="str">
            <v>2857.1428571428573</v>
          </cell>
          <cell r="Q190">
            <v>110314.29</v>
          </cell>
          <cell r="R190" t="str">
            <v>5%</v>
          </cell>
          <cell r="S190">
            <v>5515.71</v>
          </cell>
          <cell r="T190">
            <v>115830</v>
          </cell>
        </row>
        <row r="191">
          <cell r="M191" t="str">
            <v>5-5-101</v>
          </cell>
          <cell r="N191" t="str">
            <v>平方米</v>
          </cell>
          <cell r="O191" t="str">
            <v>41.08</v>
          </cell>
          <cell r="P191" t="str">
            <v>6666.666666666667</v>
          </cell>
          <cell r="Q191">
            <v>273866.67</v>
          </cell>
          <cell r="R191" t="str">
            <v>5%</v>
          </cell>
          <cell r="S191">
            <v>13693.33</v>
          </cell>
          <cell r="T191">
            <v>287560</v>
          </cell>
        </row>
        <row r="192">
          <cell r="M192" t="str">
            <v>6-1-202</v>
          </cell>
          <cell r="N192" t="str">
            <v>平方米</v>
          </cell>
          <cell r="O192" t="str">
            <v>97.12</v>
          </cell>
          <cell r="P192" t="str">
            <v>3836.1869459480663</v>
          </cell>
          <cell r="Q192">
            <v>372570.48</v>
          </cell>
          <cell r="R192" t="str">
            <v>5%</v>
          </cell>
          <cell r="S192">
            <v>18628.52</v>
          </cell>
          <cell r="T192">
            <v>391199</v>
          </cell>
        </row>
        <row r="193">
          <cell r="M193" t="str">
            <v>5-1-801</v>
          </cell>
          <cell r="N193" t="str">
            <v>平方米</v>
          </cell>
          <cell r="O193" t="str">
            <v>68.91</v>
          </cell>
          <cell r="P193" t="str">
            <v>2790.472044281361</v>
          </cell>
          <cell r="Q193">
            <v>192291.43</v>
          </cell>
          <cell r="R193" t="str">
            <v>5%</v>
          </cell>
          <cell r="S193">
            <v>9614.57</v>
          </cell>
          <cell r="T193">
            <v>201906</v>
          </cell>
        </row>
        <row r="194">
          <cell r="M194" t="str">
            <v>5-1-402</v>
          </cell>
          <cell r="N194" t="str">
            <v>平方米</v>
          </cell>
          <cell r="O194" t="str">
            <v>74.86</v>
          </cell>
          <cell r="P194" t="str">
            <v>2443.7998549673675</v>
          </cell>
          <cell r="Q194">
            <v>182942.86</v>
          </cell>
          <cell r="R194" t="str">
            <v>5%</v>
          </cell>
          <cell r="S194">
            <v>9147.14</v>
          </cell>
          <cell r="T194">
            <v>192090</v>
          </cell>
        </row>
        <row r="195">
          <cell r="M195" t="str">
            <v>5-5-402</v>
          </cell>
          <cell r="N195" t="str">
            <v>平方米</v>
          </cell>
          <cell r="O195" t="str">
            <v>58.01</v>
          </cell>
          <cell r="P195" t="str">
            <v>2742.8604263632706</v>
          </cell>
          <cell r="Q195">
            <v>159113.33</v>
          </cell>
          <cell r="R195" t="str">
            <v>5%</v>
          </cell>
          <cell r="S195">
            <v>7955.67</v>
          </cell>
          <cell r="T195">
            <v>167069</v>
          </cell>
        </row>
        <row r="196">
          <cell r="M196" t="str">
            <v>5-5-401</v>
          </cell>
          <cell r="N196" t="str">
            <v>平方米</v>
          </cell>
          <cell r="O196" t="str">
            <v>43.14</v>
          </cell>
          <cell r="P196" t="str">
            <v>2742.8527275537012</v>
          </cell>
          <cell r="Q196">
            <v>118326.67</v>
          </cell>
          <cell r="R196" t="str">
            <v>5%</v>
          </cell>
          <cell r="S196">
            <v>5916.33</v>
          </cell>
          <cell r="T196">
            <v>124243</v>
          </cell>
        </row>
        <row r="197">
          <cell r="M197" t="str">
            <v>5-5-602</v>
          </cell>
          <cell r="N197" t="str">
            <v>平方米</v>
          </cell>
          <cell r="O197" t="str">
            <v>58.01</v>
          </cell>
          <cell r="P197" t="str">
            <v>2704.7553377496492</v>
          </cell>
          <cell r="Q197">
            <v>156902.86</v>
          </cell>
          <cell r="R197" t="str">
            <v>5%</v>
          </cell>
          <cell r="S197">
            <v>7845.14</v>
          </cell>
          <cell r="T197">
            <v>164748</v>
          </cell>
        </row>
        <row r="198">
          <cell r="M198" t="str">
            <v>5-5-601</v>
          </cell>
          <cell r="N198" t="str">
            <v>平方米</v>
          </cell>
          <cell r="O198" t="str">
            <v>43.14</v>
          </cell>
          <cell r="P198" t="str">
            <v>2704.7707353687883</v>
          </cell>
          <cell r="Q198">
            <v>116683.81</v>
          </cell>
          <cell r="R198" t="str">
            <v>5%</v>
          </cell>
          <cell r="S198">
            <v>5834.19</v>
          </cell>
          <cell r="T198">
            <v>122518</v>
          </cell>
        </row>
        <row r="199">
          <cell r="M199" t="str">
            <v>5-1-302</v>
          </cell>
          <cell r="N199" t="str">
            <v>平方米</v>
          </cell>
          <cell r="O199" t="str">
            <v>74.86</v>
          </cell>
          <cell r="P199" t="str">
            <v>2761.904761904762</v>
          </cell>
          <cell r="Q199">
            <v>206756.19</v>
          </cell>
          <cell r="R199" t="str">
            <v>5%</v>
          </cell>
          <cell r="S199">
            <v>10337.81</v>
          </cell>
          <cell r="T199">
            <v>217094</v>
          </cell>
        </row>
        <row r="200">
          <cell r="M200" t="str">
            <v>6-3-301</v>
          </cell>
          <cell r="N200" t="str">
            <v>平方米</v>
          </cell>
          <cell r="O200" t="str">
            <v>97.12</v>
          </cell>
          <cell r="P200" t="str">
            <v>3855.240448733035</v>
          </cell>
          <cell r="Q200">
            <v>374420.95</v>
          </cell>
          <cell r="R200" t="str">
            <v>5%</v>
          </cell>
          <cell r="S200">
            <v>18721.05</v>
          </cell>
          <cell r="T200">
            <v>393142</v>
          </cell>
        </row>
        <row r="201">
          <cell r="M201" t="str">
            <v>5-5-302</v>
          </cell>
          <cell r="N201" t="str">
            <v>平方米</v>
          </cell>
          <cell r="O201" t="str">
            <v>58.01</v>
          </cell>
          <cell r="P201" t="str">
            <v>2904.7701135272246</v>
          </cell>
          <cell r="Q201">
            <v>168505.71</v>
          </cell>
          <cell r="R201" t="str">
            <v>5%</v>
          </cell>
          <cell r="S201">
            <v>8425.29</v>
          </cell>
          <cell r="T201">
            <v>176931</v>
          </cell>
        </row>
        <row r="202">
          <cell r="M202" t="str">
            <v>5-2-801</v>
          </cell>
          <cell r="N202" t="str">
            <v>平方米</v>
          </cell>
          <cell r="O202" t="str">
            <v>101.5</v>
          </cell>
          <cell r="P202" t="str">
            <v>2904.7619047619046</v>
          </cell>
          <cell r="Q202">
            <v>294833.33</v>
          </cell>
          <cell r="R202" t="str">
            <v>5%</v>
          </cell>
          <cell r="S202">
            <v>14741.67</v>
          </cell>
          <cell r="T202">
            <v>309575</v>
          </cell>
        </row>
        <row r="203">
          <cell r="M203" t="str">
            <v>5-2-802</v>
          </cell>
          <cell r="N203" t="str">
            <v>平方米</v>
          </cell>
          <cell r="O203" t="str">
            <v>101.5</v>
          </cell>
          <cell r="P203" t="str">
            <v>2904.7619047619046</v>
          </cell>
          <cell r="Q203">
            <v>294833.33</v>
          </cell>
          <cell r="R203" t="str">
            <v>5%</v>
          </cell>
          <cell r="S203">
            <v>14741.67</v>
          </cell>
          <cell r="T203">
            <v>309575</v>
          </cell>
        </row>
        <row r="204">
          <cell r="M204" t="str">
            <v>5-2-901</v>
          </cell>
          <cell r="N204" t="str">
            <v>平方米</v>
          </cell>
          <cell r="O204" t="str">
            <v>101.5</v>
          </cell>
          <cell r="P204" t="str">
            <v>2904.7619047619046</v>
          </cell>
          <cell r="Q204">
            <v>294833.33</v>
          </cell>
          <cell r="R204" t="str">
            <v>5%</v>
          </cell>
          <cell r="S204">
            <v>14741.67</v>
          </cell>
          <cell r="T204">
            <v>309575</v>
          </cell>
        </row>
        <row r="205">
          <cell r="M205" t="str">
            <v>5-2-902</v>
          </cell>
          <cell r="N205" t="str">
            <v>平方米</v>
          </cell>
          <cell r="O205" t="str">
            <v>101.5</v>
          </cell>
          <cell r="P205" t="str">
            <v>2904.7619047619046</v>
          </cell>
          <cell r="Q205">
            <v>294833.33</v>
          </cell>
          <cell r="R205" t="str">
            <v>5%</v>
          </cell>
          <cell r="S205">
            <v>14741.67</v>
          </cell>
          <cell r="T205">
            <v>309575</v>
          </cell>
        </row>
        <row r="206">
          <cell r="M206" t="str">
            <v>5-2-1001</v>
          </cell>
          <cell r="N206" t="str">
            <v>平方米</v>
          </cell>
          <cell r="O206" t="str">
            <v>101.5</v>
          </cell>
          <cell r="P206" t="str">
            <v>2904.7619047619046</v>
          </cell>
          <cell r="Q206">
            <v>294833.33</v>
          </cell>
          <cell r="R206" t="str">
            <v>5%</v>
          </cell>
          <cell r="S206">
            <v>14741.67</v>
          </cell>
          <cell r="T206">
            <v>309575</v>
          </cell>
        </row>
        <row r="207">
          <cell r="M207" t="str">
            <v>5-2-1002</v>
          </cell>
          <cell r="N207" t="str">
            <v>平方米</v>
          </cell>
          <cell r="O207" t="str">
            <v>101.5</v>
          </cell>
          <cell r="P207" t="str">
            <v>2904.7619047619046</v>
          </cell>
          <cell r="Q207">
            <v>294833.33</v>
          </cell>
          <cell r="R207" t="str">
            <v>5%</v>
          </cell>
          <cell r="S207">
            <v>14741.67</v>
          </cell>
          <cell r="T207">
            <v>309575</v>
          </cell>
        </row>
        <row r="208">
          <cell r="M208" t="str">
            <v>5-5-301</v>
          </cell>
          <cell r="N208" t="str">
            <v>平方米</v>
          </cell>
          <cell r="O208" t="str">
            <v>43.14</v>
          </cell>
          <cell r="P208" t="str">
            <v>2619.0476190476193</v>
          </cell>
          <cell r="Q208">
            <v>112985.71</v>
          </cell>
          <cell r="R208" t="str">
            <v>5%</v>
          </cell>
          <cell r="S208">
            <v>5649.29</v>
          </cell>
          <cell r="T208">
            <v>118635</v>
          </cell>
        </row>
        <row r="209">
          <cell r="M209" t="str">
            <v>5-4-902</v>
          </cell>
          <cell r="N209" t="str">
            <v>平方米</v>
          </cell>
          <cell r="O209" t="str">
            <v>101.5</v>
          </cell>
          <cell r="P209" t="str">
            <v>2761.904761904762</v>
          </cell>
          <cell r="Q209">
            <v>280333.33</v>
          </cell>
          <cell r="R209" t="str">
            <v>5%</v>
          </cell>
          <cell r="S209">
            <v>14016.67</v>
          </cell>
          <cell r="T209">
            <v>294350</v>
          </cell>
        </row>
        <row r="210">
          <cell r="M210" t="str">
            <v>1-3-401</v>
          </cell>
          <cell r="N210" t="str">
            <v>平方米</v>
          </cell>
          <cell r="O210" t="str">
            <v>101.49</v>
          </cell>
          <cell r="P210" t="str">
            <v>2780.954257750001</v>
          </cell>
          <cell r="Q210">
            <v>282239.05</v>
          </cell>
          <cell r="R210" t="str">
            <v>5%</v>
          </cell>
          <cell r="S210">
            <v>14111.95</v>
          </cell>
          <cell r="T210">
            <v>296351</v>
          </cell>
        </row>
        <row r="211">
          <cell r="M211" t="str">
            <v>5-5-703</v>
          </cell>
          <cell r="N211" t="str">
            <v>平方米</v>
          </cell>
          <cell r="O211" t="str">
            <v>58.41</v>
          </cell>
          <cell r="P211" t="str">
            <v>2742.860403877353</v>
          </cell>
          <cell r="Q211">
            <v>160210.48</v>
          </cell>
          <cell r="R211" t="str">
            <v>5%</v>
          </cell>
          <cell r="S211">
            <v>8010.52</v>
          </cell>
          <cell r="T211">
            <v>168221</v>
          </cell>
        </row>
        <row r="212">
          <cell r="M212" t="str">
            <v>7-2-701</v>
          </cell>
          <cell r="N212" t="str">
            <v>平方米</v>
          </cell>
          <cell r="O212" t="str">
            <v>100.08</v>
          </cell>
          <cell r="P212" t="str">
            <v>2819.049522286932</v>
          </cell>
          <cell r="Q212">
            <v>282130.48</v>
          </cell>
          <cell r="R212" t="str">
            <v>5%</v>
          </cell>
          <cell r="S212">
            <v>14106.52</v>
          </cell>
          <cell r="T212">
            <v>296237</v>
          </cell>
        </row>
        <row r="213">
          <cell r="M213" t="str">
            <v>4-3-101</v>
          </cell>
          <cell r="N213" t="str">
            <v>平方米</v>
          </cell>
          <cell r="O213" t="str">
            <v>148.39</v>
          </cell>
          <cell r="P213" t="str">
            <v>2952.32318953594</v>
          </cell>
          <cell r="Q213">
            <v>438095.24</v>
          </cell>
          <cell r="R213" t="str">
            <v>5%</v>
          </cell>
          <cell r="S213">
            <v>21904.76</v>
          </cell>
          <cell r="T213">
            <v>460000</v>
          </cell>
        </row>
        <row r="214">
          <cell r="M214" t="str">
            <v>3-2-601</v>
          </cell>
          <cell r="N214" t="str">
            <v>平方米</v>
          </cell>
          <cell r="O214" t="str">
            <v>90.28</v>
          </cell>
          <cell r="P214" t="str">
            <v>2750.469438994029</v>
          </cell>
          <cell r="Q214">
            <v>248312.38</v>
          </cell>
          <cell r="R214" t="str">
            <v>5%</v>
          </cell>
          <cell r="S214">
            <v>12415.62</v>
          </cell>
          <cell r="T214">
            <v>260728</v>
          </cell>
        </row>
        <row r="215">
          <cell r="M215" t="str">
            <v>6-2-401</v>
          </cell>
          <cell r="N215" t="str">
            <v>平方米</v>
          </cell>
          <cell r="O215" t="str">
            <v>97.12</v>
          </cell>
          <cell r="P215" t="str">
            <v>3445.7225229465757</v>
          </cell>
          <cell r="Q215">
            <v>334648.57</v>
          </cell>
          <cell r="R215" t="str">
            <v>5%</v>
          </cell>
          <cell r="S215">
            <v>16732.43</v>
          </cell>
          <cell r="T215">
            <v>351381</v>
          </cell>
        </row>
        <row r="216">
          <cell r="M216" t="str">
            <v>7-1-301</v>
          </cell>
          <cell r="N216" t="str">
            <v>平方米</v>
          </cell>
          <cell r="O216" t="str">
            <v>100.45</v>
          </cell>
          <cell r="P216" t="str">
            <v>3217.14190902842</v>
          </cell>
          <cell r="Q216">
            <v>323161.9</v>
          </cell>
          <cell r="R216" t="str">
            <v>5%</v>
          </cell>
          <cell r="S216">
            <v>16158.1</v>
          </cell>
          <cell r="T216">
            <v>339320</v>
          </cell>
        </row>
        <row r="217">
          <cell r="M217" t="str">
            <v>1-3-601</v>
          </cell>
          <cell r="N217" t="str">
            <v>平方米</v>
          </cell>
          <cell r="O217" t="str">
            <v>94.54</v>
          </cell>
          <cell r="P217" t="str">
            <v>2095.2380952380954</v>
          </cell>
          <cell r="Q217">
            <v>198083.81</v>
          </cell>
          <cell r="R217" t="str">
            <v>5%</v>
          </cell>
          <cell r="S217">
            <v>9904.19</v>
          </cell>
          <cell r="T217">
            <v>207988</v>
          </cell>
        </row>
        <row r="218">
          <cell r="M218" t="str">
            <v>1-2-502</v>
          </cell>
          <cell r="N218" t="str">
            <v>平方米</v>
          </cell>
          <cell r="O218" t="str">
            <v>101.47</v>
          </cell>
          <cell r="P218" t="str">
            <v>3017.1432325763653</v>
          </cell>
          <cell r="Q218">
            <v>306149.52</v>
          </cell>
          <cell r="R218" t="str">
            <v>5%</v>
          </cell>
          <cell r="S218">
            <v>15307.48</v>
          </cell>
          <cell r="T218">
            <v>321457</v>
          </cell>
        </row>
        <row r="219">
          <cell r="M219" t="str">
            <v>5-3-702</v>
          </cell>
          <cell r="N219" t="str">
            <v>平方米</v>
          </cell>
          <cell r="O219" t="str">
            <v>101.77</v>
          </cell>
          <cell r="P219" t="str">
            <v>2714.2903933706725</v>
          </cell>
          <cell r="Q219">
            <v>276233.33</v>
          </cell>
          <cell r="R219" t="str">
            <v>5%</v>
          </cell>
          <cell r="S219">
            <v>13811.67</v>
          </cell>
          <cell r="T219">
            <v>290045</v>
          </cell>
        </row>
        <row r="220">
          <cell r="M220" t="str">
            <v>5-5-1104</v>
          </cell>
          <cell r="N220" t="str">
            <v>平方米</v>
          </cell>
          <cell r="O220" t="str">
            <v>43.14</v>
          </cell>
          <cell r="P220" t="str">
            <v>2588.5820252996887</v>
          </cell>
          <cell r="Q220">
            <v>111671.43</v>
          </cell>
          <cell r="R220" t="str">
            <v>5%</v>
          </cell>
          <cell r="S220">
            <v>5583.57</v>
          </cell>
          <cell r="T220">
            <v>117255</v>
          </cell>
        </row>
        <row r="221">
          <cell r="M221" t="str">
            <v>5-5-1103</v>
          </cell>
          <cell r="N221" t="str">
            <v>平方米</v>
          </cell>
          <cell r="O221" t="str">
            <v>58.41</v>
          </cell>
          <cell r="P221" t="str">
            <v>2588.565232633029</v>
          </cell>
          <cell r="Q221">
            <v>151198.1</v>
          </cell>
          <cell r="R221" t="str">
            <v>5%</v>
          </cell>
          <cell r="S221">
            <v>7559.9</v>
          </cell>
          <cell r="T221">
            <v>158758</v>
          </cell>
        </row>
        <row r="222">
          <cell r="M222" t="str">
            <v>7-5-101</v>
          </cell>
          <cell r="N222" t="str">
            <v>平方米</v>
          </cell>
          <cell r="O222" t="str">
            <v>97.74</v>
          </cell>
          <cell r="P222" t="str">
            <v>2950.480867607939</v>
          </cell>
          <cell r="Q222">
            <v>288380</v>
          </cell>
          <cell r="R222" t="str">
            <v>5%</v>
          </cell>
          <cell r="S222">
            <v>14419</v>
          </cell>
          <cell r="T222">
            <v>302799</v>
          </cell>
        </row>
        <row r="223">
          <cell r="M223" t="str">
            <v>5-3-1001</v>
          </cell>
          <cell r="N223" t="str">
            <v>平方米</v>
          </cell>
          <cell r="O223" t="str">
            <v>101.77</v>
          </cell>
          <cell r="P223" t="str">
            <v>2838.0989813632045</v>
          </cell>
          <cell r="Q223">
            <v>288833.33</v>
          </cell>
          <cell r="R223" t="str">
            <v>5%</v>
          </cell>
          <cell r="S223">
            <v>14441.67</v>
          </cell>
          <cell r="T223">
            <v>303275</v>
          </cell>
        </row>
        <row r="224">
          <cell r="M224" t="str">
            <v>6-2-502</v>
          </cell>
          <cell r="N224" t="str">
            <v>平方米</v>
          </cell>
          <cell r="O224" t="str">
            <v>97.12</v>
          </cell>
          <cell r="P224" t="str">
            <v>3169.5202792813993</v>
          </cell>
          <cell r="Q224">
            <v>307823.81</v>
          </cell>
          <cell r="R224" t="str">
            <v>5%</v>
          </cell>
          <cell r="S224">
            <v>15391.19</v>
          </cell>
          <cell r="T224">
            <v>323215</v>
          </cell>
        </row>
        <row r="225">
          <cell r="M225" t="str">
            <v>5-1-1001</v>
          </cell>
          <cell r="N225" t="str">
            <v>平方米</v>
          </cell>
          <cell r="O225" t="str">
            <v>68.91</v>
          </cell>
          <cell r="P225" t="str">
            <v>2952.3809523809523</v>
          </cell>
          <cell r="Q225">
            <v>203448.57</v>
          </cell>
          <cell r="R225" t="str">
            <v>5%</v>
          </cell>
          <cell r="S225">
            <v>10172.43</v>
          </cell>
          <cell r="T225">
            <v>213621</v>
          </cell>
        </row>
        <row r="226">
          <cell r="M226" t="str">
            <v>5-1-1004</v>
          </cell>
          <cell r="N226" t="str">
            <v>平方米</v>
          </cell>
          <cell r="O226" t="str">
            <v>64.27</v>
          </cell>
          <cell r="P226" t="str">
            <v>2857.1428571428573</v>
          </cell>
          <cell r="Q226">
            <v>183628.57</v>
          </cell>
          <cell r="R226" t="str">
            <v>5%</v>
          </cell>
          <cell r="S226">
            <v>9181.43</v>
          </cell>
          <cell r="T226">
            <v>192810</v>
          </cell>
        </row>
        <row r="227">
          <cell r="M227" t="str">
            <v>5-1-604</v>
          </cell>
          <cell r="N227" t="str">
            <v>平方米</v>
          </cell>
          <cell r="O227" t="str">
            <v>64.27</v>
          </cell>
          <cell r="P227" t="str">
            <v>2876.1845488156364</v>
          </cell>
          <cell r="Q227">
            <v>184852.38</v>
          </cell>
          <cell r="R227" t="str">
            <v>5%</v>
          </cell>
          <cell r="S227">
            <v>9242.62</v>
          </cell>
          <cell r="T227">
            <v>194095</v>
          </cell>
        </row>
        <row r="228">
          <cell r="M228" t="str">
            <v>7-1-201</v>
          </cell>
          <cell r="N228" t="str">
            <v>平方米</v>
          </cell>
          <cell r="O228" t="str">
            <v>100.45</v>
          </cell>
          <cell r="P228" t="str">
            <v>3198.0942899808006</v>
          </cell>
          <cell r="Q228">
            <v>321248.57</v>
          </cell>
          <cell r="R228" t="str">
            <v>5%</v>
          </cell>
          <cell r="S228">
            <v>16062.43</v>
          </cell>
          <cell r="T228">
            <v>337311</v>
          </cell>
        </row>
        <row r="229">
          <cell r="M229" t="str">
            <v>1-1-601</v>
          </cell>
          <cell r="N229" t="str">
            <v>平方米</v>
          </cell>
          <cell r="O229" t="str">
            <v>102.51</v>
          </cell>
          <cell r="P229" t="str">
            <v>2504.759117577379</v>
          </cell>
          <cell r="Q229">
            <v>256762.86</v>
          </cell>
          <cell r="R229" t="str">
            <v>5%</v>
          </cell>
          <cell r="S229">
            <v>12838.14</v>
          </cell>
          <cell r="T229">
            <v>269601</v>
          </cell>
        </row>
        <row r="230">
          <cell r="M230" t="str">
            <v>5-1-1103</v>
          </cell>
          <cell r="N230" t="str">
            <v>平方米</v>
          </cell>
          <cell r="O230" t="str">
            <v>68.44</v>
          </cell>
          <cell r="P230" t="str">
            <v>2588.5725418162588</v>
          </cell>
          <cell r="Q230">
            <v>177161.9</v>
          </cell>
          <cell r="R230" t="str">
            <v>5%</v>
          </cell>
          <cell r="S230">
            <v>8858.1</v>
          </cell>
          <cell r="T230">
            <v>186020</v>
          </cell>
        </row>
        <row r="231">
          <cell r="M231" t="str">
            <v>7-1-501</v>
          </cell>
          <cell r="N231" t="str">
            <v>平方米</v>
          </cell>
          <cell r="O231" t="str">
            <v>100.45</v>
          </cell>
          <cell r="P231" t="str">
            <v>2666.6666666666665</v>
          </cell>
          <cell r="Q231">
            <v>267866.67</v>
          </cell>
          <cell r="R231" t="str">
            <v>5%</v>
          </cell>
          <cell r="S231">
            <v>13393.33</v>
          </cell>
          <cell r="T231">
            <v>281260</v>
          </cell>
        </row>
        <row r="232">
          <cell r="M232" t="str">
            <v>4-2-502</v>
          </cell>
          <cell r="N232" t="str">
            <v>平方米</v>
          </cell>
          <cell r="O232" t="str">
            <v>50.71</v>
          </cell>
          <cell r="P232" t="str">
            <v>2523.818914274446</v>
          </cell>
          <cell r="Q232">
            <v>127982.86</v>
          </cell>
          <cell r="R232" t="str">
            <v>5%</v>
          </cell>
          <cell r="S232">
            <v>6399.14</v>
          </cell>
          <cell r="T232">
            <v>134382</v>
          </cell>
        </row>
        <row r="233">
          <cell r="M233" t="str">
            <v>4-2-401</v>
          </cell>
          <cell r="N233" t="str">
            <v>平方米</v>
          </cell>
          <cell r="O233" t="str">
            <v>124.37</v>
          </cell>
          <cell r="P233" t="str">
            <v>3064.7568507180954</v>
          </cell>
          <cell r="Q233">
            <v>381163.81</v>
          </cell>
          <cell r="R233" t="str">
            <v>5%</v>
          </cell>
          <cell r="S233">
            <v>19058.19</v>
          </cell>
          <cell r="T233">
            <v>400222</v>
          </cell>
        </row>
        <row r="234">
          <cell r="M234" t="str">
            <v>7-1-902</v>
          </cell>
          <cell r="N234" t="str">
            <v>平方米</v>
          </cell>
          <cell r="O234" t="str">
            <v>92.56</v>
          </cell>
          <cell r="P234" t="str">
            <v>2666.6666666666665</v>
          </cell>
          <cell r="Q234">
            <v>246826.67</v>
          </cell>
          <cell r="R234" t="str">
            <v>5%</v>
          </cell>
          <cell r="S234">
            <v>12341.33</v>
          </cell>
          <cell r="T234">
            <v>259168</v>
          </cell>
        </row>
        <row r="235">
          <cell r="M235" t="str">
            <v>1-3-502</v>
          </cell>
          <cell r="N235" t="str">
            <v>平方米</v>
          </cell>
          <cell r="O235" t="str">
            <v>101.49</v>
          </cell>
          <cell r="P235" t="str">
            <v>2523.8142158035744</v>
          </cell>
          <cell r="Q235">
            <v>256141.9</v>
          </cell>
          <cell r="R235" t="str">
            <v>5%</v>
          </cell>
          <cell r="S235">
            <v>12807.1</v>
          </cell>
          <cell r="T235">
            <v>268949</v>
          </cell>
        </row>
        <row r="236">
          <cell r="M236" t="str">
            <v>6-4-201</v>
          </cell>
          <cell r="N236" t="str">
            <v>平方米</v>
          </cell>
          <cell r="O236" t="str">
            <v>97.12</v>
          </cell>
          <cell r="P236" t="str">
            <v>3836.1869459480663</v>
          </cell>
          <cell r="Q236">
            <v>372570.48</v>
          </cell>
          <cell r="R236" t="str">
            <v>5%</v>
          </cell>
          <cell r="S236">
            <v>18628.52</v>
          </cell>
          <cell r="T236">
            <v>391199</v>
          </cell>
        </row>
        <row r="237">
          <cell r="M237" t="str">
            <v>6-1-301</v>
          </cell>
          <cell r="N237" t="str">
            <v>平方米</v>
          </cell>
          <cell r="O237" t="str">
            <v>97.45</v>
          </cell>
          <cell r="P237" t="str">
            <v>3836.1943853991056</v>
          </cell>
          <cell r="Q237">
            <v>373837.14</v>
          </cell>
          <cell r="R237" t="str">
            <v>5%</v>
          </cell>
          <cell r="S237">
            <v>18691.86</v>
          </cell>
          <cell r="T237">
            <v>392529</v>
          </cell>
        </row>
        <row r="238">
          <cell r="M238" t="str">
            <v>3-1-501</v>
          </cell>
          <cell r="N238" t="str">
            <v>平方米</v>
          </cell>
          <cell r="O238" t="str">
            <v>97.77</v>
          </cell>
          <cell r="P238" t="str">
            <v>3017.139350370403</v>
          </cell>
          <cell r="Q238">
            <v>294985.71</v>
          </cell>
          <cell r="R238" t="str">
            <v>5%</v>
          </cell>
          <cell r="S238">
            <v>14749.29</v>
          </cell>
          <cell r="T238">
            <v>309735</v>
          </cell>
        </row>
        <row r="239">
          <cell r="M239" t="str">
            <v>6-1-502</v>
          </cell>
          <cell r="N239" t="str">
            <v>平方米</v>
          </cell>
          <cell r="O239" t="str">
            <v>97.12</v>
          </cell>
          <cell r="P239" t="str">
            <v>2546.6678434141368</v>
          </cell>
          <cell r="Q239">
            <v>247332.38</v>
          </cell>
          <cell r="R239" t="str">
            <v>5%</v>
          </cell>
          <cell r="S239">
            <v>12366.62</v>
          </cell>
          <cell r="T239">
            <v>259699</v>
          </cell>
        </row>
        <row r="240">
          <cell r="M240" t="str">
            <v>6-1-401</v>
          </cell>
          <cell r="N240" t="str">
            <v>平方米</v>
          </cell>
          <cell r="O240" t="str">
            <v>97.45</v>
          </cell>
          <cell r="P240" t="str">
            <v>3445.7133084121283</v>
          </cell>
          <cell r="Q240">
            <v>335784.76</v>
          </cell>
          <cell r="R240" t="str">
            <v>5%</v>
          </cell>
          <cell r="S240">
            <v>16789.24</v>
          </cell>
          <cell r="T240">
            <v>352574</v>
          </cell>
        </row>
        <row r="241">
          <cell r="M241" t="str">
            <v>6-2-501</v>
          </cell>
          <cell r="N241" t="str">
            <v>平方米</v>
          </cell>
          <cell r="O241" t="str">
            <v>12</v>
          </cell>
          <cell r="P241" t="str">
            <v>3313.5833333333335</v>
          </cell>
          <cell r="Q241">
            <v>39763</v>
          </cell>
          <cell r="R241" t="str">
            <v>0%</v>
          </cell>
          <cell r="S241">
            <v>0</v>
          </cell>
          <cell r="T241">
            <v>39763</v>
          </cell>
        </row>
        <row r="242">
          <cell r="M242" t="str">
            <v>6-2-501</v>
          </cell>
          <cell r="N242" t="str">
            <v>平方米</v>
          </cell>
          <cell r="O242" t="str">
            <v>85.12</v>
          </cell>
          <cell r="P242" t="str">
            <v>3141.033387039026</v>
          </cell>
          <cell r="Q242">
            <v>267364.76</v>
          </cell>
          <cell r="R242" t="str">
            <v>5%</v>
          </cell>
          <cell r="S242">
            <v>13368.24</v>
          </cell>
          <cell r="T242">
            <v>280733</v>
          </cell>
        </row>
        <row r="243">
          <cell r="M243" t="str">
            <v>5-1-204</v>
          </cell>
          <cell r="N243" t="str">
            <v>平方米</v>
          </cell>
          <cell r="O243" t="str">
            <v>64.27</v>
          </cell>
          <cell r="P243" t="str">
            <v>2880.006223743582</v>
          </cell>
          <cell r="Q243">
            <v>185098</v>
          </cell>
          <cell r="R243" t="str">
            <v>0%</v>
          </cell>
          <cell r="S243">
            <v>0</v>
          </cell>
          <cell r="T243">
            <v>185098</v>
          </cell>
        </row>
        <row r="244">
          <cell r="M244" t="str">
            <v>3-1-502</v>
          </cell>
          <cell r="N244" t="str">
            <v>平方米</v>
          </cell>
          <cell r="O244" t="str">
            <v>97.43</v>
          </cell>
          <cell r="P244" t="str">
            <v>3167.9975366930103</v>
          </cell>
          <cell r="Q244">
            <v>308658</v>
          </cell>
          <cell r="R244" t="str">
            <v>0%</v>
          </cell>
          <cell r="S244">
            <v>0</v>
          </cell>
          <cell r="T244">
            <v>308658</v>
          </cell>
        </row>
        <row r="245">
          <cell r="M245" t="str">
            <v>4-1-401</v>
          </cell>
          <cell r="N245" t="str">
            <v>平方米</v>
          </cell>
          <cell r="O245" t="str">
            <v>87.97</v>
          </cell>
          <cell r="P245" t="str">
            <v>3557.9970444469704</v>
          </cell>
          <cell r="Q245">
            <v>312997</v>
          </cell>
          <cell r="R245" t="str">
            <v>0%</v>
          </cell>
          <cell r="S245">
            <v>0</v>
          </cell>
          <cell r="T245">
            <v>312997</v>
          </cell>
        </row>
        <row r="246">
          <cell r="M246" t="str">
            <v>1-4-302</v>
          </cell>
          <cell r="N246" t="str">
            <v>平方米</v>
          </cell>
          <cell r="O246" t="str">
            <v>106.7</v>
          </cell>
          <cell r="P246" t="str">
            <v>3000</v>
          </cell>
          <cell r="Q246">
            <v>320100</v>
          </cell>
          <cell r="R246" t="str">
            <v>0%</v>
          </cell>
          <cell r="S246">
            <v>0</v>
          </cell>
          <cell r="T246">
            <v>320100</v>
          </cell>
        </row>
        <row r="247">
          <cell r="M247" t="str">
            <v>5-3-1102</v>
          </cell>
          <cell r="N247" t="str">
            <v>平方米</v>
          </cell>
          <cell r="O247" t="str">
            <v>94.51</v>
          </cell>
          <cell r="P247" t="str">
            <v>2639.9957676436356</v>
          </cell>
          <cell r="Q247">
            <v>249506</v>
          </cell>
          <cell r="R247" t="str">
            <v>0%</v>
          </cell>
          <cell r="S247">
            <v>0</v>
          </cell>
          <cell r="T247">
            <v>249506</v>
          </cell>
        </row>
        <row r="248">
          <cell r="M248" t="str">
            <v>5-4-402</v>
          </cell>
          <cell r="N248" t="str">
            <v>平方米</v>
          </cell>
          <cell r="O248" t="str">
            <v>101.5</v>
          </cell>
          <cell r="P248" t="str">
            <v>2926</v>
          </cell>
          <cell r="Q248">
            <v>296989</v>
          </cell>
          <cell r="R248" t="str">
            <v>0%</v>
          </cell>
          <cell r="S248">
            <v>0</v>
          </cell>
          <cell r="T248">
            <v>296989</v>
          </cell>
        </row>
        <row r="249">
          <cell r="M249" t="str">
            <v>7-3-702</v>
          </cell>
          <cell r="N249" t="str">
            <v>平方米</v>
          </cell>
          <cell r="O249" t="str">
            <v>100.45</v>
          </cell>
          <cell r="P249" t="str">
            <v>3090.0049776007963</v>
          </cell>
          <cell r="Q249">
            <v>310391</v>
          </cell>
          <cell r="R249" t="str">
            <v>0%</v>
          </cell>
          <cell r="S249">
            <v>0</v>
          </cell>
          <cell r="T249">
            <v>310391</v>
          </cell>
        </row>
        <row r="250">
          <cell r="M250" t="str">
            <v>5-2-701</v>
          </cell>
          <cell r="N250" t="str">
            <v>平方米</v>
          </cell>
          <cell r="O250" t="str">
            <v>101.5</v>
          </cell>
          <cell r="P250" t="str">
            <v>2940</v>
          </cell>
          <cell r="Q250">
            <v>298410</v>
          </cell>
          <cell r="R250" t="str">
            <v>0%</v>
          </cell>
          <cell r="S250">
            <v>0</v>
          </cell>
          <cell r="T250">
            <v>298410</v>
          </cell>
        </row>
        <row r="251">
          <cell r="M251" t="str">
            <v>5-2-602</v>
          </cell>
          <cell r="N251" t="str">
            <v>平方米</v>
          </cell>
          <cell r="O251" t="str">
            <v>101.5</v>
          </cell>
          <cell r="P251" t="str">
            <v>2936</v>
          </cell>
          <cell r="Q251">
            <v>298004</v>
          </cell>
          <cell r="R251" t="str">
            <v>0%</v>
          </cell>
          <cell r="S251">
            <v>0</v>
          </cell>
          <cell r="T251">
            <v>298004</v>
          </cell>
        </row>
        <row r="252">
          <cell r="M252" t="str">
            <v>6-1-102</v>
          </cell>
          <cell r="N252" t="str">
            <v>平方米</v>
          </cell>
          <cell r="O252" t="str">
            <v>97.12</v>
          </cell>
          <cell r="P252" t="str">
            <v>3100</v>
          </cell>
          <cell r="Q252">
            <v>301072</v>
          </cell>
          <cell r="R252" t="str">
            <v>0%</v>
          </cell>
          <cell r="S252">
            <v>0</v>
          </cell>
          <cell r="T252">
            <v>301072</v>
          </cell>
        </row>
        <row r="253">
          <cell r="M253" t="str">
            <v>7-1-202</v>
          </cell>
          <cell r="N253" t="str">
            <v>平方米</v>
          </cell>
          <cell r="O253" t="str">
            <v>100.08</v>
          </cell>
          <cell r="P253" t="str">
            <v>2679.996003197442</v>
          </cell>
          <cell r="Q253">
            <v>268214</v>
          </cell>
          <cell r="R253" t="str">
            <v>0%</v>
          </cell>
          <cell r="S253">
            <v>0</v>
          </cell>
          <cell r="T253">
            <v>268214</v>
          </cell>
        </row>
        <row r="254">
          <cell r="M254" t="str">
            <v>2-1-301</v>
          </cell>
          <cell r="N254" t="str">
            <v>平方米</v>
          </cell>
          <cell r="O254" t="str">
            <v>125.06</v>
          </cell>
          <cell r="P254" t="str">
            <v>3628.0025587717896</v>
          </cell>
          <cell r="Q254">
            <v>453718</v>
          </cell>
          <cell r="R254" t="str">
            <v>0%</v>
          </cell>
          <cell r="S254">
            <v>0</v>
          </cell>
          <cell r="T254">
            <v>453718</v>
          </cell>
        </row>
        <row r="255">
          <cell r="M255" t="str">
            <v>5-4-401</v>
          </cell>
          <cell r="N255" t="str">
            <v>平方米</v>
          </cell>
          <cell r="O255" t="str">
            <v>101.5</v>
          </cell>
          <cell r="P255" t="str">
            <v>2870</v>
          </cell>
          <cell r="Q255">
            <v>291305</v>
          </cell>
          <cell r="R255" t="str">
            <v>0%</v>
          </cell>
          <cell r="S255">
            <v>0</v>
          </cell>
          <cell r="T255">
            <v>291305</v>
          </cell>
        </row>
        <row r="256">
          <cell r="M256" t="str">
            <v>5-3-502</v>
          </cell>
          <cell r="N256" t="str">
            <v>平方米</v>
          </cell>
          <cell r="O256" t="str">
            <v>101.77</v>
          </cell>
          <cell r="P256" t="str">
            <v>2829.9990173921587</v>
          </cell>
          <cell r="Q256">
            <v>288009</v>
          </cell>
          <cell r="R256" t="str">
            <v>0%</v>
          </cell>
          <cell r="S256">
            <v>0</v>
          </cell>
          <cell r="T256">
            <v>288009</v>
          </cell>
        </row>
        <row r="257">
          <cell r="M257" t="str">
            <v>6-2-102</v>
          </cell>
          <cell r="N257" t="str">
            <v>平方米</v>
          </cell>
          <cell r="O257" t="str">
            <v>97.12</v>
          </cell>
          <cell r="P257" t="str">
            <v>2904.7619047619046</v>
          </cell>
          <cell r="Q257">
            <v>282110.48</v>
          </cell>
          <cell r="R257" t="str">
            <v>5%</v>
          </cell>
          <cell r="S257">
            <v>14105.52</v>
          </cell>
          <cell r="T257">
            <v>296216</v>
          </cell>
        </row>
        <row r="258">
          <cell r="M258" t="str">
            <v>6-3-601</v>
          </cell>
          <cell r="N258" t="str">
            <v>平方米</v>
          </cell>
          <cell r="O258" t="str">
            <v>89.99</v>
          </cell>
          <cell r="P258" t="str">
            <v>3160.0019049735683</v>
          </cell>
          <cell r="Q258">
            <v>284368.57</v>
          </cell>
          <cell r="R258" t="str">
            <v>5%</v>
          </cell>
          <cell r="S258">
            <v>14218.43</v>
          </cell>
          <cell r="T258">
            <v>298587</v>
          </cell>
        </row>
        <row r="259">
          <cell r="M259" t="str">
            <v>6-4-301</v>
          </cell>
          <cell r="N259" t="str">
            <v>平方米</v>
          </cell>
          <cell r="O259" t="str">
            <v>97.12</v>
          </cell>
          <cell r="P259" t="str">
            <v>2857.1428571428573</v>
          </cell>
          <cell r="Q259">
            <v>277485.71</v>
          </cell>
          <cell r="R259" t="str">
            <v>5%</v>
          </cell>
          <cell r="S259">
            <v>13874.29</v>
          </cell>
          <cell r="T259">
            <v>291360</v>
          </cell>
        </row>
        <row r="260">
          <cell r="M260" t="str">
            <v>2-2-101</v>
          </cell>
          <cell r="N260" t="str">
            <v>平方米</v>
          </cell>
          <cell r="O260" t="str">
            <v>124.66</v>
          </cell>
          <cell r="P260" t="str">
            <v>3464.761293575669</v>
          </cell>
          <cell r="Q260">
            <v>431917.14</v>
          </cell>
          <cell r="R260" t="str">
            <v>5%</v>
          </cell>
          <cell r="S260">
            <v>21595.86</v>
          </cell>
          <cell r="T260">
            <v>453513</v>
          </cell>
        </row>
        <row r="261">
          <cell r="M261" t="str">
            <v>2-2-202</v>
          </cell>
          <cell r="N261" t="str">
            <v>平方米</v>
          </cell>
          <cell r="O261" t="str">
            <v>124.66</v>
          </cell>
          <cell r="P261" t="str">
            <v>3493.3342501126876</v>
          </cell>
          <cell r="Q261">
            <v>435479.05</v>
          </cell>
          <cell r="R261" t="str">
            <v>5%</v>
          </cell>
          <cell r="S261">
            <v>21773.95</v>
          </cell>
          <cell r="T261">
            <v>457253</v>
          </cell>
        </row>
        <row r="262">
          <cell r="M262" t="str">
            <v>1-1-902</v>
          </cell>
          <cell r="N262" t="str">
            <v>平方米</v>
          </cell>
          <cell r="O262" t="str">
            <v>103.76</v>
          </cell>
          <cell r="P262" t="str">
            <v>2476.190476190476</v>
          </cell>
          <cell r="Q262">
            <v>256929.52</v>
          </cell>
          <cell r="R262" t="str">
            <v>5%</v>
          </cell>
          <cell r="S262">
            <v>12846.48</v>
          </cell>
          <cell r="T262">
            <v>269776</v>
          </cell>
        </row>
        <row r="263">
          <cell r="M263" t="str">
            <v>1-108-1</v>
          </cell>
          <cell r="N263" t="str">
            <v>平方米</v>
          </cell>
          <cell r="O263" t="str">
            <v>55.16</v>
          </cell>
          <cell r="P263" t="str">
            <v>9841.50005179737</v>
          </cell>
          <cell r="Q263">
            <v>542857.14</v>
          </cell>
          <cell r="R263" t="str">
            <v>5%</v>
          </cell>
          <cell r="S263">
            <v>27142.86</v>
          </cell>
          <cell r="T263">
            <v>570000</v>
          </cell>
        </row>
        <row r="264">
          <cell r="M264" t="str">
            <v>4-3-501</v>
          </cell>
          <cell r="N264" t="str">
            <v>平方米</v>
          </cell>
          <cell r="O264" t="str">
            <v>125.41</v>
          </cell>
          <cell r="P264" t="str">
            <v>2571.4285714285716</v>
          </cell>
          <cell r="Q264">
            <v>322482.86</v>
          </cell>
          <cell r="R264" t="str">
            <v>5%</v>
          </cell>
          <cell r="S264">
            <v>16124.14</v>
          </cell>
          <cell r="T264">
            <v>338607</v>
          </cell>
        </row>
        <row r="265">
          <cell r="M265" t="str">
            <v>5-1-704</v>
          </cell>
          <cell r="N265" t="str">
            <v>平方米</v>
          </cell>
          <cell r="O265" t="str">
            <v>64.27</v>
          </cell>
          <cell r="P265" t="str">
            <v>2838.101165470078</v>
          </cell>
          <cell r="Q265">
            <v>182404.76</v>
          </cell>
          <cell r="R265" t="str">
            <v>5%</v>
          </cell>
          <cell r="S265">
            <v>9120.24</v>
          </cell>
          <cell r="T265">
            <v>191525</v>
          </cell>
        </row>
        <row r="266">
          <cell r="M266" t="str">
            <v>5-1-303</v>
          </cell>
          <cell r="N266" t="str">
            <v>平方米</v>
          </cell>
          <cell r="O266" t="str">
            <v>75.04</v>
          </cell>
          <cell r="P266" t="str">
            <v>2567.621078282059</v>
          </cell>
          <cell r="Q266">
            <v>192674.29</v>
          </cell>
          <cell r="R266" t="str">
            <v>5%</v>
          </cell>
          <cell r="S266">
            <v>9633.71</v>
          </cell>
          <cell r="T266">
            <v>202308</v>
          </cell>
        </row>
        <row r="267">
          <cell r="M267" t="str">
            <v>6-2-302</v>
          </cell>
          <cell r="N267" t="str">
            <v>平方米</v>
          </cell>
          <cell r="O267" t="str">
            <v>97.12</v>
          </cell>
          <cell r="P267" t="str">
            <v>3388.5718208205853</v>
          </cell>
          <cell r="Q267">
            <v>329098.1</v>
          </cell>
          <cell r="R267" t="str">
            <v>5%</v>
          </cell>
          <cell r="S267">
            <v>16454.9</v>
          </cell>
          <cell r="T267">
            <v>345553</v>
          </cell>
        </row>
        <row r="268">
          <cell r="M268" t="str">
            <v>3-1-202</v>
          </cell>
          <cell r="N268" t="str">
            <v>平方米</v>
          </cell>
          <cell r="O268" t="str">
            <v>97.43</v>
          </cell>
          <cell r="P268" t="str">
            <v>3579.0482055492835</v>
          </cell>
          <cell r="Q268">
            <v>348706.67</v>
          </cell>
          <cell r="R268" t="str">
            <v>5%</v>
          </cell>
          <cell r="S268">
            <v>17435.33</v>
          </cell>
          <cell r="T268">
            <v>366142</v>
          </cell>
        </row>
        <row r="269">
          <cell r="M269" t="str">
            <v>2-2-602</v>
          </cell>
          <cell r="N269" t="str">
            <v>平方米</v>
          </cell>
          <cell r="O269" t="str">
            <v>117.44</v>
          </cell>
          <cell r="P269" t="str">
            <v>2788.5688335279615</v>
          </cell>
          <cell r="Q269">
            <v>327489.52</v>
          </cell>
          <cell r="R269" t="str">
            <v>5%</v>
          </cell>
          <cell r="S269">
            <v>16374.48</v>
          </cell>
          <cell r="T269">
            <v>343864</v>
          </cell>
        </row>
        <row r="270">
          <cell r="M270" t="str">
            <v>3-1-602</v>
          </cell>
          <cell r="N270" t="str">
            <v>平方米</v>
          </cell>
          <cell r="O270" t="str">
            <v>90.28</v>
          </cell>
          <cell r="P270" t="str">
            <v>2817.150874527924</v>
          </cell>
          <cell r="Q270">
            <v>254332.38</v>
          </cell>
          <cell r="R270" t="str">
            <v>5%</v>
          </cell>
          <cell r="S270">
            <v>12716.62</v>
          </cell>
          <cell r="T270">
            <v>267049</v>
          </cell>
        </row>
        <row r="271">
          <cell r="M271" t="str">
            <v>6-4-401</v>
          </cell>
          <cell r="N271" t="str">
            <v>平方米</v>
          </cell>
          <cell r="O271" t="str">
            <v>97.12</v>
          </cell>
          <cell r="P271" t="str">
            <v>2933.3372558249</v>
          </cell>
          <cell r="Q271">
            <v>284885.71</v>
          </cell>
          <cell r="R271" t="str">
            <v>5%</v>
          </cell>
          <cell r="S271">
            <v>14244.29</v>
          </cell>
          <cell r="T271">
            <v>299130</v>
          </cell>
        </row>
        <row r="272">
          <cell r="M272" t="str">
            <v>2-3-201</v>
          </cell>
          <cell r="N272" t="str">
            <v>平方米</v>
          </cell>
          <cell r="O272" t="str">
            <v>124.86</v>
          </cell>
          <cell r="P272" t="str">
            <v>3316.5831445504678</v>
          </cell>
          <cell r="Q272">
            <v>414108.57</v>
          </cell>
          <cell r="R272" t="str">
            <v>5%</v>
          </cell>
          <cell r="S272">
            <v>20705.43</v>
          </cell>
          <cell r="T272">
            <v>434814</v>
          </cell>
        </row>
        <row r="273">
          <cell r="M273" t="str">
            <v>4-3-401</v>
          </cell>
          <cell r="N273" t="str">
            <v>平方米</v>
          </cell>
          <cell r="O273" t="str">
            <v>125.41</v>
          </cell>
          <cell r="P273" t="str">
            <v>3445.711399941525</v>
          </cell>
          <cell r="Q273">
            <v>432126.67</v>
          </cell>
          <cell r="R273" t="str">
            <v>5%</v>
          </cell>
          <cell r="S273">
            <v>21606.33</v>
          </cell>
          <cell r="T273">
            <v>453733</v>
          </cell>
        </row>
        <row r="274">
          <cell r="M274" t="str">
            <v>3-2-501</v>
          </cell>
          <cell r="N274" t="str">
            <v>平方米</v>
          </cell>
          <cell r="O274" t="str">
            <v>97.43</v>
          </cell>
          <cell r="P274" t="str">
            <v>2988.5681050619983</v>
          </cell>
          <cell r="Q274">
            <v>291176.19</v>
          </cell>
          <cell r="R274" t="str">
            <v>5%</v>
          </cell>
          <cell r="S274">
            <v>14558.81</v>
          </cell>
          <cell r="T274">
            <v>305735</v>
          </cell>
        </row>
        <row r="275">
          <cell r="M275" t="str">
            <v>3-2-401</v>
          </cell>
          <cell r="N275" t="str">
            <v>平方米</v>
          </cell>
          <cell r="O275" t="str">
            <v>97.43</v>
          </cell>
          <cell r="P275" t="str">
            <v>3359.9996089988904</v>
          </cell>
          <cell r="Q275">
            <v>327364.76</v>
          </cell>
          <cell r="R275" t="str">
            <v>5%</v>
          </cell>
          <cell r="S275">
            <v>16368.24</v>
          </cell>
          <cell r="T275">
            <v>343733</v>
          </cell>
        </row>
        <row r="276">
          <cell r="M276" t="str">
            <v>3-1-302</v>
          </cell>
          <cell r="N276" t="str">
            <v>平方米</v>
          </cell>
          <cell r="O276" t="str">
            <v>97.43</v>
          </cell>
          <cell r="P276" t="str">
            <v>3426.6652981627835</v>
          </cell>
          <cell r="Q276">
            <v>333860</v>
          </cell>
          <cell r="R276" t="str">
            <v>5%</v>
          </cell>
          <cell r="S276">
            <v>16693</v>
          </cell>
          <cell r="T276">
            <v>350553</v>
          </cell>
        </row>
        <row r="277">
          <cell r="M277" t="str">
            <v>2-3-102</v>
          </cell>
          <cell r="N277" t="str">
            <v>平方米</v>
          </cell>
          <cell r="O277" t="str">
            <v>125.06</v>
          </cell>
          <cell r="P277" t="str">
            <v>3077.1439232977696</v>
          </cell>
          <cell r="Q277">
            <v>384827.62</v>
          </cell>
          <cell r="R277" t="str">
            <v>5%</v>
          </cell>
          <cell r="S277">
            <v>19241.38</v>
          </cell>
          <cell r="T277">
            <v>404069</v>
          </cell>
        </row>
        <row r="278">
          <cell r="M278" t="str">
            <v>6-1-302</v>
          </cell>
          <cell r="N278" t="str">
            <v>平方米</v>
          </cell>
          <cell r="O278" t="str">
            <v>97.12</v>
          </cell>
          <cell r="P278" t="str">
            <v>3388.5718208205853</v>
          </cell>
          <cell r="Q278">
            <v>329098.1</v>
          </cell>
          <cell r="R278" t="str">
            <v>5%</v>
          </cell>
          <cell r="S278">
            <v>16454.9</v>
          </cell>
          <cell r="T278">
            <v>345553</v>
          </cell>
        </row>
        <row r="279">
          <cell r="M279" t="str">
            <v>6-2-202</v>
          </cell>
          <cell r="N279" t="str">
            <v>平方米</v>
          </cell>
          <cell r="O279" t="str">
            <v>97.12</v>
          </cell>
          <cell r="P279" t="str">
            <v>3047.6190476190477</v>
          </cell>
          <cell r="Q279">
            <v>295984.76</v>
          </cell>
          <cell r="R279" t="str">
            <v>5%</v>
          </cell>
          <cell r="S279">
            <v>14799.24</v>
          </cell>
          <cell r="T279">
            <v>310784</v>
          </cell>
        </row>
        <row r="280">
          <cell r="M280" t="str">
            <v>3-1-401</v>
          </cell>
          <cell r="N280" t="str">
            <v>平方米</v>
          </cell>
          <cell r="O280" t="str">
            <v>97.77</v>
          </cell>
          <cell r="P280" t="str">
            <v>3388.5649994885957</v>
          </cell>
          <cell r="Q280">
            <v>331300</v>
          </cell>
          <cell r="R280" t="str">
            <v>5%</v>
          </cell>
          <cell r="S280">
            <v>16565</v>
          </cell>
          <cell r="T280">
            <v>347865</v>
          </cell>
        </row>
        <row r="281">
          <cell r="M281" t="str">
            <v>3-1-402</v>
          </cell>
          <cell r="N281" t="str">
            <v>平方米</v>
          </cell>
          <cell r="O281" t="str">
            <v>97.43</v>
          </cell>
          <cell r="P281" t="str">
            <v>3388.5720150730926</v>
          </cell>
          <cell r="Q281">
            <v>330148.57</v>
          </cell>
          <cell r="R281" t="str">
            <v>5%</v>
          </cell>
          <cell r="S281">
            <v>16507.43</v>
          </cell>
          <cell r="T281">
            <v>346656</v>
          </cell>
        </row>
        <row r="282">
          <cell r="M282" t="str">
            <v>2-2-601</v>
          </cell>
          <cell r="N282" t="str">
            <v>平方米</v>
          </cell>
          <cell r="O282" t="str">
            <v>117.44</v>
          </cell>
          <cell r="P282" t="str">
            <v>2800.9520565719477</v>
          </cell>
          <cell r="Q282">
            <v>328943.81</v>
          </cell>
          <cell r="R282" t="str">
            <v>5%</v>
          </cell>
          <cell r="S282">
            <v>16447.19</v>
          </cell>
          <cell r="T282">
            <v>345391</v>
          </cell>
        </row>
        <row r="283">
          <cell r="M283" t="str">
            <v>4-2-601</v>
          </cell>
          <cell r="N283" t="str">
            <v>平方米</v>
          </cell>
          <cell r="O283" t="str">
            <v>115.94</v>
          </cell>
          <cell r="P283" t="str">
            <v>3017.1352998677476</v>
          </cell>
          <cell r="Q283">
            <v>349806.67</v>
          </cell>
          <cell r="R283" t="str">
            <v>5%</v>
          </cell>
          <cell r="S283">
            <v>17490.33</v>
          </cell>
          <cell r="T283">
            <v>367297</v>
          </cell>
        </row>
        <row r="284">
          <cell r="M284" t="str">
            <v>6-1-101</v>
          </cell>
          <cell r="N284" t="str">
            <v>平方米</v>
          </cell>
          <cell r="O284" t="str">
            <v>97.45</v>
          </cell>
          <cell r="P284" t="str">
            <v>3559.9990226978425</v>
          </cell>
          <cell r="Q284">
            <v>346921.9</v>
          </cell>
          <cell r="R284" t="str">
            <v>5%</v>
          </cell>
          <cell r="S284">
            <v>17346.1</v>
          </cell>
          <cell r="T284">
            <v>364268</v>
          </cell>
        </row>
        <row r="285">
          <cell r="M285" t="str">
            <v>3-1-201</v>
          </cell>
          <cell r="N285" t="str">
            <v>平方米</v>
          </cell>
          <cell r="O285" t="str">
            <v>97.77</v>
          </cell>
          <cell r="P285" t="str">
            <v>3464.75937209291</v>
          </cell>
          <cell r="Q285">
            <v>338749.52</v>
          </cell>
          <cell r="R285" t="str">
            <v>5%</v>
          </cell>
          <cell r="S285">
            <v>16937.48</v>
          </cell>
          <cell r="T285">
            <v>355687</v>
          </cell>
        </row>
        <row r="286">
          <cell r="M286" t="str">
            <v>2-3-301</v>
          </cell>
          <cell r="N286" t="str">
            <v>平方米</v>
          </cell>
          <cell r="O286" t="str">
            <v>124.66</v>
          </cell>
          <cell r="P286" t="str">
            <v>3283.811968554468</v>
          </cell>
          <cell r="Q286">
            <v>409360</v>
          </cell>
          <cell r="R286" t="str">
            <v>5%</v>
          </cell>
          <cell r="S286">
            <v>20468</v>
          </cell>
          <cell r="T286">
            <v>429828</v>
          </cell>
        </row>
        <row r="287">
          <cell r="M287" t="str">
            <v>2-2-301</v>
          </cell>
          <cell r="N287" t="str">
            <v>平方米</v>
          </cell>
          <cell r="O287" t="str">
            <v>124.66</v>
          </cell>
          <cell r="P287" t="str">
            <v>3455.234428120679</v>
          </cell>
          <cell r="Q287">
            <v>430729.52</v>
          </cell>
          <cell r="R287" t="str">
            <v>5%</v>
          </cell>
          <cell r="S287">
            <v>21536.48</v>
          </cell>
          <cell r="T287">
            <v>452266</v>
          </cell>
        </row>
        <row r="288">
          <cell r="M288" t="str">
            <v>5-1-802</v>
          </cell>
          <cell r="N288" t="str">
            <v>平方米</v>
          </cell>
          <cell r="O288" t="str">
            <v>74.86</v>
          </cell>
          <cell r="P288" t="str">
            <v>2590.473646044044</v>
          </cell>
          <cell r="Q288">
            <v>193922.86</v>
          </cell>
          <cell r="R288" t="str">
            <v>5%</v>
          </cell>
          <cell r="S288">
            <v>9696.14</v>
          </cell>
          <cell r="T288">
            <v>203619</v>
          </cell>
        </row>
        <row r="289">
          <cell r="M289" t="str">
            <v>2-2-401</v>
          </cell>
          <cell r="N289" t="str">
            <v>平方米</v>
          </cell>
          <cell r="O289" t="str">
            <v>124.66</v>
          </cell>
          <cell r="P289" t="str">
            <v>3388.5692894196022</v>
          </cell>
          <cell r="Q289">
            <v>422419.05</v>
          </cell>
          <cell r="R289" t="str">
            <v>5%</v>
          </cell>
          <cell r="S289">
            <v>21120.95</v>
          </cell>
          <cell r="T289">
            <v>443540</v>
          </cell>
        </row>
        <row r="290">
          <cell r="M290" t="str">
            <v>5-1-503</v>
          </cell>
          <cell r="N290" t="str">
            <v>平方米</v>
          </cell>
          <cell r="O290" t="str">
            <v>75.04</v>
          </cell>
          <cell r="P290" t="str">
            <v>2571.4285714285716</v>
          </cell>
          <cell r="Q290">
            <v>192960</v>
          </cell>
          <cell r="R290" t="str">
            <v>5%</v>
          </cell>
          <cell r="S290">
            <v>9648</v>
          </cell>
          <cell r="T290">
            <v>202608</v>
          </cell>
        </row>
        <row r="291">
          <cell r="M291" t="str">
            <v>6-4-302</v>
          </cell>
          <cell r="N291" t="str">
            <v>平方米</v>
          </cell>
          <cell r="O291" t="str">
            <v>97.45</v>
          </cell>
          <cell r="P291" t="str">
            <v>3855.242004446725</v>
          </cell>
          <cell r="Q291">
            <v>375693.33</v>
          </cell>
          <cell r="R291" t="str">
            <v>5%</v>
          </cell>
          <cell r="S291">
            <v>18784.67</v>
          </cell>
          <cell r="T291">
            <v>394478</v>
          </cell>
        </row>
        <row r="292">
          <cell r="M292" t="str">
            <v>4-1-201</v>
          </cell>
          <cell r="N292" t="str">
            <v>平方米</v>
          </cell>
          <cell r="O292" t="str">
            <v>94.91</v>
          </cell>
          <cell r="P292" t="str">
            <v>3493.3245029125337</v>
          </cell>
          <cell r="Q292">
            <v>331551.43</v>
          </cell>
          <cell r="R292" t="str">
            <v>5%</v>
          </cell>
          <cell r="S292">
            <v>16577.57</v>
          </cell>
          <cell r="T292">
            <v>348129</v>
          </cell>
        </row>
        <row r="293">
          <cell r="M293" t="str">
            <v>4-3-102</v>
          </cell>
          <cell r="N293" t="str">
            <v>平方米</v>
          </cell>
          <cell r="O293" t="str">
            <v>152.44</v>
          </cell>
          <cell r="P293" t="str">
            <v>2247.6165485874226</v>
          </cell>
          <cell r="Q293">
            <v>342626.67</v>
          </cell>
          <cell r="R293" t="str">
            <v>5%</v>
          </cell>
          <cell r="S293">
            <v>17131.33</v>
          </cell>
          <cell r="T293">
            <v>359758</v>
          </cell>
        </row>
        <row r="294">
          <cell r="M294" t="str">
            <v>2-1-402</v>
          </cell>
          <cell r="N294" t="str">
            <v>平方米</v>
          </cell>
          <cell r="O294" t="str">
            <v>124.66</v>
          </cell>
          <cell r="P294" t="str">
            <v>3293.331194181507</v>
          </cell>
          <cell r="Q294">
            <v>410546.67</v>
          </cell>
          <cell r="R294" t="str">
            <v>5%</v>
          </cell>
          <cell r="S294">
            <v>20527.33</v>
          </cell>
          <cell r="T294">
            <v>431074</v>
          </cell>
        </row>
        <row r="295">
          <cell r="M295" t="str">
            <v>2-2-502</v>
          </cell>
          <cell r="N295" t="str">
            <v>平方米</v>
          </cell>
          <cell r="O295" t="str">
            <v>124.66</v>
          </cell>
          <cell r="P295" t="str">
            <v>2988.5708173851926</v>
          </cell>
          <cell r="Q295">
            <v>372555.24</v>
          </cell>
          <cell r="R295" t="str">
            <v>5%</v>
          </cell>
          <cell r="S295">
            <v>18627.76</v>
          </cell>
          <cell r="T295">
            <v>391183</v>
          </cell>
        </row>
        <row r="296">
          <cell r="M296" t="str">
            <v>2-2-302</v>
          </cell>
          <cell r="N296" t="str">
            <v>平方米</v>
          </cell>
          <cell r="O296" t="str">
            <v>124.66</v>
          </cell>
          <cell r="P296" t="str">
            <v>3142.8571428571427</v>
          </cell>
          <cell r="Q296">
            <v>391788.57</v>
          </cell>
          <cell r="R296" t="str">
            <v>5%</v>
          </cell>
          <cell r="S296">
            <v>19589.43</v>
          </cell>
          <cell r="T296">
            <v>411378</v>
          </cell>
        </row>
        <row r="297">
          <cell r="M297" t="str">
            <v>2-3-601</v>
          </cell>
          <cell r="N297" t="str">
            <v>平方米</v>
          </cell>
          <cell r="O297" t="str">
            <v>117.44</v>
          </cell>
          <cell r="P297" t="str">
            <v>2817.1467497080575</v>
          </cell>
          <cell r="Q297">
            <v>330845.71</v>
          </cell>
          <cell r="R297" t="str">
            <v>5%</v>
          </cell>
          <cell r="S297">
            <v>16542.29</v>
          </cell>
          <cell r="T297">
            <v>347388</v>
          </cell>
        </row>
        <row r="298">
          <cell r="M298" t="str">
            <v>4-1-302</v>
          </cell>
          <cell r="N298" t="str">
            <v>平方米</v>
          </cell>
          <cell r="O298" t="str">
            <v>94.59</v>
          </cell>
          <cell r="P298" t="str">
            <v>3455.2380952380954</v>
          </cell>
          <cell r="Q298">
            <v>326830.97</v>
          </cell>
          <cell r="R298" t="str">
            <v>5%</v>
          </cell>
          <cell r="S298">
            <v>16341.55</v>
          </cell>
          <cell r="T298">
            <v>343172.52</v>
          </cell>
        </row>
        <row r="299">
          <cell r="M299" t="str">
            <v>6-3-402</v>
          </cell>
          <cell r="N299" t="str">
            <v>平方米</v>
          </cell>
          <cell r="O299" t="str">
            <v>97.12</v>
          </cell>
          <cell r="P299" t="str">
            <v>3445.712716717659</v>
          </cell>
          <cell r="Q299">
            <v>334647.62</v>
          </cell>
          <cell r="R299" t="str">
            <v>5%</v>
          </cell>
          <cell r="S299">
            <v>16732.38</v>
          </cell>
          <cell r="T299">
            <v>351380</v>
          </cell>
        </row>
        <row r="300">
          <cell r="M300" t="str">
            <v>2-1-401</v>
          </cell>
          <cell r="N300" t="str">
            <v>平方米</v>
          </cell>
          <cell r="O300" t="str">
            <v>125.06</v>
          </cell>
          <cell r="P300" t="str">
            <v>3388.567773183158</v>
          </cell>
          <cell r="Q300">
            <v>423774.29</v>
          </cell>
          <cell r="R300" t="str">
            <v>5%</v>
          </cell>
          <cell r="S300">
            <v>21188.71</v>
          </cell>
          <cell r="T300">
            <v>444963</v>
          </cell>
        </row>
        <row r="301">
          <cell r="M301" t="str">
            <v>2-1-102</v>
          </cell>
          <cell r="N301" t="str">
            <v>平方米</v>
          </cell>
          <cell r="O301" t="str">
            <v>124.66</v>
          </cell>
          <cell r="P301" t="str">
            <v>3293.331194181507</v>
          </cell>
          <cell r="Q301">
            <v>410546.67</v>
          </cell>
          <cell r="R301" t="str">
            <v>5%</v>
          </cell>
          <cell r="S301">
            <v>20527.33</v>
          </cell>
          <cell r="T301">
            <v>431074</v>
          </cell>
        </row>
        <row r="302">
          <cell r="M302" t="str">
            <v>2-1-101</v>
          </cell>
          <cell r="N302" t="str">
            <v>平方米</v>
          </cell>
          <cell r="O302" t="str">
            <v>125.06</v>
          </cell>
          <cell r="P302" t="str">
            <v>3449.521372598296</v>
          </cell>
          <cell r="Q302">
            <v>431397.14</v>
          </cell>
          <cell r="R302" t="str">
            <v>5%</v>
          </cell>
          <cell r="S302">
            <v>21569.86</v>
          </cell>
          <cell r="T302">
            <v>452967</v>
          </cell>
        </row>
        <row r="303">
          <cell r="M303" t="str">
            <v>4-2-503</v>
          </cell>
          <cell r="N303" t="str">
            <v>平方米</v>
          </cell>
          <cell r="O303" t="str">
            <v>125.41</v>
          </cell>
          <cell r="P303" t="str">
            <v>2685.7203610253605</v>
          </cell>
          <cell r="Q303">
            <v>336816.19</v>
          </cell>
          <cell r="R303" t="str">
            <v>5%</v>
          </cell>
          <cell r="S303">
            <v>16840.81</v>
          </cell>
          <cell r="T303">
            <v>353657</v>
          </cell>
        </row>
        <row r="304">
          <cell r="M304" t="str">
            <v>3-2-402</v>
          </cell>
          <cell r="N304" t="str">
            <v>平方米</v>
          </cell>
          <cell r="O304" t="str">
            <v>97.77</v>
          </cell>
          <cell r="P304" t="str">
            <v>3388.5649994885957</v>
          </cell>
          <cell r="Q304">
            <v>331300</v>
          </cell>
          <cell r="R304" t="str">
            <v>5%</v>
          </cell>
          <cell r="S304">
            <v>16565</v>
          </cell>
          <cell r="T304">
            <v>347865</v>
          </cell>
        </row>
        <row r="305">
          <cell r="M305" t="str">
            <v>4-1-202</v>
          </cell>
          <cell r="N305" t="str">
            <v>平方米</v>
          </cell>
          <cell r="O305" t="str">
            <v>94.59</v>
          </cell>
          <cell r="P305" t="str">
            <v>3493.332125111383</v>
          </cell>
          <cell r="Q305">
            <v>330434.29</v>
          </cell>
          <cell r="R305" t="str">
            <v>5%</v>
          </cell>
          <cell r="S305">
            <v>16521.71</v>
          </cell>
          <cell r="T305">
            <v>346956</v>
          </cell>
        </row>
        <row r="306">
          <cell r="M306" t="str">
            <v>3-2-202</v>
          </cell>
          <cell r="N306" t="str">
            <v>平方米</v>
          </cell>
          <cell r="O306" t="str">
            <v>97.77</v>
          </cell>
          <cell r="P306" t="str">
            <v>3493.329826560879</v>
          </cell>
          <cell r="Q306">
            <v>341542.86</v>
          </cell>
          <cell r="R306" t="str">
            <v>5%</v>
          </cell>
          <cell r="S306">
            <v>17077.14</v>
          </cell>
          <cell r="T306">
            <v>358620</v>
          </cell>
        </row>
        <row r="307">
          <cell r="M307" t="str">
            <v>3-1-102</v>
          </cell>
          <cell r="N307" t="str">
            <v>平方米</v>
          </cell>
          <cell r="O307" t="str">
            <v>97.43</v>
          </cell>
          <cell r="P307" t="str">
            <v>3464.768356280211</v>
          </cell>
          <cell r="Q307">
            <v>337572.38</v>
          </cell>
          <cell r="R307" t="str">
            <v>5%</v>
          </cell>
          <cell r="S307">
            <v>16878.62</v>
          </cell>
          <cell r="T307">
            <v>354451</v>
          </cell>
        </row>
        <row r="308">
          <cell r="M308" t="str">
            <v>3-2-502</v>
          </cell>
          <cell r="N308" t="str">
            <v>平方米</v>
          </cell>
          <cell r="O308" t="str">
            <v>97.77</v>
          </cell>
          <cell r="P308" t="str">
            <v>2998.0858867020265</v>
          </cell>
          <cell r="Q308">
            <v>293122.86</v>
          </cell>
          <cell r="R308" t="str">
            <v>5%</v>
          </cell>
          <cell r="S308">
            <v>14656.14</v>
          </cell>
          <cell r="T308">
            <v>307779</v>
          </cell>
        </row>
        <row r="309">
          <cell r="M309" t="str">
            <v>4-3-603</v>
          </cell>
          <cell r="N309" t="str">
            <v>平方米</v>
          </cell>
          <cell r="O309" t="str">
            <v>115.94</v>
          </cell>
          <cell r="P309" t="str">
            <v>2190.4761904761904</v>
          </cell>
          <cell r="Q309">
            <v>253963.81</v>
          </cell>
          <cell r="R309" t="str">
            <v>5%</v>
          </cell>
          <cell r="S309">
            <v>12698.19</v>
          </cell>
          <cell r="T309">
            <v>266662</v>
          </cell>
        </row>
        <row r="310">
          <cell r="M310" t="str">
            <v>5-1-902</v>
          </cell>
          <cell r="N310" t="str">
            <v>平方米</v>
          </cell>
          <cell r="O310" t="str">
            <v>74.86</v>
          </cell>
          <cell r="P310" t="str">
            <v>2605.714794600715</v>
          </cell>
          <cell r="Q310">
            <v>195063.81</v>
          </cell>
          <cell r="R310" t="str">
            <v>5%</v>
          </cell>
          <cell r="S310">
            <v>9753.19</v>
          </cell>
          <cell r="T310">
            <v>204817</v>
          </cell>
        </row>
        <row r="311">
          <cell r="M311" t="str">
            <v>3-1-101</v>
          </cell>
          <cell r="N311" t="str">
            <v>平方米</v>
          </cell>
          <cell r="O311" t="str">
            <v>97.77</v>
          </cell>
          <cell r="P311" t="str">
            <v>3464.75937209291</v>
          </cell>
          <cell r="Q311">
            <v>338749.52</v>
          </cell>
          <cell r="R311" t="str">
            <v>5%</v>
          </cell>
          <cell r="S311">
            <v>16937.48</v>
          </cell>
          <cell r="T311">
            <v>355687</v>
          </cell>
        </row>
        <row r="312">
          <cell r="M312" t="str">
            <v>5-1-502</v>
          </cell>
          <cell r="N312" t="str">
            <v>平方米</v>
          </cell>
          <cell r="O312" t="str">
            <v>74.86</v>
          </cell>
          <cell r="P312" t="str">
            <v>2619.0476190476193</v>
          </cell>
          <cell r="Q312">
            <v>196061.9</v>
          </cell>
          <cell r="R312" t="str">
            <v>5%</v>
          </cell>
          <cell r="S312">
            <v>9803.1</v>
          </cell>
          <cell r="T312">
            <v>205865</v>
          </cell>
        </row>
        <row r="313">
          <cell r="M313" t="str">
            <v>5-1-901</v>
          </cell>
          <cell r="N313" t="str">
            <v>平方米</v>
          </cell>
          <cell r="O313" t="str">
            <v>68.91</v>
          </cell>
          <cell r="P313" t="str">
            <v>2809.5307198485257</v>
          </cell>
          <cell r="Q313">
            <v>193604.76</v>
          </cell>
          <cell r="R313" t="str">
            <v>5%</v>
          </cell>
          <cell r="S313">
            <v>9680.24</v>
          </cell>
          <cell r="T313">
            <v>203285</v>
          </cell>
        </row>
        <row r="314">
          <cell r="M314" t="str">
            <v>5-5-802</v>
          </cell>
          <cell r="N314" t="str">
            <v>平方米</v>
          </cell>
          <cell r="O314" t="str">
            <v>58.01</v>
          </cell>
          <cell r="P314" t="str">
            <v>2809.532018289129</v>
          </cell>
          <cell r="Q314">
            <v>162980.95</v>
          </cell>
          <cell r="R314" t="str">
            <v>5%</v>
          </cell>
          <cell r="S314">
            <v>8149.05</v>
          </cell>
          <cell r="T314">
            <v>171130</v>
          </cell>
        </row>
        <row r="315">
          <cell r="M315" t="str">
            <v>5-5-801</v>
          </cell>
          <cell r="N315" t="str">
            <v>平方米</v>
          </cell>
          <cell r="O315" t="str">
            <v>43.14</v>
          </cell>
          <cell r="P315" t="str">
            <v>2809.5238095238096</v>
          </cell>
          <cell r="Q315">
            <v>121202.86</v>
          </cell>
          <cell r="R315" t="str">
            <v>5%</v>
          </cell>
          <cell r="S315">
            <v>6060.14</v>
          </cell>
          <cell r="T315">
            <v>127263</v>
          </cell>
        </row>
        <row r="316">
          <cell r="M316" t="str">
            <v>2-1-602</v>
          </cell>
          <cell r="N316" t="str">
            <v>平方米</v>
          </cell>
          <cell r="O316" t="str">
            <v>117.44</v>
          </cell>
          <cell r="P316" t="str">
            <v>1866.663422862333</v>
          </cell>
          <cell r="Q316">
            <v>219220.95</v>
          </cell>
          <cell r="R316" t="str">
            <v>5%</v>
          </cell>
          <cell r="S316">
            <v>10961.05</v>
          </cell>
          <cell r="T316">
            <v>230182</v>
          </cell>
        </row>
        <row r="317">
          <cell r="M317" t="str">
            <v>5-1-603</v>
          </cell>
          <cell r="N317" t="str">
            <v>平方米</v>
          </cell>
          <cell r="O317" t="str">
            <v>75.04</v>
          </cell>
          <cell r="P317" t="str">
            <v>2643.809016143771</v>
          </cell>
          <cell r="Q317">
            <v>198391.43</v>
          </cell>
          <cell r="R317" t="str">
            <v>5%</v>
          </cell>
          <cell r="S317">
            <v>9919.57</v>
          </cell>
          <cell r="T317">
            <v>208311</v>
          </cell>
        </row>
        <row r="318">
          <cell r="M318" t="str">
            <v>5-5-201</v>
          </cell>
          <cell r="N318" t="str">
            <v>平方米</v>
          </cell>
          <cell r="O318" t="str">
            <v>43.14</v>
          </cell>
          <cell r="P318" t="str">
            <v>2761.904761904762</v>
          </cell>
          <cell r="Q318">
            <v>119148.57</v>
          </cell>
          <cell r="R318" t="str">
            <v>5%</v>
          </cell>
          <cell r="S318">
            <v>5957.43</v>
          </cell>
          <cell r="T318">
            <v>125106</v>
          </cell>
        </row>
        <row r="319">
          <cell r="M319" t="str">
            <v>5-1-1002</v>
          </cell>
          <cell r="N319" t="str">
            <v>平方米</v>
          </cell>
          <cell r="O319" t="str">
            <v>74.86</v>
          </cell>
          <cell r="P319" t="str">
            <v>2624.759869216188</v>
          </cell>
          <cell r="Q319">
            <v>196489.52</v>
          </cell>
          <cell r="R319" t="str">
            <v>5%</v>
          </cell>
          <cell r="S319">
            <v>9824.48</v>
          </cell>
          <cell r="T319">
            <v>206314</v>
          </cell>
        </row>
        <row r="320">
          <cell r="M320" t="str">
            <v>5-103</v>
          </cell>
          <cell r="N320" t="str">
            <v>平方米</v>
          </cell>
          <cell r="O320" t="str">
            <v>58.97</v>
          </cell>
          <cell r="P320" t="str">
            <v>9579.99628543973</v>
          </cell>
          <cell r="Q320">
            <v>564932.38</v>
          </cell>
          <cell r="R320" t="str">
            <v>5%</v>
          </cell>
          <cell r="S320">
            <v>28246.62</v>
          </cell>
          <cell r="T320">
            <v>593179</v>
          </cell>
        </row>
        <row r="321">
          <cell r="M321" t="str">
            <v>5-103</v>
          </cell>
          <cell r="N321" t="str">
            <v>平方米</v>
          </cell>
          <cell r="O321" t="str">
            <v>58.97</v>
          </cell>
          <cell r="P321" t="str">
            <v>9579.99628543973</v>
          </cell>
          <cell r="Q321">
            <v>564932.38</v>
          </cell>
          <cell r="R321" t="str">
            <v>5%</v>
          </cell>
          <cell r="S321">
            <v>28246.62</v>
          </cell>
          <cell r="T321">
            <v>593179</v>
          </cell>
        </row>
        <row r="322">
          <cell r="M322" t="str">
            <v>5-1-803</v>
          </cell>
          <cell r="N322" t="str">
            <v>平方米</v>
          </cell>
          <cell r="O322" t="str">
            <v>75.04</v>
          </cell>
          <cell r="P322" t="str">
            <v>2634.285714285714</v>
          </cell>
          <cell r="Q322">
            <v>197676.8</v>
          </cell>
          <cell r="R322" t="str">
            <v>5%</v>
          </cell>
          <cell r="S322">
            <v>9883.84</v>
          </cell>
          <cell r="T322">
            <v>207560.64</v>
          </cell>
        </row>
        <row r="323">
          <cell r="M323" t="str">
            <v>2-2-402</v>
          </cell>
          <cell r="N323" t="str">
            <v>平方米</v>
          </cell>
          <cell r="O323" t="str">
            <v>124.66</v>
          </cell>
          <cell r="P323" t="str">
            <v>3388.5692894196022</v>
          </cell>
          <cell r="Q323">
            <v>422419.05</v>
          </cell>
          <cell r="R323" t="str">
            <v>5%</v>
          </cell>
          <cell r="S323">
            <v>21120.95</v>
          </cell>
          <cell r="T323">
            <v>443540</v>
          </cell>
        </row>
        <row r="324">
          <cell r="M324" t="str">
            <v>6-4-501</v>
          </cell>
          <cell r="N324" t="str">
            <v>平方米</v>
          </cell>
          <cell r="O324" t="str">
            <v>97.12</v>
          </cell>
          <cell r="P324" t="str">
            <v>3142.8571428571427</v>
          </cell>
          <cell r="Q324">
            <v>305234.29</v>
          </cell>
          <cell r="R324" t="str">
            <v>5%</v>
          </cell>
          <cell r="S324">
            <v>15261.71</v>
          </cell>
          <cell r="T324">
            <v>320496</v>
          </cell>
        </row>
        <row r="325">
          <cell r="M325" t="str">
            <v>5-1-703</v>
          </cell>
          <cell r="N325" t="str">
            <v>平方米</v>
          </cell>
          <cell r="O325" t="str">
            <v>75.04</v>
          </cell>
          <cell r="P325" t="str">
            <v>2672.3809523809523</v>
          </cell>
          <cell r="Q325">
            <v>200535.47</v>
          </cell>
          <cell r="R325" t="str">
            <v>5%</v>
          </cell>
          <cell r="S325">
            <v>10026.77</v>
          </cell>
          <cell r="T325">
            <v>210562.24</v>
          </cell>
        </row>
        <row r="326">
          <cell r="M326" t="str">
            <v>5-5-903</v>
          </cell>
          <cell r="N326" t="str">
            <v>平方米</v>
          </cell>
          <cell r="O326" t="str">
            <v>58.41</v>
          </cell>
          <cell r="P326" t="str">
            <v>2748.5671892451555</v>
          </cell>
          <cell r="Q326">
            <v>160543.81</v>
          </cell>
          <cell r="R326" t="str">
            <v>5%</v>
          </cell>
          <cell r="S326">
            <v>8027.19</v>
          </cell>
          <cell r="T326">
            <v>168571</v>
          </cell>
        </row>
        <row r="327">
          <cell r="M327" t="str">
            <v>5-5-1002</v>
          </cell>
          <cell r="N327" t="str">
            <v>平方米</v>
          </cell>
          <cell r="O327" t="str">
            <v>58.01</v>
          </cell>
          <cell r="P327" t="str">
            <v>2809.532018289129</v>
          </cell>
          <cell r="Q327">
            <v>162980.95</v>
          </cell>
          <cell r="R327" t="str">
            <v>5%</v>
          </cell>
          <cell r="S327">
            <v>8149.05</v>
          </cell>
          <cell r="T327">
            <v>171130</v>
          </cell>
        </row>
        <row r="328">
          <cell r="M328" t="str">
            <v>5-5-1001</v>
          </cell>
          <cell r="N328" t="str">
            <v>平方米</v>
          </cell>
          <cell r="O328" t="str">
            <v>43.14</v>
          </cell>
          <cell r="P328" t="str">
            <v>2809.5238095238096</v>
          </cell>
          <cell r="Q328">
            <v>121202.86</v>
          </cell>
          <cell r="R328" t="str">
            <v>5%</v>
          </cell>
          <cell r="S328">
            <v>6060.14</v>
          </cell>
          <cell r="T328">
            <v>127263</v>
          </cell>
        </row>
        <row r="329">
          <cell r="M329" t="str">
            <v>7-1-802</v>
          </cell>
          <cell r="N329" t="str">
            <v>平方米</v>
          </cell>
          <cell r="O329" t="str">
            <v>100.08</v>
          </cell>
          <cell r="P329" t="str">
            <v>2619.0476190476193</v>
          </cell>
          <cell r="Q329">
            <v>262114.29</v>
          </cell>
          <cell r="R329" t="str">
            <v>5%</v>
          </cell>
          <cell r="S329">
            <v>13105.71</v>
          </cell>
          <cell r="T329">
            <v>275220</v>
          </cell>
        </row>
        <row r="330">
          <cell r="M330" t="str">
            <v>6-4-601</v>
          </cell>
          <cell r="N330" t="str">
            <v>平方米</v>
          </cell>
          <cell r="O330" t="str">
            <v>89.99</v>
          </cell>
          <cell r="P330" t="str">
            <v>2285.714285714286</v>
          </cell>
          <cell r="Q330">
            <v>205691.43</v>
          </cell>
          <cell r="R330" t="str">
            <v>5%</v>
          </cell>
          <cell r="S330">
            <v>10284.57</v>
          </cell>
          <cell r="T330">
            <v>215976</v>
          </cell>
        </row>
        <row r="331">
          <cell r="M331" t="str">
            <v>4-3-201</v>
          </cell>
          <cell r="N331" t="str">
            <v>平方米</v>
          </cell>
          <cell r="O331" t="str">
            <v>148.39</v>
          </cell>
          <cell r="P331" t="str">
            <v>3093.335130399623</v>
          </cell>
          <cell r="Q331">
            <v>459020</v>
          </cell>
          <cell r="R331" t="str">
            <v>5%</v>
          </cell>
          <cell r="S331">
            <v>22951</v>
          </cell>
          <cell r="T331">
            <v>481971</v>
          </cell>
        </row>
        <row r="332">
          <cell r="M332" t="str">
            <v>2-3-501</v>
          </cell>
          <cell r="N332" t="str">
            <v>平方米</v>
          </cell>
          <cell r="O332" t="str">
            <v>124.66</v>
          </cell>
          <cell r="P332" t="str">
            <v>3017.1437739222115</v>
          </cell>
          <cell r="Q332">
            <v>376117.14</v>
          </cell>
          <cell r="R332" t="str">
            <v>5%</v>
          </cell>
          <cell r="S332">
            <v>18805.86</v>
          </cell>
          <cell r="T332">
            <v>394923</v>
          </cell>
        </row>
        <row r="333">
          <cell r="M333" t="str">
            <v>2-3-402</v>
          </cell>
          <cell r="N333" t="str">
            <v>平方米</v>
          </cell>
          <cell r="O333" t="str">
            <v>125.06</v>
          </cell>
          <cell r="P333" t="str">
            <v>3360.002436925514</v>
          </cell>
          <cell r="Q333">
            <v>420201.9</v>
          </cell>
          <cell r="R333" t="str">
            <v>5%</v>
          </cell>
          <cell r="S333">
            <v>21010.1</v>
          </cell>
          <cell r="T333">
            <v>441212</v>
          </cell>
        </row>
        <row r="334">
          <cell r="M334" t="str">
            <v>2-3-502</v>
          </cell>
          <cell r="N334" t="str">
            <v>平方米</v>
          </cell>
          <cell r="O334" t="str">
            <v>125.06</v>
          </cell>
          <cell r="P334" t="str">
            <v>3064.7612955305262</v>
          </cell>
          <cell r="Q334">
            <v>383279.05</v>
          </cell>
          <cell r="R334" t="str">
            <v>5%</v>
          </cell>
          <cell r="S334">
            <v>19163.95</v>
          </cell>
          <cell r="T334">
            <v>402443</v>
          </cell>
        </row>
        <row r="335">
          <cell r="M335" t="str">
            <v>5-2-401</v>
          </cell>
          <cell r="N335" t="str">
            <v>平方米</v>
          </cell>
          <cell r="O335" t="str">
            <v>101.5</v>
          </cell>
          <cell r="P335" t="str">
            <v>2638.095238095238</v>
          </cell>
          <cell r="Q335">
            <v>267766.67</v>
          </cell>
          <cell r="R335" t="str">
            <v>5%</v>
          </cell>
          <cell r="S335">
            <v>13388.33</v>
          </cell>
          <cell r="T335">
            <v>281155</v>
          </cell>
        </row>
        <row r="336">
          <cell r="M336" t="str">
            <v>5-1-903</v>
          </cell>
          <cell r="N336" t="str">
            <v>平方米</v>
          </cell>
          <cell r="O336" t="str">
            <v>75.04</v>
          </cell>
          <cell r="P336" t="str">
            <v>2605.708701391004</v>
          </cell>
          <cell r="Q336">
            <v>195532.38</v>
          </cell>
          <cell r="R336" t="str">
            <v>5%</v>
          </cell>
          <cell r="S336">
            <v>9776.62</v>
          </cell>
          <cell r="T336">
            <v>205309</v>
          </cell>
        </row>
        <row r="337">
          <cell r="M337" t="str">
            <v>3-2-102</v>
          </cell>
          <cell r="N337" t="str">
            <v>平方米</v>
          </cell>
          <cell r="O337" t="str">
            <v>97.77</v>
          </cell>
          <cell r="P337" t="str">
            <v>3464.75937209291</v>
          </cell>
          <cell r="Q337">
            <v>338749.52</v>
          </cell>
          <cell r="R337" t="str">
            <v>5%</v>
          </cell>
          <cell r="S337">
            <v>16937.48</v>
          </cell>
          <cell r="T337">
            <v>355687</v>
          </cell>
        </row>
        <row r="338">
          <cell r="M338" t="str">
            <v>3-2-302</v>
          </cell>
          <cell r="N338" t="str">
            <v>平方米</v>
          </cell>
          <cell r="O338" t="str">
            <v>97.77</v>
          </cell>
          <cell r="P338" t="str">
            <v>3455.232640258722</v>
          </cell>
          <cell r="Q338">
            <v>337818.1</v>
          </cell>
          <cell r="R338" t="str">
            <v>5%</v>
          </cell>
          <cell r="S338">
            <v>16890.9</v>
          </cell>
          <cell r="T338">
            <v>354709</v>
          </cell>
        </row>
        <row r="339">
          <cell r="M339" t="str">
            <v>4-3-302</v>
          </cell>
          <cell r="N339" t="str">
            <v>平方米</v>
          </cell>
          <cell r="O339" t="str">
            <v>152.44</v>
          </cell>
          <cell r="P339" t="str">
            <v>3093.332583623846</v>
          </cell>
          <cell r="Q339">
            <v>471547.62</v>
          </cell>
          <cell r="R339" t="str">
            <v>5%</v>
          </cell>
          <cell r="S339">
            <v>23577.38</v>
          </cell>
          <cell r="T339">
            <v>495125</v>
          </cell>
        </row>
        <row r="340">
          <cell r="M340" t="str">
            <v>5-5-902</v>
          </cell>
          <cell r="N340" t="str">
            <v>平方米</v>
          </cell>
          <cell r="O340" t="str">
            <v>58.01</v>
          </cell>
          <cell r="P340" t="str">
            <v>2752.3825941340165</v>
          </cell>
          <cell r="Q340">
            <v>159665.71</v>
          </cell>
          <cell r="R340" t="str">
            <v>5%</v>
          </cell>
          <cell r="S340">
            <v>7983.29</v>
          </cell>
          <cell r="T340">
            <v>167649</v>
          </cell>
        </row>
        <row r="341">
          <cell r="M341" t="str">
            <v>5-5-901</v>
          </cell>
          <cell r="N341" t="str">
            <v>平方米</v>
          </cell>
          <cell r="O341" t="str">
            <v>43.14</v>
          </cell>
          <cell r="P341" t="str">
            <v>2752.389782987836</v>
          </cell>
          <cell r="Q341">
            <v>118738.1</v>
          </cell>
          <cell r="R341" t="str">
            <v>5%</v>
          </cell>
          <cell r="S341">
            <v>5936.9</v>
          </cell>
          <cell r="T341">
            <v>124675</v>
          </cell>
        </row>
        <row r="342">
          <cell r="M342" t="str">
            <v>5-1-403</v>
          </cell>
          <cell r="N342" t="str">
            <v>平方米</v>
          </cell>
          <cell r="O342" t="str">
            <v>75.04</v>
          </cell>
          <cell r="P342" t="str">
            <v>2542.859681185907</v>
          </cell>
          <cell r="Q342">
            <v>190816.19</v>
          </cell>
          <cell r="R342" t="str">
            <v>5%</v>
          </cell>
          <cell r="S342">
            <v>9540.81</v>
          </cell>
          <cell r="T342">
            <v>200357</v>
          </cell>
        </row>
        <row r="343">
          <cell r="M343" t="str">
            <v>1-3-107</v>
          </cell>
          <cell r="N343" t="str">
            <v>平方米</v>
          </cell>
          <cell r="O343" t="str">
            <v>102.18</v>
          </cell>
          <cell r="P343" t="str">
            <v>8278.10865978805</v>
          </cell>
          <cell r="Q343">
            <v>845857.14</v>
          </cell>
          <cell r="R343" t="str">
            <v>5%</v>
          </cell>
          <cell r="S343">
            <v>42292.86</v>
          </cell>
          <cell r="T343">
            <v>888150</v>
          </cell>
        </row>
        <row r="344">
          <cell r="M344" t="str">
            <v>1-3-107</v>
          </cell>
          <cell r="N344" t="str">
            <v>平方米</v>
          </cell>
          <cell r="O344" t="str">
            <v>102.18</v>
          </cell>
          <cell r="P344" t="str">
            <v>8388.558006878618</v>
          </cell>
          <cell r="Q344">
            <v>857142.86</v>
          </cell>
          <cell r="R344" t="str">
            <v>5%</v>
          </cell>
          <cell r="S344">
            <v>42857.14</v>
          </cell>
          <cell r="T344">
            <v>900000</v>
          </cell>
        </row>
        <row r="345">
          <cell r="M345" t="str">
            <v>2-2-501</v>
          </cell>
          <cell r="N345" t="str">
            <v>平方米</v>
          </cell>
          <cell r="O345" t="str">
            <v>124.66</v>
          </cell>
          <cell r="P345" t="str">
            <v>3017.1437739222115</v>
          </cell>
          <cell r="Q345">
            <v>376117.14</v>
          </cell>
          <cell r="R345" t="str">
            <v>5%</v>
          </cell>
          <cell r="S345">
            <v>18805.86</v>
          </cell>
          <cell r="T345">
            <v>394923</v>
          </cell>
        </row>
        <row r="346">
          <cell r="M346" t="str">
            <v>7-3-302</v>
          </cell>
          <cell r="N346" t="str">
            <v>平方米</v>
          </cell>
          <cell r="O346" t="str">
            <v>100.08</v>
          </cell>
          <cell r="P346" t="str">
            <v>2552.3771459023255</v>
          </cell>
          <cell r="Q346">
            <v>255441.9</v>
          </cell>
          <cell r="R346" t="str">
            <v>5%</v>
          </cell>
          <cell r="S346">
            <v>12772.1</v>
          </cell>
          <cell r="T346">
            <v>268214</v>
          </cell>
        </row>
        <row r="347">
          <cell r="M347" t="str">
            <v>6-4-202</v>
          </cell>
          <cell r="N347" t="str">
            <v>平方米</v>
          </cell>
          <cell r="O347" t="str">
            <v>97.45</v>
          </cell>
          <cell r="P347" t="str">
            <v>3836.1943853991056</v>
          </cell>
          <cell r="Q347">
            <v>373837.14</v>
          </cell>
          <cell r="R347" t="str">
            <v>5%</v>
          </cell>
          <cell r="S347">
            <v>18691.86</v>
          </cell>
          <cell r="T347">
            <v>392529</v>
          </cell>
        </row>
        <row r="348">
          <cell r="M348" t="str">
            <v>4-2-202</v>
          </cell>
          <cell r="N348" t="str">
            <v>平方米</v>
          </cell>
          <cell r="O348" t="str">
            <v>148.39</v>
          </cell>
          <cell r="P348" t="str">
            <v>2857.1428571428573</v>
          </cell>
          <cell r="Q348">
            <v>423971.43</v>
          </cell>
          <cell r="R348" t="str">
            <v>5%</v>
          </cell>
          <cell r="S348">
            <v>21198.57</v>
          </cell>
          <cell r="T348">
            <v>445170</v>
          </cell>
        </row>
        <row r="349">
          <cell r="M349" t="str">
            <v>5-5-803</v>
          </cell>
          <cell r="N349" t="str">
            <v>平方米</v>
          </cell>
          <cell r="O349" t="str">
            <v>58.41</v>
          </cell>
          <cell r="P349" t="str">
            <v>2748.5671892451555</v>
          </cell>
          <cell r="Q349">
            <v>160543.81</v>
          </cell>
          <cell r="R349" t="str">
            <v>5%</v>
          </cell>
          <cell r="S349">
            <v>8027.19</v>
          </cell>
          <cell r="T349">
            <v>168571</v>
          </cell>
        </row>
        <row r="350">
          <cell r="M350" t="str">
            <v>5-5-303</v>
          </cell>
          <cell r="N350" t="str">
            <v>平方米</v>
          </cell>
          <cell r="O350" t="str">
            <v>58.41</v>
          </cell>
          <cell r="P350" t="str">
            <v>2690.341673392521</v>
          </cell>
          <cell r="Q350">
            <v>157142.86</v>
          </cell>
          <cell r="R350" t="str">
            <v>5%</v>
          </cell>
          <cell r="S350">
            <v>7857.14</v>
          </cell>
          <cell r="T350">
            <v>165000</v>
          </cell>
        </row>
        <row r="351">
          <cell r="M351" t="str">
            <v>5-5-404</v>
          </cell>
          <cell r="N351" t="str">
            <v>平方米</v>
          </cell>
          <cell r="O351" t="str">
            <v>43.14</v>
          </cell>
          <cell r="P351" t="str">
            <v>2538.799478994194</v>
          </cell>
          <cell r="Q351">
            <v>109523.81</v>
          </cell>
          <cell r="R351" t="str">
            <v>5%</v>
          </cell>
          <cell r="S351">
            <v>5476.19</v>
          </cell>
          <cell r="T351">
            <v>115000</v>
          </cell>
        </row>
        <row r="352">
          <cell r="M352" t="str">
            <v>A14-105</v>
          </cell>
          <cell r="N352" t="str">
            <v>平方米</v>
          </cell>
          <cell r="O352" t="str">
            <v>61.01</v>
          </cell>
          <cell r="P352" t="str">
            <v>6192.6680691539513</v>
          </cell>
          <cell r="Q352">
            <v>377814.68</v>
          </cell>
          <cell r="R352" t="str">
            <v>9%</v>
          </cell>
          <cell r="S352">
            <v>34003.32</v>
          </cell>
          <cell r="T352">
            <v>411818</v>
          </cell>
        </row>
        <row r="353">
          <cell r="M353" t="str">
            <v>A3-1-402</v>
          </cell>
          <cell r="N353" t="str">
            <v>平方米</v>
          </cell>
          <cell r="O353" t="str">
            <v>54.9</v>
          </cell>
          <cell r="P353" t="str">
            <v>2590.197356327601477</v>
          </cell>
          <cell r="Q353">
            <v>142201.83</v>
          </cell>
          <cell r="R353" t="str">
            <v>9%</v>
          </cell>
          <cell r="S353">
            <v>12798.17</v>
          </cell>
          <cell r="T353">
            <v>155000</v>
          </cell>
        </row>
        <row r="354">
          <cell r="M354" t="str">
            <v>A3-2-403</v>
          </cell>
          <cell r="N354" t="str">
            <v>平方米</v>
          </cell>
          <cell r="O354" t="str">
            <v>89.31</v>
          </cell>
          <cell r="P354" t="str">
            <v>2614.684035300196512</v>
          </cell>
          <cell r="Q354">
            <v>233517.43</v>
          </cell>
          <cell r="R354" t="str">
            <v>9%</v>
          </cell>
          <cell r="S354">
            <v>21016.57</v>
          </cell>
          <cell r="T354">
            <v>254534</v>
          </cell>
        </row>
        <row r="355">
          <cell r="M355" t="str">
            <v>A4-3-301</v>
          </cell>
          <cell r="N355" t="str">
            <v>平方米</v>
          </cell>
          <cell r="O355" t="str">
            <v>77.94</v>
          </cell>
          <cell r="P355" t="str">
            <v>2695.557391830460034</v>
          </cell>
          <cell r="Q355">
            <v>210091.74</v>
          </cell>
          <cell r="R355" t="str">
            <v>9%</v>
          </cell>
          <cell r="S355">
            <v>18908.26</v>
          </cell>
          <cell r="T355">
            <v>229000</v>
          </cell>
        </row>
        <row r="356">
          <cell r="M356" t="str">
            <v>A4-1-401</v>
          </cell>
          <cell r="N356" t="str">
            <v>平方米</v>
          </cell>
          <cell r="O356" t="str">
            <v>81.93</v>
          </cell>
          <cell r="P356" t="str">
            <v>2602.725307014155069</v>
          </cell>
          <cell r="Q356">
            <v>213241.28</v>
          </cell>
          <cell r="R356" t="str">
            <v>9%</v>
          </cell>
          <cell r="S356">
            <v>19191.72</v>
          </cell>
          <cell r="T356">
            <v>232433</v>
          </cell>
        </row>
        <row r="357">
          <cell r="M357" t="str">
            <v>A3-1-202</v>
          </cell>
          <cell r="N357" t="str">
            <v>平方米</v>
          </cell>
          <cell r="O357" t="str">
            <v>54.90</v>
          </cell>
          <cell r="P357" t="str">
            <v>2709.948028943366588</v>
          </cell>
          <cell r="Q357">
            <v>148776.15</v>
          </cell>
          <cell r="R357" t="str">
            <v>9%</v>
          </cell>
          <cell r="S357">
            <v>13389.85</v>
          </cell>
          <cell r="T357">
            <v>162166</v>
          </cell>
        </row>
        <row r="358">
          <cell r="M358" t="str">
            <v>A4-2-301</v>
          </cell>
          <cell r="N358" t="str">
            <v>平方米</v>
          </cell>
          <cell r="O358" t="str">
            <v>77.94</v>
          </cell>
          <cell r="P358" t="str">
            <v>2733.942599929844882</v>
          </cell>
          <cell r="Q358">
            <v>213083.49</v>
          </cell>
          <cell r="R358" t="str">
            <v>9%</v>
          </cell>
          <cell r="S358">
            <v>19177.51</v>
          </cell>
          <cell r="T358">
            <v>232261</v>
          </cell>
        </row>
        <row r="359">
          <cell r="M359" t="str">
            <v>A4-3-302</v>
          </cell>
          <cell r="N359" t="str">
            <v>平方米</v>
          </cell>
          <cell r="O359" t="str">
            <v>81.93</v>
          </cell>
          <cell r="P359" t="str">
            <v>2688.074514269845483</v>
          </cell>
          <cell r="Q359">
            <v>220233.94</v>
          </cell>
          <cell r="R359" t="str">
            <v>9%</v>
          </cell>
          <cell r="S359">
            <v>19821.06</v>
          </cell>
          <cell r="T359">
            <v>240055</v>
          </cell>
        </row>
        <row r="360">
          <cell r="M360" t="str">
            <v>A1-1-401</v>
          </cell>
          <cell r="N360" t="str">
            <v>平方米</v>
          </cell>
          <cell r="O360" t="str">
            <v>77.25</v>
          </cell>
          <cell r="P360" t="str">
            <v>2568.807339449541284</v>
          </cell>
          <cell r="Q360">
            <v>198440.37</v>
          </cell>
          <cell r="R360" t="str">
            <v>9%</v>
          </cell>
          <cell r="S360">
            <v>17859.63</v>
          </cell>
          <cell r="T360">
            <v>216300</v>
          </cell>
        </row>
        <row r="361">
          <cell r="M361" t="str">
            <v>A3-1-201</v>
          </cell>
          <cell r="N361" t="str">
            <v>平方米</v>
          </cell>
          <cell r="O361" t="str">
            <v>94.92</v>
          </cell>
          <cell r="P361" t="str">
            <v>2706.422018348623853</v>
          </cell>
          <cell r="Q361">
            <v>256893.58</v>
          </cell>
          <cell r="R361" t="str">
            <v>9%</v>
          </cell>
          <cell r="S361">
            <v>23120.42</v>
          </cell>
          <cell r="T361">
            <v>280014</v>
          </cell>
        </row>
        <row r="362">
          <cell r="M362" t="str">
            <v>A4-6-201</v>
          </cell>
          <cell r="N362" t="str">
            <v>平方米</v>
          </cell>
          <cell r="O362" t="str">
            <v>77.94</v>
          </cell>
          <cell r="P362" t="str">
            <v>2752.293577981651376</v>
          </cell>
          <cell r="Q362">
            <v>214513.76</v>
          </cell>
          <cell r="R362" t="str">
            <v>9%</v>
          </cell>
          <cell r="S362">
            <v>19306.24</v>
          </cell>
          <cell r="T362">
            <v>233820</v>
          </cell>
        </row>
        <row r="363">
          <cell r="M363" t="str">
            <v>5-1-904</v>
          </cell>
          <cell r="N363" t="str">
            <v>平方米</v>
          </cell>
          <cell r="O363" t="str">
            <v>64.27</v>
          </cell>
          <cell r="P363" t="str">
            <v>2902.857735594626834</v>
          </cell>
          <cell r="Q363">
            <v>186566.67</v>
          </cell>
          <cell r="R363" t="str">
            <v>5%</v>
          </cell>
          <cell r="S363">
            <v>9328.33</v>
          </cell>
          <cell r="T363">
            <v>195895</v>
          </cell>
        </row>
        <row r="364">
          <cell r="M364" t="str">
            <v>A4-5-401</v>
          </cell>
          <cell r="N364" t="str">
            <v>平方米</v>
          </cell>
          <cell r="O364" t="str">
            <v>77.94</v>
          </cell>
          <cell r="P364" t="str">
            <v>2752.293577981651376</v>
          </cell>
          <cell r="Q364">
            <v>214513.76</v>
          </cell>
          <cell r="R364" t="str">
            <v>9%</v>
          </cell>
          <cell r="S364">
            <v>19306.24</v>
          </cell>
          <cell r="T364">
            <v>233820</v>
          </cell>
        </row>
        <row r="365">
          <cell r="M365" t="str">
            <v>A3-3-602</v>
          </cell>
          <cell r="N365" t="str">
            <v>平方米</v>
          </cell>
          <cell r="O365" t="str">
            <v>54.9</v>
          </cell>
          <cell r="P365" t="str">
            <v>2431.192660550458716</v>
          </cell>
          <cell r="Q365">
            <v>133472.48</v>
          </cell>
          <cell r="R365" t="str">
            <v>9%</v>
          </cell>
          <cell r="S365">
            <v>12012.52</v>
          </cell>
          <cell r="T365">
            <v>145485</v>
          </cell>
        </row>
        <row r="366">
          <cell r="M366" t="str">
            <v>A3-3-503</v>
          </cell>
          <cell r="N366" t="str">
            <v>平方米</v>
          </cell>
          <cell r="O366" t="str">
            <v>77.07</v>
          </cell>
          <cell r="P366" t="str">
            <v>2477.064220183486239</v>
          </cell>
          <cell r="Q366">
            <v>190907.34</v>
          </cell>
          <cell r="R366" t="str">
            <v>9%</v>
          </cell>
          <cell r="S366">
            <v>17181.66</v>
          </cell>
          <cell r="T366">
            <v>208089</v>
          </cell>
        </row>
        <row r="367">
          <cell r="M367" t="str">
            <v>A3-3-402</v>
          </cell>
          <cell r="N367" t="str">
            <v>平方米</v>
          </cell>
          <cell r="O367" t="str">
            <v>54.90</v>
          </cell>
          <cell r="P367" t="str">
            <v>2597.767416988352467</v>
          </cell>
          <cell r="Q367">
            <v>142617.43</v>
          </cell>
          <cell r="R367" t="str">
            <v>9%</v>
          </cell>
          <cell r="S367">
            <v>12835.57</v>
          </cell>
          <cell r="T367">
            <v>155453</v>
          </cell>
        </row>
        <row r="368">
          <cell r="M368" t="str">
            <v>A3-2-302</v>
          </cell>
          <cell r="N368" t="str">
            <v>平方米</v>
          </cell>
          <cell r="O368" t="str">
            <v>44.09</v>
          </cell>
          <cell r="P368" t="str">
            <v>2746.675378344129294</v>
          </cell>
          <cell r="Q368">
            <v>121100.92</v>
          </cell>
          <cell r="R368" t="str">
            <v>9%</v>
          </cell>
          <cell r="S368">
            <v>10899.08</v>
          </cell>
          <cell r="T368">
            <v>132000</v>
          </cell>
        </row>
        <row r="369">
          <cell r="M369" t="str">
            <v>5-110-1</v>
          </cell>
          <cell r="N369" t="str">
            <v>平方米</v>
          </cell>
          <cell r="O369" t="str">
            <v>31.99</v>
          </cell>
          <cell r="P369" t="str">
            <v>16190.47619047619</v>
          </cell>
          <cell r="Q369">
            <v>517933.33</v>
          </cell>
          <cell r="R369" t="str">
            <v>5%</v>
          </cell>
          <cell r="S369">
            <v>25896.67</v>
          </cell>
          <cell r="T369">
            <v>543830</v>
          </cell>
        </row>
        <row r="370">
          <cell r="M370" t="str">
            <v>5-1-804</v>
          </cell>
          <cell r="N370" t="str">
            <v>平方米</v>
          </cell>
          <cell r="O370" t="str">
            <v>64.27</v>
          </cell>
          <cell r="P370" t="str">
            <v>2714.293123504264</v>
          </cell>
          <cell r="Q370">
            <v>174447.62</v>
          </cell>
          <cell r="R370" t="str">
            <v>5%</v>
          </cell>
          <cell r="S370">
            <v>8722.38</v>
          </cell>
          <cell r="T370">
            <v>183170</v>
          </cell>
        </row>
        <row r="371">
          <cell r="M371" t="str">
            <v>1-1-602</v>
          </cell>
          <cell r="N371" t="str">
            <v>平方米</v>
          </cell>
          <cell r="O371" t="str">
            <v>103.38</v>
          </cell>
          <cell r="P371" t="str">
            <v>2723.809523809524</v>
          </cell>
          <cell r="Q371">
            <v>281587.43</v>
          </cell>
          <cell r="R371" t="str">
            <v>5%</v>
          </cell>
          <cell r="S371">
            <v>14079.37</v>
          </cell>
          <cell r="T371">
            <v>295666.8</v>
          </cell>
        </row>
        <row r="372">
          <cell r="M372" t="str">
            <v>7-2-901</v>
          </cell>
          <cell r="N372" t="str">
            <v>平方米</v>
          </cell>
          <cell r="O372" t="str">
            <v>92.56</v>
          </cell>
          <cell r="P372" t="str">
            <v>3531.423632547228</v>
          </cell>
          <cell r="Q372">
            <v>326868.57</v>
          </cell>
          <cell r="R372" t="str">
            <v>5%</v>
          </cell>
          <cell r="S372">
            <v>16343.43</v>
          </cell>
          <cell r="T372">
            <v>343212</v>
          </cell>
        </row>
        <row r="373">
          <cell r="M373" t="str">
            <v>7-2-402</v>
          </cell>
          <cell r="N373" t="str">
            <v>平方米</v>
          </cell>
          <cell r="O373" t="str">
            <v>100.08</v>
          </cell>
          <cell r="P373" t="str">
            <v>2380.9523809523807</v>
          </cell>
          <cell r="Q373">
            <v>238285.71</v>
          </cell>
          <cell r="R373" t="str">
            <v>5%</v>
          </cell>
          <cell r="S373">
            <v>11914.29</v>
          </cell>
          <cell r="T373">
            <v>250200</v>
          </cell>
        </row>
        <row r="374">
          <cell r="M374" t="str">
            <v>7-5-302</v>
          </cell>
          <cell r="N374" t="str">
            <v>平方米</v>
          </cell>
          <cell r="O374" t="str">
            <v>98.08</v>
          </cell>
          <cell r="P374" t="str">
            <v>3559.99961159015</v>
          </cell>
          <cell r="Q374">
            <v>349164.76</v>
          </cell>
          <cell r="R374" t="str">
            <v>5%</v>
          </cell>
          <cell r="S374">
            <v>17458.24</v>
          </cell>
          <cell r="T374">
            <v>366623</v>
          </cell>
        </row>
        <row r="375">
          <cell r="M375" t="str">
            <v>3-1-601</v>
          </cell>
          <cell r="N375" t="str">
            <v>平方米</v>
          </cell>
          <cell r="O375" t="str">
            <v>90.62</v>
          </cell>
          <cell r="P375" t="str">
            <v>2752.3830543031604</v>
          </cell>
          <cell r="Q375">
            <v>249420.95</v>
          </cell>
          <cell r="R375" t="str">
            <v>5%</v>
          </cell>
          <cell r="S375">
            <v>12471.05</v>
          </cell>
          <cell r="T375">
            <v>261892</v>
          </cell>
        </row>
        <row r="376">
          <cell r="M376" t="str">
            <v>4-1-402</v>
          </cell>
          <cell r="N376" t="str">
            <v>平方米</v>
          </cell>
          <cell r="O376" t="str">
            <v>87.65</v>
          </cell>
          <cell r="P376" t="str">
            <v>2988.074864857523</v>
          </cell>
          <cell r="Q376">
            <v>261904.76</v>
          </cell>
          <cell r="R376" t="str">
            <v>5%</v>
          </cell>
          <cell r="S376">
            <v>13095.24</v>
          </cell>
          <cell r="T376">
            <v>275000</v>
          </cell>
        </row>
        <row r="377">
          <cell r="M377" t="str">
            <v>5-5-604</v>
          </cell>
          <cell r="N377" t="str">
            <v>平方米</v>
          </cell>
          <cell r="O377" t="str">
            <v>43.14</v>
          </cell>
          <cell r="P377" t="str">
            <v>2761.904761904762</v>
          </cell>
          <cell r="Q377">
            <v>119148.57</v>
          </cell>
          <cell r="R377" t="str">
            <v>5%</v>
          </cell>
          <cell r="S377">
            <v>5957.43</v>
          </cell>
          <cell r="T377">
            <v>125106</v>
          </cell>
        </row>
        <row r="378">
          <cell r="M378" t="str">
            <v>1-1-802</v>
          </cell>
          <cell r="N378" t="str">
            <v>平方米</v>
          </cell>
          <cell r="O378" t="str">
            <v>103.76</v>
          </cell>
          <cell r="P378" t="str">
            <v>2952.3809523809523</v>
          </cell>
          <cell r="Q378">
            <v>306339.05</v>
          </cell>
          <cell r="R378" t="str">
            <v>5%</v>
          </cell>
          <cell r="S378">
            <v>15316.95</v>
          </cell>
          <cell r="T378">
            <v>321656</v>
          </cell>
        </row>
        <row r="379">
          <cell r="M379" t="str">
            <v>5-1-504</v>
          </cell>
          <cell r="N379" t="str">
            <v>平方米</v>
          </cell>
          <cell r="O379" t="str">
            <v>64.27</v>
          </cell>
          <cell r="P379" t="str">
            <v>2666.6666666666665</v>
          </cell>
          <cell r="Q379">
            <v>171386.67</v>
          </cell>
          <cell r="R379" t="str">
            <v>5%</v>
          </cell>
          <cell r="S379">
            <v>8569.33</v>
          </cell>
          <cell r="T379">
            <v>179956</v>
          </cell>
        </row>
        <row r="380">
          <cell r="M380" t="str">
            <v>6-1-402</v>
          </cell>
          <cell r="N380" t="str">
            <v>平方米</v>
          </cell>
          <cell r="O380" t="str">
            <v>97.25</v>
          </cell>
          <cell r="P380" t="str">
            <v>3445.719182274452</v>
          </cell>
          <cell r="Q380">
            <v>335096.19</v>
          </cell>
          <cell r="R380" t="str">
            <v>5%</v>
          </cell>
          <cell r="S380">
            <v>16754.81</v>
          </cell>
          <cell r="T380">
            <v>351851</v>
          </cell>
        </row>
        <row r="381">
          <cell r="M381" t="str">
            <v>6-3-602</v>
          </cell>
          <cell r="N381" t="str">
            <v>平方米</v>
          </cell>
          <cell r="O381" t="str">
            <v>89.99</v>
          </cell>
          <cell r="P381" t="str">
            <v>3093.3384132628494</v>
          </cell>
          <cell r="Q381">
            <v>278369.52</v>
          </cell>
          <cell r="R381" t="str">
            <v>5%</v>
          </cell>
          <cell r="S381">
            <v>13918.48</v>
          </cell>
          <cell r="T381">
            <v>292288</v>
          </cell>
        </row>
        <row r="382">
          <cell r="M382" t="str">
            <v>6-2-301</v>
          </cell>
          <cell r="N382" t="str">
            <v>平方米</v>
          </cell>
          <cell r="O382" t="str">
            <v>97.12</v>
          </cell>
          <cell r="P382" t="str">
            <v>3855.240448733035</v>
          </cell>
          <cell r="Q382">
            <v>374420.95</v>
          </cell>
          <cell r="R382" t="str">
            <v>5%</v>
          </cell>
          <cell r="S382">
            <v>18721.05</v>
          </cell>
          <cell r="T382">
            <v>393142</v>
          </cell>
        </row>
        <row r="383">
          <cell r="M383" t="str">
            <v>6-4-502</v>
          </cell>
          <cell r="N383" t="str">
            <v>平方米</v>
          </cell>
          <cell r="O383" t="str">
            <v>97.45</v>
          </cell>
          <cell r="P383" t="str">
            <v>3095.2429817488824</v>
          </cell>
          <cell r="Q383">
            <v>301631.43</v>
          </cell>
          <cell r="R383" t="str">
            <v>5%</v>
          </cell>
          <cell r="S383">
            <v>15081.57</v>
          </cell>
          <cell r="T383">
            <v>316713</v>
          </cell>
        </row>
        <row r="384">
          <cell r="M384" t="str">
            <v>2-2-102</v>
          </cell>
          <cell r="N384" t="str">
            <v>平方米</v>
          </cell>
          <cell r="O384" t="str">
            <v>124.66</v>
          </cell>
          <cell r="P384" t="str">
            <v>3664.764349506849</v>
          </cell>
          <cell r="Q384">
            <v>456849.52</v>
          </cell>
          <cell r="R384" t="str">
            <v>5%</v>
          </cell>
          <cell r="S384">
            <v>22842.48</v>
          </cell>
          <cell r="T384">
            <v>479692</v>
          </cell>
        </row>
        <row r="385">
          <cell r="M385" t="str">
            <v>A9-2-404</v>
          </cell>
          <cell r="N385" t="str">
            <v>平方米</v>
          </cell>
          <cell r="O385" t="str">
            <v>71.87</v>
          </cell>
          <cell r="P385" t="str">
            <v>2889.914639454774995</v>
          </cell>
          <cell r="Q385">
            <v>207698.17</v>
          </cell>
          <cell r="R385" t="str">
            <v>9%</v>
          </cell>
          <cell r="S385">
            <v>18692.83</v>
          </cell>
          <cell r="T385">
            <v>226391</v>
          </cell>
        </row>
        <row r="386">
          <cell r="M386" t="str">
            <v>A7-3-302</v>
          </cell>
          <cell r="N386" t="str">
            <v>平方米</v>
          </cell>
          <cell r="O386" t="str">
            <v>82.65</v>
          </cell>
          <cell r="P386" t="str">
            <v>3027.522935779816514</v>
          </cell>
          <cell r="Q386">
            <v>250224.77</v>
          </cell>
          <cell r="R386" t="str">
            <v>9%</v>
          </cell>
          <cell r="S386">
            <v>22520.23</v>
          </cell>
          <cell r="T386">
            <v>272745</v>
          </cell>
        </row>
        <row r="387">
          <cell r="M387" t="str">
            <v>A7-1-102</v>
          </cell>
          <cell r="N387" t="str">
            <v>平方米</v>
          </cell>
          <cell r="O387" t="str">
            <v>74.18</v>
          </cell>
          <cell r="P387" t="str">
            <v>2931.129585610008880</v>
          </cell>
          <cell r="Q387">
            <v>217431.19</v>
          </cell>
          <cell r="R387" t="str">
            <v>9%</v>
          </cell>
          <cell r="S387">
            <v>19568.81</v>
          </cell>
          <cell r="T387">
            <v>237000</v>
          </cell>
        </row>
        <row r="388">
          <cell r="M388" t="str">
            <v>A13-2-202</v>
          </cell>
          <cell r="N388" t="str">
            <v>平方米</v>
          </cell>
          <cell r="O388" t="str">
            <v>80.05</v>
          </cell>
          <cell r="P388" t="str">
            <v>3025.631915832421250</v>
          </cell>
          <cell r="Q388">
            <v>242201.83</v>
          </cell>
          <cell r="R388" t="str">
            <v>9%</v>
          </cell>
          <cell r="S388">
            <v>21798.17</v>
          </cell>
          <cell r="T388">
            <v>264000</v>
          </cell>
        </row>
        <row r="389">
          <cell r="M389" t="str">
            <v>A8-2-603</v>
          </cell>
          <cell r="N389" t="str">
            <v>平方米</v>
          </cell>
          <cell r="O389" t="str">
            <v>68.13</v>
          </cell>
          <cell r="P389" t="str">
            <v>2553.133041662121928</v>
          </cell>
          <cell r="Q389">
            <v>173944.95</v>
          </cell>
          <cell r="R389" t="str">
            <v>9%</v>
          </cell>
          <cell r="S389">
            <v>15655.05</v>
          </cell>
          <cell r="T389">
            <v>189600</v>
          </cell>
        </row>
        <row r="390">
          <cell r="M390" t="str">
            <v>A8-1-101</v>
          </cell>
          <cell r="N390" t="str">
            <v>平方米</v>
          </cell>
          <cell r="O390" t="str">
            <v>68.16</v>
          </cell>
          <cell r="P390" t="str">
            <v>2974.652194512641599</v>
          </cell>
          <cell r="Q390">
            <v>202752.29</v>
          </cell>
          <cell r="R390" t="str">
            <v>9%</v>
          </cell>
          <cell r="S390">
            <v>18247.71</v>
          </cell>
          <cell r="T390">
            <v>221000</v>
          </cell>
        </row>
        <row r="391">
          <cell r="M391" t="str">
            <v>A8-1-102</v>
          </cell>
          <cell r="N391" t="str">
            <v>平方米</v>
          </cell>
          <cell r="O391" t="str">
            <v>68.13</v>
          </cell>
          <cell r="P391" t="str">
            <v>2902.034292239472029</v>
          </cell>
          <cell r="Q391">
            <v>197715.6</v>
          </cell>
          <cell r="R391" t="str">
            <v>9%</v>
          </cell>
          <cell r="S391">
            <v>17794.4</v>
          </cell>
          <cell r="T391">
            <v>215510</v>
          </cell>
        </row>
        <row r="392">
          <cell r="M392" t="str">
            <v>A8-2-302</v>
          </cell>
          <cell r="N392" t="str">
            <v>平方米</v>
          </cell>
          <cell r="O392" t="str">
            <v>60.56</v>
          </cell>
          <cell r="P392" t="str">
            <v>3077.863488177620496</v>
          </cell>
          <cell r="Q392">
            <v>186395.41</v>
          </cell>
          <cell r="R392" t="str">
            <v>9%</v>
          </cell>
          <cell r="S392">
            <v>16775.59</v>
          </cell>
          <cell r="T392">
            <v>203171</v>
          </cell>
        </row>
        <row r="393">
          <cell r="M393" t="str">
            <v>A8-2-504</v>
          </cell>
          <cell r="N393" t="str">
            <v>平方米</v>
          </cell>
          <cell r="O393" t="str">
            <v>68.16</v>
          </cell>
          <cell r="P393" t="str">
            <v>2844.036697247706422</v>
          </cell>
          <cell r="Q393">
            <v>193849.54</v>
          </cell>
          <cell r="R393" t="str">
            <v>9%</v>
          </cell>
          <cell r="S393">
            <v>17446.46</v>
          </cell>
          <cell r="T393">
            <v>211296</v>
          </cell>
        </row>
        <row r="394">
          <cell r="M394" t="str">
            <v>A9-2-203</v>
          </cell>
          <cell r="N394" t="str">
            <v>平方米</v>
          </cell>
          <cell r="O394" t="str">
            <v>76.45</v>
          </cell>
          <cell r="P394" t="str">
            <v>3064.220183486238532</v>
          </cell>
          <cell r="Q394">
            <v>234259.63</v>
          </cell>
          <cell r="R394" t="str">
            <v>9%</v>
          </cell>
          <cell r="S394">
            <v>21083.37</v>
          </cell>
          <cell r="T394">
            <v>255343</v>
          </cell>
        </row>
        <row r="395">
          <cell r="M395" t="str">
            <v>A9-1-502</v>
          </cell>
          <cell r="N395" t="str">
            <v>平方米</v>
          </cell>
          <cell r="O395" t="str">
            <v>76.45</v>
          </cell>
          <cell r="P395" t="str">
            <v>2752.293577981651376</v>
          </cell>
          <cell r="Q395">
            <v>210412.84</v>
          </cell>
          <cell r="R395" t="str">
            <v>9%</v>
          </cell>
          <cell r="S395">
            <v>18937.16</v>
          </cell>
          <cell r="T395">
            <v>229350</v>
          </cell>
        </row>
        <row r="396">
          <cell r="M396" t="str">
            <v>A9-2-501</v>
          </cell>
          <cell r="N396" t="str">
            <v>平方米</v>
          </cell>
          <cell r="O396" t="str">
            <v>51.56</v>
          </cell>
          <cell r="P396" t="str">
            <v>2660.550458715596330</v>
          </cell>
          <cell r="Q396">
            <v>137177.98</v>
          </cell>
          <cell r="R396" t="str">
            <v>9%</v>
          </cell>
          <cell r="S396">
            <v>12346.02</v>
          </cell>
          <cell r="T396">
            <v>149524</v>
          </cell>
        </row>
        <row r="397">
          <cell r="M397" t="str">
            <v>A7-1-302</v>
          </cell>
          <cell r="N397" t="str">
            <v>平方米</v>
          </cell>
          <cell r="O397" t="str">
            <v>74.18</v>
          </cell>
          <cell r="P397" t="str">
            <v>3067.173574815536718</v>
          </cell>
          <cell r="Q397">
            <v>227522.94</v>
          </cell>
          <cell r="R397" t="str">
            <v>9%</v>
          </cell>
          <cell r="S397">
            <v>20477.06</v>
          </cell>
          <cell r="T397">
            <v>248000</v>
          </cell>
        </row>
        <row r="398">
          <cell r="M398" t="str">
            <v>A6-1-202</v>
          </cell>
          <cell r="N398" t="str">
            <v>平方米</v>
          </cell>
          <cell r="O398" t="str">
            <v>74.44</v>
          </cell>
          <cell r="P398" t="str">
            <v>3072.014158314805594</v>
          </cell>
          <cell r="Q398">
            <v>228680.73</v>
          </cell>
          <cell r="R398" t="str">
            <v>9%</v>
          </cell>
          <cell r="S398">
            <v>20581.27</v>
          </cell>
          <cell r="T398">
            <v>249262</v>
          </cell>
        </row>
        <row r="399">
          <cell r="M399" t="str">
            <v>A8-2-403</v>
          </cell>
          <cell r="N399" t="str">
            <v>平方米</v>
          </cell>
          <cell r="O399" t="str">
            <v>68.13</v>
          </cell>
          <cell r="P399" t="str">
            <v>3027.522935779816514</v>
          </cell>
          <cell r="Q399">
            <v>206265.14</v>
          </cell>
          <cell r="R399" t="str">
            <v>9%</v>
          </cell>
          <cell r="S399">
            <v>18563.86</v>
          </cell>
          <cell r="T399">
            <v>224829</v>
          </cell>
        </row>
        <row r="400">
          <cell r="M400" t="str">
            <v>A7-2-301</v>
          </cell>
          <cell r="N400" t="str">
            <v>平方米</v>
          </cell>
          <cell r="O400" t="str">
            <v>74.564040889957907</v>
          </cell>
          <cell r="P400" t="str">
            <v>3051.376146788990826</v>
          </cell>
          <cell r="Q400">
            <v>227522.94</v>
          </cell>
          <cell r="R400" t="str">
            <v>9%</v>
          </cell>
          <cell r="S400">
            <v>20477.06</v>
          </cell>
          <cell r="T400">
            <v>248000</v>
          </cell>
        </row>
        <row r="401">
          <cell r="M401" t="str">
            <v>A9-1-401</v>
          </cell>
          <cell r="N401" t="str">
            <v>平方米</v>
          </cell>
          <cell r="O401" t="str">
            <v>71.87</v>
          </cell>
          <cell r="P401" t="str">
            <v>2789.912469379601038</v>
          </cell>
          <cell r="Q401">
            <v>200511.01</v>
          </cell>
          <cell r="R401" t="str">
            <v>9%</v>
          </cell>
          <cell r="S401">
            <v>18045.99</v>
          </cell>
          <cell r="T401">
            <v>218557</v>
          </cell>
        </row>
        <row r="402">
          <cell r="M402" t="str">
            <v>A9-1-501</v>
          </cell>
          <cell r="N402" t="str">
            <v>平方米</v>
          </cell>
          <cell r="O402" t="str">
            <v>71.87</v>
          </cell>
          <cell r="P402" t="str">
            <v>2752.293577981651376</v>
          </cell>
          <cell r="Q402">
            <v>197807.34</v>
          </cell>
          <cell r="R402" t="str">
            <v>9%</v>
          </cell>
          <cell r="S402">
            <v>17802.66</v>
          </cell>
          <cell r="T402">
            <v>215610</v>
          </cell>
        </row>
        <row r="403">
          <cell r="M403" t="str">
            <v>A7-3-601</v>
          </cell>
          <cell r="N403" t="str">
            <v>平方米</v>
          </cell>
          <cell r="O403" t="str">
            <v>74.18</v>
          </cell>
          <cell r="P403" t="str">
            <v>2568.807339449541284</v>
          </cell>
          <cell r="Q403">
            <v>190554.13</v>
          </cell>
          <cell r="R403" t="str">
            <v>9%</v>
          </cell>
          <cell r="S403">
            <v>17149.87</v>
          </cell>
          <cell r="T403">
            <v>207704</v>
          </cell>
        </row>
        <row r="404">
          <cell r="M404" t="str">
            <v>A8-1-501</v>
          </cell>
          <cell r="N404" t="str">
            <v>平方米</v>
          </cell>
          <cell r="O404" t="str">
            <v>68.16</v>
          </cell>
          <cell r="P404" t="str">
            <v>2800.910970409613645</v>
          </cell>
          <cell r="Q404">
            <v>190910.09</v>
          </cell>
          <cell r="R404" t="str">
            <v>9%</v>
          </cell>
          <cell r="S404">
            <v>17181.91</v>
          </cell>
          <cell r="T404">
            <v>208092</v>
          </cell>
        </row>
        <row r="405">
          <cell r="M405" t="str">
            <v>A7-2-202</v>
          </cell>
          <cell r="N405" t="str">
            <v>平方米</v>
          </cell>
          <cell r="O405" t="str">
            <v>77.6</v>
          </cell>
          <cell r="P405" t="str">
            <v>3064.220183486238532</v>
          </cell>
          <cell r="Q405">
            <v>237783.49</v>
          </cell>
          <cell r="R405" t="str">
            <v>9%</v>
          </cell>
          <cell r="S405">
            <v>21400.51</v>
          </cell>
          <cell r="T405">
            <v>259184</v>
          </cell>
        </row>
        <row r="406">
          <cell r="M406" t="str">
            <v>A6-1-302</v>
          </cell>
          <cell r="N406" t="str">
            <v>平方米</v>
          </cell>
          <cell r="O406" t="str">
            <v>74.44</v>
          </cell>
          <cell r="P406" t="str">
            <v>3036.692317931071881</v>
          </cell>
          <cell r="Q406">
            <v>226051.38</v>
          </cell>
          <cell r="R406" t="str">
            <v>9%</v>
          </cell>
          <cell r="S406">
            <v>20344.62</v>
          </cell>
          <cell r="T406">
            <v>246396</v>
          </cell>
        </row>
        <row r="407">
          <cell r="M407" t="str">
            <v>A9-2-204</v>
          </cell>
          <cell r="N407" t="str">
            <v>平方米</v>
          </cell>
          <cell r="O407" t="str">
            <v>57.496047146758660</v>
          </cell>
          <cell r="P407" t="str">
            <v>3063.633027522935780</v>
          </cell>
          <cell r="Q407">
            <v>176146.79</v>
          </cell>
          <cell r="R407" t="str">
            <v>9%</v>
          </cell>
          <cell r="S407">
            <v>15853.21</v>
          </cell>
          <cell r="T407">
            <v>192000</v>
          </cell>
        </row>
        <row r="408">
          <cell r="M408" t="str">
            <v>A4-108</v>
          </cell>
          <cell r="N408" t="str">
            <v>平方米</v>
          </cell>
          <cell r="O408" t="str">
            <v>19.18</v>
          </cell>
          <cell r="P408" t="str">
            <v>4403.669724770642202</v>
          </cell>
          <cell r="Q408">
            <v>84462.39</v>
          </cell>
          <cell r="R408" t="str">
            <v>9%</v>
          </cell>
          <cell r="S408">
            <v>7601.61</v>
          </cell>
          <cell r="T408">
            <v>92064</v>
          </cell>
        </row>
        <row r="409">
          <cell r="M409" t="str">
            <v>A9-2-502</v>
          </cell>
          <cell r="N409" t="str">
            <v>平方米</v>
          </cell>
          <cell r="O409" t="str">
            <v>52.21</v>
          </cell>
          <cell r="P409" t="str">
            <v>2751.766419663708137</v>
          </cell>
          <cell r="Q409">
            <v>143669.72</v>
          </cell>
          <cell r="R409" t="str">
            <v>9%</v>
          </cell>
          <cell r="S409">
            <v>12930.28</v>
          </cell>
          <cell r="T409">
            <v>156600</v>
          </cell>
        </row>
        <row r="410">
          <cell r="M410" t="str">
            <v>A7-1-201</v>
          </cell>
          <cell r="N410" t="str">
            <v>平方米</v>
          </cell>
          <cell r="O410" t="str">
            <v>82.65</v>
          </cell>
          <cell r="P410" t="str">
            <v>3055.051421657592257</v>
          </cell>
          <cell r="Q410">
            <v>252500</v>
          </cell>
          <cell r="R410" t="str">
            <v>9%</v>
          </cell>
          <cell r="S410">
            <v>22725</v>
          </cell>
          <cell r="T410">
            <v>275225</v>
          </cell>
        </row>
        <row r="411">
          <cell r="M411" t="str">
            <v>5-2-202</v>
          </cell>
          <cell r="N411" t="str">
            <v>平方米</v>
          </cell>
          <cell r="O411" t="str">
            <v>101.5</v>
          </cell>
          <cell r="P411" t="str">
            <v>2761.904761904761905</v>
          </cell>
          <cell r="Q411">
            <v>280333.33</v>
          </cell>
          <cell r="R411" t="str">
            <v>5%</v>
          </cell>
          <cell r="S411">
            <v>14016.67</v>
          </cell>
          <cell r="T411">
            <v>294350</v>
          </cell>
        </row>
        <row r="412">
          <cell r="M412" t="str">
            <v>A9-2-204</v>
          </cell>
          <cell r="N412" t="str">
            <v>平方米</v>
          </cell>
          <cell r="O412" t="str">
            <v>8.983757366681041</v>
          </cell>
          <cell r="P412" t="str">
            <v>3063.633027522935780</v>
          </cell>
          <cell r="Q412">
            <v>27522.94</v>
          </cell>
          <cell r="R412" t="str">
            <v>9%</v>
          </cell>
          <cell r="S412">
            <v>2477.06</v>
          </cell>
          <cell r="T412">
            <v>30000</v>
          </cell>
        </row>
        <row r="413">
          <cell r="M413" t="str">
            <v>A9-1-103</v>
          </cell>
          <cell r="N413" t="str">
            <v>平方米</v>
          </cell>
          <cell r="O413" t="str">
            <v>52.21</v>
          </cell>
          <cell r="P413" t="str">
            <v>2981.660162118754712</v>
          </cell>
          <cell r="Q413">
            <v>155672.48</v>
          </cell>
          <cell r="R413" t="str">
            <v>9%</v>
          </cell>
          <cell r="S413">
            <v>14010.52</v>
          </cell>
          <cell r="T413">
            <v>169683</v>
          </cell>
        </row>
        <row r="414">
          <cell r="M414" t="str">
            <v>A9-2-104</v>
          </cell>
          <cell r="N414" t="str">
            <v>平方米</v>
          </cell>
          <cell r="O414" t="str">
            <v>71.87</v>
          </cell>
          <cell r="P414" t="str">
            <v>2872.158318472573441</v>
          </cell>
          <cell r="Q414">
            <v>206422.02</v>
          </cell>
          <cell r="R414" t="str">
            <v>9%</v>
          </cell>
          <cell r="S414">
            <v>18577.98</v>
          </cell>
          <cell r="T414">
            <v>225000</v>
          </cell>
        </row>
        <row r="415">
          <cell r="M415" t="str">
            <v>A7-2-301</v>
          </cell>
          <cell r="N415" t="str">
            <v>平方米</v>
          </cell>
          <cell r="O415" t="str">
            <v>3.036079374624173</v>
          </cell>
          <cell r="P415" t="str">
            <v>3051.376146788990826</v>
          </cell>
          <cell r="Q415">
            <v>9264.22</v>
          </cell>
          <cell r="R415" t="str">
            <v>9%</v>
          </cell>
          <cell r="S415">
            <v>833.78</v>
          </cell>
          <cell r="T415">
            <v>10098</v>
          </cell>
        </row>
        <row r="416">
          <cell r="M416" t="str">
            <v>A9-1-201</v>
          </cell>
          <cell r="N416" t="str">
            <v>平方米</v>
          </cell>
          <cell r="O416" t="str">
            <v>71.87</v>
          </cell>
          <cell r="P416" t="str">
            <v>2981.657758720830041</v>
          </cell>
          <cell r="Q416">
            <v>214291.74</v>
          </cell>
          <cell r="R416" t="str">
            <v>9%</v>
          </cell>
          <cell r="S416">
            <v>19286.26</v>
          </cell>
          <cell r="T416">
            <v>233578</v>
          </cell>
        </row>
        <row r="417">
          <cell r="M417" t="str">
            <v>A9-2-204</v>
          </cell>
          <cell r="N417" t="str">
            <v>平方米</v>
          </cell>
          <cell r="O417" t="str">
            <v>5.390254420008624</v>
          </cell>
          <cell r="P417" t="str">
            <v>3063.633027522935780</v>
          </cell>
          <cell r="Q417">
            <v>16513.76</v>
          </cell>
          <cell r="R417" t="str">
            <v>9%</v>
          </cell>
          <cell r="S417">
            <v>1486.24</v>
          </cell>
          <cell r="T417">
            <v>18000</v>
          </cell>
        </row>
        <row r="418">
          <cell r="M418" t="str">
            <v>A9-2-402</v>
          </cell>
          <cell r="N418" t="str">
            <v>平方米</v>
          </cell>
          <cell r="O418" t="str">
            <v>52.21</v>
          </cell>
          <cell r="P418" t="str">
            <v>3117.262853437687251</v>
          </cell>
          <cell r="Q418">
            <v>162752.29</v>
          </cell>
          <cell r="R418" t="str">
            <v>9%</v>
          </cell>
          <cell r="S418">
            <v>14647.71</v>
          </cell>
          <cell r="T418">
            <v>177400</v>
          </cell>
        </row>
        <row r="419">
          <cell r="M419" t="str">
            <v>A1-2-602</v>
          </cell>
          <cell r="N419" t="str">
            <v>平方米</v>
          </cell>
          <cell r="O419" t="str">
            <v>72.37</v>
          </cell>
          <cell r="P419" t="str">
            <v>2477.064220183486239</v>
          </cell>
          <cell r="Q419">
            <v>179265.14</v>
          </cell>
          <cell r="R419" t="str">
            <v>9%</v>
          </cell>
          <cell r="S419">
            <v>16133.86</v>
          </cell>
          <cell r="T419">
            <v>195399</v>
          </cell>
        </row>
        <row r="420">
          <cell r="M420" t="str">
            <v>A7-1-502</v>
          </cell>
          <cell r="N420" t="str">
            <v>平方米</v>
          </cell>
          <cell r="O420" t="str">
            <v>74.18</v>
          </cell>
          <cell r="P420" t="str">
            <v>2743.116792527969407</v>
          </cell>
          <cell r="Q420">
            <v>203484.4</v>
          </cell>
          <cell r="R420" t="str">
            <v>9%</v>
          </cell>
          <cell r="S420">
            <v>18313.6</v>
          </cell>
          <cell r="T420">
            <v>221798</v>
          </cell>
        </row>
        <row r="421">
          <cell r="M421" t="str">
            <v>A14-108</v>
          </cell>
          <cell r="N421" t="str">
            <v>平方米</v>
          </cell>
          <cell r="O421" t="str">
            <v>141.77</v>
          </cell>
          <cell r="P421" t="str">
            <v>6794.827906422924326</v>
          </cell>
          <cell r="Q421">
            <v>963302.75</v>
          </cell>
          <cell r="R421" t="str">
            <v>9%</v>
          </cell>
          <cell r="S421">
            <v>86697.25</v>
          </cell>
          <cell r="T421">
            <v>1050000</v>
          </cell>
        </row>
        <row r="422">
          <cell r="M422" t="str">
            <v>A8-1-401</v>
          </cell>
          <cell r="N422" t="str">
            <v>平方米</v>
          </cell>
          <cell r="O422" t="str">
            <v>68.16</v>
          </cell>
          <cell r="P422" t="str">
            <v>3027.522935779816514</v>
          </cell>
          <cell r="Q422">
            <v>206355.96</v>
          </cell>
          <cell r="R422" t="str">
            <v>9%</v>
          </cell>
          <cell r="S422">
            <v>18572.04</v>
          </cell>
          <cell r="T422">
            <v>224928</v>
          </cell>
        </row>
        <row r="423">
          <cell r="M423" t="str">
            <v>A8-2-304</v>
          </cell>
          <cell r="N423" t="str">
            <v>平方米</v>
          </cell>
          <cell r="O423" t="str">
            <v>68.16</v>
          </cell>
          <cell r="P423" t="str">
            <v>3082.331911961063014</v>
          </cell>
          <cell r="Q423">
            <v>210091.74</v>
          </cell>
          <cell r="R423" t="str">
            <v>9%</v>
          </cell>
          <cell r="S423">
            <v>18908.26</v>
          </cell>
          <cell r="T423">
            <v>229000</v>
          </cell>
        </row>
        <row r="424">
          <cell r="M424" t="str">
            <v>A7-3-202</v>
          </cell>
          <cell r="N424" t="str">
            <v>平方米</v>
          </cell>
          <cell r="O424" t="str">
            <v>82.65</v>
          </cell>
          <cell r="P424" t="str">
            <v>3085.854465331313097</v>
          </cell>
          <cell r="Q424">
            <v>255045.87</v>
          </cell>
          <cell r="R424" t="str">
            <v>9%</v>
          </cell>
          <cell r="S424">
            <v>22954.13</v>
          </cell>
          <cell r="T424">
            <v>278000</v>
          </cell>
        </row>
        <row r="425">
          <cell r="M425" t="str">
            <v>5-3-201</v>
          </cell>
          <cell r="N425" t="str">
            <v>平方米</v>
          </cell>
          <cell r="O425" t="str">
            <v>101.77</v>
          </cell>
          <cell r="P425" t="str">
            <v>2620.952006625584301</v>
          </cell>
          <cell r="Q425">
            <v>266734.29</v>
          </cell>
          <cell r="R425" t="str">
            <v>5%</v>
          </cell>
          <cell r="S425">
            <v>13336.71</v>
          </cell>
          <cell r="T425">
            <v>280071</v>
          </cell>
        </row>
        <row r="426">
          <cell r="M426" t="str">
            <v>A5-3-502</v>
          </cell>
          <cell r="N426" t="str">
            <v>平方米</v>
          </cell>
          <cell r="O426" t="str">
            <v>85.38</v>
          </cell>
          <cell r="P426" t="str">
            <v>2614.678899082568807</v>
          </cell>
          <cell r="Q426">
            <v>223241.28</v>
          </cell>
          <cell r="R426" t="str">
            <v>9%</v>
          </cell>
          <cell r="S426">
            <v>20091.72</v>
          </cell>
          <cell r="T426">
            <v>243333</v>
          </cell>
        </row>
        <row r="427">
          <cell r="M427" t="str">
            <v>A1-1-501</v>
          </cell>
          <cell r="N427" t="str">
            <v>平方米</v>
          </cell>
          <cell r="O427" t="str">
            <v>77.25</v>
          </cell>
          <cell r="P427" t="str">
            <v>2461.720257712063181</v>
          </cell>
          <cell r="Q427">
            <v>190167.89</v>
          </cell>
          <cell r="R427" t="str">
            <v>9%</v>
          </cell>
          <cell r="S427">
            <v>17115.11</v>
          </cell>
          <cell r="T427">
            <v>207283</v>
          </cell>
        </row>
        <row r="428">
          <cell r="M428" t="str">
            <v>5-101</v>
          </cell>
          <cell r="N428" t="str">
            <v>平方米</v>
          </cell>
          <cell r="O428" t="str">
            <v>8.97</v>
          </cell>
          <cell r="P428" t="str">
            <v>18095.238095238095238</v>
          </cell>
          <cell r="Q428">
            <v>162314.29</v>
          </cell>
          <cell r="R428" t="str">
            <v>5%</v>
          </cell>
          <cell r="S428">
            <v>8115.71</v>
          </cell>
          <cell r="T428">
            <v>170430</v>
          </cell>
        </row>
        <row r="429">
          <cell r="M429" t="str">
            <v>5-101</v>
          </cell>
          <cell r="N429" t="str">
            <v>平方米</v>
          </cell>
          <cell r="O429" t="str">
            <v>50</v>
          </cell>
          <cell r="P429" t="str">
            <v>18095.238095238095238</v>
          </cell>
          <cell r="Q429">
            <v>904761.9</v>
          </cell>
          <cell r="R429" t="str">
            <v>5%</v>
          </cell>
          <cell r="S429">
            <v>45238.1</v>
          </cell>
          <cell r="T429">
            <v>950000</v>
          </cell>
        </row>
        <row r="430">
          <cell r="M430" t="str">
            <v>A4-4-601</v>
          </cell>
          <cell r="N430" t="str">
            <v>平方米</v>
          </cell>
          <cell r="O430" t="str">
            <v>81.93</v>
          </cell>
          <cell r="P430" t="str">
            <v>2431.198259422621907</v>
          </cell>
          <cell r="Q430">
            <v>199188.07</v>
          </cell>
          <cell r="R430" t="str">
            <v>9%</v>
          </cell>
          <cell r="S430">
            <v>17926.93</v>
          </cell>
          <cell r="T430">
            <v>217115</v>
          </cell>
        </row>
        <row r="431">
          <cell r="M431" t="str">
            <v>A4-5-301</v>
          </cell>
          <cell r="N431" t="str">
            <v>平方米</v>
          </cell>
          <cell r="O431" t="str">
            <v>77.94</v>
          </cell>
          <cell r="P431" t="str">
            <v>2707.328384807885624</v>
          </cell>
          <cell r="Q431">
            <v>211009.17</v>
          </cell>
          <cell r="R431" t="str">
            <v>9%</v>
          </cell>
          <cell r="S431">
            <v>18990.83</v>
          </cell>
          <cell r="T431">
            <v>230000</v>
          </cell>
        </row>
        <row r="432">
          <cell r="M432" t="str">
            <v>A4-1-601</v>
          </cell>
          <cell r="N432" t="str">
            <v>平方米</v>
          </cell>
          <cell r="O432" t="str">
            <v>81.93</v>
          </cell>
          <cell r="P432" t="str">
            <v>2385.321100917431193</v>
          </cell>
          <cell r="Q432">
            <v>195429.36</v>
          </cell>
          <cell r="R432" t="str">
            <v>9%</v>
          </cell>
          <cell r="S432">
            <v>17588.64</v>
          </cell>
          <cell r="T432">
            <v>213018</v>
          </cell>
        </row>
        <row r="433">
          <cell r="M433" t="str">
            <v>A2-3-502</v>
          </cell>
          <cell r="N433" t="str">
            <v>平方米</v>
          </cell>
          <cell r="O433" t="str">
            <v>54.91</v>
          </cell>
          <cell r="P433" t="str">
            <v>2423.014139901991416</v>
          </cell>
          <cell r="Q433">
            <v>133047.71</v>
          </cell>
          <cell r="R433" t="str">
            <v>9%</v>
          </cell>
          <cell r="S433">
            <v>11974.29</v>
          </cell>
          <cell r="T433">
            <v>145022</v>
          </cell>
        </row>
        <row r="434">
          <cell r="M434" t="str">
            <v>A14-101</v>
          </cell>
          <cell r="N434" t="str">
            <v>平方米</v>
          </cell>
          <cell r="O434" t="str">
            <v>54.05</v>
          </cell>
          <cell r="P434" t="str">
            <v>6238.532110091743119</v>
          </cell>
          <cell r="Q434">
            <v>337192.66</v>
          </cell>
          <cell r="R434" t="str">
            <v>9%</v>
          </cell>
          <cell r="S434">
            <v>30347.34</v>
          </cell>
          <cell r="T434">
            <v>367540</v>
          </cell>
        </row>
        <row r="435">
          <cell r="M435" t="str">
            <v>A5-1-302</v>
          </cell>
          <cell r="N435" t="str">
            <v>平方米</v>
          </cell>
          <cell r="O435" t="str">
            <v>84.85</v>
          </cell>
          <cell r="P435" t="str">
            <v>2825.688073394495413</v>
          </cell>
          <cell r="Q435">
            <v>239759.63</v>
          </cell>
          <cell r="R435" t="str">
            <v>9%</v>
          </cell>
          <cell r="S435">
            <v>21578.37</v>
          </cell>
          <cell r="T435">
            <v>261338</v>
          </cell>
        </row>
        <row r="436">
          <cell r="M436" t="str">
            <v>A4-3-502</v>
          </cell>
          <cell r="N436" t="str">
            <v>平方米</v>
          </cell>
          <cell r="O436" t="str">
            <v>81.93</v>
          </cell>
          <cell r="P436" t="str">
            <v>2568.807339449541284</v>
          </cell>
          <cell r="Q436">
            <v>210462.39</v>
          </cell>
          <cell r="R436" t="str">
            <v>9%</v>
          </cell>
          <cell r="S436">
            <v>18941.61</v>
          </cell>
          <cell r="T436">
            <v>229404</v>
          </cell>
        </row>
        <row r="437">
          <cell r="M437" t="str">
            <v>A3-2-203</v>
          </cell>
          <cell r="N437" t="str">
            <v>平方米</v>
          </cell>
          <cell r="O437" t="str">
            <v>89.31</v>
          </cell>
          <cell r="P437" t="str">
            <v>2844.036697247706422</v>
          </cell>
          <cell r="Q437">
            <v>254000.92</v>
          </cell>
          <cell r="R437" t="str">
            <v>9%</v>
          </cell>
          <cell r="S437">
            <v>22860.08</v>
          </cell>
          <cell r="T437">
            <v>276861</v>
          </cell>
        </row>
        <row r="438">
          <cell r="M438" t="str">
            <v>A3-112</v>
          </cell>
          <cell r="N438" t="str">
            <v>平方米</v>
          </cell>
          <cell r="O438" t="str">
            <v>21.42</v>
          </cell>
          <cell r="P438" t="str">
            <v>6284.403669724770642</v>
          </cell>
          <cell r="Q438">
            <v>134611.93</v>
          </cell>
          <cell r="R438" t="str">
            <v>9%</v>
          </cell>
          <cell r="S438">
            <v>12115.07</v>
          </cell>
          <cell r="T438">
            <v>146727</v>
          </cell>
        </row>
        <row r="439">
          <cell r="M439" t="str">
            <v>A1-107</v>
          </cell>
          <cell r="N439" t="str">
            <v>平方米</v>
          </cell>
          <cell r="O439" t="str">
            <v>60.89</v>
          </cell>
          <cell r="P439" t="str">
            <v>6026.810265465925168</v>
          </cell>
          <cell r="Q439">
            <v>366972.48</v>
          </cell>
          <cell r="R439" t="str">
            <v>9%</v>
          </cell>
          <cell r="S439">
            <v>33027.52</v>
          </cell>
          <cell r="T439">
            <v>400000</v>
          </cell>
        </row>
        <row r="440">
          <cell r="M440" t="str">
            <v>4-2-201</v>
          </cell>
          <cell r="N440" t="str">
            <v>平方米</v>
          </cell>
          <cell r="O440" t="str">
            <v>152.11</v>
          </cell>
          <cell r="P440" t="str">
            <v>2952.380952380952381</v>
          </cell>
          <cell r="Q440">
            <v>449086.67</v>
          </cell>
          <cell r="R440" t="str">
            <v>5%</v>
          </cell>
          <cell r="S440">
            <v>22454.33</v>
          </cell>
          <cell r="T440">
            <v>471541</v>
          </cell>
        </row>
        <row r="441">
          <cell r="M441" t="str">
            <v>7-4-501</v>
          </cell>
          <cell r="N441" t="str">
            <v>平方米</v>
          </cell>
          <cell r="O441" t="str">
            <v>90.57</v>
          </cell>
          <cell r="P441" t="str">
            <v>3302.859666556254830</v>
          </cell>
          <cell r="Q441">
            <v>299140</v>
          </cell>
          <cell r="R441" t="str">
            <v>5%</v>
          </cell>
          <cell r="S441">
            <v>14957</v>
          </cell>
          <cell r="T441">
            <v>314097</v>
          </cell>
        </row>
        <row r="442">
          <cell r="M442" t="str">
            <v>6-1-201</v>
          </cell>
          <cell r="N442" t="str">
            <v>平方米</v>
          </cell>
          <cell r="O442" t="str">
            <v>97.45</v>
          </cell>
          <cell r="P442" t="str">
            <v>3836.194385399105769</v>
          </cell>
          <cell r="Q442">
            <v>373837.14</v>
          </cell>
          <cell r="R442" t="str">
            <v>5%</v>
          </cell>
          <cell r="S442">
            <v>18691.86</v>
          </cell>
          <cell r="T442">
            <v>392529</v>
          </cell>
        </row>
        <row r="443">
          <cell r="M443" t="str">
            <v>A3-1-401</v>
          </cell>
          <cell r="N443" t="str">
            <v>平方米</v>
          </cell>
          <cell r="O443" t="str">
            <v>94.92</v>
          </cell>
          <cell r="P443" t="str">
            <v>2706.422018348623853</v>
          </cell>
          <cell r="Q443">
            <v>256893.58</v>
          </cell>
          <cell r="R443" t="str">
            <v>9%</v>
          </cell>
          <cell r="S443">
            <v>23120.42</v>
          </cell>
          <cell r="T443">
            <v>280014</v>
          </cell>
        </row>
        <row r="444">
          <cell r="M444" t="str">
            <v>A2-3-403</v>
          </cell>
          <cell r="N444" t="str">
            <v>平方米</v>
          </cell>
          <cell r="O444" t="str">
            <v>77.09</v>
          </cell>
          <cell r="P444" t="str">
            <v>2587.158343458914339</v>
          </cell>
          <cell r="Q444">
            <v>199444.04</v>
          </cell>
          <cell r="R444" t="str">
            <v>9%</v>
          </cell>
          <cell r="S444">
            <v>17949.96</v>
          </cell>
          <cell r="T444">
            <v>217394</v>
          </cell>
        </row>
        <row r="445">
          <cell r="M445" t="str">
            <v>7-4-402</v>
          </cell>
          <cell r="N445" t="str">
            <v>平方米</v>
          </cell>
          <cell r="O445" t="str">
            <v>97.74</v>
          </cell>
          <cell r="P445" t="str">
            <v>3388.572208093386730</v>
          </cell>
          <cell r="Q445">
            <v>331199.05</v>
          </cell>
          <cell r="R445" t="str">
            <v>5%</v>
          </cell>
          <cell r="S445">
            <v>16559.95</v>
          </cell>
          <cell r="T445">
            <v>347759</v>
          </cell>
        </row>
        <row r="446">
          <cell r="M446" t="str">
            <v>7-4-401</v>
          </cell>
          <cell r="N446" t="str">
            <v>平方米</v>
          </cell>
          <cell r="O446" t="str">
            <v>97.74</v>
          </cell>
          <cell r="P446" t="str">
            <v>3388.572208093386730</v>
          </cell>
          <cell r="Q446">
            <v>331199.05</v>
          </cell>
          <cell r="R446" t="str">
            <v>5%</v>
          </cell>
          <cell r="S446">
            <v>16559.95</v>
          </cell>
          <cell r="T446">
            <v>347759</v>
          </cell>
        </row>
        <row r="447">
          <cell r="M447" t="str">
            <v>A4-2-401</v>
          </cell>
          <cell r="N447" t="str">
            <v>平方米</v>
          </cell>
          <cell r="O447" t="str">
            <v>77.94</v>
          </cell>
          <cell r="P447" t="str">
            <v>2610.088211821372828</v>
          </cell>
          <cell r="Q447">
            <v>203430.28</v>
          </cell>
          <cell r="R447" t="str">
            <v>9%</v>
          </cell>
          <cell r="S447">
            <v>18308.72</v>
          </cell>
          <cell r="T447">
            <v>221739</v>
          </cell>
        </row>
        <row r="448">
          <cell r="M448" t="str">
            <v>A4-3-501</v>
          </cell>
          <cell r="N448" t="str">
            <v>平方米</v>
          </cell>
          <cell r="O448" t="str">
            <v>77.94</v>
          </cell>
          <cell r="P448" t="str">
            <v>2559.637735920126750</v>
          </cell>
          <cell r="Q448">
            <v>199498.17</v>
          </cell>
          <cell r="R448" t="str">
            <v>9%</v>
          </cell>
          <cell r="S448">
            <v>17954.83</v>
          </cell>
          <cell r="T448">
            <v>217453</v>
          </cell>
        </row>
        <row r="449">
          <cell r="M449" t="str">
            <v>A2-108</v>
          </cell>
          <cell r="N449" t="str">
            <v>平方米</v>
          </cell>
          <cell r="O449" t="str">
            <v>72.41</v>
          </cell>
          <cell r="P449" t="str">
            <v>5866.187573564906261</v>
          </cell>
          <cell r="Q449">
            <v>424770.64</v>
          </cell>
          <cell r="R449" t="str">
            <v>9%</v>
          </cell>
          <cell r="S449">
            <v>38229.36</v>
          </cell>
          <cell r="T449">
            <v>463000</v>
          </cell>
        </row>
        <row r="450">
          <cell r="M450" t="str">
            <v>A3-3-301</v>
          </cell>
          <cell r="N450" t="str">
            <v>平方米</v>
          </cell>
          <cell r="O450" t="str">
            <v>94.43</v>
          </cell>
          <cell r="P450" t="str">
            <v>2836.915262701267965</v>
          </cell>
          <cell r="Q450">
            <v>267889.91</v>
          </cell>
          <cell r="R450" t="str">
            <v>9%</v>
          </cell>
          <cell r="S450">
            <v>24110.09</v>
          </cell>
          <cell r="T450">
            <v>292000</v>
          </cell>
        </row>
        <row r="451">
          <cell r="M451" t="str">
            <v>A3-1-302</v>
          </cell>
          <cell r="N451" t="str">
            <v>平方米</v>
          </cell>
          <cell r="O451" t="str">
            <v>54.90</v>
          </cell>
          <cell r="P451" t="str">
            <v>2690.011864774987049</v>
          </cell>
          <cell r="Q451">
            <v>147681.65</v>
          </cell>
          <cell r="R451" t="str">
            <v>9%</v>
          </cell>
          <cell r="S451">
            <v>13291.35</v>
          </cell>
          <cell r="T451">
            <v>160973</v>
          </cell>
        </row>
        <row r="452">
          <cell r="M452" t="str">
            <v>A3-1-503</v>
          </cell>
          <cell r="N452" t="str">
            <v>平方米</v>
          </cell>
          <cell r="O452" t="str">
            <v>78.5</v>
          </cell>
          <cell r="P452" t="str">
            <v>2568.807339449541284</v>
          </cell>
          <cell r="Q452">
            <v>201651.38</v>
          </cell>
          <cell r="R452" t="str">
            <v>9%</v>
          </cell>
          <cell r="S452">
            <v>18148.62</v>
          </cell>
          <cell r="T452">
            <v>219800</v>
          </cell>
        </row>
        <row r="453">
          <cell r="M453" t="str">
            <v>A1-1-601</v>
          </cell>
          <cell r="N453" t="str">
            <v>平方米</v>
          </cell>
          <cell r="O453" t="str">
            <v>77.25</v>
          </cell>
          <cell r="P453" t="str">
            <v>2385.321100917431193</v>
          </cell>
          <cell r="Q453">
            <v>184266.06</v>
          </cell>
          <cell r="R453" t="str">
            <v>9%</v>
          </cell>
          <cell r="S453">
            <v>16583.94</v>
          </cell>
          <cell r="T453">
            <v>200850</v>
          </cell>
        </row>
        <row r="454">
          <cell r="M454" t="str">
            <v>A2-2-301</v>
          </cell>
          <cell r="N454" t="str">
            <v>平方米</v>
          </cell>
          <cell r="O454" t="str">
            <v>94.45</v>
          </cell>
          <cell r="P454" t="str">
            <v>2748.893885896620220</v>
          </cell>
          <cell r="Q454">
            <v>259633.03</v>
          </cell>
          <cell r="R454" t="str">
            <v>9%</v>
          </cell>
          <cell r="S454">
            <v>23366.97</v>
          </cell>
          <cell r="T454">
            <v>283000</v>
          </cell>
        </row>
        <row r="455">
          <cell r="M455" t="str">
            <v>A5-3-301</v>
          </cell>
          <cell r="N455" t="str">
            <v>平方米</v>
          </cell>
          <cell r="O455" t="str">
            <v>84.85</v>
          </cell>
          <cell r="P455" t="str">
            <v>2825.688073394495413</v>
          </cell>
          <cell r="Q455">
            <v>239759.63</v>
          </cell>
          <cell r="R455" t="str">
            <v>9%</v>
          </cell>
          <cell r="S455">
            <v>21578.37</v>
          </cell>
          <cell r="T455">
            <v>261338</v>
          </cell>
        </row>
        <row r="456">
          <cell r="M456" t="str">
            <v>A2-2-303</v>
          </cell>
          <cell r="N456" t="str">
            <v>平方米</v>
          </cell>
          <cell r="O456" t="str">
            <v>89.33</v>
          </cell>
          <cell r="P456" t="str">
            <v>2752.293577981651376</v>
          </cell>
          <cell r="Q456">
            <v>245862.39</v>
          </cell>
          <cell r="R456" t="str">
            <v>9%</v>
          </cell>
          <cell r="S456">
            <v>22127.61</v>
          </cell>
          <cell r="T456">
            <v>267990</v>
          </cell>
        </row>
        <row r="457">
          <cell r="M457" t="str">
            <v>A1-111</v>
          </cell>
          <cell r="N457" t="str">
            <v>平方米</v>
          </cell>
          <cell r="O457" t="str">
            <v>64.96</v>
          </cell>
          <cell r="P457" t="str">
            <v>6055.045871559633028</v>
          </cell>
          <cell r="Q457">
            <v>393335.78</v>
          </cell>
          <cell r="R457" t="str">
            <v>9%</v>
          </cell>
          <cell r="S457">
            <v>35400.22</v>
          </cell>
          <cell r="T457">
            <v>428736</v>
          </cell>
        </row>
        <row r="458">
          <cell r="M458" t="str">
            <v>A2-101</v>
          </cell>
          <cell r="N458" t="str">
            <v>平方米</v>
          </cell>
          <cell r="O458" t="str">
            <v>73.02</v>
          </cell>
          <cell r="P458" t="str">
            <v>6055.045871559633028</v>
          </cell>
          <cell r="Q458">
            <v>442139.45</v>
          </cell>
          <cell r="R458" t="str">
            <v>9%</v>
          </cell>
          <cell r="S458">
            <v>39792.55</v>
          </cell>
          <cell r="T458">
            <v>481932</v>
          </cell>
        </row>
        <row r="459">
          <cell r="M459" t="str">
            <v>A1-112</v>
          </cell>
          <cell r="N459" t="str">
            <v>平方米</v>
          </cell>
          <cell r="O459" t="str">
            <v>19.69</v>
          </cell>
          <cell r="P459" t="str">
            <v>6055.045871559633028</v>
          </cell>
          <cell r="Q459">
            <v>119223.85</v>
          </cell>
          <cell r="R459" t="str">
            <v>9%</v>
          </cell>
          <cell r="S459">
            <v>10730.15</v>
          </cell>
          <cell r="T459">
            <v>129954</v>
          </cell>
        </row>
        <row r="460">
          <cell r="M460" t="str">
            <v>A2-102</v>
          </cell>
          <cell r="N460" t="str">
            <v>平方米</v>
          </cell>
          <cell r="O460" t="str">
            <v>20.27</v>
          </cell>
          <cell r="P460" t="str">
            <v>6055.045871559633028</v>
          </cell>
          <cell r="Q460">
            <v>122735.78</v>
          </cell>
          <cell r="R460" t="str">
            <v>9%</v>
          </cell>
          <cell r="S460">
            <v>11046.22</v>
          </cell>
          <cell r="T460">
            <v>133782</v>
          </cell>
        </row>
        <row r="461">
          <cell r="M461" t="str">
            <v>A2-3-202</v>
          </cell>
          <cell r="N461" t="str">
            <v>平方米</v>
          </cell>
          <cell r="O461" t="str">
            <v>54.91</v>
          </cell>
          <cell r="P461" t="str">
            <v>2725.694589478362425</v>
          </cell>
          <cell r="Q461">
            <v>149667.89</v>
          </cell>
          <cell r="R461" t="str">
            <v>9%</v>
          </cell>
          <cell r="S461">
            <v>13470.11</v>
          </cell>
          <cell r="T461">
            <v>163138</v>
          </cell>
        </row>
        <row r="462">
          <cell r="M462" t="str">
            <v>A2-3-203</v>
          </cell>
          <cell r="N462" t="str">
            <v>平方米</v>
          </cell>
          <cell r="O462" t="str">
            <v>77.09</v>
          </cell>
          <cell r="P462" t="str">
            <v>2725.278805542431639</v>
          </cell>
          <cell r="Q462">
            <v>210091.74</v>
          </cell>
          <cell r="R462" t="str">
            <v>9%</v>
          </cell>
          <cell r="S462">
            <v>18908.26</v>
          </cell>
          <cell r="T462">
            <v>229000</v>
          </cell>
        </row>
        <row r="463">
          <cell r="M463" t="str">
            <v>A4-4-402</v>
          </cell>
          <cell r="N463" t="str">
            <v>平方米</v>
          </cell>
          <cell r="O463" t="str">
            <v>77.94</v>
          </cell>
          <cell r="P463" t="str">
            <v>2752.293577981651376</v>
          </cell>
          <cell r="Q463">
            <v>214513.76</v>
          </cell>
          <cell r="R463" t="str">
            <v>9%</v>
          </cell>
          <cell r="S463">
            <v>19306.24</v>
          </cell>
          <cell r="T463">
            <v>233820</v>
          </cell>
        </row>
        <row r="464">
          <cell r="M464" t="str">
            <v>A4-4-602</v>
          </cell>
          <cell r="N464" t="str">
            <v>平方米</v>
          </cell>
          <cell r="O464" t="str">
            <v>77.94</v>
          </cell>
          <cell r="P464" t="str">
            <v>2385.321100917431193</v>
          </cell>
          <cell r="Q464">
            <v>185911.93</v>
          </cell>
          <cell r="R464" t="str">
            <v>9%</v>
          </cell>
          <cell r="S464">
            <v>16732.07</v>
          </cell>
          <cell r="T464">
            <v>202644</v>
          </cell>
        </row>
        <row r="465">
          <cell r="M465" t="str">
            <v>7-4-302</v>
          </cell>
          <cell r="N465" t="str">
            <v>平方米</v>
          </cell>
          <cell r="O465" t="str">
            <v>97.74</v>
          </cell>
          <cell r="P465" t="str">
            <v>2857.142857142857143</v>
          </cell>
          <cell r="Q465">
            <v>279257.14</v>
          </cell>
          <cell r="R465" t="str">
            <v>5%</v>
          </cell>
          <cell r="S465">
            <v>13962.86</v>
          </cell>
          <cell r="T465">
            <v>293220</v>
          </cell>
        </row>
        <row r="466">
          <cell r="M466" t="str">
            <v>1-3-602</v>
          </cell>
          <cell r="N466" t="str">
            <v>平方米</v>
          </cell>
          <cell r="O466" t="str">
            <v>94.54</v>
          </cell>
          <cell r="P466" t="str">
            <v>2095.238095238095238</v>
          </cell>
          <cell r="Q466">
            <v>198083.81</v>
          </cell>
          <cell r="R466" t="str">
            <v>5%</v>
          </cell>
          <cell r="S466">
            <v>9904.19</v>
          </cell>
          <cell r="T466">
            <v>207988</v>
          </cell>
        </row>
        <row r="467">
          <cell r="M467" t="str">
            <v>A4-6-601</v>
          </cell>
          <cell r="N467" t="str">
            <v>平方米</v>
          </cell>
          <cell r="O467" t="str">
            <v>77.94</v>
          </cell>
          <cell r="P467" t="str">
            <v>2458.713242131679744</v>
          </cell>
          <cell r="Q467">
            <v>191632.11</v>
          </cell>
          <cell r="R467" t="str">
            <v>9%</v>
          </cell>
          <cell r="S467">
            <v>17246.89</v>
          </cell>
          <cell r="T467">
            <v>208879</v>
          </cell>
        </row>
        <row r="468">
          <cell r="M468" t="str">
            <v>7-2-902</v>
          </cell>
          <cell r="N468" t="str">
            <v>平方米</v>
          </cell>
          <cell r="O468" t="str">
            <v>92.56</v>
          </cell>
          <cell r="P468" t="str">
            <v>3531.423632547228052</v>
          </cell>
          <cell r="Q468">
            <v>326868.57</v>
          </cell>
          <cell r="R468" t="str">
            <v>5%</v>
          </cell>
          <cell r="S468">
            <v>16343.43</v>
          </cell>
          <cell r="T468">
            <v>343212</v>
          </cell>
        </row>
        <row r="469">
          <cell r="M469" t="str">
            <v>A1-3-202</v>
          </cell>
          <cell r="N469" t="str">
            <v>平方米</v>
          </cell>
          <cell r="O469" t="str">
            <v>77.25</v>
          </cell>
          <cell r="P469" t="str">
            <v>2782.565838306463584</v>
          </cell>
          <cell r="Q469">
            <v>214953.21</v>
          </cell>
          <cell r="R469" t="str">
            <v>9%</v>
          </cell>
          <cell r="S469">
            <v>19345.79</v>
          </cell>
          <cell r="T469">
            <v>234299</v>
          </cell>
        </row>
        <row r="470">
          <cell r="M470" t="str">
            <v>5-5-702</v>
          </cell>
          <cell r="N470" t="str">
            <v>平方米</v>
          </cell>
          <cell r="O470" t="str">
            <v>58.01</v>
          </cell>
          <cell r="P470" t="str">
            <v>2771.426929675507507</v>
          </cell>
          <cell r="Q470">
            <v>160770.48</v>
          </cell>
          <cell r="R470" t="str">
            <v>5%</v>
          </cell>
          <cell r="S470">
            <v>8038.52</v>
          </cell>
          <cell r="T470">
            <v>168809</v>
          </cell>
        </row>
        <row r="471">
          <cell r="M471" t="str">
            <v>5-5-701</v>
          </cell>
          <cell r="N471" t="str">
            <v>平方米</v>
          </cell>
          <cell r="O471" t="str">
            <v>43.14</v>
          </cell>
          <cell r="P471" t="str">
            <v>2771.419740821687970</v>
          </cell>
          <cell r="Q471">
            <v>119559.05</v>
          </cell>
          <cell r="R471" t="str">
            <v>5%</v>
          </cell>
          <cell r="S471">
            <v>5977.95</v>
          </cell>
          <cell r="T471">
            <v>125537</v>
          </cell>
        </row>
        <row r="472">
          <cell r="M472" t="str">
            <v>A14-104</v>
          </cell>
          <cell r="N472" t="str">
            <v>平方米</v>
          </cell>
          <cell r="O472" t="str">
            <v>61</v>
          </cell>
          <cell r="P472" t="str">
            <v>6238.532110091743119</v>
          </cell>
          <cell r="Q472">
            <v>380550.46</v>
          </cell>
          <cell r="R472" t="str">
            <v>9%</v>
          </cell>
          <cell r="S472">
            <v>34249.54</v>
          </cell>
          <cell r="T472">
            <v>414800</v>
          </cell>
        </row>
        <row r="473">
          <cell r="M473" t="str">
            <v>A1-3-401</v>
          </cell>
          <cell r="N473" t="str">
            <v>平方米</v>
          </cell>
          <cell r="O473" t="str">
            <v>72.37</v>
          </cell>
          <cell r="P473" t="str">
            <v>2642.206905644160425</v>
          </cell>
          <cell r="Q473">
            <v>191216.51</v>
          </cell>
          <cell r="R473" t="str">
            <v>9%</v>
          </cell>
          <cell r="S473">
            <v>17209.49</v>
          </cell>
          <cell r="T473">
            <v>208426</v>
          </cell>
        </row>
        <row r="474">
          <cell r="M474" t="str">
            <v>A4-5-402</v>
          </cell>
          <cell r="N474" t="str">
            <v>平方米</v>
          </cell>
          <cell r="O474" t="str">
            <v>81.45</v>
          </cell>
          <cell r="P474" t="str">
            <v>2733.944954128440367</v>
          </cell>
          <cell r="Q474">
            <v>222679.82</v>
          </cell>
          <cell r="R474" t="str">
            <v>9%</v>
          </cell>
          <cell r="S474">
            <v>20041.18</v>
          </cell>
          <cell r="T474">
            <v>242721</v>
          </cell>
        </row>
        <row r="475">
          <cell r="M475" t="str">
            <v>5-2-101</v>
          </cell>
          <cell r="N475" t="str">
            <v>平方米</v>
          </cell>
          <cell r="O475" t="str">
            <v>38.61</v>
          </cell>
          <cell r="P475" t="str">
            <v>2857.142857142857143</v>
          </cell>
          <cell r="Q475">
            <v>110314.29</v>
          </cell>
          <cell r="R475" t="str">
            <v>5%</v>
          </cell>
          <cell r="S475">
            <v>5515.71</v>
          </cell>
          <cell r="T475">
            <v>115830</v>
          </cell>
        </row>
        <row r="476">
          <cell r="M476" t="str">
            <v>5-108</v>
          </cell>
          <cell r="N476" t="str">
            <v>平方米</v>
          </cell>
          <cell r="O476" t="str">
            <v>11.65</v>
          </cell>
          <cell r="P476" t="str">
            <v>18111.4244839566728</v>
          </cell>
          <cell r="Q476">
            <v>210998.1</v>
          </cell>
          <cell r="R476" t="str">
            <v>5%</v>
          </cell>
          <cell r="S476">
            <v>10549.9</v>
          </cell>
          <cell r="T476">
            <v>221548</v>
          </cell>
        </row>
        <row r="477">
          <cell r="M477" t="str">
            <v>5-108</v>
          </cell>
          <cell r="N477" t="str">
            <v>平方米</v>
          </cell>
          <cell r="O477" t="str">
            <v>47.32</v>
          </cell>
          <cell r="P477" t="str">
            <v>18113.754377490641229</v>
          </cell>
          <cell r="Q477">
            <v>857142.86</v>
          </cell>
          <cell r="R477" t="str">
            <v>5%</v>
          </cell>
          <cell r="S477">
            <v>42857.14</v>
          </cell>
          <cell r="T477">
            <v>900000</v>
          </cell>
        </row>
        <row r="478">
          <cell r="M478" t="str">
            <v>A4-2-402</v>
          </cell>
          <cell r="N478" t="str">
            <v>平方米</v>
          </cell>
          <cell r="O478" t="str">
            <v>81.45</v>
          </cell>
          <cell r="P478" t="str">
            <v>2748.351270830869392</v>
          </cell>
          <cell r="Q478">
            <v>223853.21</v>
          </cell>
          <cell r="R478" t="str">
            <v>9%</v>
          </cell>
          <cell r="S478">
            <v>20146.79</v>
          </cell>
          <cell r="T478">
            <v>244000</v>
          </cell>
        </row>
        <row r="479">
          <cell r="M479" t="str">
            <v>A4-4-501</v>
          </cell>
          <cell r="N479" t="str">
            <v>平方米</v>
          </cell>
          <cell r="O479" t="str">
            <v>81.93</v>
          </cell>
          <cell r="P479" t="str">
            <v>2568.807339449541284</v>
          </cell>
          <cell r="Q479">
            <v>210462.39</v>
          </cell>
          <cell r="R479" t="str">
            <v>9%</v>
          </cell>
          <cell r="S479">
            <v>18941.61</v>
          </cell>
          <cell r="T479">
            <v>229404</v>
          </cell>
        </row>
        <row r="480">
          <cell r="M480" t="str">
            <v>A1-2-401</v>
          </cell>
          <cell r="N480" t="str">
            <v>平方米</v>
          </cell>
          <cell r="O480" t="str">
            <v>72.37</v>
          </cell>
          <cell r="P480" t="str">
            <v>2660.550458715596330</v>
          </cell>
          <cell r="Q480">
            <v>192544.04</v>
          </cell>
          <cell r="R480" t="str">
            <v>9%</v>
          </cell>
          <cell r="S480">
            <v>17328.96</v>
          </cell>
          <cell r="T480">
            <v>209873</v>
          </cell>
        </row>
        <row r="481">
          <cell r="M481" t="str">
            <v>A3-3-303</v>
          </cell>
          <cell r="N481" t="str">
            <v>平方米</v>
          </cell>
          <cell r="O481" t="str">
            <v>77.07</v>
          </cell>
          <cell r="P481" t="str">
            <v>2889.914208815291234</v>
          </cell>
          <cell r="Q481">
            <v>222725.69</v>
          </cell>
          <cell r="R481" t="str">
            <v>9%</v>
          </cell>
          <cell r="S481">
            <v>20045.31</v>
          </cell>
          <cell r="T481">
            <v>242771</v>
          </cell>
        </row>
        <row r="482">
          <cell r="M482" t="str">
            <v>A3-1-502</v>
          </cell>
          <cell r="N482" t="str">
            <v>平方米</v>
          </cell>
          <cell r="O482" t="str">
            <v>54.9</v>
          </cell>
          <cell r="P482" t="str">
            <v>2477.515415852007821</v>
          </cell>
          <cell r="Q482">
            <v>136015.6</v>
          </cell>
          <cell r="R482" t="str">
            <v>9%</v>
          </cell>
          <cell r="S482">
            <v>12241.4</v>
          </cell>
          <cell r="T482">
            <v>148257</v>
          </cell>
        </row>
        <row r="483">
          <cell r="M483" t="str">
            <v>A3-110</v>
          </cell>
          <cell r="N483" t="str">
            <v>平方米</v>
          </cell>
          <cell r="O483" t="str">
            <v>90.26</v>
          </cell>
          <cell r="P483" t="str">
            <v>5779.816513761467890</v>
          </cell>
          <cell r="Q483">
            <v>521686.24</v>
          </cell>
          <cell r="R483" t="str">
            <v>9%</v>
          </cell>
          <cell r="S483">
            <v>46951.76</v>
          </cell>
          <cell r="T483">
            <v>568638</v>
          </cell>
        </row>
        <row r="484">
          <cell r="M484" t="str">
            <v>A5-1-202</v>
          </cell>
          <cell r="N484" t="str">
            <v>平方米</v>
          </cell>
          <cell r="O484" t="str">
            <v>84.85</v>
          </cell>
          <cell r="P484" t="str">
            <v>2935.779816513761468</v>
          </cell>
          <cell r="Q484">
            <v>249100.92</v>
          </cell>
          <cell r="R484" t="str">
            <v>9%</v>
          </cell>
          <cell r="S484">
            <v>22419.08</v>
          </cell>
          <cell r="T484">
            <v>271520</v>
          </cell>
        </row>
        <row r="485">
          <cell r="M485" t="str">
            <v>A3-108</v>
          </cell>
          <cell r="N485" t="str">
            <v>平方米</v>
          </cell>
          <cell r="O485" t="str">
            <v>72.39</v>
          </cell>
          <cell r="P485" t="str">
            <v>5779.816513761467890</v>
          </cell>
          <cell r="Q485">
            <v>418400.92</v>
          </cell>
          <cell r="R485" t="str">
            <v>9%</v>
          </cell>
          <cell r="S485">
            <v>37656.08</v>
          </cell>
          <cell r="T485">
            <v>456057</v>
          </cell>
        </row>
        <row r="486">
          <cell r="M486" t="str">
            <v>A5-3-402</v>
          </cell>
          <cell r="N486" t="str">
            <v>平方米</v>
          </cell>
          <cell r="O486" t="str">
            <v>85.38</v>
          </cell>
          <cell r="P486" t="str">
            <v>2733.940656020252686</v>
          </cell>
          <cell r="Q486">
            <v>233423.85</v>
          </cell>
          <cell r="R486" t="str">
            <v>9%</v>
          </cell>
          <cell r="S486">
            <v>21008.15</v>
          </cell>
          <cell r="T486">
            <v>254432</v>
          </cell>
        </row>
        <row r="487">
          <cell r="M487" t="str">
            <v>A1-2-502</v>
          </cell>
          <cell r="N487" t="str">
            <v>平方米</v>
          </cell>
          <cell r="O487" t="str">
            <v>72.37</v>
          </cell>
          <cell r="P487" t="str">
            <v>2467.886105170549406</v>
          </cell>
          <cell r="Q487">
            <v>178600.92</v>
          </cell>
          <cell r="R487" t="str">
            <v>9%</v>
          </cell>
          <cell r="S487">
            <v>16074.08</v>
          </cell>
          <cell r="T487">
            <v>194675</v>
          </cell>
        </row>
        <row r="488">
          <cell r="M488" t="str">
            <v>A4-3-401</v>
          </cell>
          <cell r="N488" t="str">
            <v>平方米</v>
          </cell>
          <cell r="O488" t="str">
            <v>77.94</v>
          </cell>
          <cell r="P488" t="str">
            <v>2589.618455033629727</v>
          </cell>
          <cell r="Q488">
            <v>201834.86</v>
          </cell>
          <cell r="R488" t="str">
            <v>9%</v>
          </cell>
          <cell r="S488">
            <v>18165.14</v>
          </cell>
          <cell r="T488">
            <v>220000</v>
          </cell>
        </row>
        <row r="489">
          <cell r="M489" t="str">
            <v>A1-102</v>
          </cell>
          <cell r="N489" t="str">
            <v>平方米</v>
          </cell>
          <cell r="O489" t="str">
            <v>64.96</v>
          </cell>
          <cell r="P489" t="str">
            <v>6044.651330953134180</v>
          </cell>
          <cell r="Q489">
            <v>392660.55</v>
          </cell>
          <cell r="R489" t="str">
            <v>9%</v>
          </cell>
          <cell r="S489">
            <v>35339.45</v>
          </cell>
          <cell r="T489">
            <v>428000</v>
          </cell>
        </row>
        <row r="490">
          <cell r="M490" t="str">
            <v>A3-2-202</v>
          </cell>
          <cell r="N490" t="str">
            <v>平方米</v>
          </cell>
          <cell r="O490" t="str">
            <v>44.09</v>
          </cell>
          <cell r="P490" t="str">
            <v>2782.569431583853710</v>
          </cell>
          <cell r="Q490">
            <v>122683.49</v>
          </cell>
          <cell r="R490" t="str">
            <v>9%</v>
          </cell>
          <cell r="S490">
            <v>11041.51</v>
          </cell>
          <cell r="T490">
            <v>133725</v>
          </cell>
        </row>
        <row r="491">
          <cell r="M491" t="str">
            <v>A3-1-303</v>
          </cell>
          <cell r="N491" t="str">
            <v>平方米</v>
          </cell>
          <cell r="O491" t="str">
            <v>78.5</v>
          </cell>
          <cell r="P491" t="str">
            <v>2660.550458715596330</v>
          </cell>
          <cell r="Q491">
            <v>208853.21</v>
          </cell>
          <cell r="R491" t="str">
            <v>9%</v>
          </cell>
          <cell r="S491">
            <v>18796.79</v>
          </cell>
          <cell r="T491">
            <v>227650</v>
          </cell>
        </row>
        <row r="492">
          <cell r="M492" t="str">
            <v>A2-1-401</v>
          </cell>
          <cell r="N492" t="str">
            <v>平方米</v>
          </cell>
          <cell r="O492" t="str">
            <v>94.94</v>
          </cell>
          <cell r="P492" t="str">
            <v>2752.293577981651376</v>
          </cell>
          <cell r="Q492">
            <v>261302.75</v>
          </cell>
          <cell r="R492" t="str">
            <v>9%</v>
          </cell>
          <cell r="S492">
            <v>23517.25</v>
          </cell>
          <cell r="T492">
            <v>284820</v>
          </cell>
        </row>
        <row r="493">
          <cell r="M493" t="str">
            <v>5-4-1002</v>
          </cell>
          <cell r="N493" t="str">
            <v>平方米</v>
          </cell>
          <cell r="O493" t="str">
            <v>101.5</v>
          </cell>
          <cell r="P493" t="str">
            <v>2828.571428571428571</v>
          </cell>
          <cell r="Q493">
            <v>287100</v>
          </cell>
          <cell r="R493" t="str">
            <v>5%</v>
          </cell>
          <cell r="S493">
            <v>14355</v>
          </cell>
          <cell r="T493">
            <v>301455</v>
          </cell>
        </row>
        <row r="494">
          <cell r="M494" t="str">
            <v>A5-3-401</v>
          </cell>
          <cell r="N494" t="str">
            <v>平方米</v>
          </cell>
          <cell r="O494" t="str">
            <v>84.85</v>
          </cell>
          <cell r="P494" t="str">
            <v>2752.293577981651376</v>
          </cell>
          <cell r="Q494">
            <v>233532.11</v>
          </cell>
          <cell r="R494" t="str">
            <v>9%</v>
          </cell>
          <cell r="S494">
            <v>21017.89</v>
          </cell>
          <cell r="T494">
            <v>254550</v>
          </cell>
        </row>
        <row r="495">
          <cell r="M495" t="str">
            <v>A3-114</v>
          </cell>
          <cell r="N495" t="str">
            <v>平方米</v>
          </cell>
          <cell r="O495" t="str">
            <v>42.15</v>
          </cell>
          <cell r="P495" t="str">
            <v>6284.414552657067920</v>
          </cell>
          <cell r="Q495">
            <v>264888.07</v>
          </cell>
          <cell r="R495" t="str">
            <v>9%</v>
          </cell>
          <cell r="S495">
            <v>23839.93</v>
          </cell>
          <cell r="T495">
            <v>288728</v>
          </cell>
        </row>
        <row r="496">
          <cell r="M496" t="str">
            <v>5-5-403</v>
          </cell>
          <cell r="N496" t="str">
            <v>平方米</v>
          </cell>
          <cell r="O496" t="str">
            <v>58.41</v>
          </cell>
          <cell r="P496" t="str">
            <v>2950.473255558001321</v>
          </cell>
          <cell r="Q496">
            <v>172337.14</v>
          </cell>
          <cell r="R496" t="str">
            <v>5%</v>
          </cell>
          <cell r="S496">
            <v>8616.86</v>
          </cell>
          <cell r="T496">
            <v>180954</v>
          </cell>
        </row>
        <row r="497">
          <cell r="M497" t="str">
            <v>A4-5-601</v>
          </cell>
          <cell r="N497" t="str">
            <v>平方米</v>
          </cell>
          <cell r="O497" t="str">
            <v>77.94</v>
          </cell>
          <cell r="P497" t="str">
            <v>2385.321100917431193</v>
          </cell>
          <cell r="Q497">
            <v>185911.93</v>
          </cell>
          <cell r="R497" t="str">
            <v>9%</v>
          </cell>
          <cell r="S497">
            <v>16732.07</v>
          </cell>
          <cell r="T497">
            <v>202644</v>
          </cell>
        </row>
        <row r="498">
          <cell r="M498" t="str">
            <v>A4-5-501</v>
          </cell>
          <cell r="N498" t="str">
            <v>平方米</v>
          </cell>
          <cell r="O498" t="str">
            <v>77.94</v>
          </cell>
          <cell r="P498" t="str">
            <v>2706.422018348623853</v>
          </cell>
          <cell r="Q498">
            <v>210938.53</v>
          </cell>
          <cell r="R498" t="str">
            <v>9%</v>
          </cell>
          <cell r="S498">
            <v>18984.47</v>
          </cell>
          <cell r="T498">
            <v>229923</v>
          </cell>
        </row>
        <row r="499">
          <cell r="M499" t="str">
            <v>A1-108</v>
          </cell>
          <cell r="N499" t="str">
            <v>平方米</v>
          </cell>
          <cell r="O499" t="str">
            <v>19.4</v>
          </cell>
          <cell r="P499" t="str">
            <v>6215.596330275229358</v>
          </cell>
          <cell r="Q499">
            <v>120582.57</v>
          </cell>
          <cell r="R499" t="str">
            <v>9%</v>
          </cell>
          <cell r="S499">
            <v>10852.43</v>
          </cell>
          <cell r="T499">
            <v>131435</v>
          </cell>
        </row>
        <row r="500">
          <cell r="M500" t="str">
            <v>A2-1-301</v>
          </cell>
          <cell r="N500" t="str">
            <v>平方米</v>
          </cell>
          <cell r="O500" t="str">
            <v>94.94</v>
          </cell>
          <cell r="P500" t="str">
            <v>2844.036697247706422</v>
          </cell>
          <cell r="Q500">
            <v>270012.84</v>
          </cell>
          <cell r="R500" t="str">
            <v>9%</v>
          </cell>
          <cell r="S500">
            <v>24301.16</v>
          </cell>
          <cell r="T500">
            <v>294314</v>
          </cell>
        </row>
        <row r="501">
          <cell r="M501" t="str">
            <v>A2-2-402</v>
          </cell>
          <cell r="N501" t="str">
            <v>平方米</v>
          </cell>
          <cell r="O501" t="str">
            <v>44.10</v>
          </cell>
          <cell r="P501" t="str">
            <v>2568.807339449541284</v>
          </cell>
          <cell r="Q501">
            <v>113284.4</v>
          </cell>
          <cell r="R501" t="str">
            <v>9%</v>
          </cell>
          <cell r="S501">
            <v>10195.6</v>
          </cell>
          <cell r="T501">
            <v>123480</v>
          </cell>
        </row>
        <row r="502">
          <cell r="M502" t="str">
            <v>A3-1-603</v>
          </cell>
          <cell r="N502" t="str">
            <v>平方米</v>
          </cell>
          <cell r="O502" t="str">
            <v>78.5</v>
          </cell>
          <cell r="P502" t="str">
            <v>2385.321100917431193</v>
          </cell>
          <cell r="Q502">
            <v>187247.71</v>
          </cell>
          <cell r="R502" t="str">
            <v>9%</v>
          </cell>
          <cell r="S502">
            <v>16852.29</v>
          </cell>
          <cell r="T502">
            <v>204100</v>
          </cell>
        </row>
        <row r="503">
          <cell r="M503" t="str">
            <v>7-1-502</v>
          </cell>
          <cell r="N503" t="str">
            <v>平方米</v>
          </cell>
          <cell r="O503" t="str">
            <v>100.08</v>
          </cell>
          <cell r="P503" t="str">
            <v>2676.192379429789502</v>
          </cell>
          <cell r="Q503">
            <v>267833.33</v>
          </cell>
          <cell r="R503" t="str">
            <v>5%</v>
          </cell>
          <cell r="S503">
            <v>13391.67</v>
          </cell>
          <cell r="T503">
            <v>281225</v>
          </cell>
        </row>
        <row r="504">
          <cell r="M504" t="str">
            <v>A4-6-401</v>
          </cell>
          <cell r="N504" t="str">
            <v>平方米</v>
          </cell>
          <cell r="O504" t="str">
            <v>77.94</v>
          </cell>
          <cell r="P504" t="str">
            <v>2700.536521859911059</v>
          </cell>
          <cell r="Q504">
            <v>210479.82</v>
          </cell>
          <cell r="R504" t="str">
            <v>9%</v>
          </cell>
          <cell r="S504">
            <v>18943.18</v>
          </cell>
          <cell r="T504">
            <v>229423</v>
          </cell>
        </row>
        <row r="505">
          <cell r="M505" t="str">
            <v>A1-3-201</v>
          </cell>
          <cell r="N505" t="str">
            <v>平方米</v>
          </cell>
          <cell r="O505" t="str">
            <v>72.37</v>
          </cell>
          <cell r="P505" t="str">
            <v>2732.935868555194826</v>
          </cell>
          <cell r="Q505">
            <v>197782.57</v>
          </cell>
          <cell r="R505" t="str">
            <v>9%</v>
          </cell>
          <cell r="S505">
            <v>17800.43</v>
          </cell>
          <cell r="T505">
            <v>215583</v>
          </cell>
        </row>
        <row r="506">
          <cell r="M506" t="str">
            <v>7-4-101</v>
          </cell>
          <cell r="N506" t="str">
            <v>平方米</v>
          </cell>
          <cell r="O506" t="str">
            <v>97.74</v>
          </cell>
          <cell r="P506" t="str">
            <v>3550.478918803044033</v>
          </cell>
          <cell r="Q506">
            <v>347023.81</v>
          </cell>
          <cell r="R506" t="str">
            <v>5%</v>
          </cell>
          <cell r="S506">
            <v>17351.19</v>
          </cell>
          <cell r="T506">
            <v>364375</v>
          </cell>
        </row>
        <row r="507">
          <cell r="M507" t="str">
            <v>A3-103</v>
          </cell>
          <cell r="N507" t="str">
            <v>平方米</v>
          </cell>
          <cell r="O507" t="str">
            <v>71.43</v>
          </cell>
          <cell r="P507" t="str">
            <v>5779.700919743073028</v>
          </cell>
          <cell r="Q507">
            <v>412844.04</v>
          </cell>
          <cell r="R507" t="str">
            <v>9%</v>
          </cell>
          <cell r="S507">
            <v>37155.96</v>
          </cell>
          <cell r="T507">
            <v>450000</v>
          </cell>
        </row>
        <row r="508">
          <cell r="M508" t="str">
            <v>A4-1-602</v>
          </cell>
          <cell r="N508" t="str">
            <v>平方米</v>
          </cell>
          <cell r="O508" t="str">
            <v>77.94</v>
          </cell>
          <cell r="P508" t="str">
            <v>2385.321100917431193</v>
          </cell>
          <cell r="Q508">
            <v>185911.93</v>
          </cell>
          <cell r="R508" t="str">
            <v>9%</v>
          </cell>
          <cell r="S508">
            <v>16732.07</v>
          </cell>
          <cell r="T508">
            <v>202644</v>
          </cell>
        </row>
        <row r="509">
          <cell r="M509" t="str">
            <v>A1-1-201</v>
          </cell>
          <cell r="N509" t="str">
            <v>平方米</v>
          </cell>
          <cell r="O509" t="str">
            <v>77.25</v>
          </cell>
          <cell r="P509" t="str">
            <v>2752.293577981651376</v>
          </cell>
          <cell r="Q509">
            <v>212614.68</v>
          </cell>
          <cell r="R509" t="str">
            <v>9%</v>
          </cell>
          <cell r="S509">
            <v>19135.32</v>
          </cell>
          <cell r="T509">
            <v>231750</v>
          </cell>
        </row>
        <row r="510">
          <cell r="M510" t="str">
            <v>A2-117</v>
          </cell>
          <cell r="N510" t="str">
            <v>平方米</v>
          </cell>
          <cell r="O510" t="str">
            <v>59.71</v>
          </cell>
          <cell r="P510" t="str">
            <v>5688.073394495412844</v>
          </cell>
          <cell r="Q510">
            <v>339634.86</v>
          </cell>
          <cell r="R510" t="str">
            <v>9%</v>
          </cell>
          <cell r="S510">
            <v>30567.14</v>
          </cell>
          <cell r="T510">
            <v>370202</v>
          </cell>
        </row>
        <row r="511">
          <cell r="M511" t="str">
            <v>A3-3-401</v>
          </cell>
          <cell r="N511" t="str">
            <v>平方米</v>
          </cell>
          <cell r="O511" t="str">
            <v>94.43</v>
          </cell>
          <cell r="P511" t="str">
            <v>2706.426876080238068</v>
          </cell>
          <cell r="Q511">
            <v>255567.89</v>
          </cell>
          <cell r="R511" t="str">
            <v>9%</v>
          </cell>
          <cell r="S511">
            <v>23001.11</v>
          </cell>
          <cell r="T511">
            <v>278569</v>
          </cell>
        </row>
        <row r="512">
          <cell r="M512" t="str">
            <v>A2-1-503</v>
          </cell>
          <cell r="N512" t="str">
            <v>平方米</v>
          </cell>
          <cell r="O512" t="str">
            <v>78.52</v>
          </cell>
          <cell r="P512" t="str">
            <v>2568.807339449541284</v>
          </cell>
          <cell r="Q512">
            <v>201702.75</v>
          </cell>
          <cell r="R512" t="str">
            <v>9%</v>
          </cell>
          <cell r="S512">
            <v>18153.25</v>
          </cell>
          <cell r="T512">
            <v>219856</v>
          </cell>
        </row>
        <row r="513">
          <cell r="M513" t="str">
            <v>7-1-701</v>
          </cell>
          <cell r="N513" t="str">
            <v>平方米</v>
          </cell>
          <cell r="O513" t="str">
            <v>100.45</v>
          </cell>
          <cell r="P513" t="str">
            <v>3369.522861409372111</v>
          </cell>
          <cell r="Q513">
            <v>338468.57</v>
          </cell>
          <cell r="R513" t="str">
            <v>5%</v>
          </cell>
          <cell r="S513">
            <v>16923.43</v>
          </cell>
          <cell r="T513">
            <v>355392</v>
          </cell>
        </row>
        <row r="514">
          <cell r="M514" t="str">
            <v>5-1-602</v>
          </cell>
          <cell r="N514" t="str">
            <v>平方米</v>
          </cell>
          <cell r="O514" t="str">
            <v>74.86</v>
          </cell>
          <cell r="P514" t="str">
            <v>2619.047619047619048</v>
          </cell>
          <cell r="Q514">
            <v>196061.9</v>
          </cell>
          <cell r="R514" t="str">
            <v>5%</v>
          </cell>
          <cell r="S514">
            <v>9803.1</v>
          </cell>
          <cell r="T514">
            <v>205865</v>
          </cell>
        </row>
        <row r="515">
          <cell r="M515" t="str">
            <v>6-4-602</v>
          </cell>
          <cell r="N515" t="str">
            <v>平方米</v>
          </cell>
          <cell r="O515" t="str">
            <v>90.33</v>
          </cell>
          <cell r="P515" t="str">
            <v>2900.950483149088264</v>
          </cell>
          <cell r="Q515">
            <v>262042.86</v>
          </cell>
          <cell r="R515" t="str">
            <v>5%</v>
          </cell>
          <cell r="S515">
            <v>13102.14</v>
          </cell>
          <cell r="T515">
            <v>275145</v>
          </cell>
        </row>
        <row r="516">
          <cell r="M516" t="str">
            <v>A1-3-602</v>
          </cell>
          <cell r="N516" t="str">
            <v>平方米</v>
          </cell>
          <cell r="O516" t="str">
            <v>77.25</v>
          </cell>
          <cell r="P516" t="str">
            <v>2385.321100917431193</v>
          </cell>
          <cell r="Q516">
            <v>184266.06</v>
          </cell>
          <cell r="R516" t="str">
            <v>9%</v>
          </cell>
          <cell r="S516">
            <v>16583.94</v>
          </cell>
          <cell r="T516">
            <v>200850</v>
          </cell>
        </row>
        <row r="517">
          <cell r="M517" t="str">
            <v>A2-2-503</v>
          </cell>
          <cell r="N517" t="str">
            <v>平方米</v>
          </cell>
          <cell r="O517" t="str">
            <v>89.33</v>
          </cell>
          <cell r="P517" t="str">
            <v>2546.993571922271507</v>
          </cell>
          <cell r="Q517">
            <v>227522.94</v>
          </cell>
          <cell r="R517" t="str">
            <v>9%</v>
          </cell>
          <cell r="S517">
            <v>20477.06</v>
          </cell>
          <cell r="T517">
            <v>248000</v>
          </cell>
        </row>
        <row r="518">
          <cell r="M518" t="str">
            <v>1-1-701</v>
          </cell>
          <cell r="N518" t="str">
            <v>平方米</v>
          </cell>
          <cell r="O518" t="str">
            <v>102.51</v>
          </cell>
          <cell r="P518" t="str">
            <v>2733.336120517858885</v>
          </cell>
          <cell r="Q518">
            <v>280194.29</v>
          </cell>
          <cell r="R518" t="str">
            <v>5%</v>
          </cell>
          <cell r="S518">
            <v>14009.71</v>
          </cell>
          <cell r="T518">
            <v>294204</v>
          </cell>
        </row>
        <row r="519">
          <cell r="M519" t="str">
            <v>A5-3-202</v>
          </cell>
          <cell r="N519" t="str">
            <v>平方米</v>
          </cell>
          <cell r="O519" t="str">
            <v>85.38</v>
          </cell>
          <cell r="P519" t="str">
            <v>2935.779816513761468</v>
          </cell>
          <cell r="Q519">
            <v>250656.88</v>
          </cell>
          <cell r="R519" t="str">
            <v>9%</v>
          </cell>
          <cell r="S519">
            <v>22559.12</v>
          </cell>
          <cell r="T519">
            <v>273216</v>
          </cell>
        </row>
        <row r="520">
          <cell r="M520" t="str">
            <v>5-5-204</v>
          </cell>
          <cell r="N520" t="str">
            <v>平方米</v>
          </cell>
          <cell r="O520" t="str">
            <v>43.14</v>
          </cell>
          <cell r="P520" t="str">
            <v>2761.904761904761905</v>
          </cell>
          <cell r="Q520">
            <v>119148.57</v>
          </cell>
          <cell r="R520" t="str">
            <v>5%</v>
          </cell>
          <cell r="S520">
            <v>5957.43</v>
          </cell>
          <cell r="T520">
            <v>125106</v>
          </cell>
        </row>
        <row r="521">
          <cell r="M521" t="str">
            <v>A3-3-302</v>
          </cell>
          <cell r="N521" t="str">
            <v>平方米</v>
          </cell>
          <cell r="O521" t="str">
            <v>54.9</v>
          </cell>
          <cell r="P521" t="str">
            <v>2752.293577981651376</v>
          </cell>
          <cell r="Q521">
            <v>151100.92</v>
          </cell>
          <cell r="R521" t="str">
            <v>9%</v>
          </cell>
          <cell r="S521">
            <v>13599.08</v>
          </cell>
          <cell r="T521">
            <v>164700</v>
          </cell>
        </row>
        <row r="522">
          <cell r="M522" t="str">
            <v>A1-106</v>
          </cell>
          <cell r="N522" t="str">
            <v>平方米</v>
          </cell>
          <cell r="O522" t="str">
            <v>60.89</v>
          </cell>
          <cell r="P522" t="str">
            <v>6422.018348623853211</v>
          </cell>
          <cell r="Q522">
            <v>391036.7</v>
          </cell>
          <cell r="R522" t="str">
            <v>9%</v>
          </cell>
          <cell r="S522">
            <v>35193.3</v>
          </cell>
          <cell r="T522">
            <v>426230</v>
          </cell>
        </row>
        <row r="523">
          <cell r="M523" t="str">
            <v>A1-1-301</v>
          </cell>
          <cell r="N523" t="str">
            <v>平方米</v>
          </cell>
          <cell r="O523" t="str">
            <v>77.25</v>
          </cell>
          <cell r="P523" t="str">
            <v>2660.550458715596330</v>
          </cell>
          <cell r="Q523">
            <v>205527.52</v>
          </cell>
          <cell r="R523" t="str">
            <v>9%</v>
          </cell>
          <cell r="S523">
            <v>18497.48</v>
          </cell>
          <cell r="T523">
            <v>224025</v>
          </cell>
        </row>
        <row r="524">
          <cell r="M524" t="str">
            <v>1-1-301</v>
          </cell>
          <cell r="N524" t="str">
            <v>平方米</v>
          </cell>
          <cell r="O524" t="str">
            <v>102.51</v>
          </cell>
          <cell r="P524" t="str">
            <v>2904.757259454362176</v>
          </cell>
          <cell r="Q524">
            <v>297766.67</v>
          </cell>
          <cell r="R524" t="str">
            <v>5%</v>
          </cell>
          <cell r="S524">
            <v>14888.33</v>
          </cell>
          <cell r="T524">
            <v>312655</v>
          </cell>
        </row>
        <row r="525">
          <cell r="M525" t="str">
            <v>7-2-202</v>
          </cell>
          <cell r="N525" t="str">
            <v>平方米</v>
          </cell>
          <cell r="O525" t="str">
            <v>100.08</v>
          </cell>
          <cell r="P525" t="str">
            <v>2857.142857142857143</v>
          </cell>
          <cell r="Q525">
            <v>285942.86</v>
          </cell>
          <cell r="R525" t="str">
            <v>5%</v>
          </cell>
          <cell r="S525">
            <v>14297.14</v>
          </cell>
          <cell r="T525">
            <v>300240</v>
          </cell>
        </row>
        <row r="526">
          <cell r="M526" t="str">
            <v>4-3-502</v>
          </cell>
          <cell r="N526" t="str">
            <v>平方米</v>
          </cell>
          <cell r="O526" t="str">
            <v>50.71</v>
          </cell>
          <cell r="P526" t="str">
            <v>2457.127832398982073</v>
          </cell>
          <cell r="Q526">
            <v>124600.95</v>
          </cell>
          <cell r="R526" t="str">
            <v>5%</v>
          </cell>
          <cell r="S526">
            <v>6230.05</v>
          </cell>
          <cell r="T526">
            <v>130831</v>
          </cell>
        </row>
        <row r="527">
          <cell r="M527" t="str">
            <v>A1-101</v>
          </cell>
          <cell r="N527" t="str">
            <v>平方米</v>
          </cell>
          <cell r="O527" t="str">
            <v>19.69</v>
          </cell>
          <cell r="P527" t="str">
            <v>6284.426966606250087</v>
          </cell>
          <cell r="Q527">
            <v>123740.37</v>
          </cell>
          <cell r="R527" t="str">
            <v>9%</v>
          </cell>
          <cell r="S527">
            <v>11136.63</v>
          </cell>
          <cell r="T527">
            <v>134877</v>
          </cell>
        </row>
        <row r="528">
          <cell r="M528" t="str">
            <v>7-2-201</v>
          </cell>
          <cell r="N528" t="str">
            <v>平方米</v>
          </cell>
          <cell r="O528" t="str">
            <v>100.08</v>
          </cell>
          <cell r="P528" t="str">
            <v>2895.236191998781927</v>
          </cell>
          <cell r="Q528">
            <v>289755.24</v>
          </cell>
          <cell r="R528" t="str">
            <v>5%</v>
          </cell>
          <cell r="S528">
            <v>14487.76</v>
          </cell>
          <cell r="T528">
            <v>304243</v>
          </cell>
        </row>
        <row r="529">
          <cell r="M529" t="str">
            <v>7-2-302</v>
          </cell>
          <cell r="N529" t="str">
            <v>平方米</v>
          </cell>
          <cell r="O529" t="str">
            <v>100.08</v>
          </cell>
          <cell r="P529" t="str">
            <v>2476.190476190476190</v>
          </cell>
          <cell r="Q529">
            <v>247817.14</v>
          </cell>
          <cell r="R529" t="str">
            <v>5%</v>
          </cell>
          <cell r="S529">
            <v>12390.86</v>
          </cell>
          <cell r="T529">
            <v>260208</v>
          </cell>
        </row>
        <row r="530">
          <cell r="M530" t="str">
            <v>7-4-502</v>
          </cell>
          <cell r="N530" t="str">
            <v>平方米</v>
          </cell>
          <cell r="O530" t="str">
            <v>90.90</v>
          </cell>
          <cell r="P530" t="str">
            <v>3121.902666457121903</v>
          </cell>
          <cell r="Q530">
            <v>283780.95</v>
          </cell>
          <cell r="R530" t="str">
            <v>5%</v>
          </cell>
          <cell r="S530">
            <v>14189.05</v>
          </cell>
          <cell r="T530">
            <v>297970</v>
          </cell>
        </row>
        <row r="531">
          <cell r="M531" t="str">
            <v>A3-2-502</v>
          </cell>
          <cell r="N531" t="str">
            <v>平方米</v>
          </cell>
          <cell r="O531" t="str">
            <v>44.09</v>
          </cell>
          <cell r="P531" t="str">
            <v>2440.358649218341965</v>
          </cell>
          <cell r="Q531">
            <v>107595.41</v>
          </cell>
          <cell r="R531" t="str">
            <v>9%</v>
          </cell>
          <cell r="S531">
            <v>9683.59</v>
          </cell>
          <cell r="T531">
            <v>117279</v>
          </cell>
        </row>
        <row r="532">
          <cell r="M532" t="str">
            <v>A2-111</v>
          </cell>
          <cell r="N532" t="str">
            <v>平方米</v>
          </cell>
          <cell r="O532" t="str">
            <v>20.75</v>
          </cell>
          <cell r="P532" t="str">
            <v>6300.431082126671825</v>
          </cell>
          <cell r="Q532">
            <v>130733.94</v>
          </cell>
          <cell r="R532" t="str">
            <v>9%</v>
          </cell>
          <cell r="S532">
            <v>11766.06</v>
          </cell>
          <cell r="T532">
            <v>142500</v>
          </cell>
        </row>
        <row r="533">
          <cell r="M533" t="str">
            <v>A4-6-302</v>
          </cell>
          <cell r="N533" t="str">
            <v>平方米</v>
          </cell>
          <cell r="O533" t="str">
            <v>81.93</v>
          </cell>
          <cell r="P533" t="str">
            <v>2660.550458715596330</v>
          </cell>
          <cell r="Q533">
            <v>217978.9</v>
          </cell>
          <cell r="R533" t="str">
            <v>9%</v>
          </cell>
          <cell r="S533">
            <v>19618.1</v>
          </cell>
          <cell r="T533">
            <v>237597</v>
          </cell>
        </row>
        <row r="534">
          <cell r="M534" t="str">
            <v>A4-5-302</v>
          </cell>
          <cell r="N534" t="str">
            <v>平方米</v>
          </cell>
          <cell r="O534" t="str">
            <v>81.45</v>
          </cell>
          <cell r="P534" t="str">
            <v>2752.293577981651376</v>
          </cell>
          <cell r="Q534">
            <v>224174.31</v>
          </cell>
          <cell r="R534" t="str">
            <v>9%</v>
          </cell>
          <cell r="S534">
            <v>20175.69</v>
          </cell>
          <cell r="T534">
            <v>244350</v>
          </cell>
        </row>
        <row r="535">
          <cell r="M535" t="str">
            <v>A4-6-501</v>
          </cell>
          <cell r="N535" t="str">
            <v>平方米</v>
          </cell>
          <cell r="O535" t="str">
            <v>77.94</v>
          </cell>
          <cell r="P535" t="str">
            <v>2443.893561973100927</v>
          </cell>
          <cell r="Q535">
            <v>190477.06</v>
          </cell>
          <cell r="R535" t="str">
            <v>9%</v>
          </cell>
          <cell r="S535">
            <v>17142.94</v>
          </cell>
          <cell r="T535">
            <v>207620</v>
          </cell>
        </row>
        <row r="536">
          <cell r="M536" t="str">
            <v>5-106</v>
          </cell>
          <cell r="N536" t="str">
            <v>平方米</v>
          </cell>
          <cell r="O536" t="str">
            <v>31.01</v>
          </cell>
          <cell r="P536" t="str">
            <v>15809.523809523809524</v>
          </cell>
          <cell r="Q536">
            <v>490253.33</v>
          </cell>
          <cell r="R536" t="str">
            <v>5%</v>
          </cell>
          <cell r="S536">
            <v>24512.67</v>
          </cell>
          <cell r="T536">
            <v>514766</v>
          </cell>
        </row>
        <row r="537">
          <cell r="M537" t="str">
            <v>5-106</v>
          </cell>
          <cell r="N537" t="str">
            <v>平方米</v>
          </cell>
          <cell r="O537" t="str">
            <v>50</v>
          </cell>
          <cell r="P537" t="str">
            <v>15809.523809523809524</v>
          </cell>
          <cell r="Q537">
            <v>790476.19</v>
          </cell>
          <cell r="R537" t="str">
            <v>5%</v>
          </cell>
          <cell r="S537">
            <v>39523.81</v>
          </cell>
          <cell r="T537">
            <v>830000</v>
          </cell>
        </row>
        <row r="538">
          <cell r="M538" t="str">
            <v>A4-2-602</v>
          </cell>
          <cell r="N538" t="str">
            <v>平方米</v>
          </cell>
          <cell r="O538" t="str">
            <v>81.45</v>
          </cell>
          <cell r="P538" t="str">
            <v>2477.064220183486239</v>
          </cell>
          <cell r="Q538">
            <v>201756.88</v>
          </cell>
          <cell r="R538" t="str">
            <v>9%</v>
          </cell>
          <cell r="S538">
            <v>18158.12</v>
          </cell>
          <cell r="T538">
            <v>219915</v>
          </cell>
        </row>
        <row r="539">
          <cell r="M539" t="str">
            <v>A7-2-401</v>
          </cell>
          <cell r="N539" t="str">
            <v>平方米</v>
          </cell>
          <cell r="O539" t="str">
            <v>61.82</v>
          </cell>
          <cell r="P539" t="str">
            <v>3027.433893606475147</v>
          </cell>
          <cell r="Q539">
            <v>187155.96</v>
          </cell>
          <cell r="R539" t="str">
            <v>9%</v>
          </cell>
          <cell r="S539">
            <v>16844.04</v>
          </cell>
          <cell r="T539">
            <v>204000</v>
          </cell>
        </row>
        <row r="540">
          <cell r="M540" t="str">
            <v>A13-1-201</v>
          </cell>
          <cell r="N540" t="str">
            <v>平方米</v>
          </cell>
          <cell r="O540" t="str">
            <v>80.05</v>
          </cell>
          <cell r="P540" t="str">
            <v>3036.702978069898973</v>
          </cell>
          <cell r="Q540">
            <v>243088.07</v>
          </cell>
          <cell r="R540" t="str">
            <v>9%</v>
          </cell>
          <cell r="S540">
            <v>21877.93</v>
          </cell>
          <cell r="T540">
            <v>264966</v>
          </cell>
        </row>
        <row r="541">
          <cell r="M541" t="str">
            <v>A2-2-603</v>
          </cell>
          <cell r="N541" t="str">
            <v>平方米</v>
          </cell>
          <cell r="O541" t="str">
            <v>89.33</v>
          </cell>
          <cell r="P541" t="str">
            <v>2385.321100917431193</v>
          </cell>
          <cell r="Q541">
            <v>213080.73</v>
          </cell>
          <cell r="R541" t="str">
            <v>9%</v>
          </cell>
          <cell r="S541">
            <v>19177.27</v>
          </cell>
          <cell r="T541">
            <v>232258</v>
          </cell>
        </row>
        <row r="542">
          <cell r="M542" t="str">
            <v>A8-1-204</v>
          </cell>
          <cell r="N542" t="str">
            <v>平方米</v>
          </cell>
          <cell r="O542" t="str">
            <v>57.98</v>
          </cell>
          <cell r="P542" t="str">
            <v>3009.167982632416746</v>
          </cell>
          <cell r="Q542">
            <v>174471.56</v>
          </cell>
          <cell r="R542" t="str">
            <v>9%</v>
          </cell>
          <cell r="S542">
            <v>15702.44</v>
          </cell>
          <cell r="T542">
            <v>190174</v>
          </cell>
        </row>
        <row r="543">
          <cell r="M543" t="str">
            <v>A8-1-601</v>
          </cell>
          <cell r="N543" t="str">
            <v>平方米</v>
          </cell>
          <cell r="O543" t="str">
            <v>68.16</v>
          </cell>
          <cell r="P543" t="str">
            <v>2550.461407589266485</v>
          </cell>
          <cell r="Q543">
            <v>173839.45</v>
          </cell>
          <cell r="R543" t="str">
            <v>9%</v>
          </cell>
          <cell r="S543">
            <v>15645.55</v>
          </cell>
          <cell r="T543">
            <v>189485</v>
          </cell>
        </row>
        <row r="544">
          <cell r="M544" t="str">
            <v>A2-3-601</v>
          </cell>
          <cell r="N544" t="str">
            <v>平方米</v>
          </cell>
          <cell r="O544" t="str">
            <v>94.45</v>
          </cell>
          <cell r="P544" t="str">
            <v>2431.197517253437331</v>
          </cell>
          <cell r="Q544">
            <v>229626.61</v>
          </cell>
          <cell r="R544" t="str">
            <v>9%</v>
          </cell>
          <cell r="S544">
            <v>20666.39</v>
          </cell>
          <cell r="T544">
            <v>250293</v>
          </cell>
        </row>
        <row r="545">
          <cell r="M545" t="str">
            <v>A3-1-501</v>
          </cell>
          <cell r="N545" t="str">
            <v>平方米</v>
          </cell>
          <cell r="O545" t="str">
            <v>94.92</v>
          </cell>
          <cell r="P545" t="str">
            <v>2568.807339449541284</v>
          </cell>
          <cell r="Q545">
            <v>243831.19</v>
          </cell>
          <cell r="R545" t="str">
            <v>9%</v>
          </cell>
          <cell r="S545">
            <v>21944.81</v>
          </cell>
          <cell r="T545">
            <v>265776</v>
          </cell>
        </row>
        <row r="546">
          <cell r="M546" t="str">
            <v>A1-2-302</v>
          </cell>
          <cell r="N546" t="str">
            <v>平方米</v>
          </cell>
          <cell r="O546" t="str">
            <v>72.37</v>
          </cell>
          <cell r="P546" t="str">
            <v>2752.293577981651376</v>
          </cell>
          <cell r="Q546">
            <v>199183.49</v>
          </cell>
          <cell r="R546" t="str">
            <v>9%</v>
          </cell>
          <cell r="S546">
            <v>17926.51</v>
          </cell>
          <cell r="T546">
            <v>217110</v>
          </cell>
        </row>
        <row r="547">
          <cell r="M547" t="str">
            <v>A8-1-604</v>
          </cell>
          <cell r="N547" t="str">
            <v>平方米</v>
          </cell>
          <cell r="O547" t="str">
            <v>57.98</v>
          </cell>
          <cell r="P547" t="str">
            <v>2596.339769170640936</v>
          </cell>
          <cell r="Q547">
            <v>150535.78</v>
          </cell>
          <cell r="R547" t="str">
            <v>9%</v>
          </cell>
          <cell r="S547">
            <v>13548.22</v>
          </cell>
          <cell r="T547">
            <v>164084</v>
          </cell>
        </row>
        <row r="548">
          <cell r="M548" t="str">
            <v>A8-2-102</v>
          </cell>
          <cell r="N548" t="str">
            <v>平方米</v>
          </cell>
          <cell r="O548" t="str">
            <v>60.56</v>
          </cell>
          <cell r="P548" t="str">
            <v>2935.779816513761468</v>
          </cell>
          <cell r="Q548">
            <v>177790.83</v>
          </cell>
          <cell r="R548" t="str">
            <v>9%</v>
          </cell>
          <cell r="S548">
            <v>16001.17</v>
          </cell>
          <cell r="T548">
            <v>193792</v>
          </cell>
        </row>
        <row r="549">
          <cell r="M549" t="str">
            <v>A9-2-103</v>
          </cell>
          <cell r="N549" t="str">
            <v>平方米</v>
          </cell>
          <cell r="O549" t="str">
            <v>76.45</v>
          </cell>
          <cell r="P549" t="str">
            <v>2899.082568807339450</v>
          </cell>
          <cell r="Q549">
            <v>221634.86</v>
          </cell>
          <cell r="R549" t="str">
            <v>9%</v>
          </cell>
          <cell r="S549">
            <v>19947.14</v>
          </cell>
          <cell r="T549">
            <v>241582</v>
          </cell>
        </row>
        <row r="550">
          <cell r="M550" t="str">
            <v>5-5-1003</v>
          </cell>
          <cell r="N550" t="str">
            <v>平方米</v>
          </cell>
          <cell r="O550" t="str">
            <v>58.41</v>
          </cell>
          <cell r="P550" t="str">
            <v>2674.281148857420044</v>
          </cell>
          <cell r="Q550">
            <v>156204.76</v>
          </cell>
          <cell r="R550" t="str">
            <v>5%</v>
          </cell>
          <cell r="S550">
            <v>7810.24</v>
          </cell>
          <cell r="T550">
            <v>164015</v>
          </cell>
        </row>
        <row r="551">
          <cell r="M551" t="str">
            <v>A13-2-302</v>
          </cell>
          <cell r="N551" t="str">
            <v>平方米</v>
          </cell>
          <cell r="O551" t="str">
            <v>14.5</v>
          </cell>
          <cell r="P551" t="str">
            <v>3009.427396393546346</v>
          </cell>
          <cell r="Q551">
            <v>43636.7</v>
          </cell>
          <cell r="R551" t="str">
            <v>9%</v>
          </cell>
          <cell r="S551">
            <v>3927.3</v>
          </cell>
          <cell r="T551">
            <v>47564</v>
          </cell>
        </row>
        <row r="552">
          <cell r="M552" t="str">
            <v>A9-1-102</v>
          </cell>
          <cell r="N552" t="str">
            <v>平方米</v>
          </cell>
          <cell r="O552" t="str">
            <v>76.45</v>
          </cell>
          <cell r="P552" t="str">
            <v>2981.657376350795927</v>
          </cell>
          <cell r="Q552">
            <v>227947.71</v>
          </cell>
          <cell r="R552" t="str">
            <v>9%</v>
          </cell>
          <cell r="S552">
            <v>20515.29</v>
          </cell>
          <cell r="T552">
            <v>248463</v>
          </cell>
        </row>
        <row r="553">
          <cell r="M553" t="str">
            <v>A8-2-401</v>
          </cell>
          <cell r="N553" t="str">
            <v>平方米</v>
          </cell>
          <cell r="O553" t="str">
            <v>57.98</v>
          </cell>
          <cell r="P553" t="str">
            <v>3018.345459206116630</v>
          </cell>
          <cell r="Q553">
            <v>175003.67</v>
          </cell>
          <cell r="R553" t="str">
            <v>9%</v>
          </cell>
          <cell r="S553">
            <v>15750.33</v>
          </cell>
          <cell r="T553">
            <v>190754</v>
          </cell>
        </row>
        <row r="554">
          <cell r="M554" t="str">
            <v>A9-2-201</v>
          </cell>
          <cell r="N554" t="str">
            <v>平方米</v>
          </cell>
          <cell r="O554" t="str">
            <v>51.56</v>
          </cell>
          <cell r="P554" t="str">
            <v>2981.651376146788991</v>
          </cell>
          <cell r="Q554">
            <v>153733.94</v>
          </cell>
          <cell r="R554" t="str">
            <v>9%</v>
          </cell>
          <cell r="S554">
            <v>13836.06</v>
          </cell>
          <cell r="T554">
            <v>167570</v>
          </cell>
        </row>
        <row r="555">
          <cell r="M555" t="str">
            <v>A9-1-402</v>
          </cell>
          <cell r="N555" t="str">
            <v>平方米</v>
          </cell>
          <cell r="O555" t="str">
            <v>76.45</v>
          </cell>
          <cell r="P555" t="str">
            <v>3027.522935779816514</v>
          </cell>
          <cell r="Q555">
            <v>231454.13</v>
          </cell>
          <cell r="R555" t="str">
            <v>9%</v>
          </cell>
          <cell r="S555">
            <v>20830.87</v>
          </cell>
          <cell r="T555">
            <v>252285</v>
          </cell>
        </row>
        <row r="556">
          <cell r="M556" t="str">
            <v>A5-1-501</v>
          </cell>
          <cell r="N556" t="str">
            <v>平方米</v>
          </cell>
          <cell r="O556" t="str">
            <v>85.38</v>
          </cell>
          <cell r="P556" t="str">
            <v>2568.807339449541284</v>
          </cell>
          <cell r="Q556">
            <v>219324.77</v>
          </cell>
          <cell r="R556" t="str">
            <v>9%</v>
          </cell>
          <cell r="S556">
            <v>19739.23</v>
          </cell>
          <cell r="T556">
            <v>239064</v>
          </cell>
        </row>
        <row r="557">
          <cell r="M557" t="str">
            <v>A1-1-202</v>
          </cell>
          <cell r="N557" t="str">
            <v>平方米</v>
          </cell>
          <cell r="O557" t="str">
            <v>72.37</v>
          </cell>
          <cell r="P557" t="str">
            <v>2733.950024910215471</v>
          </cell>
          <cell r="Q557">
            <v>197855.96</v>
          </cell>
          <cell r="R557" t="str">
            <v>9%</v>
          </cell>
          <cell r="S557">
            <v>17807.04</v>
          </cell>
          <cell r="T557">
            <v>215663</v>
          </cell>
        </row>
        <row r="558">
          <cell r="M558" t="str">
            <v>A7-2-402</v>
          </cell>
          <cell r="N558" t="str">
            <v>平方米</v>
          </cell>
          <cell r="O558" t="str">
            <v>61.79</v>
          </cell>
          <cell r="P558" t="str">
            <v>3073.446461898914792</v>
          </cell>
          <cell r="Q558">
            <v>189908.26</v>
          </cell>
          <cell r="R558" t="str">
            <v>9%</v>
          </cell>
          <cell r="S558">
            <v>17091.74</v>
          </cell>
          <cell r="T558">
            <v>207000</v>
          </cell>
        </row>
        <row r="559">
          <cell r="M559" t="str">
            <v>A3-1-301</v>
          </cell>
          <cell r="N559" t="str">
            <v>平方米</v>
          </cell>
          <cell r="O559" t="str">
            <v>94.92</v>
          </cell>
          <cell r="P559" t="str">
            <v>2825.691939518358289</v>
          </cell>
          <cell r="Q559">
            <v>268214.68</v>
          </cell>
          <cell r="R559" t="str">
            <v>9%</v>
          </cell>
          <cell r="S559">
            <v>24139.32</v>
          </cell>
          <cell r="T559">
            <v>292354</v>
          </cell>
        </row>
        <row r="560">
          <cell r="M560" t="str">
            <v>A4-5-502</v>
          </cell>
          <cell r="N560" t="str">
            <v>平方米</v>
          </cell>
          <cell r="O560" t="str">
            <v>81.45</v>
          </cell>
          <cell r="P560" t="str">
            <v>2568.807339449541284</v>
          </cell>
          <cell r="Q560">
            <v>209229.36</v>
          </cell>
          <cell r="R560" t="str">
            <v>9%</v>
          </cell>
          <cell r="S560">
            <v>18830.64</v>
          </cell>
          <cell r="T560">
            <v>228060</v>
          </cell>
        </row>
        <row r="561">
          <cell r="M561" t="str">
            <v>A8-1-502</v>
          </cell>
          <cell r="N561" t="str">
            <v>平方米</v>
          </cell>
          <cell r="O561" t="str">
            <v>68.13</v>
          </cell>
          <cell r="P561" t="str">
            <v>2693.178313989580093</v>
          </cell>
          <cell r="Q561">
            <v>183486.24</v>
          </cell>
          <cell r="R561" t="str">
            <v>9%</v>
          </cell>
          <cell r="S561">
            <v>16513.76</v>
          </cell>
          <cell r="T561">
            <v>200000</v>
          </cell>
        </row>
        <row r="562">
          <cell r="M562" t="str">
            <v>A3-3-501</v>
          </cell>
          <cell r="N562" t="str">
            <v>平方米</v>
          </cell>
          <cell r="O562" t="str">
            <v>94.43</v>
          </cell>
          <cell r="P562" t="str">
            <v>2568.807339449541284</v>
          </cell>
          <cell r="Q562">
            <v>242572.48</v>
          </cell>
          <cell r="R562" t="str">
            <v>9%</v>
          </cell>
          <cell r="S562">
            <v>21831.52</v>
          </cell>
          <cell r="T562">
            <v>264404</v>
          </cell>
        </row>
        <row r="563">
          <cell r="M563" t="str">
            <v>A6-1-501</v>
          </cell>
          <cell r="N563" t="str">
            <v>平方米</v>
          </cell>
          <cell r="O563" t="str">
            <v>65.67</v>
          </cell>
          <cell r="P563" t="str">
            <v>2752.153874739278824</v>
          </cell>
          <cell r="Q563">
            <v>180733.94</v>
          </cell>
          <cell r="R563" t="str">
            <v>9%</v>
          </cell>
          <cell r="S563">
            <v>16266.06</v>
          </cell>
          <cell r="T563">
            <v>197000</v>
          </cell>
        </row>
        <row r="564">
          <cell r="M564" t="str">
            <v>A7-2-402</v>
          </cell>
          <cell r="N564" t="str">
            <v>平方米</v>
          </cell>
          <cell r="O564" t="str">
            <v>15.81</v>
          </cell>
          <cell r="P564" t="str">
            <v>3073.191395528320828</v>
          </cell>
          <cell r="Q564">
            <v>48587.16</v>
          </cell>
          <cell r="R564" t="str">
            <v>9%</v>
          </cell>
          <cell r="S564">
            <v>4372.84</v>
          </cell>
          <cell r="T564">
            <v>52960</v>
          </cell>
        </row>
        <row r="565">
          <cell r="M565" t="str">
            <v>A7-2-302</v>
          </cell>
          <cell r="N565" t="str">
            <v>平方米</v>
          </cell>
          <cell r="O565" t="str">
            <v>77.6</v>
          </cell>
          <cell r="P565" t="str">
            <v>2798.165137614678899</v>
          </cell>
          <cell r="Q565">
            <v>217137.61</v>
          </cell>
          <cell r="R565" t="str">
            <v>9%</v>
          </cell>
          <cell r="S565">
            <v>19542.39</v>
          </cell>
          <cell r="T565">
            <v>236680</v>
          </cell>
        </row>
        <row r="566">
          <cell r="M566" t="str">
            <v>A6-1-501</v>
          </cell>
          <cell r="N566" t="str">
            <v>平方米</v>
          </cell>
          <cell r="O566" t="str">
            <v>16.68</v>
          </cell>
          <cell r="P566" t="str">
            <v>2752.843596682287198</v>
          </cell>
          <cell r="Q566">
            <v>45917.43</v>
          </cell>
          <cell r="R566" t="str">
            <v>9%</v>
          </cell>
          <cell r="S566">
            <v>4132.57</v>
          </cell>
          <cell r="T566">
            <v>50050</v>
          </cell>
        </row>
        <row r="567">
          <cell r="M567" t="str">
            <v>A7-2-401</v>
          </cell>
          <cell r="N567" t="str">
            <v>平方米</v>
          </cell>
          <cell r="O567" t="str">
            <v>15.78</v>
          </cell>
          <cell r="P567" t="str">
            <v>3027.871768932919384</v>
          </cell>
          <cell r="Q567">
            <v>47779.82</v>
          </cell>
          <cell r="R567" t="str">
            <v>9%</v>
          </cell>
          <cell r="S567">
            <v>4300.18</v>
          </cell>
          <cell r="T567">
            <v>52080</v>
          </cell>
        </row>
        <row r="568">
          <cell r="M568" t="str">
            <v>A8-1-203</v>
          </cell>
          <cell r="N568" t="str">
            <v>平方米</v>
          </cell>
          <cell r="O568" t="str">
            <v>60.28</v>
          </cell>
          <cell r="P568" t="str">
            <v>3256.972050918344362</v>
          </cell>
          <cell r="Q568">
            <v>196330.28</v>
          </cell>
          <cell r="R568" t="str">
            <v>9%</v>
          </cell>
          <cell r="S568">
            <v>17669.72</v>
          </cell>
          <cell r="T568">
            <v>214000</v>
          </cell>
        </row>
        <row r="569">
          <cell r="M569" t="str">
            <v>A8-1-103</v>
          </cell>
          <cell r="N569" t="str">
            <v>平方米</v>
          </cell>
          <cell r="O569" t="str">
            <v>60.56</v>
          </cell>
          <cell r="P569" t="str">
            <v>2931.356271133033583</v>
          </cell>
          <cell r="Q569">
            <v>177522.94</v>
          </cell>
          <cell r="R569" t="str">
            <v>9%</v>
          </cell>
          <cell r="S569">
            <v>15977.06</v>
          </cell>
          <cell r="T569">
            <v>193500</v>
          </cell>
        </row>
        <row r="570">
          <cell r="M570" t="str">
            <v>A8-1-203</v>
          </cell>
          <cell r="N570" t="str">
            <v>平方米</v>
          </cell>
          <cell r="O570" t="str">
            <v>0.28</v>
          </cell>
          <cell r="P570" t="str">
            <v>3237.221494102228047</v>
          </cell>
          <cell r="Q570">
            <v>906.42</v>
          </cell>
          <cell r="R570" t="str">
            <v>9%</v>
          </cell>
          <cell r="S570">
            <v>81.58</v>
          </cell>
          <cell r="T570">
            <v>988</v>
          </cell>
        </row>
        <row r="571">
          <cell r="M571" t="str">
            <v>A6-1-601</v>
          </cell>
          <cell r="N571" t="str">
            <v>平方米</v>
          </cell>
          <cell r="O571" t="str">
            <v>82.35</v>
          </cell>
          <cell r="P571" t="str">
            <v>2660.550458715596330</v>
          </cell>
          <cell r="Q571">
            <v>219096.33</v>
          </cell>
          <cell r="R571" t="str">
            <v>9%</v>
          </cell>
          <cell r="S571">
            <v>19718.67</v>
          </cell>
          <cell r="T571">
            <v>238815</v>
          </cell>
        </row>
        <row r="572">
          <cell r="M572" t="str">
            <v>A8-1-201</v>
          </cell>
          <cell r="N572" t="str">
            <v>平方米</v>
          </cell>
          <cell r="O572" t="str">
            <v>68.16</v>
          </cell>
          <cell r="P572" t="str">
            <v>3122.281087134427360</v>
          </cell>
          <cell r="Q572">
            <v>212814.68</v>
          </cell>
          <cell r="R572" t="str">
            <v>9%</v>
          </cell>
          <cell r="S572">
            <v>19153.32</v>
          </cell>
          <cell r="T572">
            <v>231968</v>
          </cell>
        </row>
        <row r="573">
          <cell r="M573" t="str">
            <v>A7-2-101</v>
          </cell>
          <cell r="N573" t="str">
            <v>平方米</v>
          </cell>
          <cell r="O573" t="str">
            <v>77.6</v>
          </cell>
          <cell r="P573" t="str">
            <v>2908.256880733944954</v>
          </cell>
          <cell r="Q573">
            <v>225680.73</v>
          </cell>
          <cell r="R573" t="str">
            <v>9%</v>
          </cell>
          <cell r="S573">
            <v>20311.27</v>
          </cell>
          <cell r="T573">
            <v>245992</v>
          </cell>
        </row>
        <row r="574">
          <cell r="M574" t="str">
            <v>A14-103</v>
          </cell>
          <cell r="N574" t="str">
            <v>平方米</v>
          </cell>
          <cell r="O574" t="str">
            <v>55.94</v>
          </cell>
          <cell r="P574" t="str">
            <v>6150.101845686564570</v>
          </cell>
          <cell r="Q574">
            <v>344036.7</v>
          </cell>
          <cell r="R574" t="str">
            <v>9%</v>
          </cell>
          <cell r="S574">
            <v>30963.3</v>
          </cell>
          <cell r="T574">
            <v>375000</v>
          </cell>
        </row>
        <row r="575">
          <cell r="M575" t="str">
            <v>A8-2-404</v>
          </cell>
          <cell r="N575" t="str">
            <v>平方米</v>
          </cell>
          <cell r="O575" t="str">
            <v>68.16</v>
          </cell>
          <cell r="P575" t="str">
            <v>3045.868867640091313</v>
          </cell>
          <cell r="Q575">
            <v>207606.42</v>
          </cell>
          <cell r="R575" t="str">
            <v>9%</v>
          </cell>
          <cell r="S575">
            <v>18684.58</v>
          </cell>
          <cell r="T575">
            <v>226291</v>
          </cell>
        </row>
        <row r="576">
          <cell r="M576" t="str">
            <v>A8-2-402</v>
          </cell>
          <cell r="N576" t="str">
            <v>平方米</v>
          </cell>
          <cell r="O576" t="str">
            <v>60.56</v>
          </cell>
          <cell r="P576" t="str">
            <v>3027.522935779816514</v>
          </cell>
          <cell r="Q576">
            <v>183346.79</v>
          </cell>
          <cell r="R576" t="str">
            <v>9%</v>
          </cell>
          <cell r="S576">
            <v>16501.21</v>
          </cell>
          <cell r="T576">
            <v>199848</v>
          </cell>
        </row>
        <row r="577">
          <cell r="M577" t="str">
            <v>A13-1-401</v>
          </cell>
          <cell r="N577" t="str">
            <v>平方米</v>
          </cell>
          <cell r="O577" t="str">
            <v>80.05</v>
          </cell>
          <cell r="P577" t="str">
            <v>3027.522935779816514</v>
          </cell>
          <cell r="Q577">
            <v>242353.21</v>
          </cell>
          <cell r="R577" t="str">
            <v>9%</v>
          </cell>
          <cell r="S577">
            <v>21811.79</v>
          </cell>
          <cell r="T577">
            <v>264165</v>
          </cell>
        </row>
        <row r="578">
          <cell r="M578" t="str">
            <v>A8-1-303</v>
          </cell>
          <cell r="N578" t="str">
            <v>平方米</v>
          </cell>
          <cell r="O578" t="str">
            <v>60.56</v>
          </cell>
          <cell r="P578" t="str">
            <v>3256.880733944954128</v>
          </cell>
          <cell r="Q578">
            <v>197236.7</v>
          </cell>
          <cell r="R578" t="str">
            <v>9%</v>
          </cell>
          <cell r="S578">
            <v>17751.3</v>
          </cell>
          <cell r="T578">
            <v>214988</v>
          </cell>
        </row>
        <row r="579">
          <cell r="M579" t="str">
            <v>A4-109</v>
          </cell>
          <cell r="N579" t="str">
            <v>平方米</v>
          </cell>
          <cell r="O579" t="str">
            <v>19.18</v>
          </cell>
          <cell r="P579" t="str">
            <v>4587.155963302752294</v>
          </cell>
          <cell r="Q579">
            <v>87981.65</v>
          </cell>
          <cell r="R579" t="str">
            <v>9%</v>
          </cell>
          <cell r="S579">
            <v>7918.35</v>
          </cell>
          <cell r="T579">
            <v>95900</v>
          </cell>
        </row>
        <row r="580">
          <cell r="M580" t="str">
            <v>A3-3-201</v>
          </cell>
          <cell r="N580" t="str">
            <v>平方米</v>
          </cell>
          <cell r="O580" t="str">
            <v>94.43</v>
          </cell>
          <cell r="P580" t="str">
            <v>3073.399353144458251</v>
          </cell>
          <cell r="Q580">
            <v>290221.1</v>
          </cell>
          <cell r="R580" t="str">
            <v>9%</v>
          </cell>
          <cell r="S580">
            <v>26119.9</v>
          </cell>
          <cell r="T580">
            <v>316341</v>
          </cell>
        </row>
        <row r="581">
          <cell r="M581" t="str">
            <v>A8-1-301</v>
          </cell>
          <cell r="N581" t="str">
            <v>平方米</v>
          </cell>
          <cell r="O581" t="str">
            <v>68.16</v>
          </cell>
          <cell r="P581" t="str">
            <v>3094.445880174010424</v>
          </cell>
          <cell r="Q581">
            <v>210917.43</v>
          </cell>
          <cell r="R581" t="str">
            <v>9%</v>
          </cell>
          <cell r="S581">
            <v>18982.57</v>
          </cell>
          <cell r="T581">
            <v>229900</v>
          </cell>
        </row>
        <row r="582">
          <cell r="M582" t="str">
            <v>A13-1-502</v>
          </cell>
          <cell r="N582" t="str">
            <v>平方米</v>
          </cell>
          <cell r="O582" t="str">
            <v>82.12</v>
          </cell>
          <cell r="P582" t="str">
            <v>2733.949422862939444</v>
          </cell>
          <cell r="Q582">
            <v>224511.93</v>
          </cell>
          <cell r="R582" t="str">
            <v>9%</v>
          </cell>
          <cell r="S582">
            <v>20206.07</v>
          </cell>
          <cell r="T582">
            <v>244718</v>
          </cell>
        </row>
        <row r="583">
          <cell r="M583" t="str">
            <v>A8-1-503</v>
          </cell>
          <cell r="N583" t="str">
            <v>平方米</v>
          </cell>
          <cell r="O583" t="str">
            <v>60.56</v>
          </cell>
          <cell r="P583" t="str">
            <v>2752.293577981651376</v>
          </cell>
          <cell r="Q583">
            <v>166678.9</v>
          </cell>
          <cell r="R583" t="str">
            <v>9%</v>
          </cell>
          <cell r="S583">
            <v>15001.1</v>
          </cell>
          <cell r="T583">
            <v>181680</v>
          </cell>
        </row>
        <row r="584">
          <cell r="M584" t="str">
            <v>A9-1-602</v>
          </cell>
          <cell r="N584" t="str">
            <v>平方米</v>
          </cell>
          <cell r="O584" t="str">
            <v>76.45</v>
          </cell>
          <cell r="P584" t="str">
            <v>2604.088539010326351</v>
          </cell>
          <cell r="Q584">
            <v>199082.57</v>
          </cell>
          <cell r="R584" t="str">
            <v>9%</v>
          </cell>
          <cell r="S584">
            <v>17917.43</v>
          </cell>
          <cell r="T584">
            <v>217000</v>
          </cell>
        </row>
        <row r="585">
          <cell r="M585" t="str">
            <v>A8-2-501</v>
          </cell>
          <cell r="N585" t="str">
            <v>平方米</v>
          </cell>
          <cell r="O585" t="str">
            <v>57.98</v>
          </cell>
          <cell r="P585" t="str">
            <v>2752.293577981651376</v>
          </cell>
          <cell r="Q585">
            <v>159577.98</v>
          </cell>
          <cell r="R585" t="str">
            <v>9%</v>
          </cell>
          <cell r="S585">
            <v>14362.02</v>
          </cell>
          <cell r="T585">
            <v>173940</v>
          </cell>
        </row>
        <row r="586">
          <cell r="M586" t="str">
            <v>A9-2-403</v>
          </cell>
          <cell r="N586" t="str">
            <v>平方米</v>
          </cell>
          <cell r="O586" t="str">
            <v>76.45</v>
          </cell>
          <cell r="P586" t="str">
            <v>3072.104451551352746</v>
          </cell>
          <cell r="Q586">
            <v>234862.39</v>
          </cell>
          <cell r="R586" t="str">
            <v>9%</v>
          </cell>
          <cell r="S586">
            <v>21137.61</v>
          </cell>
          <cell r="T586">
            <v>256000</v>
          </cell>
        </row>
        <row r="587">
          <cell r="M587" t="str">
            <v>A9-2-401</v>
          </cell>
          <cell r="N587" t="str">
            <v>平方米</v>
          </cell>
          <cell r="O587" t="str">
            <v>51.56</v>
          </cell>
          <cell r="P587" t="str">
            <v>2935.922164255058683</v>
          </cell>
          <cell r="Q587">
            <v>151376.15</v>
          </cell>
          <cell r="R587" t="str">
            <v>9%</v>
          </cell>
          <cell r="S587">
            <v>13623.85</v>
          </cell>
          <cell r="T587">
            <v>165000</v>
          </cell>
        </row>
        <row r="588">
          <cell r="M588" t="str">
            <v>A7-3-201</v>
          </cell>
          <cell r="N588" t="str">
            <v>平方米</v>
          </cell>
          <cell r="O588" t="str">
            <v>74.18</v>
          </cell>
          <cell r="P588" t="str">
            <v>3064.217709959162068</v>
          </cell>
          <cell r="Q588">
            <v>227303.67</v>
          </cell>
          <cell r="R588" t="str">
            <v>9%</v>
          </cell>
          <cell r="S588">
            <v>20457.33</v>
          </cell>
          <cell r="T588">
            <v>247761</v>
          </cell>
        </row>
        <row r="589">
          <cell r="M589" t="str">
            <v>A9-1-601</v>
          </cell>
          <cell r="N589" t="str">
            <v>平方米</v>
          </cell>
          <cell r="O589" t="str">
            <v>71.87</v>
          </cell>
          <cell r="P589" t="str">
            <v>2560.420637159601370</v>
          </cell>
          <cell r="Q589">
            <v>184017.43</v>
          </cell>
          <cell r="R589" t="str">
            <v>9%</v>
          </cell>
          <cell r="S589">
            <v>16561.57</v>
          </cell>
          <cell r="T589">
            <v>200579</v>
          </cell>
        </row>
        <row r="590">
          <cell r="M590" t="str">
            <v>A8-2-503</v>
          </cell>
          <cell r="N590" t="str">
            <v>平方米</v>
          </cell>
          <cell r="O590" t="str">
            <v>68.13</v>
          </cell>
          <cell r="P590" t="str">
            <v>2706.428751294408828</v>
          </cell>
          <cell r="Q590">
            <v>184388.99</v>
          </cell>
          <cell r="R590" t="str">
            <v>9%</v>
          </cell>
          <cell r="S590">
            <v>16595.01</v>
          </cell>
          <cell r="T590">
            <v>200984</v>
          </cell>
        </row>
        <row r="591">
          <cell r="M591" t="str">
            <v>A9-2-602</v>
          </cell>
          <cell r="N591" t="str">
            <v>平方米</v>
          </cell>
          <cell r="O591" t="str">
            <v>52.21</v>
          </cell>
          <cell r="P591" t="str">
            <v>2622.454484272231584</v>
          </cell>
          <cell r="Q591">
            <v>136918.35</v>
          </cell>
          <cell r="R591" t="str">
            <v>9%</v>
          </cell>
          <cell r="S591">
            <v>12322.65</v>
          </cell>
          <cell r="T591">
            <v>149241</v>
          </cell>
        </row>
        <row r="592">
          <cell r="M592" t="str">
            <v>A7-2-501</v>
          </cell>
          <cell r="N592" t="str">
            <v>平方米</v>
          </cell>
          <cell r="O592" t="str">
            <v>77.6</v>
          </cell>
          <cell r="P592" t="str">
            <v>2752.293577981651376</v>
          </cell>
          <cell r="Q592">
            <v>213577.98</v>
          </cell>
          <cell r="R592" t="str">
            <v>9%</v>
          </cell>
          <cell r="S592">
            <v>19222.02</v>
          </cell>
          <cell r="T592">
            <v>232800</v>
          </cell>
        </row>
        <row r="593">
          <cell r="M593" t="str">
            <v>A8-1-403</v>
          </cell>
          <cell r="N593" t="str">
            <v>平方米</v>
          </cell>
          <cell r="O593" t="str">
            <v>60.56</v>
          </cell>
          <cell r="P593" t="str">
            <v>3119.266055045871560</v>
          </cell>
          <cell r="Q593">
            <v>188902.75</v>
          </cell>
          <cell r="R593" t="str">
            <v>9%</v>
          </cell>
          <cell r="S593">
            <v>17001.25</v>
          </cell>
          <cell r="T593">
            <v>205904</v>
          </cell>
        </row>
        <row r="594">
          <cell r="M594" t="str">
            <v>A9-2-304</v>
          </cell>
          <cell r="N594" t="str">
            <v>平方米</v>
          </cell>
          <cell r="O594" t="str">
            <v>71.87</v>
          </cell>
          <cell r="P594" t="str">
            <v>2817.434128644609342</v>
          </cell>
          <cell r="Q594">
            <v>202488.99</v>
          </cell>
          <cell r="R594" t="str">
            <v>9%</v>
          </cell>
          <cell r="S594">
            <v>18224.01</v>
          </cell>
          <cell r="T594">
            <v>220713</v>
          </cell>
        </row>
        <row r="595">
          <cell r="M595" t="str">
            <v>A9-2-101</v>
          </cell>
          <cell r="N595" t="str">
            <v>平方米</v>
          </cell>
          <cell r="O595" t="str">
            <v>51.56</v>
          </cell>
          <cell r="P595" t="str">
            <v>2853.182539626052483</v>
          </cell>
          <cell r="Q595">
            <v>147110.09</v>
          </cell>
          <cell r="R595" t="str">
            <v>9%</v>
          </cell>
          <cell r="S595">
            <v>13239.91</v>
          </cell>
          <cell r="T595">
            <v>160350</v>
          </cell>
        </row>
        <row r="596">
          <cell r="M596" t="str">
            <v>A8-1-404</v>
          </cell>
          <cell r="N596" t="str">
            <v>平方米</v>
          </cell>
          <cell r="O596" t="str">
            <v>57.98</v>
          </cell>
          <cell r="P596" t="str">
            <v>3073.394495412844037</v>
          </cell>
          <cell r="Q596">
            <v>178195.41</v>
          </cell>
          <cell r="R596" t="str">
            <v>9%</v>
          </cell>
          <cell r="S596">
            <v>16037.59</v>
          </cell>
          <cell r="T596">
            <v>194233</v>
          </cell>
        </row>
        <row r="597">
          <cell r="M597" t="str">
            <v>A13-2-401</v>
          </cell>
          <cell r="N597" t="str">
            <v>平方米</v>
          </cell>
          <cell r="O597" t="str">
            <v>82.12</v>
          </cell>
          <cell r="P597" t="str">
            <v>3073.394495412844037</v>
          </cell>
          <cell r="Q597">
            <v>252387.16</v>
          </cell>
          <cell r="R597" t="str">
            <v>9%</v>
          </cell>
          <cell r="S597">
            <v>22714.84</v>
          </cell>
          <cell r="T597">
            <v>275102</v>
          </cell>
        </row>
        <row r="598">
          <cell r="M598" t="str">
            <v>A7-3-402</v>
          </cell>
          <cell r="N598" t="str">
            <v>平方米</v>
          </cell>
          <cell r="O598" t="str">
            <v>82.65</v>
          </cell>
          <cell r="P598" t="str">
            <v>3073.400045510803266</v>
          </cell>
          <cell r="Q598">
            <v>254016.51</v>
          </cell>
          <cell r="R598" t="str">
            <v>9%</v>
          </cell>
          <cell r="S598">
            <v>22861.49</v>
          </cell>
          <cell r="T598">
            <v>276878</v>
          </cell>
        </row>
        <row r="599">
          <cell r="M599" t="str">
            <v>A13-2-101</v>
          </cell>
          <cell r="N599" t="str">
            <v>平方米</v>
          </cell>
          <cell r="O599" t="str">
            <v>82.12</v>
          </cell>
          <cell r="P599" t="str">
            <v>2935.779816513761468</v>
          </cell>
          <cell r="Q599">
            <v>241086.24</v>
          </cell>
          <cell r="R599" t="str">
            <v>9%</v>
          </cell>
          <cell r="S599">
            <v>21697.76</v>
          </cell>
          <cell r="T599">
            <v>262784</v>
          </cell>
        </row>
        <row r="600">
          <cell r="M600" t="str">
            <v>A8-2-602</v>
          </cell>
          <cell r="N600" t="str">
            <v>平方米</v>
          </cell>
          <cell r="O600" t="str">
            <v>60.56</v>
          </cell>
          <cell r="P600" t="str">
            <v>2522.935779816513761</v>
          </cell>
          <cell r="Q600">
            <v>152788.99</v>
          </cell>
          <cell r="R600" t="str">
            <v>9%</v>
          </cell>
          <cell r="S600">
            <v>13751.01</v>
          </cell>
          <cell r="T600">
            <v>166540</v>
          </cell>
        </row>
        <row r="601">
          <cell r="M601" t="str">
            <v>A3-2-501</v>
          </cell>
          <cell r="N601" t="str">
            <v>平方米</v>
          </cell>
          <cell r="O601" t="str">
            <v>94.43</v>
          </cell>
          <cell r="P601" t="str">
            <v>2568.807339449541284</v>
          </cell>
          <cell r="Q601">
            <v>242572.48</v>
          </cell>
          <cell r="R601" t="str">
            <v>9%</v>
          </cell>
          <cell r="S601">
            <v>21831.52</v>
          </cell>
          <cell r="T601">
            <v>264404</v>
          </cell>
        </row>
        <row r="602">
          <cell r="M602" t="str">
            <v>A3-2-601</v>
          </cell>
          <cell r="N602" t="str">
            <v>平方米</v>
          </cell>
          <cell r="O602" t="str">
            <v>94.43</v>
          </cell>
          <cell r="P602" t="str">
            <v>2385.321100917431193</v>
          </cell>
          <cell r="Q602">
            <v>225245.87</v>
          </cell>
          <cell r="R602" t="str">
            <v>9%</v>
          </cell>
          <cell r="S602">
            <v>20272.13</v>
          </cell>
          <cell r="T602">
            <v>245518</v>
          </cell>
        </row>
        <row r="603">
          <cell r="M603" t="str">
            <v>A8-1-504</v>
          </cell>
          <cell r="N603" t="str">
            <v>平方米</v>
          </cell>
          <cell r="O603" t="str">
            <v>57.98</v>
          </cell>
          <cell r="P603" t="str">
            <v>2844.036697247706422</v>
          </cell>
          <cell r="Q603">
            <v>164897.25</v>
          </cell>
          <cell r="R603" t="str">
            <v>9%</v>
          </cell>
          <cell r="S603">
            <v>14840.75</v>
          </cell>
          <cell r="T603">
            <v>179738</v>
          </cell>
        </row>
        <row r="604">
          <cell r="M604" t="str">
            <v>A8-1-302</v>
          </cell>
          <cell r="N604" t="str">
            <v>平方米</v>
          </cell>
          <cell r="O604" t="str">
            <v>68.13</v>
          </cell>
          <cell r="P604" t="str">
            <v>2935.779816513761468</v>
          </cell>
          <cell r="Q604">
            <v>200014.68</v>
          </cell>
          <cell r="R604" t="str">
            <v>9%</v>
          </cell>
          <cell r="S604">
            <v>18001.32</v>
          </cell>
          <cell r="T604">
            <v>218016</v>
          </cell>
        </row>
        <row r="605">
          <cell r="M605" t="str">
            <v>A13-1-601</v>
          </cell>
          <cell r="N605" t="str">
            <v>平方米</v>
          </cell>
          <cell r="O605" t="str">
            <v>80.05</v>
          </cell>
          <cell r="P605" t="str">
            <v>2587.155963302752294</v>
          </cell>
          <cell r="Q605">
            <v>207101.83</v>
          </cell>
          <cell r="R605" t="str">
            <v>9%</v>
          </cell>
          <cell r="S605">
            <v>18639.17</v>
          </cell>
          <cell r="T605">
            <v>225741</v>
          </cell>
        </row>
        <row r="606">
          <cell r="M606" t="str">
            <v>A8-2-104</v>
          </cell>
          <cell r="N606" t="str">
            <v>平方米</v>
          </cell>
          <cell r="O606" t="str">
            <v>68.16</v>
          </cell>
          <cell r="P606" t="str">
            <v>2972.471680234311065</v>
          </cell>
          <cell r="Q606">
            <v>202603.67</v>
          </cell>
          <cell r="R606" t="str">
            <v>9%</v>
          </cell>
          <cell r="S606">
            <v>18234.33</v>
          </cell>
          <cell r="T606">
            <v>220838</v>
          </cell>
        </row>
        <row r="607">
          <cell r="M607" t="str">
            <v>A6-2-101</v>
          </cell>
          <cell r="N607" t="str">
            <v>平方米</v>
          </cell>
          <cell r="O607" t="str">
            <v>74.44</v>
          </cell>
          <cell r="P607" t="str">
            <v>2935.779816513761468</v>
          </cell>
          <cell r="Q607">
            <v>218539.45</v>
          </cell>
          <cell r="R607" t="str">
            <v>9%</v>
          </cell>
          <cell r="S607">
            <v>19668.55</v>
          </cell>
          <cell r="T607">
            <v>238208</v>
          </cell>
        </row>
        <row r="608">
          <cell r="M608" t="str">
            <v>A6-2-301</v>
          </cell>
          <cell r="N608" t="str">
            <v>平方米</v>
          </cell>
          <cell r="O608" t="str">
            <v>74.44</v>
          </cell>
          <cell r="P608" t="str">
            <v>3044.136278709779195</v>
          </cell>
          <cell r="Q608">
            <v>226605.5</v>
          </cell>
          <cell r="R608" t="str">
            <v>9%</v>
          </cell>
          <cell r="S608">
            <v>20394.5</v>
          </cell>
          <cell r="T608">
            <v>247000</v>
          </cell>
        </row>
        <row r="609">
          <cell r="M609" t="str">
            <v>A7-2-102</v>
          </cell>
          <cell r="N609" t="str">
            <v>平方米</v>
          </cell>
          <cell r="O609" t="str">
            <v>77.6</v>
          </cell>
          <cell r="P609" t="str">
            <v>2926.605504587155963</v>
          </cell>
          <cell r="Q609">
            <v>227104.59</v>
          </cell>
          <cell r="R609" t="str">
            <v>9%</v>
          </cell>
          <cell r="S609">
            <v>20439.41</v>
          </cell>
          <cell r="T609">
            <v>247544</v>
          </cell>
        </row>
        <row r="610">
          <cell r="M610" t="str">
            <v>A7-1-101</v>
          </cell>
          <cell r="N610" t="str">
            <v>平方米</v>
          </cell>
          <cell r="O610" t="str">
            <v>82.65</v>
          </cell>
          <cell r="P610" t="str">
            <v>2880.100900780898783</v>
          </cell>
          <cell r="Q610">
            <v>238040.34</v>
          </cell>
          <cell r="R610" t="str">
            <v>9%</v>
          </cell>
          <cell r="S610">
            <v>21423.63</v>
          </cell>
          <cell r="T610">
            <v>259463.97</v>
          </cell>
        </row>
        <row r="611">
          <cell r="M611" t="str">
            <v>A8-1-602</v>
          </cell>
          <cell r="N611" t="str">
            <v>平方米</v>
          </cell>
          <cell r="O611" t="str">
            <v>68.13</v>
          </cell>
          <cell r="P611" t="str">
            <v>2720.110097129475894</v>
          </cell>
          <cell r="Q611">
            <v>185321.1</v>
          </cell>
          <cell r="R611" t="str">
            <v>9%</v>
          </cell>
          <cell r="S611">
            <v>16678.9</v>
          </cell>
          <cell r="T611">
            <v>202000</v>
          </cell>
        </row>
        <row r="612">
          <cell r="M612" t="str">
            <v>A7-2-201</v>
          </cell>
          <cell r="N612" t="str">
            <v>平方米</v>
          </cell>
          <cell r="O612" t="str">
            <v>77.6</v>
          </cell>
          <cell r="P612" t="str">
            <v>3073.867398089473186</v>
          </cell>
          <cell r="Q612">
            <v>238532.11</v>
          </cell>
          <cell r="R612" t="str">
            <v>9%</v>
          </cell>
          <cell r="S612">
            <v>21467.89</v>
          </cell>
          <cell r="T612">
            <v>260000</v>
          </cell>
        </row>
        <row r="613">
          <cell r="M613" t="str">
            <v>A6-1-401</v>
          </cell>
          <cell r="N613" t="str">
            <v>平方米</v>
          </cell>
          <cell r="O613" t="str">
            <v>82.35</v>
          </cell>
          <cell r="P613" t="str">
            <v>3073.400065729739365</v>
          </cell>
          <cell r="Q613">
            <v>253094.5</v>
          </cell>
          <cell r="R613" t="str">
            <v>9%</v>
          </cell>
          <cell r="S613">
            <v>22778.5</v>
          </cell>
          <cell r="T613">
            <v>275873</v>
          </cell>
        </row>
        <row r="614">
          <cell r="M614" t="str">
            <v>A8-2-202</v>
          </cell>
          <cell r="N614" t="str">
            <v>平方米</v>
          </cell>
          <cell r="O614" t="str">
            <v>60.56</v>
          </cell>
          <cell r="P614" t="str">
            <v>3165.137614678899083</v>
          </cell>
          <cell r="Q614">
            <v>191680.73</v>
          </cell>
          <cell r="R614" t="str">
            <v>9%</v>
          </cell>
          <cell r="S614">
            <v>17251.27</v>
          </cell>
          <cell r="T614">
            <v>208932</v>
          </cell>
        </row>
        <row r="615">
          <cell r="M615" t="str">
            <v>A6-1-301</v>
          </cell>
          <cell r="N615" t="str">
            <v>平方米</v>
          </cell>
          <cell r="O615" t="str">
            <v>82.35</v>
          </cell>
          <cell r="P615" t="str">
            <v>3073.400065729739365</v>
          </cell>
          <cell r="Q615">
            <v>253094.5</v>
          </cell>
          <cell r="R615" t="str">
            <v>9%</v>
          </cell>
          <cell r="S615">
            <v>22778.5</v>
          </cell>
          <cell r="T615">
            <v>275873</v>
          </cell>
        </row>
        <row r="616">
          <cell r="M616" t="str">
            <v>A6-2-602</v>
          </cell>
          <cell r="N616" t="str">
            <v>平方米</v>
          </cell>
          <cell r="O616" t="str">
            <v>82.35</v>
          </cell>
          <cell r="P616" t="str">
            <v>2568.807339449541284</v>
          </cell>
          <cell r="Q616">
            <v>211541.28</v>
          </cell>
          <cell r="R616" t="str">
            <v>9%</v>
          </cell>
          <cell r="S616">
            <v>19038.72</v>
          </cell>
          <cell r="T616">
            <v>230580</v>
          </cell>
        </row>
        <row r="617">
          <cell r="M617" t="str">
            <v>A9-1-301</v>
          </cell>
          <cell r="N617" t="str">
            <v>平方米</v>
          </cell>
          <cell r="O617" t="str">
            <v>71.87</v>
          </cell>
          <cell r="P617" t="str">
            <v>2917.436298719783299</v>
          </cell>
          <cell r="Q617">
            <v>209676.15</v>
          </cell>
          <cell r="R617" t="str">
            <v>9%</v>
          </cell>
          <cell r="S617">
            <v>18870.85</v>
          </cell>
          <cell r="T617">
            <v>228547</v>
          </cell>
        </row>
        <row r="618">
          <cell r="M618" t="str">
            <v>A13-2-301</v>
          </cell>
          <cell r="N618" t="str">
            <v>平方米</v>
          </cell>
          <cell r="O618" t="str">
            <v>82.12</v>
          </cell>
          <cell r="P618" t="str">
            <v>3027.522935779816514</v>
          </cell>
          <cell r="Q618">
            <v>248620.18</v>
          </cell>
          <cell r="R618" t="str">
            <v>9%</v>
          </cell>
          <cell r="S618">
            <v>22375.82</v>
          </cell>
          <cell r="T618">
            <v>270996</v>
          </cell>
        </row>
        <row r="619">
          <cell r="M619" t="str">
            <v>A13-1-501</v>
          </cell>
          <cell r="N619" t="str">
            <v>平方米</v>
          </cell>
          <cell r="O619" t="str">
            <v>80.05</v>
          </cell>
          <cell r="P619" t="str">
            <v>2752.293577981651376</v>
          </cell>
          <cell r="Q619">
            <v>220321.1</v>
          </cell>
          <cell r="R619" t="str">
            <v>9%</v>
          </cell>
          <cell r="S619">
            <v>19828.9</v>
          </cell>
          <cell r="T619">
            <v>240150</v>
          </cell>
        </row>
        <row r="620">
          <cell r="M620" t="str">
            <v>A8-2-502</v>
          </cell>
          <cell r="N620" t="str">
            <v>平方米</v>
          </cell>
          <cell r="O620" t="str">
            <v>60.56</v>
          </cell>
          <cell r="P620" t="str">
            <v>2706.422018348623853</v>
          </cell>
          <cell r="Q620">
            <v>163900.92</v>
          </cell>
          <cell r="R620" t="str">
            <v>9%</v>
          </cell>
          <cell r="S620">
            <v>14751.08</v>
          </cell>
          <cell r="T620">
            <v>178652</v>
          </cell>
        </row>
        <row r="621">
          <cell r="M621" t="str">
            <v>A13-1-102</v>
          </cell>
          <cell r="N621" t="str">
            <v>平方米</v>
          </cell>
          <cell r="O621" t="str">
            <v>82.12</v>
          </cell>
          <cell r="P621" t="str">
            <v>2949.364769390956175</v>
          </cell>
          <cell r="Q621">
            <v>242201.83</v>
          </cell>
          <cell r="R621" t="str">
            <v>9%</v>
          </cell>
          <cell r="S621">
            <v>21798.17</v>
          </cell>
          <cell r="T621">
            <v>264000</v>
          </cell>
        </row>
        <row r="622">
          <cell r="M622" t="str">
            <v>A13-1-402</v>
          </cell>
          <cell r="N622" t="str">
            <v>平方米</v>
          </cell>
          <cell r="O622" t="str">
            <v>82.12</v>
          </cell>
          <cell r="P622" t="str">
            <v>3027.522935779816514</v>
          </cell>
          <cell r="Q622">
            <v>248620.18</v>
          </cell>
          <cell r="R622" t="str">
            <v>9%</v>
          </cell>
          <cell r="S622">
            <v>22375.82</v>
          </cell>
          <cell r="T622">
            <v>270996</v>
          </cell>
        </row>
        <row r="623">
          <cell r="M623" t="str">
            <v>A6-2-401</v>
          </cell>
          <cell r="N623" t="str">
            <v>平方米</v>
          </cell>
          <cell r="O623" t="str">
            <v>74.44</v>
          </cell>
          <cell r="P623" t="str">
            <v>3027.522935779816514</v>
          </cell>
          <cell r="Q623">
            <v>225368.81</v>
          </cell>
          <cell r="R623" t="str">
            <v>9%</v>
          </cell>
          <cell r="S623">
            <v>20283.19</v>
          </cell>
          <cell r="T623">
            <v>245652</v>
          </cell>
        </row>
        <row r="624">
          <cell r="M624" t="str">
            <v>A6-1-602</v>
          </cell>
          <cell r="N624" t="str">
            <v>平方米</v>
          </cell>
          <cell r="O624" t="str">
            <v>74.44</v>
          </cell>
          <cell r="P624" t="str">
            <v>2614.678899082568807</v>
          </cell>
          <cell r="Q624">
            <v>194636.7</v>
          </cell>
          <cell r="R624" t="str">
            <v>9%</v>
          </cell>
          <cell r="S624">
            <v>17517.3</v>
          </cell>
          <cell r="T624">
            <v>212154</v>
          </cell>
        </row>
        <row r="625">
          <cell r="M625" t="str">
            <v>A6-2-302</v>
          </cell>
          <cell r="N625" t="str">
            <v>平方米</v>
          </cell>
          <cell r="O625" t="str">
            <v>82.35</v>
          </cell>
          <cell r="P625" t="str">
            <v>3073.400065729739365</v>
          </cell>
          <cell r="Q625">
            <v>253094.5</v>
          </cell>
          <cell r="R625" t="str">
            <v>9%</v>
          </cell>
          <cell r="S625">
            <v>22778.5</v>
          </cell>
          <cell r="T625">
            <v>275873</v>
          </cell>
        </row>
        <row r="626">
          <cell r="M626" t="str">
            <v>A4-2-502</v>
          </cell>
          <cell r="N626" t="str">
            <v>平方米</v>
          </cell>
          <cell r="O626" t="str">
            <v>81.45</v>
          </cell>
          <cell r="P626" t="str">
            <v>2568.807339449541284</v>
          </cell>
          <cell r="Q626">
            <v>209229.36</v>
          </cell>
          <cell r="R626" t="str">
            <v>9%</v>
          </cell>
          <cell r="S626">
            <v>18830.64</v>
          </cell>
          <cell r="T626">
            <v>228060</v>
          </cell>
        </row>
        <row r="627">
          <cell r="M627" t="str">
            <v>A8-2-103</v>
          </cell>
          <cell r="N627" t="str">
            <v>平方米</v>
          </cell>
          <cell r="O627" t="str">
            <v>68.13</v>
          </cell>
          <cell r="P627" t="str">
            <v>2975.962036958486003</v>
          </cell>
          <cell r="Q627">
            <v>202752.29</v>
          </cell>
          <cell r="R627" t="str">
            <v>9%</v>
          </cell>
          <cell r="S627">
            <v>18247.71</v>
          </cell>
          <cell r="T627">
            <v>221000</v>
          </cell>
        </row>
        <row r="628">
          <cell r="M628" t="str">
            <v>A6-2-502</v>
          </cell>
          <cell r="N628" t="str">
            <v>平方米</v>
          </cell>
          <cell r="O628" t="str">
            <v>82.35</v>
          </cell>
          <cell r="P628" t="str">
            <v>2798.170707931574228</v>
          </cell>
          <cell r="Q628">
            <v>230429.36</v>
          </cell>
          <cell r="R628" t="str">
            <v>9%</v>
          </cell>
          <cell r="S628">
            <v>20738.64</v>
          </cell>
          <cell r="T628">
            <v>251168</v>
          </cell>
        </row>
        <row r="629">
          <cell r="M629" t="str">
            <v>A8-1-402</v>
          </cell>
          <cell r="N629" t="str">
            <v>平方米</v>
          </cell>
          <cell r="O629" t="str">
            <v>68.13</v>
          </cell>
          <cell r="P629" t="str">
            <v>3027.522935779816514</v>
          </cell>
          <cell r="Q629">
            <v>206265.14</v>
          </cell>
          <cell r="R629" t="str">
            <v>9%</v>
          </cell>
          <cell r="S629">
            <v>18563.86</v>
          </cell>
          <cell r="T629">
            <v>224829</v>
          </cell>
        </row>
        <row r="630">
          <cell r="M630" t="str">
            <v>A7-3-501</v>
          </cell>
          <cell r="N630" t="str">
            <v>平方米</v>
          </cell>
          <cell r="O630" t="str">
            <v>74.18</v>
          </cell>
          <cell r="P630" t="str">
            <v>2770.647148889015314</v>
          </cell>
          <cell r="Q630">
            <v>205526.61</v>
          </cell>
          <cell r="R630" t="str">
            <v>9%</v>
          </cell>
          <cell r="S630">
            <v>18497.39</v>
          </cell>
          <cell r="T630">
            <v>224024</v>
          </cell>
        </row>
        <row r="631">
          <cell r="M631" t="str">
            <v>A5-1-602</v>
          </cell>
          <cell r="N631" t="str">
            <v>平方米</v>
          </cell>
          <cell r="O631" t="str">
            <v>84.85</v>
          </cell>
          <cell r="P631" t="str">
            <v>2431.198066744876279</v>
          </cell>
          <cell r="Q631">
            <v>206287.16</v>
          </cell>
          <cell r="R631" t="str">
            <v>9%</v>
          </cell>
          <cell r="S631">
            <v>18565.84</v>
          </cell>
          <cell r="T631">
            <v>224853</v>
          </cell>
        </row>
        <row r="632">
          <cell r="M632" t="str">
            <v>A13-1-602</v>
          </cell>
          <cell r="N632" t="str">
            <v>平方米</v>
          </cell>
          <cell r="O632" t="str">
            <v>82.12</v>
          </cell>
          <cell r="P632" t="str">
            <v>2614.678899082568807</v>
          </cell>
          <cell r="Q632">
            <v>214717.43</v>
          </cell>
          <cell r="R632" t="str">
            <v>9%</v>
          </cell>
          <cell r="S632">
            <v>19324.57</v>
          </cell>
          <cell r="T632">
            <v>234042</v>
          </cell>
        </row>
        <row r="633">
          <cell r="M633" t="str">
            <v>A3-1-601</v>
          </cell>
          <cell r="N633" t="str">
            <v>平方米</v>
          </cell>
          <cell r="O633" t="str">
            <v>94.92</v>
          </cell>
          <cell r="P633" t="str">
            <v>2385.321100917431193</v>
          </cell>
          <cell r="Q633">
            <v>226414.68</v>
          </cell>
          <cell r="R633" t="str">
            <v>9%</v>
          </cell>
          <cell r="S633">
            <v>20377.32</v>
          </cell>
          <cell r="T633">
            <v>246792</v>
          </cell>
        </row>
        <row r="634">
          <cell r="M634" t="str">
            <v>A7-2-601</v>
          </cell>
          <cell r="N634" t="str">
            <v>平方米</v>
          </cell>
          <cell r="O634" t="str">
            <v>77.6</v>
          </cell>
          <cell r="P634" t="str">
            <v>2614.678899082568807</v>
          </cell>
          <cell r="Q634">
            <v>202899.08</v>
          </cell>
          <cell r="R634" t="str">
            <v>9%</v>
          </cell>
          <cell r="S634">
            <v>18260.92</v>
          </cell>
          <cell r="T634">
            <v>221160</v>
          </cell>
        </row>
        <row r="635">
          <cell r="M635" t="str">
            <v>A7-3-102</v>
          </cell>
          <cell r="N635" t="str">
            <v>平方米</v>
          </cell>
          <cell r="O635" t="str">
            <v>82.65</v>
          </cell>
          <cell r="P635" t="str">
            <v>2981.656926244748220</v>
          </cell>
          <cell r="Q635">
            <v>246433.94</v>
          </cell>
          <cell r="R635" t="str">
            <v>9%</v>
          </cell>
          <cell r="S635">
            <v>22179.06</v>
          </cell>
          <cell r="T635">
            <v>268613</v>
          </cell>
        </row>
        <row r="636">
          <cell r="M636" t="str">
            <v>A6-1-201</v>
          </cell>
          <cell r="N636" t="str">
            <v>平方米</v>
          </cell>
          <cell r="O636" t="str">
            <v>82.35</v>
          </cell>
          <cell r="P636" t="str">
            <v>3073.400065729739365</v>
          </cell>
          <cell r="Q636">
            <v>253094.5</v>
          </cell>
          <cell r="R636" t="str">
            <v>9%</v>
          </cell>
          <cell r="S636">
            <v>22778.5</v>
          </cell>
          <cell r="T636">
            <v>275873</v>
          </cell>
        </row>
        <row r="637">
          <cell r="M637" t="str">
            <v>A8-1-603</v>
          </cell>
          <cell r="N637" t="str">
            <v>平方米</v>
          </cell>
          <cell r="O637" t="str">
            <v>60.56</v>
          </cell>
          <cell r="P637" t="str">
            <v>2614.678899082568807</v>
          </cell>
          <cell r="Q637">
            <v>158344.95</v>
          </cell>
          <cell r="R637" t="str">
            <v>9%</v>
          </cell>
          <cell r="S637">
            <v>14251.05</v>
          </cell>
          <cell r="T637">
            <v>172596</v>
          </cell>
        </row>
        <row r="638">
          <cell r="M638" t="str">
            <v>A4-6-202</v>
          </cell>
          <cell r="N638" t="str">
            <v>平方米</v>
          </cell>
          <cell r="O638" t="str">
            <v>81.93</v>
          </cell>
          <cell r="P638" t="str">
            <v>2698.656382658277317</v>
          </cell>
          <cell r="Q638">
            <v>221100.92</v>
          </cell>
          <cell r="R638" t="str">
            <v>9%</v>
          </cell>
          <cell r="S638">
            <v>19899.08</v>
          </cell>
          <cell r="T638">
            <v>241000</v>
          </cell>
        </row>
        <row r="639">
          <cell r="M639" t="str">
            <v>A9-1-101</v>
          </cell>
          <cell r="N639" t="str">
            <v>平方米</v>
          </cell>
          <cell r="O639" t="str">
            <v>71.87</v>
          </cell>
          <cell r="P639" t="str">
            <v>2798.171520188719950</v>
          </cell>
          <cell r="Q639">
            <v>201104.59</v>
          </cell>
          <cell r="R639" t="str">
            <v>9%</v>
          </cell>
          <cell r="S639">
            <v>18099.41</v>
          </cell>
          <cell r="T639">
            <v>219204</v>
          </cell>
        </row>
        <row r="640">
          <cell r="M640" t="str">
            <v>A9-2-102</v>
          </cell>
          <cell r="N640" t="str">
            <v>平方米</v>
          </cell>
          <cell r="O640" t="str">
            <v>52.21</v>
          </cell>
          <cell r="P640" t="str">
            <v>2981.660162118754712</v>
          </cell>
          <cell r="Q640">
            <v>155672.48</v>
          </cell>
          <cell r="R640" t="str">
            <v>9%</v>
          </cell>
          <cell r="S640">
            <v>14010.52</v>
          </cell>
          <cell r="T640">
            <v>169683</v>
          </cell>
        </row>
        <row r="641">
          <cell r="M641" t="str">
            <v>A7-2-602</v>
          </cell>
          <cell r="N641" t="str">
            <v>平方米</v>
          </cell>
          <cell r="O641" t="str">
            <v>77.6</v>
          </cell>
          <cell r="P641" t="str">
            <v>2614.678899082568807</v>
          </cell>
          <cell r="Q641">
            <v>202899.08</v>
          </cell>
          <cell r="R641" t="str">
            <v>9%</v>
          </cell>
          <cell r="S641">
            <v>18260.92</v>
          </cell>
          <cell r="T641">
            <v>221160</v>
          </cell>
        </row>
        <row r="642">
          <cell r="M642" t="str">
            <v>A5-3-302</v>
          </cell>
          <cell r="N642" t="str">
            <v>A5-3-302</v>
          </cell>
          <cell r="O642" t="str">
            <v>85.38</v>
          </cell>
          <cell r="P642" t="str">
            <v>2798.165137614678899</v>
          </cell>
          <cell r="Q642">
            <v>238907.34</v>
          </cell>
          <cell r="R642" t="str">
            <v>9%</v>
          </cell>
          <cell r="S642">
            <v>21501.66</v>
          </cell>
          <cell r="T642">
            <v>260409</v>
          </cell>
        </row>
        <row r="643">
          <cell r="M643" t="str">
            <v>A6-2-501</v>
          </cell>
          <cell r="N643" t="str">
            <v>平方米</v>
          </cell>
          <cell r="O643" t="str">
            <v>74.44</v>
          </cell>
          <cell r="P643" t="str">
            <v>2798.165137614678899</v>
          </cell>
          <cell r="Q643">
            <v>208295.41</v>
          </cell>
          <cell r="R643" t="str">
            <v>9%</v>
          </cell>
          <cell r="S643">
            <v>18746.59</v>
          </cell>
          <cell r="T643">
            <v>227042</v>
          </cell>
        </row>
        <row r="644">
          <cell r="M644" t="str">
            <v>A6-1-101</v>
          </cell>
          <cell r="N644" t="str">
            <v>平方米</v>
          </cell>
          <cell r="O644" t="str">
            <v>82.35</v>
          </cell>
          <cell r="P644" t="str">
            <v>2974.549222105245567</v>
          </cell>
          <cell r="Q644">
            <v>244954.13</v>
          </cell>
          <cell r="R644" t="str">
            <v>9%</v>
          </cell>
          <cell r="S644">
            <v>22045.87</v>
          </cell>
          <cell r="T644">
            <v>267000</v>
          </cell>
        </row>
        <row r="645">
          <cell r="M645" t="str">
            <v>A9-1-603</v>
          </cell>
          <cell r="N645" t="str">
            <v>平方米</v>
          </cell>
          <cell r="O645" t="str">
            <v>52.21</v>
          </cell>
          <cell r="P645" t="str">
            <v>2614.687685054534528</v>
          </cell>
          <cell r="Q645">
            <v>136512.84</v>
          </cell>
          <cell r="R645" t="str">
            <v>9%</v>
          </cell>
          <cell r="S645">
            <v>12286.16</v>
          </cell>
          <cell r="T645">
            <v>148799</v>
          </cell>
        </row>
        <row r="646">
          <cell r="M646" t="str">
            <v>A9-2-303</v>
          </cell>
          <cell r="N646" t="str">
            <v>平方米</v>
          </cell>
          <cell r="O646" t="str">
            <v>76.45</v>
          </cell>
          <cell r="P646" t="str">
            <v>3027.522935779816514</v>
          </cell>
          <cell r="Q646">
            <v>231454.13</v>
          </cell>
          <cell r="R646" t="str">
            <v>9%</v>
          </cell>
          <cell r="S646">
            <v>20830.87</v>
          </cell>
          <cell r="T646">
            <v>252285</v>
          </cell>
        </row>
        <row r="647">
          <cell r="M647" t="str">
            <v>A9-1-204</v>
          </cell>
          <cell r="N647" t="str">
            <v>平方米</v>
          </cell>
          <cell r="O647" t="str">
            <v>51.56</v>
          </cell>
          <cell r="P647" t="str">
            <v>3024.889502565818037</v>
          </cell>
          <cell r="Q647">
            <v>155963.3</v>
          </cell>
          <cell r="R647" t="str">
            <v>9%</v>
          </cell>
          <cell r="S647">
            <v>14036.7</v>
          </cell>
          <cell r="T647">
            <v>170000</v>
          </cell>
        </row>
        <row r="648">
          <cell r="M648" t="str">
            <v>A8-2-101</v>
          </cell>
          <cell r="N648" t="str">
            <v>平方米</v>
          </cell>
          <cell r="O648" t="str">
            <v>57.98</v>
          </cell>
          <cell r="P648" t="str">
            <v>2974.768268716514078</v>
          </cell>
          <cell r="Q648">
            <v>172477.06</v>
          </cell>
          <cell r="R648" t="str">
            <v>9%</v>
          </cell>
          <cell r="S648">
            <v>15522.94</v>
          </cell>
          <cell r="T648">
            <v>188000</v>
          </cell>
        </row>
        <row r="649">
          <cell r="M649" t="str">
            <v>A9-2-301</v>
          </cell>
          <cell r="N649" t="str">
            <v>平方米</v>
          </cell>
          <cell r="O649" t="str">
            <v>51.56</v>
          </cell>
          <cell r="P649" t="str">
            <v>3027.522935779816514</v>
          </cell>
          <cell r="Q649">
            <v>156099.08</v>
          </cell>
          <cell r="R649" t="str">
            <v>9%</v>
          </cell>
          <cell r="S649">
            <v>14048.92</v>
          </cell>
          <cell r="T649">
            <v>170148</v>
          </cell>
        </row>
        <row r="650">
          <cell r="M650" t="str">
            <v>A8-2-303</v>
          </cell>
          <cell r="N650" t="str">
            <v>平方米</v>
          </cell>
          <cell r="O650" t="str">
            <v>68.13</v>
          </cell>
          <cell r="P650" t="str">
            <v>3082.571500517763531</v>
          </cell>
          <cell r="Q650">
            <v>210015.6</v>
          </cell>
          <cell r="R650" t="str">
            <v>9%</v>
          </cell>
          <cell r="S650">
            <v>18901.4</v>
          </cell>
          <cell r="T650">
            <v>228917</v>
          </cell>
        </row>
        <row r="651">
          <cell r="M651" t="str">
            <v>A9-2-503</v>
          </cell>
          <cell r="N651" t="str">
            <v>平方米</v>
          </cell>
          <cell r="O651" t="str">
            <v>76.45</v>
          </cell>
          <cell r="P651" t="str">
            <v>2752.293577981651376</v>
          </cell>
          <cell r="Q651">
            <v>210412.84</v>
          </cell>
          <cell r="R651" t="str">
            <v>9%</v>
          </cell>
          <cell r="S651">
            <v>18937.16</v>
          </cell>
          <cell r="T651">
            <v>229350</v>
          </cell>
        </row>
        <row r="652">
          <cell r="M652" t="str">
            <v>A6-1-402</v>
          </cell>
          <cell r="N652" t="str">
            <v>平方米</v>
          </cell>
          <cell r="O652" t="str">
            <v>74.44</v>
          </cell>
          <cell r="P652" t="str">
            <v>3027.522935779816514</v>
          </cell>
          <cell r="Q652">
            <v>225368.81</v>
          </cell>
          <cell r="R652" t="str">
            <v>9%</v>
          </cell>
          <cell r="S652">
            <v>20283.19</v>
          </cell>
          <cell r="T652">
            <v>245652</v>
          </cell>
        </row>
        <row r="653">
          <cell r="M653" t="str">
            <v>A7-3-401</v>
          </cell>
          <cell r="N653" t="str">
            <v>平方米</v>
          </cell>
          <cell r="O653" t="str">
            <v>74.18</v>
          </cell>
          <cell r="P653" t="str">
            <v>3027.522935779816514</v>
          </cell>
          <cell r="Q653">
            <v>224581.65</v>
          </cell>
          <cell r="R653" t="str">
            <v>9%</v>
          </cell>
          <cell r="S653">
            <v>20212.35</v>
          </cell>
          <cell r="T653">
            <v>244794</v>
          </cell>
        </row>
        <row r="654">
          <cell r="M654" t="str">
            <v>A9-1-404</v>
          </cell>
          <cell r="N654" t="str">
            <v>平方米</v>
          </cell>
          <cell r="O654" t="str">
            <v>51.56</v>
          </cell>
          <cell r="P654" t="str">
            <v>2935.922164255058683</v>
          </cell>
          <cell r="Q654">
            <v>151376.15</v>
          </cell>
          <cell r="R654" t="str">
            <v>9%</v>
          </cell>
          <cell r="S654">
            <v>13623.85</v>
          </cell>
          <cell r="T654">
            <v>165000</v>
          </cell>
        </row>
        <row r="655">
          <cell r="M655" t="str">
            <v>A6-1-502</v>
          </cell>
          <cell r="N655" t="str">
            <v>平方米</v>
          </cell>
          <cell r="O655" t="str">
            <v>74.44</v>
          </cell>
          <cell r="P655" t="str">
            <v>2743.124195830396009</v>
          </cell>
          <cell r="Q655">
            <v>204198.17</v>
          </cell>
          <cell r="R655" t="str">
            <v>9%</v>
          </cell>
          <cell r="S655">
            <v>18377.83</v>
          </cell>
          <cell r="T655">
            <v>222576</v>
          </cell>
        </row>
        <row r="656">
          <cell r="M656" t="str">
            <v>A13-2-402</v>
          </cell>
          <cell r="N656" t="str">
            <v>平方米</v>
          </cell>
          <cell r="O656" t="str">
            <v>80.05</v>
          </cell>
          <cell r="P656" t="str">
            <v>3027.522935779816514</v>
          </cell>
          <cell r="Q656">
            <v>242353.21</v>
          </cell>
          <cell r="R656" t="str">
            <v>9%</v>
          </cell>
          <cell r="S656">
            <v>21811.79</v>
          </cell>
          <cell r="T656">
            <v>264165</v>
          </cell>
        </row>
        <row r="657">
          <cell r="M657" t="str">
            <v>A13-2-602</v>
          </cell>
          <cell r="N657" t="str">
            <v>平方米</v>
          </cell>
          <cell r="O657" t="str">
            <v>80.05</v>
          </cell>
          <cell r="P657" t="str">
            <v>2614.684629446045762</v>
          </cell>
          <cell r="Q657">
            <v>209305.5</v>
          </cell>
          <cell r="R657" t="str">
            <v>9%</v>
          </cell>
          <cell r="S657">
            <v>18837.5</v>
          </cell>
          <cell r="T657">
            <v>228143</v>
          </cell>
        </row>
        <row r="658">
          <cell r="M658" t="str">
            <v>A7-1-301</v>
          </cell>
          <cell r="N658" t="str">
            <v>平方米</v>
          </cell>
          <cell r="O658" t="str">
            <v>82.65</v>
          </cell>
          <cell r="P658" t="str">
            <v>3119.266055045871560</v>
          </cell>
          <cell r="Q658">
            <v>257807.34</v>
          </cell>
          <cell r="R658" t="str">
            <v>9%</v>
          </cell>
          <cell r="S658">
            <v>23202.66</v>
          </cell>
          <cell r="T658">
            <v>281010</v>
          </cell>
        </row>
        <row r="659">
          <cell r="M659" t="str">
            <v>A2-2-203</v>
          </cell>
          <cell r="N659" t="str">
            <v>平方米</v>
          </cell>
          <cell r="O659" t="str">
            <v>89.33</v>
          </cell>
          <cell r="P659" t="str">
            <v>2701.045602482086317</v>
          </cell>
          <cell r="Q659">
            <v>241284.4</v>
          </cell>
          <cell r="R659" t="str">
            <v>9%</v>
          </cell>
          <cell r="S659">
            <v>21715.6</v>
          </cell>
          <cell r="T659">
            <v>263000</v>
          </cell>
        </row>
        <row r="660">
          <cell r="M660" t="str">
            <v>A13-2-201</v>
          </cell>
          <cell r="N660" t="str">
            <v>平方米</v>
          </cell>
          <cell r="O660" t="str">
            <v>82.12</v>
          </cell>
          <cell r="P660" t="str">
            <v>3073.394495412844037</v>
          </cell>
          <cell r="Q660">
            <v>252387.16</v>
          </cell>
          <cell r="R660" t="str">
            <v>9%</v>
          </cell>
          <cell r="S660">
            <v>22714.84</v>
          </cell>
          <cell r="T660">
            <v>275102</v>
          </cell>
        </row>
        <row r="661">
          <cell r="M661" t="str">
            <v>A9-2-202</v>
          </cell>
          <cell r="N661" t="str">
            <v>平方米</v>
          </cell>
          <cell r="O661" t="str">
            <v>52.21</v>
          </cell>
          <cell r="P661" t="str">
            <v>3211.009174311926606</v>
          </cell>
          <cell r="Q661">
            <v>167646.79</v>
          </cell>
          <cell r="R661" t="str">
            <v>9%</v>
          </cell>
          <cell r="S661">
            <v>15088.21</v>
          </cell>
          <cell r="T661">
            <v>182735</v>
          </cell>
        </row>
        <row r="662">
          <cell r="M662" t="str">
            <v>A6-2-601</v>
          </cell>
          <cell r="N662" t="str">
            <v>平方米</v>
          </cell>
          <cell r="O662" t="str">
            <v>74.44</v>
          </cell>
          <cell r="P662" t="str">
            <v>2568.807339449541284</v>
          </cell>
          <cell r="Q662">
            <v>191222.02</v>
          </cell>
          <cell r="R662" t="str">
            <v>9%</v>
          </cell>
          <cell r="S662">
            <v>17209.98</v>
          </cell>
          <cell r="T662">
            <v>208432</v>
          </cell>
        </row>
        <row r="663">
          <cell r="M663" t="str">
            <v>A9-2-604</v>
          </cell>
          <cell r="N663" t="str">
            <v>平方米</v>
          </cell>
          <cell r="O663" t="str">
            <v>71.87</v>
          </cell>
          <cell r="P663" t="str">
            <v>2514.734172173764302</v>
          </cell>
          <cell r="Q663">
            <v>180733.94</v>
          </cell>
          <cell r="R663" t="str">
            <v>9%</v>
          </cell>
          <cell r="S663">
            <v>16266.06</v>
          </cell>
          <cell r="T663">
            <v>197000</v>
          </cell>
        </row>
        <row r="664">
          <cell r="M664" t="str">
            <v>A3-2-503</v>
          </cell>
          <cell r="N664" t="str">
            <v>平方米</v>
          </cell>
          <cell r="O664" t="str">
            <v>89.31</v>
          </cell>
          <cell r="P664" t="str">
            <v>2568.108813852173494</v>
          </cell>
          <cell r="Q664">
            <v>229357.8</v>
          </cell>
          <cell r="R664" t="str">
            <v>9%</v>
          </cell>
          <cell r="S664">
            <v>20642.2</v>
          </cell>
          <cell r="T664">
            <v>250000</v>
          </cell>
        </row>
        <row r="665">
          <cell r="M665" t="str">
            <v>A9-1-503</v>
          </cell>
          <cell r="N665" t="str">
            <v>平方米</v>
          </cell>
          <cell r="O665" t="str">
            <v>52.21</v>
          </cell>
          <cell r="P665" t="str">
            <v>2752.293577981651376</v>
          </cell>
          <cell r="Q665">
            <v>143697.25</v>
          </cell>
          <cell r="R665" t="str">
            <v>9%</v>
          </cell>
          <cell r="S665">
            <v>12932.75</v>
          </cell>
          <cell r="T665">
            <v>156630</v>
          </cell>
        </row>
        <row r="666">
          <cell r="M666" t="str">
            <v>A9-1-202</v>
          </cell>
          <cell r="N666" t="str">
            <v>平方米</v>
          </cell>
          <cell r="O666" t="str">
            <v>76.45</v>
          </cell>
          <cell r="P666" t="str">
            <v>3073.400495616850972</v>
          </cell>
          <cell r="Q666">
            <v>234961.47</v>
          </cell>
          <cell r="R666" t="str">
            <v>9%</v>
          </cell>
          <cell r="S666">
            <v>21146.53</v>
          </cell>
          <cell r="T666">
            <v>256108</v>
          </cell>
        </row>
        <row r="667">
          <cell r="M667" t="str">
            <v>A13-2-501</v>
          </cell>
          <cell r="N667" t="str">
            <v>平方米</v>
          </cell>
          <cell r="O667" t="str">
            <v>82.12</v>
          </cell>
          <cell r="P667" t="str">
            <v>2798.165137614678899</v>
          </cell>
          <cell r="Q667">
            <v>229785.32</v>
          </cell>
          <cell r="R667" t="str">
            <v>9%</v>
          </cell>
          <cell r="S667">
            <v>20680.68</v>
          </cell>
          <cell r="T667">
            <v>250466</v>
          </cell>
        </row>
        <row r="668">
          <cell r="M668" t="str">
            <v>A7-3-602</v>
          </cell>
          <cell r="N668" t="str">
            <v>平方米</v>
          </cell>
          <cell r="O668" t="str">
            <v>82.65</v>
          </cell>
          <cell r="P668" t="str">
            <v>2614.684449180528037</v>
          </cell>
          <cell r="Q668">
            <v>216103.67</v>
          </cell>
          <cell r="R668" t="str">
            <v>9%</v>
          </cell>
          <cell r="S668">
            <v>19449.33</v>
          </cell>
          <cell r="T668">
            <v>235553</v>
          </cell>
        </row>
        <row r="669">
          <cell r="M669" t="str">
            <v>A13-2-601</v>
          </cell>
          <cell r="N669" t="str">
            <v>平方米</v>
          </cell>
          <cell r="O669" t="str">
            <v>82.12</v>
          </cell>
          <cell r="P669" t="str">
            <v>2614.678899082568807</v>
          </cell>
          <cell r="Q669">
            <v>214717.43</v>
          </cell>
          <cell r="R669" t="str">
            <v>9%</v>
          </cell>
          <cell r="S669">
            <v>19324.57</v>
          </cell>
          <cell r="T669">
            <v>234042</v>
          </cell>
        </row>
        <row r="670">
          <cell r="M670" t="str">
            <v>A9-1-304</v>
          </cell>
          <cell r="N670" t="str">
            <v>平方米</v>
          </cell>
          <cell r="O670" t="str">
            <v>51.56</v>
          </cell>
          <cell r="P670" t="str">
            <v>3027.522935779816514</v>
          </cell>
          <cell r="Q670">
            <v>156099.08</v>
          </cell>
          <cell r="R670" t="str">
            <v>9%</v>
          </cell>
          <cell r="S670">
            <v>14048.92</v>
          </cell>
          <cell r="T670">
            <v>170148</v>
          </cell>
        </row>
        <row r="671">
          <cell r="M671" t="str">
            <v>A6-1-102</v>
          </cell>
          <cell r="N671" t="str">
            <v>平方米</v>
          </cell>
          <cell r="O671" t="str">
            <v>74.44</v>
          </cell>
          <cell r="P671" t="str">
            <v>2899.077639031989312</v>
          </cell>
          <cell r="Q671">
            <v>215807.34</v>
          </cell>
          <cell r="R671" t="str">
            <v>9%</v>
          </cell>
          <cell r="S671">
            <v>19422.66</v>
          </cell>
          <cell r="T671">
            <v>235230</v>
          </cell>
        </row>
        <row r="672">
          <cell r="M672" t="str">
            <v>A5-1-502</v>
          </cell>
          <cell r="N672" t="str">
            <v>平方米</v>
          </cell>
          <cell r="O672" t="str">
            <v>84.85</v>
          </cell>
          <cell r="P672" t="str">
            <v>2568.807339449541284</v>
          </cell>
          <cell r="Q672">
            <v>217963.3</v>
          </cell>
          <cell r="R672" t="str">
            <v>9%</v>
          </cell>
          <cell r="S672">
            <v>19616.7</v>
          </cell>
          <cell r="T672">
            <v>237580</v>
          </cell>
        </row>
        <row r="673">
          <cell r="M673" t="str">
            <v>2-3-401</v>
          </cell>
          <cell r="N673" t="str">
            <v>平方米</v>
          </cell>
          <cell r="O673" t="str">
            <v>124.66</v>
          </cell>
          <cell r="P673" t="str">
            <v>3238.095238095238095</v>
          </cell>
          <cell r="Q673">
            <v>403660.95</v>
          </cell>
          <cell r="R673" t="str">
            <v>5%</v>
          </cell>
          <cell r="S673">
            <v>20183.05</v>
          </cell>
          <cell r="T673">
            <v>423844</v>
          </cell>
        </row>
        <row r="674">
          <cell r="M674" t="str">
            <v>A5-3-601</v>
          </cell>
          <cell r="N674" t="str">
            <v>平方米</v>
          </cell>
          <cell r="O674" t="str">
            <v>84.85</v>
          </cell>
          <cell r="P674" t="str">
            <v>2385.321100917431193</v>
          </cell>
          <cell r="Q674">
            <v>202394.5</v>
          </cell>
          <cell r="R674" t="str">
            <v>9%</v>
          </cell>
          <cell r="S674">
            <v>18215.5</v>
          </cell>
          <cell r="T674">
            <v>220610</v>
          </cell>
        </row>
        <row r="675">
          <cell r="M675" t="str">
            <v>A9-2-302</v>
          </cell>
          <cell r="N675" t="str">
            <v>平方米</v>
          </cell>
          <cell r="O675" t="str">
            <v>52.21</v>
          </cell>
          <cell r="P675" t="str">
            <v>3211.009174311926606</v>
          </cell>
          <cell r="Q675">
            <v>167646.79</v>
          </cell>
          <cell r="R675" t="str">
            <v>9%</v>
          </cell>
          <cell r="S675">
            <v>15088.21</v>
          </cell>
          <cell r="T675">
            <v>182735</v>
          </cell>
        </row>
        <row r="676">
          <cell r="M676" t="str">
            <v>A7-1-602</v>
          </cell>
          <cell r="N676" t="str">
            <v>平方米</v>
          </cell>
          <cell r="O676" t="str">
            <v>74.18</v>
          </cell>
          <cell r="P676" t="str">
            <v>2568.807339449541284</v>
          </cell>
          <cell r="Q676">
            <v>190554.13</v>
          </cell>
          <cell r="R676" t="str">
            <v>9%</v>
          </cell>
          <cell r="S676">
            <v>17149.87</v>
          </cell>
          <cell r="T676">
            <v>207704</v>
          </cell>
        </row>
        <row r="677">
          <cell r="M677" t="str">
            <v>A2-1-203</v>
          </cell>
          <cell r="N677" t="str">
            <v>平方米</v>
          </cell>
          <cell r="O677" t="str">
            <v>78.52</v>
          </cell>
          <cell r="P677" t="str">
            <v>2614.678899082568807</v>
          </cell>
          <cell r="Q677">
            <v>205304.59</v>
          </cell>
          <cell r="R677" t="str">
            <v>9%</v>
          </cell>
          <cell r="S677">
            <v>18477.41</v>
          </cell>
          <cell r="T677">
            <v>223782</v>
          </cell>
        </row>
        <row r="678">
          <cell r="M678" t="str">
            <v>A2-1-501</v>
          </cell>
          <cell r="N678" t="str">
            <v>平方米</v>
          </cell>
          <cell r="O678" t="str">
            <v>94.94</v>
          </cell>
          <cell r="P678" t="str">
            <v>2560.767495839960728</v>
          </cell>
          <cell r="Q678">
            <v>243119.27</v>
          </cell>
          <cell r="R678" t="str">
            <v>9%</v>
          </cell>
          <cell r="S678">
            <v>21880.73</v>
          </cell>
          <cell r="T678">
            <v>265000</v>
          </cell>
        </row>
        <row r="679">
          <cell r="M679" t="str">
            <v>A13-2-102</v>
          </cell>
          <cell r="N679" t="str">
            <v>平方米</v>
          </cell>
          <cell r="O679" t="str">
            <v>80.05</v>
          </cell>
          <cell r="P679" t="str">
            <v>2873.926273143505493</v>
          </cell>
          <cell r="Q679">
            <v>230057.8</v>
          </cell>
          <cell r="R679" t="str">
            <v>9%</v>
          </cell>
          <cell r="S679">
            <v>20705.2</v>
          </cell>
          <cell r="T679">
            <v>250763</v>
          </cell>
        </row>
        <row r="680">
          <cell r="M680" t="str">
            <v>A5-3-501</v>
          </cell>
          <cell r="N680" t="str">
            <v>平方米</v>
          </cell>
          <cell r="O680" t="str">
            <v>84.85</v>
          </cell>
          <cell r="P680" t="str">
            <v>2568.807339449541284</v>
          </cell>
          <cell r="Q680">
            <v>217963.3</v>
          </cell>
          <cell r="R680" t="str">
            <v>9%</v>
          </cell>
          <cell r="S680">
            <v>19616.7</v>
          </cell>
          <cell r="T680">
            <v>237580</v>
          </cell>
        </row>
        <row r="681">
          <cell r="M681" t="str">
            <v>A4-1-302</v>
          </cell>
          <cell r="N681" t="str">
            <v>平方米</v>
          </cell>
          <cell r="O681" t="str">
            <v>77.94</v>
          </cell>
          <cell r="P681" t="str">
            <v>2844.036697247706422</v>
          </cell>
          <cell r="Q681">
            <v>221664.22</v>
          </cell>
          <cell r="R681" t="str">
            <v>9%</v>
          </cell>
          <cell r="S681">
            <v>19949.78</v>
          </cell>
          <cell r="T681">
            <v>241614</v>
          </cell>
        </row>
        <row r="682">
          <cell r="M682" t="str">
            <v>A6-2-102</v>
          </cell>
          <cell r="N682" t="str">
            <v>平方米</v>
          </cell>
          <cell r="O682" t="str">
            <v>82.35</v>
          </cell>
          <cell r="P682" t="str">
            <v>2935.779816513761468</v>
          </cell>
          <cell r="Q682">
            <v>241761.47</v>
          </cell>
          <cell r="R682" t="str">
            <v>9%</v>
          </cell>
          <cell r="S682">
            <v>21758.53</v>
          </cell>
          <cell r="T682">
            <v>263520</v>
          </cell>
        </row>
        <row r="683">
          <cell r="M683" t="str">
            <v>A7-3-101</v>
          </cell>
          <cell r="N683" t="str">
            <v>平方米</v>
          </cell>
          <cell r="O683" t="str">
            <v>74.18</v>
          </cell>
          <cell r="P683" t="str">
            <v>2918.761950227688167</v>
          </cell>
          <cell r="Q683">
            <v>216513.76</v>
          </cell>
          <cell r="R683" t="str">
            <v>9%</v>
          </cell>
          <cell r="S683">
            <v>19486.24</v>
          </cell>
          <cell r="T683">
            <v>236000</v>
          </cell>
        </row>
        <row r="684">
          <cell r="M684" t="str">
            <v>A2-105</v>
          </cell>
          <cell r="N684" t="str">
            <v>平方米</v>
          </cell>
          <cell r="O684" t="str">
            <v>90.17</v>
          </cell>
          <cell r="P684" t="str">
            <v>5963.302752293577982</v>
          </cell>
          <cell r="Q684">
            <v>537711.01</v>
          </cell>
          <cell r="R684" t="str">
            <v>9%</v>
          </cell>
          <cell r="S684">
            <v>48393.99</v>
          </cell>
          <cell r="T684">
            <v>586105</v>
          </cell>
        </row>
        <row r="685">
          <cell r="M685" t="str">
            <v>A7-3-301</v>
          </cell>
          <cell r="N685" t="str">
            <v>平方米</v>
          </cell>
          <cell r="O685" t="str">
            <v>74.18</v>
          </cell>
          <cell r="P685" t="str">
            <v>3027.522935779816514</v>
          </cell>
          <cell r="Q685">
            <v>224581.65</v>
          </cell>
          <cell r="R685" t="str">
            <v>9%</v>
          </cell>
          <cell r="S685">
            <v>20212.35</v>
          </cell>
          <cell r="T685">
            <v>244794</v>
          </cell>
        </row>
        <row r="686">
          <cell r="M686" t="str">
            <v>A5-103</v>
          </cell>
          <cell r="N686" t="str">
            <v>平方米</v>
          </cell>
          <cell r="O686" t="str">
            <v>51.94</v>
          </cell>
          <cell r="P686" t="str">
            <v>4403.669724770642202</v>
          </cell>
          <cell r="Q686">
            <v>228726.61</v>
          </cell>
          <cell r="R686" t="str">
            <v>9%</v>
          </cell>
          <cell r="S686">
            <v>20585.39</v>
          </cell>
          <cell r="T686">
            <v>249312</v>
          </cell>
        </row>
        <row r="687">
          <cell r="M687" t="str">
            <v>A13-1-202</v>
          </cell>
          <cell r="N687" t="str">
            <v>平方米</v>
          </cell>
          <cell r="O687" t="str">
            <v>82.12</v>
          </cell>
          <cell r="P687" t="str">
            <v>3083.426804363272365</v>
          </cell>
          <cell r="Q687">
            <v>253211.01</v>
          </cell>
          <cell r="R687" t="str">
            <v>9%</v>
          </cell>
          <cell r="S687">
            <v>22788.99</v>
          </cell>
          <cell r="T687">
            <v>276000</v>
          </cell>
        </row>
        <row r="688">
          <cell r="M688" t="str">
            <v>A13-1-302</v>
          </cell>
          <cell r="N688" t="str">
            <v>平方米</v>
          </cell>
          <cell r="O688" t="str">
            <v>82.12</v>
          </cell>
          <cell r="P688" t="str">
            <v>3061.083131867886333</v>
          </cell>
          <cell r="Q688">
            <v>251376.15</v>
          </cell>
          <cell r="R688" t="str">
            <v>9%</v>
          </cell>
          <cell r="S688">
            <v>22623.85</v>
          </cell>
          <cell r="T688">
            <v>274000</v>
          </cell>
        </row>
        <row r="689">
          <cell r="M689" t="str">
            <v>A13-2-502</v>
          </cell>
          <cell r="N689" t="str">
            <v>平方米</v>
          </cell>
          <cell r="O689" t="str">
            <v>80.05</v>
          </cell>
          <cell r="P689" t="str">
            <v>2724.776372565311817</v>
          </cell>
          <cell r="Q689">
            <v>218118.35</v>
          </cell>
          <cell r="R689" t="str">
            <v>9%</v>
          </cell>
          <cell r="S689">
            <v>19630.65</v>
          </cell>
          <cell r="T689">
            <v>237749</v>
          </cell>
        </row>
        <row r="690">
          <cell r="M690" t="str">
            <v>A13-1-301</v>
          </cell>
          <cell r="N690" t="str">
            <v>平方米</v>
          </cell>
          <cell r="O690" t="str">
            <v>80.05</v>
          </cell>
          <cell r="P690" t="str">
            <v>3057.446893856477317</v>
          </cell>
          <cell r="Q690">
            <v>244748.62</v>
          </cell>
          <cell r="R690" t="str">
            <v>9%</v>
          </cell>
          <cell r="S690">
            <v>22027.38</v>
          </cell>
          <cell r="T690">
            <v>266776</v>
          </cell>
        </row>
        <row r="691">
          <cell r="M691" t="str">
            <v>A2-3-501</v>
          </cell>
          <cell r="N691" t="str">
            <v>平方米</v>
          </cell>
          <cell r="O691" t="str">
            <v>94.45</v>
          </cell>
          <cell r="P691" t="str">
            <v>2568.807339449541284</v>
          </cell>
          <cell r="Q691">
            <v>242623.85</v>
          </cell>
          <cell r="R691" t="str">
            <v>9%</v>
          </cell>
          <cell r="S691">
            <v>21836.15</v>
          </cell>
          <cell r="T691">
            <v>264460</v>
          </cell>
        </row>
        <row r="692">
          <cell r="M692" t="str">
            <v>7-2-802</v>
          </cell>
          <cell r="N692" t="str">
            <v>平方米</v>
          </cell>
          <cell r="O692" t="str">
            <v>100.08</v>
          </cell>
          <cell r="P692" t="str">
            <v>2571.428571428571429</v>
          </cell>
          <cell r="Q692">
            <v>257348.57</v>
          </cell>
          <cell r="R692" t="str">
            <v>5%</v>
          </cell>
          <cell r="S692">
            <v>12867.43</v>
          </cell>
          <cell r="T692">
            <v>270216</v>
          </cell>
        </row>
        <row r="693">
          <cell r="M693" t="str">
            <v>A2-2-501</v>
          </cell>
          <cell r="N693" t="str">
            <v>平方米</v>
          </cell>
          <cell r="O693" t="str">
            <v>94.45</v>
          </cell>
          <cell r="P693" t="str">
            <v>2568.807339449541284</v>
          </cell>
          <cell r="Q693">
            <v>242623.85</v>
          </cell>
          <cell r="R693" t="str">
            <v>9%</v>
          </cell>
          <cell r="S693">
            <v>21836.15</v>
          </cell>
          <cell r="T693">
            <v>264460</v>
          </cell>
        </row>
        <row r="694">
          <cell r="M694" t="str">
            <v>A5-1-301</v>
          </cell>
          <cell r="N694" t="str">
            <v>平方米</v>
          </cell>
          <cell r="O694" t="str">
            <v>85.38</v>
          </cell>
          <cell r="P694" t="str">
            <v>2825.688073394495413</v>
          </cell>
          <cell r="Q694">
            <v>241257.25</v>
          </cell>
          <cell r="R694" t="str">
            <v>9%</v>
          </cell>
          <cell r="S694">
            <v>21713.15</v>
          </cell>
          <cell r="T694">
            <v>262970.4</v>
          </cell>
        </row>
        <row r="695">
          <cell r="M695" t="str">
            <v>A12-3-202</v>
          </cell>
          <cell r="N695" t="str">
            <v>平方米</v>
          </cell>
          <cell r="O695" t="str">
            <v>89.5</v>
          </cell>
          <cell r="P695" t="str">
            <v>2380.952380952380952</v>
          </cell>
          <cell r="Q695">
            <v>213095.24</v>
          </cell>
          <cell r="R695" t="str">
            <v>5%</v>
          </cell>
          <cell r="S695">
            <v>10654.76</v>
          </cell>
          <cell r="T695">
            <v>223750</v>
          </cell>
        </row>
        <row r="696">
          <cell r="M696" t="str">
            <v>A2-3-602</v>
          </cell>
          <cell r="N696" t="str">
            <v>平方米</v>
          </cell>
          <cell r="O696" t="str">
            <v>54.91</v>
          </cell>
          <cell r="P696" t="str">
            <v>2477.064220183486239</v>
          </cell>
          <cell r="Q696">
            <v>136015.6</v>
          </cell>
          <cell r="R696" t="str">
            <v>9%</v>
          </cell>
          <cell r="S696">
            <v>12241.4</v>
          </cell>
          <cell r="T696">
            <v>148257</v>
          </cell>
        </row>
        <row r="697">
          <cell r="M697" t="str">
            <v>A8-2-301</v>
          </cell>
          <cell r="N697" t="str">
            <v>平方米</v>
          </cell>
          <cell r="O697" t="str">
            <v>57.98</v>
          </cell>
          <cell r="P697" t="str">
            <v>3211.009174311926606</v>
          </cell>
          <cell r="Q697">
            <v>186174.31</v>
          </cell>
          <cell r="R697" t="str">
            <v>9%</v>
          </cell>
          <cell r="S697">
            <v>16755.69</v>
          </cell>
          <cell r="T697">
            <v>202930</v>
          </cell>
        </row>
        <row r="698">
          <cell r="M698" t="str">
            <v>A2-3-302</v>
          </cell>
          <cell r="N698" t="str">
            <v>平方米</v>
          </cell>
          <cell r="O698" t="str">
            <v>54.91</v>
          </cell>
          <cell r="P698" t="str">
            <v>2689.471846340717672</v>
          </cell>
          <cell r="Q698">
            <v>147678.9</v>
          </cell>
          <cell r="R698" t="str">
            <v>9%</v>
          </cell>
          <cell r="S698">
            <v>13291.1</v>
          </cell>
          <cell r="T698">
            <v>160970</v>
          </cell>
        </row>
        <row r="699">
          <cell r="M699" t="str">
            <v>A2-2-502</v>
          </cell>
        </row>
        <row r="699">
          <cell r="O699" t="str">
            <v>44.1</v>
          </cell>
          <cell r="P699" t="str">
            <v>2477.064220183486239</v>
          </cell>
          <cell r="Q699">
            <v>109238.53</v>
          </cell>
          <cell r="R699" t="str">
            <v>9%</v>
          </cell>
          <cell r="S699">
            <v>9831.47</v>
          </cell>
          <cell r="T699">
            <v>119070</v>
          </cell>
        </row>
        <row r="700">
          <cell r="M700" t="str">
            <v>A2-3-301</v>
          </cell>
        </row>
        <row r="700">
          <cell r="O700" t="str">
            <v>94.45</v>
          </cell>
          <cell r="P700" t="str">
            <v>2748.893885896620220</v>
          </cell>
          <cell r="Q700">
            <v>259633.03</v>
          </cell>
          <cell r="R700" t="str">
            <v>9%</v>
          </cell>
          <cell r="S700">
            <v>23366.97</v>
          </cell>
          <cell r="T700">
            <v>283000</v>
          </cell>
        </row>
        <row r="701">
          <cell r="M701" t="str">
            <v>A9-1-303</v>
          </cell>
        </row>
        <row r="701">
          <cell r="O701" t="str">
            <v>52.21</v>
          </cell>
          <cell r="P701" t="str">
            <v>3211.009174311926606</v>
          </cell>
          <cell r="Q701">
            <v>167646.79</v>
          </cell>
          <cell r="R701" t="str">
            <v>9%</v>
          </cell>
          <cell r="S701">
            <v>15088.21</v>
          </cell>
          <cell r="T701">
            <v>182735</v>
          </cell>
        </row>
        <row r="702">
          <cell r="M702" t="str">
            <v>A3-2-401</v>
          </cell>
        </row>
        <row r="702">
          <cell r="O702" t="str">
            <v>94.43</v>
          </cell>
          <cell r="P702" t="str">
            <v>2720.329703960119967</v>
          </cell>
          <cell r="Q702">
            <v>256880.73</v>
          </cell>
          <cell r="R702" t="str">
            <v>9%</v>
          </cell>
          <cell r="S702">
            <v>23119.27</v>
          </cell>
          <cell r="T702">
            <v>280000</v>
          </cell>
        </row>
        <row r="703">
          <cell r="M703" t="str">
            <v>A4-3-202</v>
          </cell>
        </row>
        <row r="703">
          <cell r="O703" t="str">
            <v>81.93</v>
          </cell>
          <cell r="P703" t="str">
            <v>2786.233941034917926</v>
          </cell>
          <cell r="Q703">
            <v>228276.15</v>
          </cell>
          <cell r="R703" t="str">
            <v>9%</v>
          </cell>
          <cell r="S703">
            <v>20544.85</v>
          </cell>
          <cell r="T703">
            <v>248821</v>
          </cell>
        </row>
        <row r="704">
          <cell r="M704" t="str">
            <v>A5-1-601</v>
          </cell>
        </row>
        <row r="704">
          <cell r="O704" t="str">
            <v>85.38</v>
          </cell>
          <cell r="P704" t="str">
            <v>2385.321100917431193</v>
          </cell>
          <cell r="Q704">
            <v>203658.72</v>
          </cell>
          <cell r="R704" t="str">
            <v>9%</v>
          </cell>
          <cell r="S704">
            <v>18329.28</v>
          </cell>
          <cell r="T704">
            <v>221988</v>
          </cell>
        </row>
        <row r="705">
          <cell r="M705" t="str">
            <v>A2-3-402</v>
          </cell>
        </row>
        <row r="705">
          <cell r="Q705">
            <v>138532.11</v>
          </cell>
          <cell r="R705" t="str">
            <v>9%</v>
          </cell>
          <cell r="S705">
            <v>12467.89</v>
          </cell>
          <cell r="T705">
            <v>151000</v>
          </cell>
        </row>
        <row r="706">
          <cell r="M706" t="str">
            <v>康泰公寓7-1-302</v>
          </cell>
        </row>
        <row r="706">
          <cell r="O706" t="str">
            <v>100.08</v>
          </cell>
          <cell r="P706" t="str">
            <v>2571.428571428571429</v>
          </cell>
          <cell r="Q706">
            <v>257348.57</v>
          </cell>
          <cell r="R706" t="str">
            <v>5%</v>
          </cell>
          <cell r="S706">
            <v>12867.43</v>
          </cell>
          <cell r="T706">
            <v>270216</v>
          </cell>
        </row>
        <row r="707">
          <cell r="M707" t="str">
            <v>A7-3-502</v>
          </cell>
        </row>
        <row r="707">
          <cell r="O707" t="str">
            <v>82.65</v>
          </cell>
          <cell r="P707" t="str">
            <v>2752.293577981651376</v>
          </cell>
          <cell r="Q707">
            <v>227477.06</v>
          </cell>
          <cell r="R707" t="str">
            <v>9%</v>
          </cell>
          <cell r="S707">
            <v>20472.94</v>
          </cell>
          <cell r="T707">
            <v>247950</v>
          </cell>
        </row>
        <row r="708">
          <cell r="M708" t="str">
            <v>A2-3-401</v>
          </cell>
        </row>
        <row r="708">
          <cell r="O708" t="str">
            <v>94.45</v>
          </cell>
          <cell r="P708" t="str">
            <v>2836.314539511707083</v>
          </cell>
          <cell r="Q708">
            <v>267889.91</v>
          </cell>
          <cell r="R708" t="str">
            <v>9%</v>
          </cell>
          <cell r="S708">
            <v>24110.09</v>
          </cell>
          <cell r="T708">
            <v>292000</v>
          </cell>
        </row>
        <row r="709">
          <cell r="M709" t="str">
            <v>A1-3-301</v>
          </cell>
          <cell r="N709" t="str">
            <v>平方米</v>
          </cell>
          <cell r="O709" t="str">
            <v>72.37</v>
          </cell>
          <cell r="P709" t="str">
            <v>2706.428356825842732</v>
          </cell>
          <cell r="Q709">
            <v>195864.22</v>
          </cell>
          <cell r="R709" t="str">
            <v>9%</v>
          </cell>
          <cell r="S709">
            <v>17627.78</v>
          </cell>
          <cell r="T709">
            <v>213492</v>
          </cell>
        </row>
        <row r="710">
          <cell r="M710" t="str">
            <v>A3-2-301</v>
          </cell>
          <cell r="N710" t="str">
            <v>平方米</v>
          </cell>
          <cell r="O710" t="str">
            <v>94.43</v>
          </cell>
          <cell r="P710" t="str">
            <v>2752.293577981651376</v>
          </cell>
          <cell r="Q710">
            <v>259899.08</v>
          </cell>
          <cell r="R710" t="str">
            <v>9%</v>
          </cell>
          <cell r="S710">
            <v>23390.92</v>
          </cell>
          <cell r="T710">
            <v>283290</v>
          </cell>
        </row>
        <row r="711">
          <cell r="M711" t="str">
            <v>A7-1-601</v>
          </cell>
          <cell r="N711" t="str">
            <v>平方米</v>
          </cell>
          <cell r="O711" t="str">
            <v>82.65</v>
          </cell>
          <cell r="P711" t="str">
            <v>2550.458715596330275</v>
          </cell>
          <cell r="Q711">
            <v>210795.41</v>
          </cell>
          <cell r="R711" t="str">
            <v>9%</v>
          </cell>
          <cell r="S711">
            <v>18971.59</v>
          </cell>
          <cell r="T711">
            <v>229767</v>
          </cell>
        </row>
        <row r="712">
          <cell r="M712" t="str">
            <v>A9-2-601</v>
          </cell>
          <cell r="N712" t="str">
            <v>平方米</v>
          </cell>
          <cell r="O712" t="str">
            <v>51.56</v>
          </cell>
          <cell r="P712" t="str">
            <v>2477.064220183486239</v>
          </cell>
          <cell r="Q712">
            <v>127717.43</v>
          </cell>
          <cell r="R712" t="str">
            <v>9%</v>
          </cell>
          <cell r="S712">
            <v>11494.57</v>
          </cell>
          <cell r="T712">
            <v>139212</v>
          </cell>
        </row>
        <row r="713">
          <cell r="M713" t="str">
            <v>A4-5-602</v>
          </cell>
          <cell r="N713" t="str">
            <v>平方米</v>
          </cell>
          <cell r="O713" t="str">
            <v>81.45</v>
          </cell>
          <cell r="P713" t="str">
            <v>2431.198292417816975</v>
          </cell>
          <cell r="Q713">
            <v>198021.1</v>
          </cell>
          <cell r="R713" t="str">
            <v>9%</v>
          </cell>
          <cell r="S713">
            <v>17821.9</v>
          </cell>
          <cell r="T713">
            <v>215843</v>
          </cell>
        </row>
        <row r="714">
          <cell r="M714" t="str">
            <v>1-111铺</v>
          </cell>
          <cell r="N714" t="str">
            <v>平方米</v>
          </cell>
          <cell r="O714" t="str">
            <v>44.44</v>
          </cell>
          <cell r="P714" t="str">
            <v>13571.319917706056324</v>
          </cell>
          <cell r="Q714">
            <v>603109.46</v>
          </cell>
          <cell r="R714" t="str">
            <v>5%</v>
          </cell>
          <cell r="S714">
            <v>30155.47</v>
          </cell>
          <cell r="T714">
            <v>633264.93</v>
          </cell>
        </row>
        <row r="715">
          <cell r="M715" t="str">
            <v>1-111铺</v>
          </cell>
          <cell r="N715" t="str">
            <v>平方米</v>
          </cell>
          <cell r="O715" t="str">
            <v>45</v>
          </cell>
          <cell r="P715" t="str">
            <v>13571.324232804232800</v>
          </cell>
          <cell r="Q715">
            <v>610709.59</v>
          </cell>
          <cell r="R715" t="str">
            <v>5%</v>
          </cell>
          <cell r="S715">
            <v>30535.48</v>
          </cell>
          <cell r="T715">
            <v>641245.07</v>
          </cell>
        </row>
        <row r="716">
          <cell r="M716" t="str">
            <v>A7-1-401</v>
          </cell>
          <cell r="N716" t="str">
            <v>平方米</v>
          </cell>
          <cell r="O716" t="str">
            <v>82.65</v>
          </cell>
          <cell r="P716" t="str">
            <v>3036.702797804381248</v>
          </cell>
          <cell r="Q716">
            <v>250983.49</v>
          </cell>
          <cell r="R716" t="str">
            <v>9%</v>
          </cell>
          <cell r="S716">
            <v>22588.51</v>
          </cell>
          <cell r="T716">
            <v>273572</v>
          </cell>
        </row>
        <row r="717">
          <cell r="M717" t="str">
            <v>A3-117铺</v>
          </cell>
          <cell r="N717" t="str">
            <v>平方米</v>
          </cell>
          <cell r="O717" t="str">
            <v>59.69</v>
          </cell>
          <cell r="P717" t="str">
            <v>6055.045871559633028</v>
          </cell>
          <cell r="Q717">
            <v>361425.69</v>
          </cell>
          <cell r="R717" t="str">
            <v>9%</v>
          </cell>
          <cell r="S717">
            <v>32528.31</v>
          </cell>
          <cell r="T717">
            <v>393954</v>
          </cell>
        </row>
        <row r="718">
          <cell r="M718" t="str">
            <v>A3-109铺</v>
          </cell>
          <cell r="N718" t="str">
            <v>平方米</v>
          </cell>
          <cell r="O718" t="str">
            <v>42.15</v>
          </cell>
          <cell r="P718" t="str">
            <v>5855.017575935660105</v>
          </cell>
          <cell r="Q718">
            <v>246788.99</v>
          </cell>
          <cell r="R718" t="str">
            <v>9%</v>
          </cell>
          <cell r="S718">
            <v>22211.01</v>
          </cell>
          <cell r="T718">
            <v>269000</v>
          </cell>
        </row>
        <row r="719">
          <cell r="M719" t="str">
            <v>A4-5-201</v>
          </cell>
          <cell r="N719" t="str">
            <v>平方米</v>
          </cell>
          <cell r="O719" t="str">
            <v>77.94</v>
          </cell>
          <cell r="P719" t="str">
            <v>2825.038314582141520</v>
          </cell>
          <cell r="Q719">
            <v>220183.49</v>
          </cell>
          <cell r="R719" t="str">
            <v>9%</v>
          </cell>
          <cell r="S719">
            <v>19816.51</v>
          </cell>
          <cell r="T719">
            <v>240000</v>
          </cell>
        </row>
        <row r="720">
          <cell r="M720" t="str">
            <v>A7-1-402</v>
          </cell>
          <cell r="N720" t="str">
            <v>平方米</v>
          </cell>
          <cell r="O720" t="str">
            <v>74.18</v>
          </cell>
          <cell r="P720" t="str">
            <v>3073.394495412844037</v>
          </cell>
          <cell r="Q720">
            <v>227984.4</v>
          </cell>
          <cell r="R720" t="str">
            <v>9%</v>
          </cell>
          <cell r="S720">
            <v>20518.6</v>
          </cell>
          <cell r="T720">
            <v>248503</v>
          </cell>
        </row>
        <row r="721">
          <cell r="M721" t="str">
            <v>A3-113</v>
          </cell>
          <cell r="N721" t="str">
            <v>平方米</v>
          </cell>
          <cell r="O721" t="str">
            <v>72.51</v>
          </cell>
          <cell r="P721" t="str">
            <v>5779.816513761467890</v>
          </cell>
          <cell r="Q721">
            <v>419094.5</v>
          </cell>
          <cell r="R721" t="str">
            <v>9%</v>
          </cell>
          <cell r="S721">
            <v>37718.5</v>
          </cell>
          <cell r="T721">
            <v>456813</v>
          </cell>
        </row>
        <row r="722">
          <cell r="M722" t="str">
            <v>A4-4-301</v>
          </cell>
          <cell r="N722" t="str">
            <v>平方米</v>
          </cell>
          <cell r="O722" t="str">
            <v>81.93</v>
          </cell>
          <cell r="P722" t="str">
            <v>2717.434999893621429</v>
          </cell>
          <cell r="Q722">
            <v>222639.45</v>
          </cell>
          <cell r="R722" t="str">
            <v>9%</v>
          </cell>
          <cell r="S722">
            <v>20037.55</v>
          </cell>
          <cell r="T722">
            <v>242677</v>
          </cell>
        </row>
        <row r="723">
          <cell r="M723" t="str">
            <v>A2-2-201</v>
          </cell>
          <cell r="N723" t="str">
            <v>平方米</v>
          </cell>
          <cell r="O723" t="str">
            <v>94.45</v>
          </cell>
          <cell r="P723" t="str">
            <v>2752.293577981651376</v>
          </cell>
          <cell r="Q723">
            <v>259954.13</v>
          </cell>
          <cell r="R723" t="str">
            <v>9%</v>
          </cell>
          <cell r="S723">
            <v>23395.87</v>
          </cell>
          <cell r="T723">
            <v>283350</v>
          </cell>
        </row>
        <row r="724">
          <cell r="M724" t="str">
            <v>A3-3-601</v>
          </cell>
          <cell r="N724" t="str">
            <v>平方米</v>
          </cell>
          <cell r="O724" t="str">
            <v>94.43</v>
          </cell>
          <cell r="P724" t="str">
            <v>2385.321100917431193</v>
          </cell>
          <cell r="Q724">
            <v>225245.87</v>
          </cell>
          <cell r="R724" t="str">
            <v>9%</v>
          </cell>
          <cell r="S724">
            <v>20272.13</v>
          </cell>
          <cell r="T724">
            <v>245518</v>
          </cell>
        </row>
        <row r="725">
          <cell r="M725" t="str">
            <v>A9-1-403</v>
          </cell>
          <cell r="N725" t="str">
            <v>平方米</v>
          </cell>
          <cell r="O725" t="str">
            <v>52.21</v>
          </cell>
          <cell r="P725" t="str">
            <v>3027.522935779816514</v>
          </cell>
          <cell r="Q725">
            <v>158066.97</v>
          </cell>
          <cell r="R725" t="str">
            <v>9%</v>
          </cell>
          <cell r="S725">
            <v>14226.03</v>
          </cell>
          <cell r="T725">
            <v>172293</v>
          </cell>
        </row>
        <row r="726">
          <cell r="M726" t="str">
            <v>A3-3-603</v>
          </cell>
          <cell r="N726" t="str">
            <v>平方米</v>
          </cell>
          <cell r="O726" t="str">
            <v>77.07</v>
          </cell>
          <cell r="P726" t="str">
            <v>2385.321100917431193</v>
          </cell>
          <cell r="Q726">
            <v>183836.7</v>
          </cell>
          <cell r="R726" t="str">
            <v>9%</v>
          </cell>
          <cell r="S726">
            <v>16545.3</v>
          </cell>
          <cell r="T726">
            <v>200382</v>
          </cell>
        </row>
        <row r="727">
          <cell r="M727" t="str">
            <v>A3-3-202</v>
          </cell>
          <cell r="N727" t="str">
            <v>平方米</v>
          </cell>
          <cell r="O727" t="str">
            <v>54.9</v>
          </cell>
          <cell r="P727" t="str">
            <v>2735.382095887435036</v>
          </cell>
          <cell r="Q727">
            <v>150172.48</v>
          </cell>
          <cell r="R727" t="str">
            <v>9%</v>
          </cell>
          <cell r="S727">
            <v>13515.52</v>
          </cell>
          <cell r="T727">
            <v>163688</v>
          </cell>
        </row>
        <row r="728">
          <cell r="M728" t="str">
            <v>A9-1-302</v>
          </cell>
          <cell r="N728" t="str">
            <v>平方米</v>
          </cell>
          <cell r="O728" t="str">
            <v>76.45</v>
          </cell>
          <cell r="P728" t="str">
            <v>3009.174311926605505</v>
          </cell>
          <cell r="Q728">
            <v>230051.38</v>
          </cell>
          <cell r="R728" t="str">
            <v>9%</v>
          </cell>
          <cell r="S728">
            <v>20704.62</v>
          </cell>
          <cell r="T728">
            <v>250756</v>
          </cell>
        </row>
        <row r="729">
          <cell r="M729" t="str">
            <v>A4-2-302</v>
          </cell>
          <cell r="N729" t="str">
            <v>平方米</v>
          </cell>
          <cell r="O729" t="str">
            <v>81.45</v>
          </cell>
          <cell r="P729" t="str">
            <v>2660.550458715596330</v>
          </cell>
          <cell r="Q729">
            <v>216701.83</v>
          </cell>
          <cell r="R729" t="str">
            <v>9%</v>
          </cell>
          <cell r="S729">
            <v>19503.17</v>
          </cell>
          <cell r="T729">
            <v>236205</v>
          </cell>
        </row>
        <row r="730">
          <cell r="M730" t="str">
            <v>A13-2-302</v>
          </cell>
          <cell r="N730" t="str">
            <v>平方米</v>
          </cell>
          <cell r="O730" t="str">
            <v>65.55</v>
          </cell>
          <cell r="P730" t="str">
            <v>3009.118328329799369</v>
          </cell>
          <cell r="Q730">
            <v>197247.71</v>
          </cell>
          <cell r="R730" t="str">
            <v>9%</v>
          </cell>
          <cell r="S730">
            <v>17752.29</v>
          </cell>
          <cell r="T730">
            <v>215000</v>
          </cell>
        </row>
        <row r="731">
          <cell r="M731" t="str">
            <v>A4-4-302</v>
          </cell>
          <cell r="N731" t="str">
            <v>平方米</v>
          </cell>
          <cell r="O731" t="str">
            <v>77.94</v>
          </cell>
          <cell r="P731" t="str">
            <v>2844.036697247706422</v>
          </cell>
          <cell r="Q731">
            <v>221664.22</v>
          </cell>
          <cell r="R731" t="str">
            <v>9%</v>
          </cell>
          <cell r="S731">
            <v>19949.78</v>
          </cell>
          <cell r="T731">
            <v>241614</v>
          </cell>
        </row>
        <row r="732">
          <cell r="M732" t="str">
            <v>A4-3-201</v>
          </cell>
          <cell r="N732" t="str">
            <v>平方米</v>
          </cell>
          <cell r="O732" t="str">
            <v>79.94</v>
          </cell>
          <cell r="P732" t="str">
            <v>2642.153633573804206</v>
          </cell>
          <cell r="Q732">
            <v>211213.76</v>
          </cell>
          <cell r="R732" t="str">
            <v>9%</v>
          </cell>
          <cell r="S732">
            <v>19009.24</v>
          </cell>
          <cell r="T732">
            <v>230223</v>
          </cell>
        </row>
        <row r="733">
          <cell r="M733" t="str">
            <v>A2-1-603</v>
          </cell>
          <cell r="N733" t="str">
            <v>平方米</v>
          </cell>
          <cell r="O733" t="str">
            <v>78.52</v>
          </cell>
          <cell r="P733" t="str">
            <v>2385.321100917431193</v>
          </cell>
          <cell r="Q733">
            <v>187295.41</v>
          </cell>
          <cell r="R733" t="str">
            <v>9%</v>
          </cell>
          <cell r="S733">
            <v>16856.59</v>
          </cell>
          <cell r="T733">
            <v>204152</v>
          </cell>
        </row>
        <row r="734">
          <cell r="M734" t="str">
            <v>7-5-202</v>
          </cell>
          <cell r="N734" t="str">
            <v>平方米</v>
          </cell>
          <cell r="O734" t="str">
            <v>98.08</v>
          </cell>
          <cell r="P734" t="str">
            <v>3598.092907636137652</v>
          </cell>
          <cell r="Q734">
            <v>352900.95</v>
          </cell>
          <cell r="R734" t="str">
            <v>5%</v>
          </cell>
          <cell r="S734">
            <v>17645.05</v>
          </cell>
          <cell r="T734">
            <v>370546</v>
          </cell>
        </row>
        <row r="735">
          <cell r="M735" t="str">
            <v>A2-1-602</v>
          </cell>
          <cell r="N735" t="str">
            <v>平方米</v>
          </cell>
          <cell r="O735" t="str">
            <v>54.91</v>
          </cell>
          <cell r="P735" t="str">
            <v>2276.87009174</v>
          </cell>
          <cell r="Q735">
            <v>125022.94</v>
          </cell>
          <cell r="R735" t="str">
            <v>9%</v>
          </cell>
          <cell r="S735">
            <v>11252.06</v>
          </cell>
          <cell r="T735">
            <v>136275</v>
          </cell>
        </row>
        <row r="736">
          <cell r="M736" t="str">
            <v>A2-3-303</v>
          </cell>
          <cell r="N736" t="str">
            <v>平方米</v>
          </cell>
          <cell r="O736" t="str">
            <v>77.09</v>
          </cell>
          <cell r="P736" t="str">
            <v>2844.03669724</v>
          </cell>
          <cell r="Q736">
            <v>219246.79</v>
          </cell>
          <cell r="R736" t="str">
            <v>9%</v>
          </cell>
          <cell r="S736">
            <v>19732.21</v>
          </cell>
          <cell r="T736">
            <v>238979</v>
          </cell>
        </row>
        <row r="737">
          <cell r="M737" t="str">
            <v>A5-2-401</v>
          </cell>
          <cell r="N737" t="str">
            <v>平方米</v>
          </cell>
          <cell r="O737" t="str">
            <v>91.51</v>
          </cell>
          <cell r="P737" t="str">
            <v>2596.33027522</v>
          </cell>
          <cell r="Q737">
            <v>237590.18</v>
          </cell>
          <cell r="R737" t="str">
            <v>9%</v>
          </cell>
          <cell r="S737">
            <v>21383.12</v>
          </cell>
          <cell r="T737">
            <v>258973.3</v>
          </cell>
        </row>
        <row r="738">
          <cell r="M738" t="str">
            <v>A5-1-402</v>
          </cell>
          <cell r="N738" t="str">
            <v>平方米</v>
          </cell>
          <cell r="O738" t="str">
            <v>84.85</v>
          </cell>
          <cell r="P738" t="str">
            <v>2844.03669724771</v>
          </cell>
          <cell r="Q738">
            <v>241316.51</v>
          </cell>
          <cell r="R738" t="str">
            <v>9%</v>
          </cell>
          <cell r="S738">
            <v>21718.49</v>
          </cell>
          <cell r="T738">
            <v>263035</v>
          </cell>
        </row>
        <row r="739">
          <cell r="M739" t="str">
            <v>A5-2-201</v>
          </cell>
          <cell r="N739" t="str">
            <v>平方米</v>
          </cell>
          <cell r="O739" t="str">
            <v>91.51</v>
          </cell>
          <cell r="P739" t="str">
            <v>2733.94495412844</v>
          </cell>
          <cell r="Q739">
            <v>250183.3</v>
          </cell>
          <cell r="R739" t="str">
            <v>9%</v>
          </cell>
          <cell r="S739">
            <v>22516.5</v>
          </cell>
          <cell r="T739">
            <v>272699.8</v>
          </cell>
        </row>
        <row r="740">
          <cell r="M740" t="str">
            <v>A14-202</v>
          </cell>
          <cell r="N740" t="str">
            <v>平方米</v>
          </cell>
          <cell r="O740" t="str">
            <v>228.1</v>
          </cell>
          <cell r="P740" t="str">
            <v>3027.52293577982</v>
          </cell>
          <cell r="Q740">
            <v>690577.98</v>
          </cell>
          <cell r="R740" t="str">
            <v>9%</v>
          </cell>
          <cell r="S740">
            <v>62152.02</v>
          </cell>
          <cell r="T740">
            <v>752730</v>
          </cell>
        </row>
        <row r="741">
          <cell r="M741" t="str">
            <v>A14-201</v>
          </cell>
          <cell r="N741" t="str">
            <v>平方米</v>
          </cell>
          <cell r="O741" t="str">
            <v>213.67</v>
          </cell>
          <cell r="P741" t="str">
            <v>3027.52293577982</v>
          </cell>
          <cell r="Q741">
            <v>646890.83</v>
          </cell>
          <cell r="R741" t="str">
            <v>9%</v>
          </cell>
          <cell r="S741">
            <v>58220.17</v>
          </cell>
          <cell r="T741">
            <v>705111</v>
          </cell>
        </row>
        <row r="742">
          <cell r="M742" t="str">
            <v>A2-2-403</v>
          </cell>
          <cell r="N742" t="str">
            <v>平方米</v>
          </cell>
          <cell r="O742" t="str">
            <v>89.33</v>
          </cell>
          <cell r="P742" t="str">
            <v>2752.29357798165</v>
          </cell>
          <cell r="Q742">
            <v>245862.39</v>
          </cell>
          <cell r="R742" t="str">
            <v>9%</v>
          </cell>
          <cell r="S742">
            <v>22127.61</v>
          </cell>
          <cell r="T742">
            <v>267990</v>
          </cell>
        </row>
        <row r="743">
          <cell r="M743" t="str">
            <v>5-104-1</v>
          </cell>
          <cell r="N743" t="str">
            <v>平方米</v>
          </cell>
          <cell r="O743" t="str">
            <v>30.04</v>
          </cell>
          <cell r="P743" t="str">
            <v>16952.380952381</v>
          </cell>
          <cell r="Q743">
            <v>509249.52</v>
          </cell>
          <cell r="R743" t="str">
            <v>5%</v>
          </cell>
          <cell r="S743">
            <v>25462.48</v>
          </cell>
          <cell r="T743">
            <v>534712</v>
          </cell>
        </row>
        <row r="744">
          <cell r="M744" t="str">
            <v>1-106-2</v>
          </cell>
          <cell r="N744" t="str">
            <v>平方米</v>
          </cell>
          <cell r="O744" t="str">
            <v>47.02</v>
          </cell>
          <cell r="P744" t="str">
            <v>12761.9047619048</v>
          </cell>
          <cell r="Q744">
            <v>600064.76</v>
          </cell>
          <cell r="R744" t="str">
            <v>5%</v>
          </cell>
          <cell r="S744">
            <v>30003.24</v>
          </cell>
          <cell r="T744">
            <v>630068</v>
          </cell>
        </row>
        <row r="745">
          <cell r="M745" t="str">
            <v>A8-1-202</v>
          </cell>
          <cell r="N745" t="str">
            <v>平方米</v>
          </cell>
          <cell r="O745" t="str">
            <v>68.13</v>
          </cell>
          <cell r="P745" t="str">
            <v>2963.30409888273</v>
          </cell>
          <cell r="Q745">
            <v>201889.91</v>
          </cell>
          <cell r="R745" t="str">
            <v>9%</v>
          </cell>
          <cell r="S745">
            <v>18170.09</v>
          </cell>
          <cell r="T745">
            <v>220060</v>
          </cell>
        </row>
        <row r="746">
          <cell r="M746" t="str">
            <v>A3-3-403</v>
          </cell>
          <cell r="N746" t="str">
            <v>平方米</v>
          </cell>
          <cell r="O746" t="str">
            <v>77.07</v>
          </cell>
          <cell r="P746" t="str">
            <v>2568.80733944954</v>
          </cell>
          <cell r="Q746">
            <v>197977.98</v>
          </cell>
          <cell r="R746" t="str">
            <v>9%</v>
          </cell>
          <cell r="S746">
            <v>17818.02</v>
          </cell>
          <cell r="T746">
            <v>215796</v>
          </cell>
        </row>
        <row r="747">
          <cell r="M747" t="str">
            <v>A6-2-202</v>
          </cell>
          <cell r="N747" t="str">
            <v>平方米</v>
          </cell>
          <cell r="O747" t="str">
            <v>82.35</v>
          </cell>
          <cell r="P747" t="str">
            <v>3073.40006572974</v>
          </cell>
          <cell r="Q747">
            <v>253094.5</v>
          </cell>
          <cell r="R747" t="str">
            <v>9%</v>
          </cell>
          <cell r="S747">
            <v>22778.5</v>
          </cell>
          <cell r="T747">
            <v>275873</v>
          </cell>
        </row>
        <row r="748">
          <cell r="M748" t="str">
            <v>A4-1-301</v>
          </cell>
          <cell r="N748" t="str">
            <v>平方米</v>
          </cell>
          <cell r="O748" t="str">
            <v>81.93</v>
          </cell>
          <cell r="P748" t="str">
            <v>2752.29357798165</v>
          </cell>
          <cell r="Q748">
            <v>225495.41</v>
          </cell>
          <cell r="R748" t="str">
            <v>9%</v>
          </cell>
          <cell r="S748">
            <v>20294.59</v>
          </cell>
          <cell r="T748">
            <v>245790</v>
          </cell>
        </row>
        <row r="749">
          <cell r="M749" t="str">
            <v>A4-114</v>
          </cell>
          <cell r="N749" t="str">
            <v>平方米</v>
          </cell>
          <cell r="O749" t="str">
            <v>57.72</v>
          </cell>
          <cell r="P749" t="str">
            <v>4402.77963213743</v>
          </cell>
          <cell r="Q749">
            <v>254128.44</v>
          </cell>
          <cell r="R749" t="str">
            <v>9%</v>
          </cell>
          <cell r="S749">
            <v>22871.56</v>
          </cell>
          <cell r="T749">
            <v>277000</v>
          </cell>
        </row>
        <row r="750">
          <cell r="M750" t="str">
            <v>A4-113</v>
          </cell>
          <cell r="N750" t="str">
            <v>平方米</v>
          </cell>
          <cell r="O750" t="str">
            <v>68.35</v>
          </cell>
          <cell r="P750" t="str">
            <v>3669.7247706422</v>
          </cell>
          <cell r="Q750">
            <v>250825.69</v>
          </cell>
          <cell r="R750" t="str">
            <v>9%</v>
          </cell>
          <cell r="S750">
            <v>22574.31</v>
          </cell>
          <cell r="T750">
            <v>273400</v>
          </cell>
        </row>
        <row r="751">
          <cell r="M751" t="str">
            <v>A5-2-302</v>
          </cell>
          <cell r="N751" t="str">
            <v>平方米</v>
          </cell>
          <cell r="O751" t="str">
            <v>91.51</v>
          </cell>
          <cell r="P751" t="str">
            <v>2688.07038685299</v>
          </cell>
          <cell r="Q751">
            <v>245985.32</v>
          </cell>
          <cell r="R751" t="str">
            <v>9%</v>
          </cell>
          <cell r="S751">
            <v>22138.68</v>
          </cell>
          <cell r="T751">
            <v>268124</v>
          </cell>
        </row>
        <row r="752">
          <cell r="M752" t="str">
            <v>A8-1-304</v>
          </cell>
          <cell r="N752" t="str">
            <v>平方米</v>
          </cell>
          <cell r="O752" t="str">
            <v>57.98</v>
          </cell>
          <cell r="P752" t="str">
            <v>3238.52578079756</v>
          </cell>
          <cell r="Q752">
            <v>187769.72</v>
          </cell>
          <cell r="R752" t="str">
            <v>9%</v>
          </cell>
          <cell r="S752">
            <v>16899.28</v>
          </cell>
          <cell r="T752">
            <v>204669</v>
          </cell>
        </row>
        <row r="753">
          <cell r="M753" t="str">
            <v>A4-2-501</v>
          </cell>
          <cell r="N753" t="str">
            <v>平方米</v>
          </cell>
          <cell r="O753" t="str">
            <v>77.94</v>
          </cell>
          <cell r="P753" t="str">
            <v>2568.80733944954</v>
          </cell>
          <cell r="Q753">
            <v>200212.84</v>
          </cell>
          <cell r="R753" t="str">
            <v>9%</v>
          </cell>
          <cell r="S753">
            <v>18019.16</v>
          </cell>
          <cell r="T753">
            <v>218232</v>
          </cell>
        </row>
        <row r="754">
          <cell r="M754" t="str">
            <v>A5-2-301</v>
          </cell>
          <cell r="N754" t="str">
            <v>平方米</v>
          </cell>
          <cell r="O754" t="str">
            <v>91.51</v>
          </cell>
          <cell r="P754" t="str">
            <v>2706.42703108599</v>
          </cell>
          <cell r="Q754">
            <v>247665.14</v>
          </cell>
          <cell r="R754" t="str">
            <v>9%</v>
          </cell>
          <cell r="S754">
            <v>22289.86</v>
          </cell>
          <cell r="T754">
            <v>269955</v>
          </cell>
        </row>
        <row r="755">
          <cell r="M755" t="str">
            <v>A8-2-203</v>
          </cell>
          <cell r="N755" t="str">
            <v>平方米</v>
          </cell>
          <cell r="O755" t="str">
            <v>68.13</v>
          </cell>
          <cell r="P755" t="str">
            <v>3039.65570408434</v>
          </cell>
          <cell r="Q755">
            <v>207091.74</v>
          </cell>
          <cell r="R755" t="str">
            <v>9%</v>
          </cell>
          <cell r="S755">
            <v>18638.26</v>
          </cell>
          <cell r="T755">
            <v>225730</v>
          </cell>
        </row>
        <row r="756">
          <cell r="M756" t="str">
            <v>A3-2-603</v>
          </cell>
          <cell r="N756" t="str">
            <v>平方米</v>
          </cell>
          <cell r="O756" t="str">
            <v>89.31</v>
          </cell>
          <cell r="P756" t="str">
            <v>2385.32110091743</v>
          </cell>
          <cell r="Q756">
            <v>213033.03</v>
          </cell>
          <cell r="R756" t="str">
            <v>9%</v>
          </cell>
          <cell r="S756">
            <v>19172.97</v>
          </cell>
          <cell r="T756">
            <v>232206</v>
          </cell>
        </row>
        <row r="757">
          <cell r="M757" t="str">
            <v>1-2-301</v>
          </cell>
          <cell r="N757" t="str">
            <v>平方米</v>
          </cell>
          <cell r="O757" t="str">
            <v>101.69</v>
          </cell>
          <cell r="P757" t="str">
            <v>2857.14285714286</v>
          </cell>
          <cell r="Q757">
            <v>290542.86</v>
          </cell>
          <cell r="R757" t="str">
            <v>5%</v>
          </cell>
          <cell r="S757">
            <v>14527.14</v>
          </cell>
          <cell r="T757">
            <v>305070</v>
          </cell>
        </row>
        <row r="758">
          <cell r="M758" t="str">
            <v>5-1-702</v>
          </cell>
          <cell r="N758" t="str">
            <v>平方米</v>
          </cell>
          <cell r="O758" t="str">
            <v>74.86</v>
          </cell>
          <cell r="P758" t="str">
            <v>3333.33333333333</v>
          </cell>
          <cell r="Q758">
            <v>249533.33</v>
          </cell>
          <cell r="R758" t="str">
            <v>5%</v>
          </cell>
          <cell r="S758">
            <v>12476.67</v>
          </cell>
          <cell r="T758">
            <v>262010</v>
          </cell>
        </row>
        <row r="759">
          <cell r="M759" t="str">
            <v>A4-6-502</v>
          </cell>
          <cell r="N759" t="str">
            <v>平方米</v>
          </cell>
          <cell r="O759" t="str">
            <v>81.93</v>
          </cell>
          <cell r="P759" t="str">
            <v>2568.80733944954</v>
          </cell>
          <cell r="Q759">
            <v>210462.39</v>
          </cell>
          <cell r="R759" t="str">
            <v>9%</v>
          </cell>
          <cell r="S759">
            <v>18941.61</v>
          </cell>
          <cell r="T759">
            <v>229404</v>
          </cell>
        </row>
        <row r="760">
          <cell r="M760" t="str">
            <v>A4-1-501</v>
          </cell>
          <cell r="N760" t="str">
            <v>平方米</v>
          </cell>
          <cell r="O760" t="str">
            <v>81.93</v>
          </cell>
          <cell r="P760" t="str">
            <v>2568.80733944954</v>
          </cell>
          <cell r="Q760">
            <v>210462.39</v>
          </cell>
          <cell r="R760" t="str">
            <v>9%</v>
          </cell>
          <cell r="S760">
            <v>18941.61</v>
          </cell>
          <cell r="T760">
            <v>229404</v>
          </cell>
        </row>
        <row r="761">
          <cell r="M761" t="str">
            <v>5-109-2</v>
          </cell>
          <cell r="N761" t="str">
            <v>平方米</v>
          </cell>
          <cell r="O761" t="str">
            <v>62.96</v>
          </cell>
          <cell r="P761" t="str">
            <v>12475.2374901676</v>
          </cell>
          <cell r="Q761">
            <v>785440.95</v>
          </cell>
          <cell r="R761" t="str">
            <v>5%</v>
          </cell>
          <cell r="S761">
            <v>39272.05</v>
          </cell>
          <cell r="T761">
            <v>824713</v>
          </cell>
        </row>
        <row r="762">
          <cell r="M762" t="str">
            <v>A4-2-601</v>
          </cell>
          <cell r="N762" t="str">
            <v>平方米</v>
          </cell>
          <cell r="O762" t="str">
            <v>77.94</v>
          </cell>
          <cell r="P762" t="str">
            <v>2385.32110091743</v>
          </cell>
          <cell r="Q762">
            <v>185911.93</v>
          </cell>
          <cell r="R762" t="str">
            <v>9%</v>
          </cell>
          <cell r="S762">
            <v>16732.07</v>
          </cell>
          <cell r="T762">
            <v>202644</v>
          </cell>
        </row>
        <row r="763">
          <cell r="M763" t="str">
            <v>A5-2-202</v>
          </cell>
          <cell r="N763" t="str">
            <v>平方米</v>
          </cell>
          <cell r="O763" t="str">
            <v>91.51</v>
          </cell>
          <cell r="P763" t="str">
            <v>65.4663499953382</v>
          </cell>
          <cell r="Q763">
            <v>5990.83</v>
          </cell>
          <cell r="R763" t="str">
            <v>9%</v>
          </cell>
          <cell r="S763">
            <v>539.17</v>
          </cell>
          <cell r="T763">
            <v>6530</v>
          </cell>
        </row>
        <row r="764">
          <cell r="M764" t="str">
            <v>A2-1-402</v>
          </cell>
          <cell r="N764" t="str">
            <v>平方米</v>
          </cell>
          <cell r="O764" t="str">
            <v>54.91</v>
          </cell>
          <cell r="P764" t="str">
            <v>2706.4303723023</v>
          </cell>
          <cell r="Q764">
            <v>148610.09</v>
          </cell>
          <cell r="R764" t="str">
            <v>9%</v>
          </cell>
          <cell r="S764">
            <v>13374.91</v>
          </cell>
          <cell r="T764">
            <v>161985</v>
          </cell>
        </row>
        <row r="765">
          <cell r="M765" t="str">
            <v>A2-3-201</v>
          </cell>
          <cell r="N765" t="str">
            <v>平方米</v>
          </cell>
          <cell r="O765" t="str">
            <v>94.45</v>
          </cell>
          <cell r="P765" t="str">
            <v>2836.31453951171</v>
          </cell>
          <cell r="Q765">
            <v>267889.91</v>
          </cell>
          <cell r="R765" t="str">
            <v>9%</v>
          </cell>
          <cell r="S765">
            <v>24110.09</v>
          </cell>
          <cell r="T765">
            <v>292000</v>
          </cell>
        </row>
        <row r="766">
          <cell r="M766" t="str">
            <v>5-105-2</v>
          </cell>
          <cell r="N766" t="str">
            <v>平方米</v>
          </cell>
          <cell r="O766" t="str">
            <v>55.66</v>
          </cell>
          <cell r="P766" t="str">
            <v>13346.3374570094</v>
          </cell>
          <cell r="Q766">
            <v>742857.14</v>
          </cell>
          <cell r="R766" t="str">
            <v>5%</v>
          </cell>
          <cell r="S766">
            <v>37142.86</v>
          </cell>
          <cell r="T766">
            <v>780000</v>
          </cell>
        </row>
        <row r="767">
          <cell r="M767" t="str">
            <v>A1-2-402</v>
          </cell>
          <cell r="N767" t="str">
            <v>平方米</v>
          </cell>
          <cell r="O767" t="str">
            <v>72.37</v>
          </cell>
          <cell r="P767" t="str">
            <v>2604.50564314627</v>
          </cell>
          <cell r="Q767">
            <v>188488.07</v>
          </cell>
          <cell r="R767" t="str">
            <v>9%</v>
          </cell>
          <cell r="S767">
            <v>16963.93</v>
          </cell>
          <cell r="T767">
            <v>205452</v>
          </cell>
        </row>
        <row r="768">
          <cell r="M768" t="str">
            <v>A2-3-503</v>
          </cell>
          <cell r="N768" t="str">
            <v>平方米</v>
          </cell>
          <cell r="O768" t="str">
            <v>77.09</v>
          </cell>
          <cell r="P768" t="str">
            <v>2522.92982942611</v>
          </cell>
          <cell r="Q768">
            <v>194492.66</v>
          </cell>
          <cell r="R768" t="str">
            <v>9%</v>
          </cell>
          <cell r="S768">
            <v>17504.34</v>
          </cell>
          <cell r="T768">
            <v>211997</v>
          </cell>
        </row>
        <row r="769">
          <cell r="M769" t="str">
            <v>A1-2-301</v>
          </cell>
          <cell r="N769" t="str">
            <v>平方米</v>
          </cell>
          <cell r="O769" t="str">
            <v>72.37</v>
          </cell>
          <cell r="P769" t="str">
            <v>2752.29357798165</v>
          </cell>
          <cell r="Q769">
            <v>199183.49</v>
          </cell>
          <cell r="R769" t="str">
            <v>9%</v>
          </cell>
          <cell r="S769">
            <v>17926.51</v>
          </cell>
          <cell r="T769">
            <v>217110</v>
          </cell>
        </row>
        <row r="770">
          <cell r="Q770">
            <v>197955176.13</v>
          </cell>
        </row>
        <row r="770">
          <cell r="S770">
            <v>10309878.1</v>
          </cell>
          <cell r="T770">
            <v>208265054.23</v>
          </cell>
        </row>
        <row r="771">
          <cell r="T771">
            <v>221878088.7</v>
          </cell>
        </row>
        <row r="772">
          <cell r="T772">
            <v>-13613034.47</v>
          </cell>
        </row>
      </sheetData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340">
          <cell r="K340">
            <v>115243</v>
          </cell>
        </row>
        <row r="356">
          <cell r="K356">
            <v>88324</v>
          </cell>
        </row>
        <row r="395">
          <cell r="K395">
            <v>95238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5">
          <cell r="D5" t="str">
            <v>C5-112</v>
          </cell>
          <cell r="E5" t="str">
            <v>C5-112</v>
          </cell>
          <cell r="F5" t="str">
            <v>多浪小镇A10-12#</v>
          </cell>
        </row>
        <row r="5">
          <cell r="H5">
            <v>10000</v>
          </cell>
        </row>
        <row r="5">
          <cell r="L5">
            <v>10000</v>
          </cell>
        </row>
        <row r="5">
          <cell r="N5">
            <v>10000</v>
          </cell>
        </row>
        <row r="6">
          <cell r="D6" t="str">
            <v>C5-108</v>
          </cell>
          <cell r="E6" t="str">
            <v>C5-108</v>
          </cell>
          <cell r="F6" t="str">
            <v>多浪小镇A10-12#</v>
          </cell>
        </row>
        <row r="6">
          <cell r="H6">
            <v>107896</v>
          </cell>
        </row>
        <row r="6">
          <cell r="K6">
            <v>5000</v>
          </cell>
          <cell r="L6">
            <v>112896</v>
          </cell>
        </row>
        <row r="6">
          <cell r="N6">
            <v>107896</v>
          </cell>
        </row>
        <row r="7">
          <cell r="D7" t="str">
            <v>C5-104</v>
          </cell>
          <cell r="E7" t="str">
            <v>C5-104</v>
          </cell>
          <cell r="F7" t="str">
            <v>多浪小镇A10-12#</v>
          </cell>
        </row>
        <row r="7">
          <cell r="H7">
            <v>5000</v>
          </cell>
        </row>
        <row r="7">
          <cell r="L7">
            <v>5000</v>
          </cell>
        </row>
        <row r="7">
          <cell r="N7">
            <v>5000</v>
          </cell>
        </row>
        <row r="8">
          <cell r="D8" t="str">
            <v>C1-104</v>
          </cell>
          <cell r="E8" t="str">
            <v>C1-104</v>
          </cell>
          <cell r="F8" t="str">
            <v>多浪小镇A10-12#</v>
          </cell>
        </row>
        <row r="8">
          <cell r="H8">
            <v>10000</v>
          </cell>
        </row>
        <row r="8">
          <cell r="L8">
            <v>10000</v>
          </cell>
        </row>
        <row r="8">
          <cell r="N8">
            <v>10000</v>
          </cell>
        </row>
        <row r="9">
          <cell r="D9" t="str">
            <v>C9-3-102张亚非</v>
          </cell>
          <cell r="E9" t="e">
            <v>#N/A</v>
          </cell>
          <cell r="F9" t="str">
            <v>多浪小镇A10-12#</v>
          </cell>
        </row>
        <row r="9">
          <cell r="H9">
            <v>-334571</v>
          </cell>
        </row>
        <row r="9">
          <cell r="N9">
            <v>-334571</v>
          </cell>
        </row>
        <row r="10">
          <cell r="D10" t="str">
            <v>A11-1-102</v>
          </cell>
          <cell r="E10" t="str">
            <v>A11-1-102</v>
          </cell>
          <cell r="F10" t="str">
            <v>多浪小镇A10-12#</v>
          </cell>
        </row>
        <row r="10">
          <cell r="H10">
            <v>-279456</v>
          </cell>
        </row>
        <row r="10">
          <cell r="N10">
            <v>-279456</v>
          </cell>
        </row>
        <row r="11">
          <cell r="D11" t="str">
            <v>艾克拜尔·依马木</v>
          </cell>
          <cell r="E11" t="e">
            <v>#N/A</v>
          </cell>
          <cell r="F11" t="str">
            <v>多浪小镇A10-12#</v>
          </cell>
        </row>
        <row r="11">
          <cell r="H11">
            <v>-216232</v>
          </cell>
        </row>
        <row r="11">
          <cell r="N11">
            <v>-216232</v>
          </cell>
        </row>
        <row r="12">
          <cell r="D12" t="str">
            <v>A12-4-102</v>
          </cell>
          <cell r="E12" t="str">
            <v>A12-4-102</v>
          </cell>
          <cell r="F12" t="str">
            <v>多浪小镇A10-12#</v>
          </cell>
        </row>
        <row r="12">
          <cell r="H12">
            <v>-219275</v>
          </cell>
        </row>
        <row r="12">
          <cell r="N12">
            <v>-219275</v>
          </cell>
        </row>
        <row r="13">
          <cell r="D13" t="str">
            <v>A12-4-601</v>
          </cell>
          <cell r="E13" t="str">
            <v>A12-4-601</v>
          </cell>
          <cell r="F13" t="str">
            <v>多浪小镇A10-12#</v>
          </cell>
        </row>
        <row r="13">
          <cell r="H13">
            <v>-169155</v>
          </cell>
        </row>
        <row r="13">
          <cell r="N13">
            <v>-169155</v>
          </cell>
        </row>
        <row r="14">
          <cell r="D14" t="str">
            <v>C9-1-501</v>
          </cell>
          <cell r="E14" t="str">
            <v>C9-1-501</v>
          </cell>
          <cell r="F14" t="str">
            <v>多浪小镇A10-12#</v>
          </cell>
        </row>
        <row r="14">
          <cell r="H14">
            <v>-294115</v>
          </cell>
        </row>
        <row r="14">
          <cell r="N14">
            <v>-294115</v>
          </cell>
        </row>
        <row r="15">
          <cell r="D15" t="str">
            <v>C4-101-103</v>
          </cell>
          <cell r="E15" t="e">
            <v>#N/A</v>
          </cell>
          <cell r="F15" t="str">
            <v>多浪小镇A10-12#</v>
          </cell>
        </row>
        <row r="15">
          <cell r="H15">
            <v>439640</v>
          </cell>
        </row>
        <row r="15">
          <cell r="L15">
            <v>129640</v>
          </cell>
        </row>
        <row r="15">
          <cell r="N15">
            <v>439640</v>
          </cell>
        </row>
        <row r="16">
          <cell r="D16" t="str">
            <v>A11-1-502候功甲</v>
          </cell>
          <cell r="E16" t="e">
            <v>#N/A</v>
          </cell>
          <cell r="F16" t="str">
            <v>多浪小镇A10-12#</v>
          </cell>
        </row>
        <row r="16">
          <cell r="H16">
            <v>-237758</v>
          </cell>
        </row>
        <row r="16">
          <cell r="N16">
            <v>-237758</v>
          </cell>
        </row>
        <row r="17">
          <cell r="D17" t="str">
            <v>A12-1-301</v>
          </cell>
          <cell r="E17" t="str">
            <v>A12-1-301</v>
          </cell>
          <cell r="F17" t="str">
            <v>多浪小镇A10-12#</v>
          </cell>
        </row>
        <row r="17">
          <cell r="H17">
            <v>-257200</v>
          </cell>
        </row>
        <row r="17">
          <cell r="K17">
            <v>257200</v>
          </cell>
        </row>
        <row r="17">
          <cell r="N17">
            <v>-257200</v>
          </cell>
        </row>
        <row r="18">
          <cell r="D18" t="str">
            <v>C3-10亚里坤·阿不都尼亚孜</v>
          </cell>
          <cell r="E18" t="e">
            <v>#N/A</v>
          </cell>
          <cell r="F18" t="str">
            <v>多浪小镇A10-12#</v>
          </cell>
        </row>
        <row r="18">
          <cell r="K18">
            <v>6760</v>
          </cell>
          <cell r="L18">
            <v>6760</v>
          </cell>
        </row>
        <row r="19">
          <cell r="D19" t="str">
            <v>C5-105热艳古力</v>
          </cell>
          <cell r="E19" t="e">
            <v>#N/A</v>
          </cell>
          <cell r="F19" t="str">
            <v>多浪小镇A10-12#</v>
          </cell>
        </row>
        <row r="19">
          <cell r="H19">
            <v>125678</v>
          </cell>
        </row>
        <row r="19">
          <cell r="J19">
            <v>25000</v>
          </cell>
        </row>
        <row r="19">
          <cell r="L19">
            <v>150678</v>
          </cell>
        </row>
        <row r="19">
          <cell r="N19">
            <v>150678</v>
          </cell>
        </row>
        <row r="20">
          <cell r="D20" t="str">
            <v>C3-1-502</v>
          </cell>
          <cell r="E20" t="str">
            <v>C3-1-502</v>
          </cell>
          <cell r="F20" t="str">
            <v>多浪小镇A10-12#</v>
          </cell>
        </row>
        <row r="20">
          <cell r="H20">
            <v>133</v>
          </cell>
        </row>
        <row r="20">
          <cell r="N20">
            <v>133</v>
          </cell>
        </row>
        <row r="21">
          <cell r="D21" t="str">
            <v>C2-112</v>
          </cell>
          <cell r="E21" t="e">
            <v>#N/A</v>
          </cell>
          <cell r="F21" t="str">
            <v>多浪小镇A10-12#</v>
          </cell>
        </row>
        <row r="21">
          <cell r="H21">
            <v>57143</v>
          </cell>
        </row>
        <row r="21">
          <cell r="N21">
            <v>57143</v>
          </cell>
        </row>
        <row r="22">
          <cell r="D22" t="str">
            <v>C2-111</v>
          </cell>
          <cell r="E22" t="e">
            <v>#N/A</v>
          </cell>
          <cell r="F22" t="str">
            <v>多浪小镇A10-12#</v>
          </cell>
        </row>
        <row r="22">
          <cell r="H22">
            <v>47619</v>
          </cell>
        </row>
        <row r="22">
          <cell r="N22">
            <v>47619</v>
          </cell>
        </row>
        <row r="23">
          <cell r="D23" t="str">
            <v>C3-108</v>
          </cell>
          <cell r="E23" t="str">
            <v>C3-108</v>
          </cell>
          <cell r="F23" t="str">
            <v>多浪小镇A10-12#</v>
          </cell>
        </row>
        <row r="23">
          <cell r="H23">
            <v>19048</v>
          </cell>
        </row>
        <row r="23">
          <cell r="N23">
            <v>19048</v>
          </cell>
        </row>
        <row r="24">
          <cell r="D24" t="str">
            <v>C3-1-401</v>
          </cell>
          <cell r="E24" t="str">
            <v>C3-1-401</v>
          </cell>
          <cell r="F24" t="str">
            <v>多浪小镇A10-12#</v>
          </cell>
        </row>
        <row r="24">
          <cell r="H24">
            <v>132</v>
          </cell>
        </row>
        <row r="24">
          <cell r="N24">
            <v>132</v>
          </cell>
        </row>
        <row r="25">
          <cell r="D25" t="str">
            <v>C4-112</v>
          </cell>
          <cell r="E25" t="e">
            <v>#N/A</v>
          </cell>
          <cell r="F25" t="str">
            <v>多浪小镇A10-12#</v>
          </cell>
        </row>
        <row r="25">
          <cell r="H25">
            <v>-12952</v>
          </cell>
        </row>
        <row r="25">
          <cell r="N25">
            <v>-12952</v>
          </cell>
        </row>
        <row r="26">
          <cell r="D26" t="str">
            <v>C6-2-102</v>
          </cell>
          <cell r="E26" t="str">
            <v>C6-2-102</v>
          </cell>
          <cell r="F26" t="str">
            <v>多浪小镇A10-12#</v>
          </cell>
        </row>
        <row r="26">
          <cell r="H26">
            <v>-76729</v>
          </cell>
        </row>
        <row r="26">
          <cell r="N26">
            <v>-76729</v>
          </cell>
        </row>
        <row r="27">
          <cell r="D27" t="str">
            <v>C8-1-101</v>
          </cell>
          <cell r="E27" t="str">
            <v>C8-1-101</v>
          </cell>
          <cell r="F27" t="str">
            <v>多浪小镇A10-12#</v>
          </cell>
        </row>
        <row r="27">
          <cell r="H27">
            <v>-5237.81</v>
          </cell>
        </row>
        <row r="27">
          <cell r="N27">
            <v>-5237.81</v>
          </cell>
        </row>
        <row r="28">
          <cell r="D28" t="str">
            <v>C8-2-502</v>
          </cell>
          <cell r="E28" t="str">
            <v>C8-2-502</v>
          </cell>
          <cell r="F28" t="str">
            <v>多浪小镇A10-12#</v>
          </cell>
        </row>
        <row r="28">
          <cell r="H28">
            <v>1905</v>
          </cell>
        </row>
        <row r="28">
          <cell r="N28">
            <v>1905</v>
          </cell>
        </row>
        <row r="29">
          <cell r="D29" t="str">
            <v>A12-3-601</v>
          </cell>
          <cell r="E29" t="str">
            <v>A12-3-601</v>
          </cell>
          <cell r="F29" t="str">
            <v>多浪小镇A10-12#</v>
          </cell>
        </row>
        <row r="29">
          <cell r="H29">
            <v>2857</v>
          </cell>
        </row>
        <row r="29">
          <cell r="N29">
            <v>2857</v>
          </cell>
        </row>
        <row r="30">
          <cell r="D30" t="str">
            <v>多浪小镇C7-3-402</v>
          </cell>
          <cell r="E30" t="e">
            <v>#N/A</v>
          </cell>
          <cell r="F30" t="str">
            <v>多浪小镇A10-12#</v>
          </cell>
        </row>
        <row r="30">
          <cell r="H30">
            <v>-200806</v>
          </cell>
        </row>
        <row r="30">
          <cell r="N30">
            <v>-200806</v>
          </cell>
        </row>
        <row r="31">
          <cell r="D31" t="str">
            <v>C1-102</v>
          </cell>
          <cell r="E31" t="str">
            <v>C1-102</v>
          </cell>
          <cell r="F31" t="str">
            <v>多浪小镇A10-12#</v>
          </cell>
        </row>
        <row r="31">
          <cell r="H31">
            <v>157143</v>
          </cell>
        </row>
        <row r="31">
          <cell r="N31">
            <v>157143</v>
          </cell>
        </row>
        <row r="32">
          <cell r="D32" t="str">
            <v>C2-02</v>
          </cell>
          <cell r="E32" t="str">
            <v>C2-02</v>
          </cell>
          <cell r="F32" t="str">
            <v>多浪小镇A10-12#</v>
          </cell>
        </row>
        <row r="32">
          <cell r="H32">
            <v>-202215</v>
          </cell>
        </row>
        <row r="32">
          <cell r="N32">
            <v>-202215</v>
          </cell>
        </row>
        <row r="33">
          <cell r="D33" t="str">
            <v>C3-101</v>
          </cell>
          <cell r="E33" t="str">
            <v>C3-101</v>
          </cell>
          <cell r="F33" t="str">
            <v>多浪小镇A10-12#</v>
          </cell>
        </row>
        <row r="33">
          <cell r="K33">
            <v>95238.04</v>
          </cell>
        </row>
        <row r="34">
          <cell r="D34" t="str">
            <v>C5-001</v>
          </cell>
          <cell r="E34" t="e">
            <v>#N/A</v>
          </cell>
          <cell r="F34" t="str">
            <v>多浪小镇A10-12#</v>
          </cell>
        </row>
        <row r="34">
          <cell r="H34">
            <v>-241142.86</v>
          </cell>
        </row>
        <row r="34">
          <cell r="N34">
            <v>-241142.86</v>
          </cell>
        </row>
        <row r="35">
          <cell r="D35" t="str">
            <v>C6-1-202</v>
          </cell>
          <cell r="E35" t="str">
            <v>C6-1-202</v>
          </cell>
          <cell r="F35" t="str">
            <v>多浪小镇A10-12#</v>
          </cell>
        </row>
        <row r="35">
          <cell r="K35">
            <v>214477</v>
          </cell>
        </row>
        <row r="36">
          <cell r="D36" t="str">
            <v>C6-1-501</v>
          </cell>
          <cell r="E36" t="str">
            <v>C6-1-501</v>
          </cell>
          <cell r="F36" t="str">
            <v>多浪小镇A10-12#</v>
          </cell>
        </row>
        <row r="36">
          <cell r="H36">
            <v>-52902.29</v>
          </cell>
        </row>
        <row r="36">
          <cell r="N36">
            <v>-52902.29</v>
          </cell>
        </row>
        <row r="37">
          <cell r="D37" t="str">
            <v>C7-1-102</v>
          </cell>
          <cell r="E37" t="str">
            <v>C7-1-102</v>
          </cell>
          <cell r="F37" t="str">
            <v>多浪小镇A10-12#</v>
          </cell>
        </row>
        <row r="37">
          <cell r="H37">
            <v>43420.81</v>
          </cell>
        </row>
        <row r="37">
          <cell r="N37">
            <v>43420.81</v>
          </cell>
        </row>
        <row r="38">
          <cell r="D38" t="str">
            <v>C8-3-602</v>
          </cell>
          <cell r="E38" t="str">
            <v>C8-3-602</v>
          </cell>
          <cell r="F38" t="str">
            <v>多浪小镇A10-12#</v>
          </cell>
        </row>
        <row r="38">
          <cell r="H38">
            <v>203630</v>
          </cell>
        </row>
        <row r="38">
          <cell r="N38">
            <v>203630</v>
          </cell>
        </row>
        <row r="39">
          <cell r="D39" t="str">
            <v>A12-3-401</v>
          </cell>
          <cell r="E39" t="str">
            <v>A12-3-401</v>
          </cell>
          <cell r="F39" t="str">
            <v>多浪小镇A10-12#</v>
          </cell>
        </row>
        <row r="39">
          <cell r="H39">
            <v>-11648.1</v>
          </cell>
        </row>
        <row r="39">
          <cell r="L39">
            <v>14000</v>
          </cell>
        </row>
        <row r="39">
          <cell r="N39">
            <v>-11648.1</v>
          </cell>
        </row>
        <row r="40">
          <cell r="D40" t="str">
            <v>A12-2-602</v>
          </cell>
          <cell r="E40" t="str">
            <v>A12-2-602</v>
          </cell>
          <cell r="F40" t="str">
            <v>多浪小镇A10-12#</v>
          </cell>
        </row>
        <row r="40">
          <cell r="H40">
            <v>12381</v>
          </cell>
        </row>
        <row r="40">
          <cell r="N40">
            <v>12381</v>
          </cell>
        </row>
        <row r="41">
          <cell r="D41" t="str">
            <v>A12-2-201麦麦提·阿吾提</v>
          </cell>
          <cell r="E41" t="e">
            <v>#N/A</v>
          </cell>
          <cell r="F41" t="str">
            <v>多浪小镇A10-12#</v>
          </cell>
        </row>
        <row r="41">
          <cell r="H41">
            <v>-127762</v>
          </cell>
        </row>
        <row r="41">
          <cell r="N41">
            <v>-127762</v>
          </cell>
        </row>
        <row r="42">
          <cell r="D42" t="str">
            <v>A12-1-202</v>
          </cell>
          <cell r="E42" t="str">
            <v>A12-1-202</v>
          </cell>
          <cell r="F42" t="str">
            <v>多浪小镇A10-12#</v>
          </cell>
        </row>
        <row r="42">
          <cell r="H42">
            <v>-219940</v>
          </cell>
        </row>
        <row r="42">
          <cell r="N42">
            <v>-219940</v>
          </cell>
        </row>
        <row r="43">
          <cell r="D43" t="str">
            <v>A12-3-102</v>
          </cell>
          <cell r="E43" t="str">
            <v>A12-3-102</v>
          </cell>
          <cell r="F43" t="str">
            <v>多浪小镇A10-12#</v>
          </cell>
        </row>
        <row r="43">
          <cell r="H43">
            <v>-10655</v>
          </cell>
        </row>
        <row r="43">
          <cell r="N43">
            <v>-10655</v>
          </cell>
        </row>
        <row r="44">
          <cell r="D44" t="str">
            <v>C1-103</v>
          </cell>
          <cell r="E44" t="str">
            <v>C1-103</v>
          </cell>
          <cell r="F44" t="str">
            <v>多浪小镇A10-12#</v>
          </cell>
        </row>
        <row r="44">
          <cell r="H44">
            <v>327000</v>
          </cell>
        </row>
        <row r="44">
          <cell r="L44">
            <v>146000</v>
          </cell>
        </row>
        <row r="44">
          <cell r="N44">
            <v>327000</v>
          </cell>
        </row>
        <row r="45">
          <cell r="D45" t="str">
            <v>C1-103</v>
          </cell>
          <cell r="E45" t="str">
            <v>C1-103</v>
          </cell>
          <cell r="F45" t="str">
            <v>期初导入不区分</v>
          </cell>
        </row>
        <row r="45">
          <cell r="K45">
            <v>28000</v>
          </cell>
        </row>
        <row r="46">
          <cell r="D46" t="str">
            <v>C2-105</v>
          </cell>
          <cell r="E46" t="e">
            <v>#N/A</v>
          </cell>
          <cell r="F46" t="str">
            <v>多浪小镇A10-12#</v>
          </cell>
        </row>
        <row r="46">
          <cell r="K46">
            <v>203416</v>
          </cell>
          <cell r="L46">
            <v>22440</v>
          </cell>
        </row>
        <row r="47">
          <cell r="D47" t="str">
            <v>C3-2-202</v>
          </cell>
          <cell r="E47" t="str">
            <v>C3-2-202</v>
          </cell>
          <cell r="F47" t="str">
            <v>多浪小镇A10-12#</v>
          </cell>
        </row>
        <row r="47">
          <cell r="H47">
            <v>0.3</v>
          </cell>
        </row>
        <row r="47">
          <cell r="N47">
            <v>0.3</v>
          </cell>
        </row>
        <row r="48">
          <cell r="D48" t="str">
            <v>C4-107</v>
          </cell>
          <cell r="E48" t="e">
            <v>#N/A</v>
          </cell>
          <cell r="F48" t="str">
            <v>多浪小镇A10-12#</v>
          </cell>
        </row>
        <row r="48">
          <cell r="H48">
            <v>235548</v>
          </cell>
        </row>
        <row r="48">
          <cell r="N48">
            <v>235548</v>
          </cell>
        </row>
        <row r="49">
          <cell r="D49" t="str">
            <v>C4-104</v>
          </cell>
          <cell r="E49" t="e">
            <v>#N/A</v>
          </cell>
          <cell r="F49" t="str">
            <v>多浪小镇A10-12#</v>
          </cell>
        </row>
        <row r="49">
          <cell r="H49">
            <v>-10932</v>
          </cell>
        </row>
        <row r="49">
          <cell r="N49">
            <v>-10932</v>
          </cell>
        </row>
        <row r="50">
          <cell r="D50" t="str">
            <v>C5-3-302</v>
          </cell>
          <cell r="E50" t="str">
            <v>C5-3-302</v>
          </cell>
          <cell r="F50" t="str">
            <v>多浪小镇A10-12#</v>
          </cell>
        </row>
        <row r="50">
          <cell r="H50">
            <v>223012</v>
          </cell>
        </row>
        <row r="50">
          <cell r="N50">
            <v>223012</v>
          </cell>
        </row>
        <row r="51">
          <cell r="D51" t="str">
            <v>C5-101</v>
          </cell>
          <cell r="E51" t="str">
            <v>C5-101</v>
          </cell>
          <cell r="F51" t="str">
            <v>多浪小镇A10-12#</v>
          </cell>
        </row>
        <row r="51">
          <cell r="H51">
            <v>241142.86</v>
          </cell>
        </row>
        <row r="51">
          <cell r="N51">
            <v>241142.86</v>
          </cell>
        </row>
        <row r="52">
          <cell r="D52" t="str">
            <v>C6-1-102</v>
          </cell>
          <cell r="E52" t="str">
            <v>C6-1-102</v>
          </cell>
          <cell r="F52" t="str">
            <v>多浪小镇A10-12#</v>
          </cell>
        </row>
        <row r="52">
          <cell r="H52">
            <v>19048</v>
          </cell>
        </row>
        <row r="52">
          <cell r="N52">
            <v>19048</v>
          </cell>
        </row>
        <row r="53">
          <cell r="D53" t="str">
            <v>C9-3-302</v>
          </cell>
          <cell r="E53" t="str">
            <v>C9-3-302</v>
          </cell>
          <cell r="F53" t="str">
            <v>多浪小镇A10-12#</v>
          </cell>
        </row>
        <row r="53">
          <cell r="K53">
            <v>82850</v>
          </cell>
          <cell r="L53">
            <v>3945</v>
          </cell>
        </row>
        <row r="54">
          <cell r="D54" t="str">
            <v>C9-3-502</v>
          </cell>
          <cell r="E54" t="str">
            <v>C9-3-502</v>
          </cell>
          <cell r="F54" t="str">
            <v>多浪小镇A10-12#</v>
          </cell>
        </row>
        <row r="54">
          <cell r="H54">
            <v>-2</v>
          </cell>
        </row>
        <row r="54">
          <cell r="N54">
            <v>-2</v>
          </cell>
        </row>
        <row r="55">
          <cell r="D55" t="str">
            <v>A12-2-402</v>
          </cell>
          <cell r="E55" t="str">
            <v>A12-2-402</v>
          </cell>
          <cell r="F55" t="str">
            <v>多浪小镇A10-12#</v>
          </cell>
        </row>
        <row r="55">
          <cell r="H55">
            <v>0.52</v>
          </cell>
        </row>
        <row r="55">
          <cell r="N55">
            <v>0.52</v>
          </cell>
        </row>
        <row r="56">
          <cell r="D56" t="str">
            <v>A12-2-202</v>
          </cell>
          <cell r="E56" t="str">
            <v>A12-2-202</v>
          </cell>
          <cell r="F56" t="str">
            <v>多浪小镇A10-12#</v>
          </cell>
        </row>
        <row r="56">
          <cell r="K56">
            <v>94326</v>
          </cell>
          <cell r="L56">
            <v>107441</v>
          </cell>
        </row>
        <row r="57">
          <cell r="D57" t="str">
            <v>A12-1-502</v>
          </cell>
          <cell r="E57" t="str">
            <v>A12-1-502</v>
          </cell>
          <cell r="F57" t="str">
            <v>多浪小镇A10-12#</v>
          </cell>
        </row>
        <row r="57">
          <cell r="H57">
            <v>9523.81</v>
          </cell>
        </row>
        <row r="57">
          <cell r="N57">
            <v>9523.81</v>
          </cell>
        </row>
        <row r="58">
          <cell r="D58" t="str">
            <v>C16-102</v>
          </cell>
          <cell r="E58" t="str">
            <v>C16-102</v>
          </cell>
          <cell r="F58" t="str">
            <v>多浪小镇A10-12#</v>
          </cell>
        </row>
        <row r="58">
          <cell r="H58">
            <v>180952</v>
          </cell>
        </row>
        <row r="58">
          <cell r="N58">
            <v>180952</v>
          </cell>
        </row>
        <row r="59">
          <cell r="D59" t="str">
            <v>C17</v>
          </cell>
          <cell r="E59" t="e">
            <v>#N/A</v>
          </cell>
          <cell r="F59" t="str">
            <v>多浪小镇A10-12#</v>
          </cell>
        </row>
        <row r="59">
          <cell r="H59">
            <v>1260054</v>
          </cell>
        </row>
        <row r="59">
          <cell r="L59">
            <v>330000</v>
          </cell>
        </row>
        <row r="59">
          <cell r="N59">
            <v>1260054</v>
          </cell>
        </row>
        <row r="60">
          <cell r="D60" t="str">
            <v>C1-105</v>
          </cell>
          <cell r="E60" t="str">
            <v>C1-105</v>
          </cell>
          <cell r="F60" t="str">
            <v>多浪小镇A10-12#</v>
          </cell>
        </row>
        <row r="60">
          <cell r="H60">
            <v>281695</v>
          </cell>
        </row>
        <row r="60">
          <cell r="L60">
            <v>110000</v>
          </cell>
        </row>
        <row r="60">
          <cell r="N60">
            <v>281695</v>
          </cell>
        </row>
        <row r="61">
          <cell r="D61" t="str">
            <v>C2-03</v>
          </cell>
          <cell r="E61" t="str">
            <v>C2-03</v>
          </cell>
          <cell r="F61" t="str">
            <v>多浪小镇A10-12#</v>
          </cell>
        </row>
        <row r="61">
          <cell r="H61">
            <v>-202215</v>
          </cell>
        </row>
        <row r="61">
          <cell r="N61">
            <v>-202215</v>
          </cell>
        </row>
        <row r="62">
          <cell r="D62" t="str">
            <v>C3-3-402</v>
          </cell>
          <cell r="E62" t="str">
            <v>C3-3-402</v>
          </cell>
          <cell r="F62" t="str">
            <v>多浪小镇A10-12#</v>
          </cell>
        </row>
        <row r="62">
          <cell r="H62">
            <v>131</v>
          </cell>
        </row>
        <row r="62">
          <cell r="N62">
            <v>131</v>
          </cell>
        </row>
        <row r="63">
          <cell r="D63" t="str">
            <v>C3-2-301</v>
          </cell>
          <cell r="E63" t="str">
            <v>C3-2-301</v>
          </cell>
          <cell r="F63" t="str">
            <v>多浪小镇A10-12#</v>
          </cell>
        </row>
        <row r="63">
          <cell r="H63">
            <v>169</v>
          </cell>
        </row>
        <row r="63">
          <cell r="N63">
            <v>169</v>
          </cell>
        </row>
        <row r="64">
          <cell r="D64" t="str">
            <v>C4-2-302</v>
          </cell>
          <cell r="E64" t="str">
            <v>C4-2-302</v>
          </cell>
          <cell r="F64" t="str">
            <v>多浪小镇A10-12#</v>
          </cell>
        </row>
        <row r="64">
          <cell r="H64">
            <v>-19048</v>
          </cell>
        </row>
        <row r="64">
          <cell r="N64">
            <v>-19048</v>
          </cell>
        </row>
        <row r="65">
          <cell r="D65" t="str">
            <v>C8-2-102</v>
          </cell>
          <cell r="E65" t="str">
            <v>C8-2-102</v>
          </cell>
          <cell r="F65" t="str">
            <v>多浪小镇A10-12#</v>
          </cell>
        </row>
        <row r="65">
          <cell r="H65">
            <v>19048</v>
          </cell>
        </row>
        <row r="65">
          <cell r="N65">
            <v>19048</v>
          </cell>
        </row>
        <row r="66">
          <cell r="D66" t="str">
            <v>C8-3-101</v>
          </cell>
          <cell r="E66" t="str">
            <v>C8-3-101</v>
          </cell>
          <cell r="F66" t="str">
            <v>多浪小镇A10-12#</v>
          </cell>
        </row>
        <row r="66">
          <cell r="L66">
            <v>40000</v>
          </cell>
        </row>
        <row r="67">
          <cell r="D67" t="str">
            <v>C9-2-101</v>
          </cell>
          <cell r="E67" t="str">
            <v>C9-2-101</v>
          </cell>
          <cell r="F67" t="str">
            <v>多浪小镇A10-12#</v>
          </cell>
        </row>
        <row r="67">
          <cell r="H67">
            <v>-294644</v>
          </cell>
        </row>
        <row r="67">
          <cell r="N67">
            <v>-294644</v>
          </cell>
        </row>
        <row r="68">
          <cell r="D68" t="str">
            <v>C16-101</v>
          </cell>
          <cell r="E68" t="str">
            <v>C16-101</v>
          </cell>
          <cell r="F68" t="str">
            <v>多浪小镇A10-12#</v>
          </cell>
        </row>
        <row r="68">
          <cell r="H68">
            <v>371429</v>
          </cell>
        </row>
        <row r="68">
          <cell r="N68">
            <v>371429</v>
          </cell>
        </row>
        <row r="69">
          <cell r="D69" t="str">
            <v>C13-3-403</v>
          </cell>
          <cell r="E69" t="str">
            <v>C13-3-403</v>
          </cell>
          <cell r="F69" t="str">
            <v>多浪小镇A10-12#</v>
          </cell>
        </row>
        <row r="69">
          <cell r="H69">
            <v>-56320.62</v>
          </cell>
        </row>
        <row r="69">
          <cell r="N69">
            <v>-56320.62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tabColor rgb="FF92D050"/>
  </sheetPr>
  <dimension ref="A1:AC526"/>
  <sheetViews>
    <sheetView tabSelected="1" workbookViewId="0">
      <pane xSplit="9" ySplit="3" topLeftCell="R277" activePane="bottomRight" state="frozen"/>
      <selection/>
      <selection pane="topRight"/>
      <selection pane="bottomLeft"/>
      <selection pane="bottomRight" activeCell="V522" sqref="V522"/>
    </sheetView>
  </sheetViews>
  <sheetFormatPr defaultColWidth="9" defaultRowHeight="12"/>
  <cols>
    <col min="1" max="1" width="4.63333333333333" style="166" customWidth="1"/>
    <col min="2" max="2" width="9.25" style="166" customWidth="1"/>
    <col min="3" max="3" width="10" style="167" customWidth="1"/>
    <col min="4" max="4" width="5.75" style="167" customWidth="1"/>
    <col min="5" max="5" width="9.25" style="167" customWidth="1"/>
    <col min="6" max="6" width="20.25" style="167" customWidth="1"/>
    <col min="7" max="7" width="7.16666666666667" style="167" customWidth="1"/>
    <col min="8" max="8" width="11.8916666666667" style="168" customWidth="1"/>
    <col min="9" max="9" width="14.1333333333333" style="168" customWidth="1"/>
    <col min="10" max="11" width="15" style="168" customWidth="1"/>
    <col min="12" max="12" width="12.275" style="168" customWidth="1"/>
    <col min="13" max="13" width="10.1333333333333" style="168" customWidth="1"/>
    <col min="14" max="14" width="14" style="168" customWidth="1"/>
    <col min="15" max="15" width="13.5" style="169" customWidth="1"/>
    <col min="16" max="16" width="8.15" style="170" customWidth="1"/>
    <col min="17" max="18" width="15" style="165" customWidth="1"/>
    <col min="19" max="19" width="13.8666666666667" style="165" customWidth="1"/>
    <col min="20" max="20" width="15" style="165" customWidth="1"/>
    <col min="21" max="21" width="13.1333333333333" style="165" customWidth="1"/>
    <col min="22" max="23" width="16.4416666666667" style="165" customWidth="1"/>
    <col min="24" max="24" width="14.8833333333333" style="165" customWidth="1"/>
    <col min="25" max="25" width="22.25" style="170" customWidth="1"/>
    <col min="26" max="26" width="17.5583333333333" style="165"/>
    <col min="27" max="27" width="9" style="170"/>
    <col min="28" max="28" width="11.1333333333333" style="170" customWidth="1"/>
    <col min="29" max="16384" width="9" style="170"/>
  </cols>
  <sheetData>
    <row r="1" ht="16" customHeight="1" spans="1:14">
      <c r="A1" s="171"/>
      <c r="B1" s="171" t="s">
        <v>0</v>
      </c>
      <c r="C1" s="171"/>
      <c r="D1" s="171"/>
      <c r="E1" s="171"/>
      <c r="F1" s="172" t="s">
        <v>1</v>
      </c>
      <c r="G1" s="172"/>
      <c r="H1" s="172"/>
      <c r="I1" s="172"/>
      <c r="J1" s="188"/>
      <c r="K1" s="188"/>
      <c r="L1" s="188"/>
      <c r="M1" s="188"/>
      <c r="N1" s="188"/>
    </row>
    <row r="2" s="164" customFormat="1" ht="28" customHeight="1" spans="1:26">
      <c r="A2" s="173" t="s">
        <v>2</v>
      </c>
      <c r="B2" s="173" t="s">
        <v>3</v>
      </c>
      <c r="C2" s="174" t="s">
        <v>4</v>
      </c>
      <c r="D2" s="174" t="s">
        <v>5</v>
      </c>
      <c r="E2" s="174"/>
      <c r="F2" s="174" t="s">
        <v>6</v>
      </c>
      <c r="G2" s="174" t="s">
        <v>7</v>
      </c>
      <c r="H2" s="174" t="s">
        <v>8</v>
      </c>
      <c r="I2" s="174"/>
      <c r="J2" s="189" t="s">
        <v>9</v>
      </c>
      <c r="K2" s="190"/>
      <c r="L2" s="190"/>
      <c r="M2" s="191"/>
      <c r="N2" s="192" t="s">
        <v>10</v>
      </c>
      <c r="O2" s="77" t="s">
        <v>11</v>
      </c>
      <c r="P2" s="192" t="s">
        <v>12</v>
      </c>
      <c r="Q2" s="200" t="s">
        <v>13</v>
      </c>
      <c r="R2" s="201" t="s">
        <v>14</v>
      </c>
      <c r="S2" s="201" t="s">
        <v>15</v>
      </c>
      <c r="T2" s="200" t="s">
        <v>16</v>
      </c>
      <c r="U2" s="200" t="s">
        <v>17</v>
      </c>
      <c r="V2" s="200" t="s">
        <v>18</v>
      </c>
      <c r="W2" s="200" t="s">
        <v>19</v>
      </c>
      <c r="X2" s="200" t="s">
        <v>20</v>
      </c>
      <c r="Y2" s="192"/>
      <c r="Z2" s="205"/>
    </row>
    <row r="3" ht="17" customHeight="1" spans="1:25">
      <c r="A3" s="173"/>
      <c r="B3" s="173"/>
      <c r="C3" s="174"/>
      <c r="D3" s="174" t="s">
        <v>21</v>
      </c>
      <c r="E3" s="174" t="s">
        <v>22</v>
      </c>
      <c r="F3" s="174"/>
      <c r="G3" s="174" t="s">
        <v>23</v>
      </c>
      <c r="H3" s="174" t="s">
        <v>21</v>
      </c>
      <c r="I3" s="174" t="s">
        <v>24</v>
      </c>
      <c r="J3" s="193" t="s">
        <v>25</v>
      </c>
      <c r="K3" s="193" t="s">
        <v>26</v>
      </c>
      <c r="L3" s="193" t="s">
        <v>27</v>
      </c>
      <c r="M3" s="193" t="s">
        <v>28</v>
      </c>
      <c r="N3" s="193"/>
      <c r="O3" s="194"/>
      <c r="P3" s="195"/>
      <c r="Q3" s="125"/>
      <c r="R3" s="125"/>
      <c r="S3" s="125"/>
      <c r="T3" s="125"/>
      <c r="U3" s="125"/>
      <c r="V3" s="125"/>
      <c r="W3" s="125"/>
      <c r="X3" s="125"/>
      <c r="Y3" s="195"/>
    </row>
    <row r="4" hidden="1" spans="1:26">
      <c r="A4" s="175">
        <v>1</v>
      </c>
      <c r="B4" s="176">
        <v>101</v>
      </c>
      <c r="C4" s="177">
        <v>170.18</v>
      </c>
      <c r="D4" s="178">
        <v>17000</v>
      </c>
      <c r="E4" s="179">
        <f t="shared" ref="E4:E9" si="0">ROUND(IF(F4&lt;&gt;0,C4*D4,0),0)</f>
        <v>2893060</v>
      </c>
      <c r="F4" s="177" t="s">
        <v>29</v>
      </c>
      <c r="G4" s="180"/>
      <c r="H4" s="181">
        <v>12000</v>
      </c>
      <c r="I4" s="185">
        <f>C4*H4</f>
        <v>2042160</v>
      </c>
      <c r="J4" s="196">
        <v>100000</v>
      </c>
      <c r="K4" s="196">
        <f>其他应付款!J928+其他应付款!J1186+其他应付款!J1254+其他应付款!J1315+其他应付款!J1350+其他应付款!J1351+其他应付款!J1395</f>
        <v>1465910</v>
      </c>
      <c r="L4" s="196">
        <f>'2019年12月-2023年7月科目余额表'!H5</f>
        <v>200000</v>
      </c>
      <c r="M4" s="196">
        <f>'2019年12月-2023年7月科目余额表'!H37</f>
        <v>50000</v>
      </c>
      <c r="N4" s="197" t="s">
        <v>30</v>
      </c>
      <c r="O4" s="194"/>
      <c r="P4" s="195"/>
      <c r="Q4" s="125"/>
      <c r="R4" s="125"/>
      <c r="S4" s="125"/>
      <c r="T4" s="202">
        <f>I4/1.05</f>
        <v>1944914.28571429</v>
      </c>
      <c r="U4" s="202">
        <f>I4-T4</f>
        <v>97245.7142857143</v>
      </c>
      <c r="V4" s="125">
        <f>T4-S4-R4</f>
        <v>1944914.28571429</v>
      </c>
      <c r="W4" s="125">
        <f>V4*0.05</f>
        <v>97245.7142857145</v>
      </c>
      <c r="X4" s="125"/>
      <c r="Y4" s="195" t="s">
        <v>31</v>
      </c>
      <c r="Z4" s="165">
        <f>V4+W4</f>
        <v>2042160</v>
      </c>
    </row>
    <row r="5" hidden="1" spans="1:26">
      <c r="A5" s="175">
        <v>2</v>
      </c>
      <c r="B5" s="176">
        <v>102</v>
      </c>
      <c r="C5" s="177">
        <v>60.32</v>
      </c>
      <c r="D5" s="178">
        <v>17000</v>
      </c>
      <c r="E5" s="179">
        <f t="shared" si="0"/>
        <v>1025440</v>
      </c>
      <c r="F5" s="177" t="s">
        <v>29</v>
      </c>
      <c r="G5" s="180"/>
      <c r="H5" s="181">
        <v>12000</v>
      </c>
      <c r="I5" s="185">
        <f>C5*H5</f>
        <v>723840</v>
      </c>
      <c r="J5" s="196"/>
      <c r="L5" s="196"/>
      <c r="M5" s="196"/>
      <c r="N5" s="197"/>
      <c r="O5" s="194"/>
      <c r="P5" s="195"/>
      <c r="Q5" s="125"/>
      <c r="R5" s="125"/>
      <c r="S5" s="125"/>
      <c r="T5" s="202">
        <f>I5/1.05-R5-S5</f>
        <v>689371.428571429</v>
      </c>
      <c r="U5" s="202">
        <f t="shared" ref="U5:U68" si="1">I5-T5</f>
        <v>34468.571428571</v>
      </c>
      <c r="V5" s="125">
        <f>T5-S5-R5</f>
        <v>689371.428571429</v>
      </c>
      <c r="W5" s="125">
        <f>V5*0.05</f>
        <v>34468.5714285714</v>
      </c>
      <c r="X5" s="125"/>
      <c r="Y5" s="195" t="s">
        <v>31</v>
      </c>
      <c r="Z5" s="165">
        <f t="shared" ref="Z5:Z36" si="2">V5+W5</f>
        <v>723840</v>
      </c>
    </row>
    <row r="6" spans="1:26">
      <c r="A6" s="175">
        <v>3</v>
      </c>
      <c r="B6" s="176">
        <v>103</v>
      </c>
      <c r="C6" s="177">
        <v>112.96</v>
      </c>
      <c r="D6" s="178"/>
      <c r="E6" s="179">
        <f t="shared" si="0"/>
        <v>0</v>
      </c>
      <c r="F6" s="177" t="s">
        <v>32</v>
      </c>
      <c r="G6" s="180"/>
      <c r="H6" s="181"/>
      <c r="I6" s="181">
        <v>1976800</v>
      </c>
      <c r="J6" s="196">
        <f>泰康小区账面房号及收款金额!B4</f>
        <v>1663820.4</v>
      </c>
      <c r="K6" s="196"/>
      <c r="L6" s="196"/>
      <c r="M6" s="196"/>
      <c r="N6" s="197">
        <f>I6-J6</f>
        <v>312979.6</v>
      </c>
      <c r="O6" s="194"/>
      <c r="P6" s="195"/>
      <c r="Q6" s="125"/>
      <c r="R6" s="125">
        <f>[1]sheet1!$K$405</f>
        <v>727448</v>
      </c>
      <c r="S6" s="125">
        <v>857142.86</v>
      </c>
      <c r="T6" s="202">
        <f t="shared" ref="T6:T17" si="3">I6/1.05</f>
        <v>1882666.66666667</v>
      </c>
      <c r="U6" s="202">
        <f t="shared" si="1"/>
        <v>94133.33333333</v>
      </c>
      <c r="V6" s="203">
        <f t="shared" ref="V6:V13" si="4">T6-S6-R6</f>
        <v>298075.80666667</v>
      </c>
      <c r="W6" s="203">
        <v>14903.79333333</v>
      </c>
      <c r="X6" s="125"/>
      <c r="Y6" s="195"/>
      <c r="Z6" s="165">
        <f t="shared" si="2"/>
        <v>312979.6</v>
      </c>
    </row>
    <row r="7" spans="1:26">
      <c r="A7" s="175">
        <v>4</v>
      </c>
      <c r="B7" s="176" t="s">
        <v>33</v>
      </c>
      <c r="C7" s="177">
        <v>55.17</v>
      </c>
      <c r="D7" s="178"/>
      <c r="E7" s="179">
        <f t="shared" si="0"/>
        <v>0</v>
      </c>
      <c r="F7" s="177" t="s">
        <v>32</v>
      </c>
      <c r="G7" s="180"/>
      <c r="H7" s="181"/>
      <c r="I7" s="181">
        <v>1675752</v>
      </c>
      <c r="J7" s="196">
        <f>泰康小区账面房号及收款金额!B5</f>
        <v>729999.8</v>
      </c>
      <c r="K7" s="196"/>
      <c r="L7" s="196"/>
      <c r="M7" s="196"/>
      <c r="N7" s="197">
        <f>I7-J7</f>
        <v>945752.2</v>
      </c>
      <c r="O7" s="194"/>
      <c r="P7" s="195"/>
      <c r="Q7" s="125"/>
      <c r="R7" s="125">
        <f>[1]sheet1!$K$413</f>
        <v>190476</v>
      </c>
      <c r="S7" s="125">
        <f>219047.62+142857.14+142857.14</f>
        <v>504761.9</v>
      </c>
      <c r="T7" s="125">
        <f t="shared" si="3"/>
        <v>1595954.28571429</v>
      </c>
      <c r="U7" s="125">
        <f t="shared" si="1"/>
        <v>79797.7142857099</v>
      </c>
      <c r="V7" s="203">
        <f t="shared" si="4"/>
        <v>900716.38571429</v>
      </c>
      <c r="W7" s="203">
        <v>45035.6142857099</v>
      </c>
      <c r="X7" s="125">
        <v>2857</v>
      </c>
      <c r="Y7" s="195"/>
      <c r="Z7" s="165">
        <f t="shared" si="2"/>
        <v>945752</v>
      </c>
    </row>
    <row r="8" spans="1:26">
      <c r="A8" s="175">
        <v>5</v>
      </c>
      <c r="B8" s="176" t="s">
        <v>34</v>
      </c>
      <c r="C8" s="177">
        <v>47.02</v>
      </c>
      <c r="D8" s="178"/>
      <c r="E8" s="179">
        <f t="shared" si="0"/>
        <v>0</v>
      </c>
      <c r="F8" s="177"/>
      <c r="G8" s="180"/>
      <c r="H8" s="181"/>
      <c r="I8" s="181">
        <v>0</v>
      </c>
      <c r="J8" s="196"/>
      <c r="K8" s="196"/>
      <c r="L8" s="196"/>
      <c r="M8" s="196"/>
      <c r="N8" s="196">
        <f t="shared" ref="N6:N15" si="5">I8-J8</f>
        <v>0</v>
      </c>
      <c r="O8" s="194" t="s">
        <v>35</v>
      </c>
      <c r="P8" s="195"/>
      <c r="Q8" s="125"/>
      <c r="R8" s="125"/>
      <c r="S8" s="125"/>
      <c r="T8" s="125">
        <f t="shared" si="3"/>
        <v>0</v>
      </c>
      <c r="U8" s="125">
        <f t="shared" si="1"/>
        <v>0</v>
      </c>
      <c r="V8" s="125"/>
      <c r="W8" s="125"/>
      <c r="X8" s="125"/>
      <c r="Y8" s="195"/>
      <c r="Z8" s="165">
        <f t="shared" si="2"/>
        <v>0</v>
      </c>
    </row>
    <row r="9" spans="1:26">
      <c r="A9" s="175">
        <v>6</v>
      </c>
      <c r="B9" s="176">
        <v>105</v>
      </c>
      <c r="C9" s="177">
        <v>102.18</v>
      </c>
      <c r="D9" s="178">
        <v>11900</v>
      </c>
      <c r="E9" s="179">
        <f t="shared" si="0"/>
        <v>1215942</v>
      </c>
      <c r="F9" s="177" t="s">
        <v>36</v>
      </c>
      <c r="G9" s="180"/>
      <c r="H9" s="178">
        <v>11900</v>
      </c>
      <c r="I9" s="181">
        <v>1215942</v>
      </c>
      <c r="J9" s="196">
        <f>泰康小区账面房号及收款金额!B6+'2023年8-11月预收账款'!K3+100000</f>
        <v>1050000</v>
      </c>
      <c r="K9" s="196"/>
      <c r="L9" s="196"/>
      <c r="M9" s="196"/>
      <c r="N9" s="198">
        <f>I9-J9-M9-K9-L9</f>
        <v>165942</v>
      </c>
      <c r="O9" s="194"/>
      <c r="P9" s="195"/>
      <c r="Q9" s="125"/>
      <c r="R9" s="125"/>
      <c r="S9" s="125"/>
      <c r="T9" s="125">
        <f t="shared" si="3"/>
        <v>1158040</v>
      </c>
      <c r="U9" s="125">
        <f t="shared" si="1"/>
        <v>57902</v>
      </c>
      <c r="V9" s="203">
        <f t="shared" si="4"/>
        <v>1158040</v>
      </c>
      <c r="W9" s="203">
        <f t="shared" ref="W9:W13" si="6">V9*0.05</f>
        <v>57902</v>
      </c>
      <c r="X9" s="125"/>
      <c r="Y9" s="195" t="s">
        <v>31</v>
      </c>
      <c r="Z9" s="165">
        <f t="shared" si="2"/>
        <v>1215942</v>
      </c>
    </row>
    <row r="10" ht="13.5" spans="1:26">
      <c r="A10" s="175">
        <v>7</v>
      </c>
      <c r="B10" s="176" t="s">
        <v>37</v>
      </c>
      <c r="C10" s="177">
        <v>55.16</v>
      </c>
      <c r="D10" s="178"/>
      <c r="E10" s="179">
        <f t="shared" ref="E10:E15" si="7">ROUND(IF(F10&lt;&gt;0,C10*D10,0),0)</f>
        <v>0</v>
      </c>
      <c r="F10" s="177" t="s">
        <v>38</v>
      </c>
      <c r="G10" s="180"/>
      <c r="H10" s="181"/>
      <c r="I10" s="181">
        <v>0</v>
      </c>
      <c r="J10" s="196">
        <f>泰康小区账面房号及收款金额!B7</f>
        <v>10000.2</v>
      </c>
      <c r="K10" s="196"/>
      <c r="L10" s="196"/>
      <c r="M10" s="196"/>
      <c r="N10" s="197">
        <f t="shared" si="5"/>
        <v>-10000.2</v>
      </c>
      <c r="O10" s="194"/>
      <c r="P10" s="199" t="s">
        <v>39</v>
      </c>
      <c r="Q10" s="125"/>
      <c r="R10" s="125">
        <f>[1]sheet1!$K$391</f>
        <v>9524</v>
      </c>
      <c r="S10" s="125"/>
      <c r="T10" s="125">
        <f t="shared" si="3"/>
        <v>0</v>
      </c>
      <c r="U10" s="125">
        <f t="shared" si="1"/>
        <v>0</v>
      </c>
      <c r="V10" s="125"/>
      <c r="W10" s="125"/>
      <c r="X10" s="125"/>
      <c r="Y10" s="195"/>
      <c r="Z10" s="165">
        <f t="shared" si="2"/>
        <v>0</v>
      </c>
    </row>
    <row r="11" hidden="1" spans="1:26">
      <c r="A11" s="175">
        <v>8</v>
      </c>
      <c r="B11" s="176" t="s">
        <v>40</v>
      </c>
      <c r="C11" s="177">
        <v>47.02</v>
      </c>
      <c r="D11" s="178">
        <v>13400</v>
      </c>
      <c r="E11" s="179">
        <f t="shared" si="7"/>
        <v>630068</v>
      </c>
      <c r="F11" s="177" t="s">
        <v>41</v>
      </c>
      <c r="G11" s="180"/>
      <c r="H11" s="181">
        <v>13400</v>
      </c>
      <c r="I11" s="181">
        <v>630068</v>
      </c>
      <c r="J11" s="196">
        <f>泰康小区账面房号及收款金额!B8+'2023年8-11月预收账款'!K11</f>
        <v>630068</v>
      </c>
      <c r="K11" s="196"/>
      <c r="L11" s="196"/>
      <c r="M11" s="196"/>
      <c r="N11" s="196">
        <f t="shared" si="5"/>
        <v>0</v>
      </c>
      <c r="O11" s="194"/>
      <c r="P11" s="195"/>
      <c r="Q11" s="125">
        <f>[2]信息汇总表!$T$744</f>
        <v>630068</v>
      </c>
      <c r="R11" s="125"/>
      <c r="S11" s="125">
        <v>600064.76</v>
      </c>
      <c r="T11" s="125">
        <f t="shared" si="3"/>
        <v>600064.761904762</v>
      </c>
      <c r="U11" s="125">
        <f t="shared" si="1"/>
        <v>30003.238095238</v>
      </c>
      <c r="V11" s="125">
        <f t="shared" si="4"/>
        <v>0.00190476188436151</v>
      </c>
      <c r="W11" s="125">
        <f t="shared" si="6"/>
        <v>9.52380942180753e-5</v>
      </c>
      <c r="X11" s="125"/>
      <c r="Y11" s="195" t="s">
        <v>42</v>
      </c>
      <c r="Z11" s="165">
        <f t="shared" si="2"/>
        <v>0.00199999997857959</v>
      </c>
    </row>
    <row r="12" hidden="1" spans="1:26">
      <c r="A12" s="175">
        <v>9</v>
      </c>
      <c r="B12" s="176">
        <v>107</v>
      </c>
      <c r="C12" s="177">
        <v>102.18</v>
      </c>
      <c r="D12" s="178">
        <v>17500</v>
      </c>
      <c r="E12" s="179">
        <f t="shared" si="7"/>
        <v>1788150</v>
      </c>
      <c r="F12" s="177" t="s">
        <v>43</v>
      </c>
      <c r="G12" s="180"/>
      <c r="H12" s="181">
        <v>17500</v>
      </c>
      <c r="I12" s="181">
        <v>1788150</v>
      </c>
      <c r="J12" s="196">
        <f>泰康小区账面房号及收款金额!B2</f>
        <v>1788150</v>
      </c>
      <c r="K12" s="196"/>
      <c r="L12" s="196"/>
      <c r="M12" s="196"/>
      <c r="N12" s="196">
        <f t="shared" si="5"/>
        <v>0</v>
      </c>
      <c r="O12" s="194"/>
      <c r="P12" s="195"/>
      <c r="Q12" s="125">
        <f>[2]信息汇总表!$T$343+[2]信息汇总表!$T$344</f>
        <v>1788150</v>
      </c>
      <c r="R12" s="125">
        <v>1703000</v>
      </c>
      <c r="S12" s="125"/>
      <c r="T12" s="125">
        <f t="shared" si="3"/>
        <v>1703000</v>
      </c>
      <c r="U12" s="125">
        <f t="shared" si="1"/>
        <v>85150</v>
      </c>
      <c r="V12" s="125">
        <f t="shared" si="4"/>
        <v>0</v>
      </c>
      <c r="W12" s="125">
        <f t="shared" si="6"/>
        <v>0</v>
      </c>
      <c r="X12" s="125"/>
      <c r="Y12" s="195" t="s">
        <v>42</v>
      </c>
      <c r="Z12" s="165">
        <f t="shared" si="2"/>
        <v>0</v>
      </c>
    </row>
    <row r="13" ht="15" hidden="1" customHeight="1" spans="1:26">
      <c r="A13" s="175">
        <v>10</v>
      </c>
      <c r="B13" s="176" t="s">
        <v>44</v>
      </c>
      <c r="C13" s="177">
        <v>55.17</v>
      </c>
      <c r="D13" s="178"/>
      <c r="E13" s="179">
        <f t="shared" si="7"/>
        <v>0</v>
      </c>
      <c r="F13" s="177"/>
      <c r="G13" s="180"/>
      <c r="H13" s="181"/>
      <c r="I13" s="181">
        <v>570000</v>
      </c>
      <c r="J13" s="196">
        <f>泰康小区账面房号及收款金额!B10</f>
        <v>569999.997</v>
      </c>
      <c r="K13" s="196"/>
      <c r="L13" s="196"/>
      <c r="M13" s="196"/>
      <c r="N13" s="197">
        <f t="shared" si="5"/>
        <v>0.00300000002607703</v>
      </c>
      <c r="O13" s="194" t="s">
        <v>45</v>
      </c>
      <c r="P13" s="195"/>
      <c r="Q13" s="125">
        <f>[2]信息汇总表!$T$287</f>
        <v>452266</v>
      </c>
      <c r="R13" s="125">
        <f>[1]sheet1!$K$410</f>
        <v>542857.14</v>
      </c>
      <c r="S13" s="125"/>
      <c r="T13" s="125">
        <f t="shared" si="3"/>
        <v>542857.142857143</v>
      </c>
      <c r="U13" s="125">
        <f t="shared" si="1"/>
        <v>27142.857142857</v>
      </c>
      <c r="V13" s="125">
        <f t="shared" si="4"/>
        <v>0.00285714294295758</v>
      </c>
      <c r="W13" s="125">
        <f t="shared" si="6"/>
        <v>0.000142857147147879</v>
      </c>
      <c r="X13" s="125"/>
      <c r="Y13" s="195" t="s">
        <v>42</v>
      </c>
      <c r="Z13" s="165">
        <f t="shared" si="2"/>
        <v>0.00300000009010546</v>
      </c>
    </row>
    <row r="14" ht="15" customHeight="1" spans="1:26">
      <c r="A14" s="175">
        <v>11</v>
      </c>
      <c r="B14" s="176" t="s">
        <v>46</v>
      </c>
      <c r="C14" s="177">
        <v>47.02</v>
      </c>
      <c r="D14" s="178"/>
      <c r="E14" s="179">
        <f t="shared" si="7"/>
        <v>0</v>
      </c>
      <c r="F14" s="177"/>
      <c r="G14" s="180"/>
      <c r="H14" s="181"/>
      <c r="I14" s="181">
        <v>0</v>
      </c>
      <c r="J14" s="196"/>
      <c r="K14" s="196"/>
      <c r="L14" s="196"/>
      <c r="M14" s="196"/>
      <c r="N14" s="196">
        <f t="shared" si="5"/>
        <v>0</v>
      </c>
      <c r="O14" s="194"/>
      <c r="P14" s="199" t="s">
        <v>39</v>
      </c>
      <c r="Q14" s="125"/>
      <c r="R14" s="125"/>
      <c r="S14" s="125"/>
      <c r="T14" s="125">
        <f t="shared" si="3"/>
        <v>0</v>
      </c>
      <c r="U14" s="125">
        <f t="shared" si="1"/>
        <v>0</v>
      </c>
      <c r="V14" s="125"/>
      <c r="W14" s="125"/>
      <c r="X14" s="125"/>
      <c r="Y14" s="195"/>
      <c r="Z14" s="165">
        <f t="shared" si="2"/>
        <v>0</v>
      </c>
    </row>
    <row r="15" ht="15" customHeight="1" spans="1:26">
      <c r="A15" s="175">
        <v>12</v>
      </c>
      <c r="B15" s="176">
        <v>109</v>
      </c>
      <c r="C15" s="177">
        <v>102.19</v>
      </c>
      <c r="D15" s="178">
        <v>15657</v>
      </c>
      <c r="E15" s="179">
        <f t="shared" si="7"/>
        <v>1599989</v>
      </c>
      <c r="F15" s="177" t="s">
        <v>47</v>
      </c>
      <c r="G15" s="182" t="s">
        <v>48</v>
      </c>
      <c r="H15" s="181">
        <v>15657</v>
      </c>
      <c r="I15" s="181">
        <v>1600000</v>
      </c>
      <c r="J15" s="196"/>
      <c r="K15" s="196"/>
      <c r="L15" s="196"/>
      <c r="M15" s="196"/>
      <c r="N15" s="196">
        <f t="shared" si="5"/>
        <v>1600000</v>
      </c>
      <c r="O15" s="194" t="s">
        <v>49</v>
      </c>
      <c r="P15" s="195"/>
      <c r="Q15" s="125"/>
      <c r="R15" s="125"/>
      <c r="S15" s="125"/>
      <c r="T15" s="125">
        <f t="shared" si="3"/>
        <v>1523809.52380952</v>
      </c>
      <c r="U15" s="125">
        <f t="shared" si="1"/>
        <v>76190.4761904799</v>
      </c>
      <c r="V15" s="125"/>
      <c r="W15" s="125"/>
      <c r="X15" s="125"/>
      <c r="Y15" s="195" t="s">
        <v>31</v>
      </c>
      <c r="Z15" s="165">
        <f t="shared" si="2"/>
        <v>0</v>
      </c>
    </row>
    <row r="16" spans="1:26">
      <c r="A16" s="175">
        <v>13</v>
      </c>
      <c r="B16" s="176">
        <v>110</v>
      </c>
      <c r="C16" s="183">
        <v>81.62</v>
      </c>
      <c r="D16" s="179"/>
      <c r="E16" s="179">
        <f t="shared" ref="E16:E64" si="8">ROUND(IF(F16&lt;&gt;0,C16*D16,0),0)</f>
        <v>0</v>
      </c>
      <c r="F16" s="184"/>
      <c r="G16" s="182"/>
      <c r="H16" s="185"/>
      <c r="I16" s="185"/>
      <c r="J16" s="196"/>
      <c r="K16" s="196"/>
      <c r="L16" s="196"/>
      <c r="M16" s="196"/>
      <c r="N16" s="197">
        <f t="shared" ref="N16:N34" si="9">I16-J16</f>
        <v>0</v>
      </c>
      <c r="O16" s="194"/>
      <c r="P16" s="195"/>
      <c r="Q16" s="125"/>
      <c r="R16" s="125"/>
      <c r="S16" s="125"/>
      <c r="T16" s="125">
        <f t="shared" si="3"/>
        <v>0</v>
      </c>
      <c r="U16" s="125">
        <f t="shared" si="1"/>
        <v>0</v>
      </c>
      <c r="V16" s="125"/>
      <c r="W16" s="125"/>
      <c r="X16" s="125"/>
      <c r="Y16" s="195"/>
      <c r="Z16" s="165">
        <f t="shared" si="2"/>
        <v>0</v>
      </c>
    </row>
    <row r="17" hidden="1" spans="1:26">
      <c r="A17" s="175">
        <v>14</v>
      </c>
      <c r="B17" s="176">
        <v>111</v>
      </c>
      <c r="C17" s="183">
        <v>89.44</v>
      </c>
      <c r="D17" s="179">
        <v>14249.89</v>
      </c>
      <c r="E17" s="179">
        <f t="shared" si="8"/>
        <v>1274510</v>
      </c>
      <c r="F17" s="184" t="s">
        <v>50</v>
      </c>
      <c r="G17" s="182"/>
      <c r="H17" s="185"/>
      <c r="I17" s="185">
        <v>1274510</v>
      </c>
      <c r="J17" s="196">
        <f>泰康小区账面房号及收款金额!B16</f>
        <v>1274510</v>
      </c>
      <c r="K17" s="196"/>
      <c r="L17" s="196"/>
      <c r="M17" s="196"/>
      <c r="N17" s="198">
        <f t="shared" si="9"/>
        <v>0</v>
      </c>
      <c r="O17" s="194"/>
      <c r="P17" s="195"/>
      <c r="Q17" s="125">
        <f>[2]信息汇总表!$T$714+[2]信息汇总表!$T$715</f>
        <v>1274510</v>
      </c>
      <c r="R17" s="125">
        <f>603109.46+610709.59</f>
        <v>1213819.05</v>
      </c>
      <c r="S17" s="125"/>
      <c r="T17" s="125">
        <f t="shared" si="3"/>
        <v>1213819.04761905</v>
      </c>
      <c r="U17" s="125">
        <f t="shared" si="1"/>
        <v>60690.9523809501</v>
      </c>
      <c r="V17" s="125">
        <f t="shared" ref="V17:V27" si="10">T17-S17-R17</f>
        <v>-0.00238095014356077</v>
      </c>
      <c r="W17" s="125">
        <f t="shared" ref="W17:W26" si="11">V17*0.05</f>
        <v>-0.000119047507178038</v>
      </c>
      <c r="X17" s="125"/>
      <c r="Y17" s="195" t="s">
        <v>42</v>
      </c>
      <c r="Z17" s="165">
        <f t="shared" si="2"/>
        <v>-0.00249999765073881</v>
      </c>
    </row>
    <row r="18" hidden="1" spans="1:26">
      <c r="A18" s="175">
        <v>15</v>
      </c>
      <c r="B18" s="76" t="s">
        <v>51</v>
      </c>
      <c r="C18" s="183">
        <v>102.51</v>
      </c>
      <c r="D18" s="179">
        <v>2676</v>
      </c>
      <c r="E18" s="179">
        <f t="shared" si="8"/>
        <v>274317</v>
      </c>
      <c r="F18" s="184" t="s">
        <v>52</v>
      </c>
      <c r="G18" s="182"/>
      <c r="H18" s="185">
        <v>2670</v>
      </c>
      <c r="I18" s="185">
        <v>273702</v>
      </c>
      <c r="J18" s="196">
        <f>VLOOKUP(B18,泰康小区账面房号及收款金额!$A$2:$B$424,2,0)</f>
        <v>274688.4</v>
      </c>
      <c r="K18" s="196"/>
      <c r="L18" s="196"/>
      <c r="M18" s="196"/>
      <c r="N18" s="197">
        <f t="shared" si="9"/>
        <v>-986.400000000023</v>
      </c>
      <c r="O18" s="194" t="s">
        <v>53</v>
      </c>
      <c r="P18" s="195"/>
      <c r="Q18" s="125">
        <f>VLOOKUP(B18,[2]信息汇总表!$M$2:$T$816,8,0)</f>
        <v>273702</v>
      </c>
      <c r="R18" s="125">
        <f>VLOOKUP(B18,[1]sheet1!$J$4:$K$413,2,0)</f>
        <v>261608</v>
      </c>
      <c r="S18" s="125"/>
      <c r="T18" s="125">
        <f t="shared" ref="T18:T29" si="12">J18/1.05</f>
        <v>261608</v>
      </c>
      <c r="U18" s="125">
        <f t="shared" si="1"/>
        <v>12094</v>
      </c>
      <c r="V18" s="125">
        <f t="shared" si="10"/>
        <v>0</v>
      </c>
      <c r="W18" s="125">
        <f t="shared" si="11"/>
        <v>0</v>
      </c>
      <c r="X18" s="125"/>
      <c r="Y18" s="195" t="s">
        <v>42</v>
      </c>
      <c r="Z18" s="165">
        <f t="shared" si="2"/>
        <v>0</v>
      </c>
    </row>
    <row r="19" hidden="1" spans="1:26">
      <c r="A19" s="175">
        <v>16</v>
      </c>
      <c r="B19" s="76" t="s">
        <v>54</v>
      </c>
      <c r="C19" s="183">
        <v>103.38</v>
      </c>
      <c r="D19" s="179">
        <v>2676</v>
      </c>
      <c r="E19" s="179">
        <f t="shared" si="8"/>
        <v>276645</v>
      </c>
      <c r="F19" s="184" t="s">
        <v>55</v>
      </c>
      <c r="G19" s="182"/>
      <c r="H19" s="185">
        <v>2640</v>
      </c>
      <c r="I19" s="185">
        <v>272923</v>
      </c>
      <c r="J19" s="196">
        <f>VLOOKUP(B19,泰康小区账面房号及收款金额!$A$2:$B$424,2,0)</f>
        <v>273899.85</v>
      </c>
      <c r="K19" s="196"/>
      <c r="L19" s="196"/>
      <c r="M19" s="196"/>
      <c r="N19" s="197">
        <f t="shared" si="9"/>
        <v>-976.849999999977</v>
      </c>
      <c r="O19" s="194" t="s">
        <v>53</v>
      </c>
      <c r="P19" s="195"/>
      <c r="Q19" s="125">
        <f>VLOOKUP(B19,[2]信息汇总表!$M$2:$T$816,8,0)</f>
        <v>272923</v>
      </c>
      <c r="R19" s="125">
        <f>VLOOKUP(B19,[1]sheet1!$J$4:$K$413,2,0)</f>
        <v>260857</v>
      </c>
      <c r="S19" s="125"/>
      <c r="T19" s="125">
        <f t="shared" si="12"/>
        <v>260857</v>
      </c>
      <c r="U19" s="125">
        <f t="shared" si="1"/>
        <v>12066</v>
      </c>
      <c r="V19" s="125">
        <f t="shared" si="10"/>
        <v>0</v>
      </c>
      <c r="W19" s="125">
        <f t="shared" si="11"/>
        <v>0</v>
      </c>
      <c r="X19" s="125"/>
      <c r="Y19" s="195" t="s">
        <v>42</v>
      </c>
      <c r="Z19" s="165">
        <f t="shared" si="2"/>
        <v>0</v>
      </c>
    </row>
    <row r="20" hidden="1" spans="1:26">
      <c r="A20" s="175">
        <v>17</v>
      </c>
      <c r="B20" s="76" t="s">
        <v>56</v>
      </c>
      <c r="C20" s="183">
        <v>102.51</v>
      </c>
      <c r="D20" s="179">
        <v>3428</v>
      </c>
      <c r="E20" s="179">
        <f t="shared" si="8"/>
        <v>351404</v>
      </c>
      <c r="F20" s="184" t="s">
        <v>57</v>
      </c>
      <c r="G20" s="182"/>
      <c r="H20" s="185">
        <v>3050</v>
      </c>
      <c r="I20" s="185">
        <v>312656</v>
      </c>
      <c r="J20" s="196">
        <f>VLOOKUP(B20,泰康小区账面房号及收款金额!$A$2:$B$424,2,0)</f>
        <v>312656.4</v>
      </c>
      <c r="K20" s="196"/>
      <c r="L20" s="196"/>
      <c r="M20" s="196"/>
      <c r="N20" s="196">
        <f t="shared" si="9"/>
        <v>-0.400000000023283</v>
      </c>
      <c r="O20" s="194"/>
      <c r="P20" s="195"/>
      <c r="Q20" s="125">
        <f>VLOOKUP(B20,[2]信息汇总表!$M$2:$T$816,8,0)</f>
        <v>312655</v>
      </c>
      <c r="R20" s="125">
        <f>VLOOKUP(B20,[1]sheet1!$J$4:$K$413,2,0)</f>
        <v>297768</v>
      </c>
      <c r="S20" s="125"/>
      <c r="T20" s="125">
        <f t="shared" si="12"/>
        <v>297768</v>
      </c>
      <c r="U20" s="125">
        <f t="shared" si="1"/>
        <v>14888</v>
      </c>
      <c r="V20" s="125">
        <f t="shared" si="10"/>
        <v>0</v>
      </c>
      <c r="W20" s="125">
        <f t="shared" si="11"/>
        <v>0</v>
      </c>
      <c r="X20" s="204">
        <v>9919</v>
      </c>
      <c r="Y20" s="195" t="s">
        <v>42</v>
      </c>
      <c r="Z20" s="165">
        <f t="shared" si="2"/>
        <v>0</v>
      </c>
    </row>
    <row r="21" ht="36" spans="1:26">
      <c r="A21" s="175">
        <v>18</v>
      </c>
      <c r="B21" s="76" t="s">
        <v>58</v>
      </c>
      <c r="C21" s="183">
        <v>103.38</v>
      </c>
      <c r="D21" s="179">
        <v>2696</v>
      </c>
      <c r="E21" s="179">
        <f t="shared" si="8"/>
        <v>278712</v>
      </c>
      <c r="F21" s="184" t="s">
        <v>59</v>
      </c>
      <c r="G21" s="182" t="s">
        <v>48</v>
      </c>
      <c r="H21" s="185">
        <v>2670</v>
      </c>
      <c r="I21" s="185">
        <v>276025</v>
      </c>
      <c r="J21" s="196">
        <f>VLOOKUP(B21,泰康小区账面房号及收款金额!$A$2:$B$424,2,0)</f>
        <v>278125.05</v>
      </c>
      <c r="K21" s="196"/>
      <c r="L21" s="196"/>
      <c r="M21" s="196"/>
      <c r="N21" s="197">
        <f t="shared" si="9"/>
        <v>-2100.04999999999</v>
      </c>
      <c r="O21" s="194" t="s">
        <v>60</v>
      </c>
      <c r="P21" s="195"/>
      <c r="Q21" s="125">
        <f>VLOOKUP(B21,[2]信息汇总表!$M$2:$T$816,8,0)</f>
        <v>276025</v>
      </c>
      <c r="R21" s="125">
        <f>VLOOKUP(B21,[1]sheet1!$J$4:$K$413,2,0)</f>
        <v>262881</v>
      </c>
      <c r="S21" s="125"/>
      <c r="T21" s="125">
        <f t="shared" si="12"/>
        <v>264881</v>
      </c>
      <c r="U21" s="125">
        <f>T21*0.05</f>
        <v>13244.05</v>
      </c>
      <c r="V21" s="125">
        <f t="shared" si="10"/>
        <v>2000</v>
      </c>
      <c r="W21" s="125">
        <f t="shared" si="11"/>
        <v>100</v>
      </c>
      <c r="X21" s="125"/>
      <c r="Y21" s="195"/>
      <c r="Z21" s="165">
        <f t="shared" si="2"/>
        <v>2100</v>
      </c>
    </row>
    <row r="22" hidden="1" spans="1:26">
      <c r="A22" s="175">
        <v>19</v>
      </c>
      <c r="B22" s="76" t="s">
        <v>61</v>
      </c>
      <c r="C22" s="183">
        <v>102.51</v>
      </c>
      <c r="D22" s="179">
        <v>2566</v>
      </c>
      <c r="E22" s="179">
        <f t="shared" si="8"/>
        <v>263041</v>
      </c>
      <c r="F22" s="184" t="s">
        <v>62</v>
      </c>
      <c r="G22" s="182"/>
      <c r="H22" s="185">
        <v>2700</v>
      </c>
      <c r="I22" s="185">
        <v>276777</v>
      </c>
      <c r="J22" s="196">
        <f>VLOOKUP(B22,泰康小区账面房号及收款金额!$A$2:$B$424,2,0)</f>
        <v>277775.4</v>
      </c>
      <c r="K22" s="196"/>
      <c r="L22" s="196"/>
      <c r="M22" s="196"/>
      <c r="N22" s="197">
        <f t="shared" si="9"/>
        <v>-998.400000000023</v>
      </c>
      <c r="O22" s="194" t="s">
        <v>53</v>
      </c>
      <c r="P22" s="195"/>
      <c r="Q22" s="125">
        <f>VLOOKUP(B22,[2]信息汇总表!$M$2:$T$816,8,0)</f>
        <v>276777</v>
      </c>
      <c r="R22" s="125">
        <f>VLOOKUP(B22,[1]sheet1!$J$4:$K$413,2,0)</f>
        <v>264548</v>
      </c>
      <c r="S22" s="125"/>
      <c r="T22" s="125">
        <f t="shared" si="12"/>
        <v>264548</v>
      </c>
      <c r="U22" s="125">
        <f t="shared" si="1"/>
        <v>12229</v>
      </c>
      <c r="V22" s="125">
        <f t="shared" si="10"/>
        <v>0</v>
      </c>
      <c r="W22" s="125">
        <f t="shared" si="11"/>
        <v>0</v>
      </c>
      <c r="X22" s="125"/>
      <c r="Y22" s="195" t="s">
        <v>42</v>
      </c>
      <c r="Z22" s="165">
        <f t="shared" si="2"/>
        <v>0</v>
      </c>
    </row>
    <row r="23" hidden="1" spans="1:26">
      <c r="A23" s="175">
        <v>20</v>
      </c>
      <c r="B23" s="76" t="s">
        <v>63</v>
      </c>
      <c r="C23" s="183">
        <v>103.38</v>
      </c>
      <c r="D23" s="179">
        <v>2566</v>
      </c>
      <c r="E23" s="179">
        <f t="shared" si="8"/>
        <v>265273</v>
      </c>
      <c r="F23" s="184" t="s">
        <v>64</v>
      </c>
      <c r="G23" s="182"/>
      <c r="H23" s="185">
        <v>2700</v>
      </c>
      <c r="I23" s="185">
        <v>279126</v>
      </c>
      <c r="J23" s="196">
        <f>VLOOKUP(B23,泰康小区账面房号及收款金额!$A$2:$B$424,2,0)</f>
        <v>280124.25</v>
      </c>
      <c r="K23" s="196"/>
      <c r="L23" s="196"/>
      <c r="M23" s="196"/>
      <c r="N23" s="197">
        <f t="shared" si="9"/>
        <v>-998.25</v>
      </c>
      <c r="O23" s="194" t="s">
        <v>53</v>
      </c>
      <c r="P23" s="195"/>
      <c r="Q23" s="125">
        <f>VLOOKUP(B23,[2]信息汇总表!$M$2:$T$816,8,0)</f>
        <v>279126</v>
      </c>
      <c r="R23" s="125">
        <f>VLOOKUP(B23,[1]sheet1!$J$4:$K$413,2,0)</f>
        <v>266785</v>
      </c>
      <c r="S23" s="125"/>
      <c r="T23" s="125">
        <f t="shared" si="12"/>
        <v>266785</v>
      </c>
      <c r="U23" s="125">
        <f t="shared" si="1"/>
        <v>12341</v>
      </c>
      <c r="V23" s="125">
        <f t="shared" si="10"/>
        <v>0</v>
      </c>
      <c r="W23" s="125">
        <f t="shared" si="11"/>
        <v>0</v>
      </c>
      <c r="X23" s="125"/>
      <c r="Y23" s="195" t="s">
        <v>42</v>
      </c>
      <c r="Z23" s="165">
        <f t="shared" si="2"/>
        <v>0</v>
      </c>
    </row>
    <row r="24" hidden="1" spans="1:26">
      <c r="A24" s="173">
        <v>21</v>
      </c>
      <c r="B24" s="76" t="s">
        <v>65</v>
      </c>
      <c r="C24" s="183">
        <v>102.51</v>
      </c>
      <c r="D24" s="179">
        <v>2696</v>
      </c>
      <c r="E24" s="179">
        <f t="shared" si="8"/>
        <v>276367</v>
      </c>
      <c r="F24" s="184" t="s">
        <v>66</v>
      </c>
      <c r="G24" s="182"/>
      <c r="H24" s="185">
        <v>2730</v>
      </c>
      <c r="I24" s="185">
        <v>279852</v>
      </c>
      <c r="J24" s="196">
        <f>VLOOKUP(B24,泰康小区账面房号及收款金额!$A$2:$B$424,2,0)</f>
        <v>280862.4</v>
      </c>
      <c r="K24" s="196"/>
      <c r="L24" s="196"/>
      <c r="M24" s="196"/>
      <c r="N24" s="197">
        <f t="shared" si="9"/>
        <v>-1010.40000000002</v>
      </c>
      <c r="O24" s="194" t="s">
        <v>53</v>
      </c>
      <c r="P24" s="195"/>
      <c r="Q24" s="125">
        <f>VLOOKUP(B24,[2]信息汇总表!$M$2:$T$816,8,0)</f>
        <v>279852</v>
      </c>
      <c r="R24" s="125">
        <f>VLOOKUP(B24,[1]sheet1!$J$4:$K$413,2,0)</f>
        <v>267488</v>
      </c>
      <c r="S24" s="125"/>
      <c r="T24" s="125">
        <f t="shared" si="12"/>
        <v>267488</v>
      </c>
      <c r="U24" s="125">
        <f t="shared" si="1"/>
        <v>12364</v>
      </c>
      <c r="V24" s="125">
        <f t="shared" si="10"/>
        <v>0</v>
      </c>
      <c r="W24" s="125">
        <f t="shared" si="11"/>
        <v>0</v>
      </c>
      <c r="X24" s="125"/>
      <c r="Y24" s="195" t="s">
        <v>42</v>
      </c>
      <c r="Z24" s="165">
        <f t="shared" si="2"/>
        <v>0</v>
      </c>
    </row>
    <row r="25" hidden="1" spans="1:26">
      <c r="A25" s="173">
        <v>22</v>
      </c>
      <c r="B25" s="76" t="s">
        <v>67</v>
      </c>
      <c r="C25" s="183">
        <v>103.38</v>
      </c>
      <c r="D25" s="179">
        <v>2696</v>
      </c>
      <c r="E25" s="179">
        <f t="shared" si="8"/>
        <v>278712</v>
      </c>
      <c r="F25" s="184" t="s">
        <v>68</v>
      </c>
      <c r="G25" s="182"/>
      <c r="H25" s="185">
        <v>2740</v>
      </c>
      <c r="I25" s="185">
        <v>283261</v>
      </c>
      <c r="J25" s="196">
        <f>VLOOKUP(B25,泰康小区账面房号及收款金额!$A$2:$B$424,2,0)</f>
        <v>284274.9</v>
      </c>
      <c r="K25" s="196"/>
      <c r="L25" s="196"/>
      <c r="M25" s="196"/>
      <c r="N25" s="197">
        <f t="shared" si="9"/>
        <v>-1013.90000000002</v>
      </c>
      <c r="O25" s="194" t="s">
        <v>53</v>
      </c>
      <c r="P25" s="195"/>
      <c r="Q25" s="125">
        <f>VLOOKUP(B25,[2]信息汇总表!$M$2:$T$816,8,0)</f>
        <v>283261</v>
      </c>
      <c r="R25" s="125">
        <f>VLOOKUP(B25,[1]sheet1!$J$4:$K$413,2,0)</f>
        <v>270738</v>
      </c>
      <c r="S25" s="125"/>
      <c r="T25" s="125">
        <f t="shared" si="12"/>
        <v>270738</v>
      </c>
      <c r="U25" s="125">
        <f t="shared" si="1"/>
        <v>12523</v>
      </c>
      <c r="V25" s="125">
        <f t="shared" si="10"/>
        <v>0</v>
      </c>
      <c r="W25" s="125">
        <f t="shared" si="11"/>
        <v>0</v>
      </c>
      <c r="X25" s="125">
        <v>9048</v>
      </c>
      <c r="Y25" s="195" t="s">
        <v>42</v>
      </c>
      <c r="Z25" s="165">
        <f t="shared" si="2"/>
        <v>0</v>
      </c>
    </row>
    <row r="26" hidden="1" spans="1:26">
      <c r="A26" s="186">
        <v>23</v>
      </c>
      <c r="B26" s="76" t="s">
        <v>69</v>
      </c>
      <c r="C26" s="183">
        <v>102.51</v>
      </c>
      <c r="D26" s="179">
        <v>2726</v>
      </c>
      <c r="E26" s="179">
        <f t="shared" si="8"/>
        <v>279442</v>
      </c>
      <c r="F26" s="184" t="s">
        <v>70</v>
      </c>
      <c r="G26" s="182" t="s">
        <v>48</v>
      </c>
      <c r="H26" s="185">
        <v>2630</v>
      </c>
      <c r="I26" s="185">
        <v>269601</v>
      </c>
      <c r="J26" s="196">
        <f>VLOOKUP(B26,泰康小区账面房号及收款金额!$A$2:$B$424,2,0)</f>
        <v>269601.15</v>
      </c>
      <c r="K26" s="196"/>
      <c r="L26" s="196"/>
      <c r="M26" s="196"/>
      <c r="N26" s="196">
        <f t="shared" si="9"/>
        <v>-0.150000000023283</v>
      </c>
      <c r="O26" s="194"/>
      <c r="P26" s="195"/>
      <c r="Q26" s="125">
        <f>VLOOKUP(B26,[2]信息汇总表!$M$2:$T$816,8,0)</f>
        <v>269601</v>
      </c>
      <c r="R26" s="125">
        <f>VLOOKUP(B26,[1]sheet1!$J$4:$K$413,2,0)</f>
        <v>256763</v>
      </c>
      <c r="S26" s="125"/>
      <c r="T26" s="125">
        <f t="shared" si="12"/>
        <v>256763</v>
      </c>
      <c r="U26" s="125">
        <f t="shared" si="1"/>
        <v>12838</v>
      </c>
      <c r="V26" s="125">
        <f t="shared" si="10"/>
        <v>0</v>
      </c>
      <c r="W26" s="125">
        <f t="shared" si="11"/>
        <v>0</v>
      </c>
      <c r="X26" s="125"/>
      <c r="Y26" s="195" t="s">
        <v>42</v>
      </c>
      <c r="Z26" s="165">
        <f t="shared" si="2"/>
        <v>0</v>
      </c>
    </row>
    <row r="27" hidden="1" spans="1:26">
      <c r="A27" s="186">
        <v>24</v>
      </c>
      <c r="B27" s="76" t="s">
        <v>71</v>
      </c>
      <c r="C27" s="183">
        <v>103.38</v>
      </c>
      <c r="D27" s="179">
        <v>2726</v>
      </c>
      <c r="E27" s="179">
        <f t="shared" si="8"/>
        <v>281814</v>
      </c>
      <c r="F27" s="184" t="s">
        <v>72</v>
      </c>
      <c r="G27" s="182"/>
      <c r="H27" s="185">
        <v>2860</v>
      </c>
      <c r="I27" s="185">
        <v>295667</v>
      </c>
      <c r="J27" s="196">
        <f>VLOOKUP(B27,泰康小区账面房号及收款金额!$A$2:$B$424,2,0)</f>
        <v>296725</v>
      </c>
      <c r="K27" s="196"/>
      <c r="L27" s="196"/>
      <c r="M27" s="196"/>
      <c r="N27" s="197">
        <f t="shared" si="9"/>
        <v>-1058</v>
      </c>
      <c r="O27" s="194" t="s">
        <v>53</v>
      </c>
      <c r="P27" s="195"/>
      <c r="Q27" s="125">
        <f>VLOOKUP(B27,[2]信息汇总表!$M$2:$T$816,8,0)</f>
        <v>295666.8</v>
      </c>
      <c r="R27" s="125">
        <f>VLOOKUP(B27,[1]sheet1!$J$4:$K$413,2,0)</f>
        <v>296725</v>
      </c>
      <c r="S27" s="125"/>
      <c r="T27" s="125">
        <f t="shared" si="12"/>
        <v>282595.238095238</v>
      </c>
      <c r="U27" s="125">
        <f>T27*0.05</f>
        <v>14129.7619047619</v>
      </c>
      <c r="V27" s="203">
        <f t="shared" ref="V27:V37" si="13">T27-S27-R27</f>
        <v>-14129.7619047619</v>
      </c>
      <c r="W27" s="203">
        <f>U27-X27</f>
        <v>14129.7619047619</v>
      </c>
      <c r="X27" s="125"/>
      <c r="Y27" s="195" t="s">
        <v>42</v>
      </c>
      <c r="Z27" s="165">
        <f t="shared" si="2"/>
        <v>0</v>
      </c>
    </row>
    <row r="28" hidden="1" spans="1:26">
      <c r="A28" s="186">
        <v>25</v>
      </c>
      <c r="B28" s="187" t="s">
        <v>73</v>
      </c>
      <c r="C28" s="183">
        <v>102.51</v>
      </c>
      <c r="D28" s="179">
        <v>2756</v>
      </c>
      <c r="E28" s="179">
        <f t="shared" si="8"/>
        <v>282518</v>
      </c>
      <c r="F28" s="184" t="s">
        <v>74</v>
      </c>
      <c r="G28" s="182"/>
      <c r="H28" s="185">
        <v>2870</v>
      </c>
      <c r="I28" s="185">
        <v>294204</v>
      </c>
      <c r="J28" s="196">
        <f>VLOOKUP(B28,泰康小区账面房号及收款金额!$A$2:$B$424,2,0)</f>
        <v>294204.75</v>
      </c>
      <c r="K28" s="196"/>
      <c r="L28" s="196"/>
      <c r="M28" s="196"/>
      <c r="N28" s="196">
        <f t="shared" si="9"/>
        <v>-0.75</v>
      </c>
      <c r="O28" s="194"/>
      <c r="P28" s="195"/>
      <c r="Q28" s="125">
        <f>VLOOKUP(B28,[2]信息汇总表!$M$2:$T$816,8,0)</f>
        <v>294204</v>
      </c>
      <c r="R28" s="125">
        <f>VLOOKUP(B28,[1]sheet1!$J$4:$K$413,2,0)</f>
        <v>280195</v>
      </c>
      <c r="S28" s="125"/>
      <c r="T28" s="125">
        <f t="shared" si="12"/>
        <v>280195</v>
      </c>
      <c r="U28" s="125">
        <f t="shared" si="1"/>
        <v>14009</v>
      </c>
      <c r="V28" s="125">
        <f t="shared" si="13"/>
        <v>0</v>
      </c>
      <c r="W28" s="125">
        <f t="shared" ref="W27:W31" si="14">V28*0.05</f>
        <v>0</v>
      </c>
      <c r="X28" s="125"/>
      <c r="Y28" s="195" t="s">
        <v>42</v>
      </c>
      <c r="Z28" s="165">
        <f t="shared" si="2"/>
        <v>0</v>
      </c>
    </row>
    <row r="29" ht="13.5" spans="1:26">
      <c r="A29" s="186">
        <v>26</v>
      </c>
      <c r="B29" s="187" t="s">
        <v>75</v>
      </c>
      <c r="C29" s="183">
        <v>103.76</v>
      </c>
      <c r="D29" s="179">
        <v>2756</v>
      </c>
      <c r="E29" s="179">
        <f t="shared" si="8"/>
        <v>285963</v>
      </c>
      <c r="F29" s="184" t="s">
        <v>76</v>
      </c>
      <c r="G29" s="182"/>
      <c r="H29" s="185">
        <v>2800</v>
      </c>
      <c r="I29" s="185">
        <v>290528</v>
      </c>
      <c r="J29" s="196">
        <f>VLOOKUP(B29,泰康小区账面房号及收款金额!$A$2:$B$424,2,0)</f>
        <v>291592</v>
      </c>
      <c r="K29" s="196"/>
      <c r="L29" s="196"/>
      <c r="M29" s="196"/>
      <c r="N29" s="197">
        <f t="shared" si="9"/>
        <v>-1064</v>
      </c>
      <c r="O29" s="194" t="s">
        <v>53</v>
      </c>
      <c r="P29" s="195"/>
      <c r="Q29" s="125">
        <f>VLOOKUP(B29,[2]信息汇总表!$M$2:$T$816,8,0)</f>
        <v>290528</v>
      </c>
      <c r="R29" s="125">
        <f>VLOOKUP(B29,[1]sheet1!$J$4:$K$413,2,0)</f>
        <v>291592</v>
      </c>
      <c r="S29" s="125"/>
      <c r="T29" s="125">
        <f t="shared" si="12"/>
        <v>277706.666666667</v>
      </c>
      <c r="U29" s="125">
        <f>T29*0.05</f>
        <v>13885.3333333333</v>
      </c>
      <c r="V29" s="125">
        <f t="shared" si="13"/>
        <v>-13885.3333333334</v>
      </c>
      <c r="W29" s="125">
        <f>U29-X29</f>
        <v>13885.3333333333</v>
      </c>
      <c r="X29" s="125"/>
      <c r="Y29" s="206" t="s">
        <v>77</v>
      </c>
      <c r="Z29" s="165">
        <f t="shared" si="2"/>
        <v>-1.00044417195022e-10</v>
      </c>
    </row>
    <row r="30" hidden="1" spans="1:26">
      <c r="A30" s="186">
        <v>27</v>
      </c>
      <c r="B30" s="187" t="s">
        <v>78</v>
      </c>
      <c r="C30" s="183">
        <v>102.51</v>
      </c>
      <c r="D30" s="179">
        <v>2716</v>
      </c>
      <c r="E30" s="179">
        <f t="shared" si="8"/>
        <v>278417</v>
      </c>
      <c r="F30" s="184" t="s">
        <v>79</v>
      </c>
      <c r="G30" s="182" t="s">
        <v>48</v>
      </c>
      <c r="H30" s="185">
        <v>2800</v>
      </c>
      <c r="I30" s="185">
        <v>287028</v>
      </c>
      <c r="J30" s="196">
        <f>VLOOKUP(B30,泰康小区账面房号及收款金额!$A$2:$B$424,2,0)</f>
        <v>287028</v>
      </c>
      <c r="K30" s="196"/>
      <c r="L30" s="196"/>
      <c r="M30" s="196"/>
      <c r="N30" s="196">
        <f t="shared" si="9"/>
        <v>0</v>
      </c>
      <c r="O30" s="194"/>
      <c r="P30" s="195"/>
      <c r="Q30" s="125">
        <f>VLOOKUP(B30,[2]信息汇总表!$M$2:$T$816,8,0)</f>
        <v>287028</v>
      </c>
      <c r="R30" s="125">
        <f>VLOOKUP(B30,[1]sheet1!$J$4:$K$413,2,0)</f>
        <v>273360</v>
      </c>
      <c r="S30" s="125"/>
      <c r="T30" s="125">
        <f t="shared" ref="T30:T35" si="15">J30/1.05</f>
        <v>273360</v>
      </c>
      <c r="U30" s="125">
        <f t="shared" si="1"/>
        <v>13668</v>
      </c>
      <c r="V30" s="125">
        <f t="shared" si="13"/>
        <v>0</v>
      </c>
      <c r="W30" s="125">
        <f t="shared" si="14"/>
        <v>0</v>
      </c>
      <c r="X30" s="125"/>
      <c r="Y30" s="195" t="s">
        <v>42</v>
      </c>
      <c r="Z30" s="165">
        <f t="shared" si="2"/>
        <v>0</v>
      </c>
    </row>
    <row r="31" ht="13.5" spans="1:26">
      <c r="A31" s="186">
        <v>28</v>
      </c>
      <c r="B31" s="187" t="s">
        <v>80</v>
      </c>
      <c r="C31" s="183">
        <v>103.76</v>
      </c>
      <c r="D31" s="179">
        <v>2716</v>
      </c>
      <c r="E31" s="179">
        <f t="shared" si="8"/>
        <v>281812</v>
      </c>
      <c r="F31" s="184" t="s">
        <v>81</v>
      </c>
      <c r="G31" s="182" t="s">
        <v>48</v>
      </c>
      <c r="H31" s="185">
        <v>3100</v>
      </c>
      <c r="I31" s="185">
        <v>321656</v>
      </c>
      <c r="J31" s="196">
        <f>VLOOKUP(B31,泰康小区账面房号及收款金额!$A$2:$B$424,2,0)</f>
        <v>322823.65</v>
      </c>
      <c r="K31" s="196"/>
      <c r="L31" s="196"/>
      <c r="M31" s="196"/>
      <c r="N31" s="197">
        <f t="shared" si="9"/>
        <v>-1167.65000000002</v>
      </c>
      <c r="O31" s="194" t="s">
        <v>53</v>
      </c>
      <c r="P31" s="195"/>
      <c r="Q31" s="125">
        <f>VLOOKUP(B31,[2]信息汇总表!$M$2:$T$816,8,0)</f>
        <v>321656</v>
      </c>
      <c r="R31" s="125">
        <f>VLOOKUP(B31,[1]sheet1!$J$4:$K$413,2,0)</f>
        <v>316157</v>
      </c>
      <c r="S31" s="125"/>
      <c r="T31" s="125">
        <f t="shared" si="15"/>
        <v>307451.095238095</v>
      </c>
      <c r="U31" s="125">
        <f>T31*0.05</f>
        <v>15372.5547619048</v>
      </c>
      <c r="V31" s="203">
        <f t="shared" si="13"/>
        <v>-8705.90476190473</v>
      </c>
      <c r="W31" s="203">
        <f>U31-X31</f>
        <v>8705.90476190477</v>
      </c>
      <c r="X31" s="125">
        <v>6666.65</v>
      </c>
      <c r="Y31" s="206" t="s">
        <v>77</v>
      </c>
      <c r="Z31" s="165">
        <f t="shared" si="2"/>
        <v>4.00177668780088e-11</v>
      </c>
    </row>
    <row r="32" hidden="1" spans="1:26">
      <c r="A32" s="186">
        <v>29</v>
      </c>
      <c r="B32" s="187" t="s">
        <v>82</v>
      </c>
      <c r="C32" s="183">
        <v>102.51</v>
      </c>
      <c r="D32" s="179">
        <v>2736</v>
      </c>
      <c r="E32" s="179">
        <f t="shared" si="8"/>
        <v>280467</v>
      </c>
      <c r="F32" s="184" t="s">
        <v>83</v>
      </c>
      <c r="G32" s="182" t="s">
        <v>48</v>
      </c>
      <c r="H32" s="185">
        <v>2850</v>
      </c>
      <c r="I32" s="185">
        <v>292154</v>
      </c>
      <c r="J32" s="196">
        <f>VLOOKUP(B32,泰康小区账面房号及收款金额!$A$2:$B$424,2,0)</f>
        <v>292154.1</v>
      </c>
      <c r="K32" s="196"/>
      <c r="L32" s="196"/>
      <c r="M32" s="196"/>
      <c r="N32" s="196">
        <f t="shared" si="9"/>
        <v>-0.0999999999767169</v>
      </c>
      <c r="O32" s="194"/>
      <c r="P32" s="195"/>
      <c r="Q32" s="125">
        <f>VLOOKUP(B32,[2]信息汇总表!$M$2:$T$816,8,0)</f>
        <v>292154</v>
      </c>
      <c r="R32" s="125">
        <f>VLOOKUP(B32,[1]sheet1!$J$4:$K$413,2,0)</f>
        <v>278242</v>
      </c>
      <c r="S32" s="125"/>
      <c r="T32" s="125">
        <f>I32/1.05</f>
        <v>278241.904761905</v>
      </c>
      <c r="U32" s="125">
        <f t="shared" si="1"/>
        <v>13912.095238095</v>
      </c>
      <c r="V32" s="125">
        <f t="shared" si="13"/>
        <v>-0.0952380949747749</v>
      </c>
      <c r="W32" s="125">
        <f t="shared" ref="W32:W37" si="16">V32*0.05</f>
        <v>-0.00476190474873874</v>
      </c>
      <c r="X32" s="125"/>
      <c r="Y32" s="195" t="s">
        <v>42</v>
      </c>
      <c r="Z32" s="165">
        <f t="shared" si="2"/>
        <v>-0.0999999997235136</v>
      </c>
    </row>
    <row r="33" ht="13.5" spans="1:26">
      <c r="A33" s="186">
        <v>30</v>
      </c>
      <c r="B33" s="187" t="s">
        <v>84</v>
      </c>
      <c r="C33" s="183">
        <v>103.76</v>
      </c>
      <c r="D33" s="179">
        <v>3638</v>
      </c>
      <c r="E33" s="179">
        <f t="shared" si="8"/>
        <v>377479</v>
      </c>
      <c r="F33" s="184" t="s">
        <v>85</v>
      </c>
      <c r="G33" s="182" t="s">
        <v>48</v>
      </c>
      <c r="H33" s="185">
        <v>2600</v>
      </c>
      <c r="I33" s="185">
        <v>269776</v>
      </c>
      <c r="J33" s="196">
        <f>VLOOKUP(B33,泰康小区账面房号及收款金额!$A$2:$B$424,2,0)</f>
        <v>269776.2</v>
      </c>
      <c r="K33" s="196"/>
      <c r="L33" s="196"/>
      <c r="M33" s="196"/>
      <c r="N33" s="196">
        <f t="shared" si="9"/>
        <v>-0.200000000011642</v>
      </c>
      <c r="O33" s="194"/>
      <c r="P33" s="195"/>
      <c r="Q33" s="125">
        <f>VLOOKUP(B33,[2]信息汇总表!$M$2:$T$816,8,0)</f>
        <v>269776</v>
      </c>
      <c r="R33" s="125">
        <f>VLOOKUP(B33,[1]sheet1!$J$4:$K$413,2,0)</f>
        <v>269776.2</v>
      </c>
      <c r="S33" s="125"/>
      <c r="T33" s="125">
        <f>I33/1.05</f>
        <v>256929.523809524</v>
      </c>
      <c r="U33" s="125">
        <f t="shared" si="1"/>
        <v>12846.476190476</v>
      </c>
      <c r="V33" s="203">
        <f t="shared" si="13"/>
        <v>-12846.676190476</v>
      </c>
      <c r="W33" s="203">
        <f>U33-X33</f>
        <v>12846.476190476</v>
      </c>
      <c r="X33" s="125">
        <v>0</v>
      </c>
      <c r="Y33" s="206" t="s">
        <v>77</v>
      </c>
      <c r="Z33" s="165">
        <f t="shared" si="2"/>
        <v>-0.200000000000728</v>
      </c>
    </row>
    <row r="34" hidden="1" spans="1:26">
      <c r="A34" s="175">
        <v>31</v>
      </c>
      <c r="B34" s="187" t="s">
        <v>86</v>
      </c>
      <c r="C34" s="183">
        <v>102.51</v>
      </c>
      <c r="D34" s="179">
        <v>3668</v>
      </c>
      <c r="E34" s="179">
        <f t="shared" si="8"/>
        <v>376007</v>
      </c>
      <c r="F34" s="184" t="s">
        <v>87</v>
      </c>
      <c r="G34" s="182" t="s">
        <v>48</v>
      </c>
      <c r="H34" s="185">
        <v>2850</v>
      </c>
      <c r="I34" s="185">
        <v>292154</v>
      </c>
      <c r="J34" s="196">
        <f>VLOOKUP(B34,泰康小区账面房号及收款金额!$A$2:$B$424,2,0)</f>
        <v>292154.1</v>
      </c>
      <c r="K34" s="196"/>
      <c r="L34" s="196"/>
      <c r="M34" s="196"/>
      <c r="N34" s="196">
        <f t="shared" si="9"/>
        <v>-0.0999999999767169</v>
      </c>
      <c r="O34" s="194"/>
      <c r="P34" s="195"/>
      <c r="Q34" s="125">
        <f>VLOOKUP(B34,[2]信息汇总表!$M$2:$T$816,8,0)</f>
        <v>292154</v>
      </c>
      <c r="R34" s="125">
        <f>VLOOKUP(B34,[1]sheet1!$J$4:$K$413,2,0)</f>
        <v>278242</v>
      </c>
      <c r="S34" s="125"/>
      <c r="T34" s="125">
        <f t="shared" ref="T34:T38" si="17">J34/1.05</f>
        <v>278242</v>
      </c>
      <c r="U34" s="125">
        <f t="shared" si="1"/>
        <v>13912.0000000001</v>
      </c>
      <c r="V34" s="125">
        <f t="shared" si="13"/>
        <v>0</v>
      </c>
      <c r="W34" s="125">
        <f t="shared" si="16"/>
        <v>0</v>
      </c>
      <c r="X34" s="125"/>
      <c r="Y34" s="195" t="s">
        <v>42</v>
      </c>
      <c r="Z34" s="165">
        <f t="shared" si="2"/>
        <v>0</v>
      </c>
    </row>
    <row r="35" hidden="1" spans="1:26">
      <c r="A35" s="175">
        <v>32</v>
      </c>
      <c r="B35" s="187" t="s">
        <v>88</v>
      </c>
      <c r="C35" s="183">
        <v>103.76</v>
      </c>
      <c r="D35" s="179">
        <v>2756</v>
      </c>
      <c r="E35" s="179">
        <f t="shared" si="8"/>
        <v>285963</v>
      </c>
      <c r="F35" s="184" t="s">
        <v>89</v>
      </c>
      <c r="G35" s="182" t="s">
        <v>48</v>
      </c>
      <c r="H35" s="185">
        <v>2650.35</v>
      </c>
      <c r="I35" s="185">
        <v>275000</v>
      </c>
      <c r="J35" s="196">
        <f>VLOOKUP(B35,泰康小区账面房号及收款金额!$A$2:$B$424,2,0)</f>
        <v>274963.5</v>
      </c>
      <c r="K35" s="196"/>
      <c r="L35" s="196"/>
      <c r="M35" s="196"/>
      <c r="N35" s="196">
        <f t="shared" ref="N35:N67" si="18">I35-J35</f>
        <v>36.5</v>
      </c>
      <c r="O35" s="194"/>
      <c r="P35" s="195"/>
      <c r="Q35" s="125">
        <f>VLOOKUP(B35,[2]信息汇总表!$M$2:$T$816,8,0)</f>
        <v>275000</v>
      </c>
      <c r="R35" s="125">
        <f>VLOOKUP(B35,[1]sheet1!$J$4:$K$413,2,0)</f>
        <v>261870</v>
      </c>
      <c r="S35" s="125"/>
      <c r="T35" s="125">
        <f t="shared" si="15"/>
        <v>261870</v>
      </c>
      <c r="U35" s="125">
        <f t="shared" si="1"/>
        <v>13130</v>
      </c>
      <c r="V35" s="125">
        <f t="shared" si="13"/>
        <v>0</v>
      </c>
      <c r="W35" s="125">
        <f t="shared" si="16"/>
        <v>0</v>
      </c>
      <c r="X35" s="125"/>
      <c r="Y35" s="195" t="s">
        <v>42</v>
      </c>
      <c r="Z35" s="165">
        <f t="shared" si="2"/>
        <v>0</v>
      </c>
    </row>
    <row r="36" hidden="1" spans="1:26">
      <c r="A36" s="175">
        <v>33</v>
      </c>
      <c r="B36" s="187" t="s">
        <v>90</v>
      </c>
      <c r="C36" s="183">
        <v>94.98</v>
      </c>
      <c r="D36" s="179">
        <v>2756</v>
      </c>
      <c r="E36" s="179">
        <f t="shared" si="8"/>
        <v>261765</v>
      </c>
      <c r="F36" s="184" t="s">
        <v>91</v>
      </c>
      <c r="G36" s="182"/>
      <c r="H36" s="185">
        <v>2600</v>
      </c>
      <c r="I36" s="185">
        <v>246948</v>
      </c>
      <c r="J36" s="196">
        <f>VLOOKUP(B36,泰康小区账面房号及收款金额!$A$2:$B$424,2,0)</f>
        <v>246949.5</v>
      </c>
      <c r="K36" s="196"/>
      <c r="L36" s="196"/>
      <c r="M36" s="196"/>
      <c r="N36" s="196">
        <f t="shared" si="18"/>
        <v>-1.5</v>
      </c>
      <c r="O36" s="194"/>
      <c r="P36" s="195"/>
      <c r="Q36" s="125">
        <f>VLOOKUP(B36,[2]信息汇总表!$M$2:$T$816,8,0)</f>
        <v>246948</v>
      </c>
      <c r="R36" s="125">
        <f>VLOOKUP(B36,[1]sheet1!$J$4:$K$413,2,0)</f>
        <v>235190</v>
      </c>
      <c r="S36" s="125"/>
      <c r="T36" s="125">
        <f t="shared" si="17"/>
        <v>235190</v>
      </c>
      <c r="U36" s="125">
        <f t="shared" si="1"/>
        <v>11758</v>
      </c>
      <c r="V36" s="125">
        <f t="shared" si="13"/>
        <v>0</v>
      </c>
      <c r="W36" s="125">
        <f t="shared" si="16"/>
        <v>0</v>
      </c>
      <c r="X36" s="125"/>
      <c r="Y36" s="195" t="s">
        <v>42</v>
      </c>
      <c r="Z36" s="165">
        <f t="shared" si="2"/>
        <v>0</v>
      </c>
    </row>
    <row r="37" hidden="1" spans="1:26">
      <c r="A37" s="175">
        <v>34</v>
      </c>
      <c r="B37" s="187" t="s">
        <v>92</v>
      </c>
      <c r="C37" s="183">
        <v>96.23</v>
      </c>
      <c r="D37" s="179">
        <v>3658</v>
      </c>
      <c r="E37" s="179">
        <f t="shared" si="8"/>
        <v>352009</v>
      </c>
      <c r="F37" s="184" t="s">
        <v>93</v>
      </c>
      <c r="G37" s="182"/>
      <c r="H37" s="185">
        <v>2800</v>
      </c>
      <c r="I37" s="185">
        <v>269444</v>
      </c>
      <c r="J37" s="196">
        <f>VLOOKUP(B37,泰康小区账面房号及收款金额!$A$2:$B$424,2,0)</f>
        <v>270394.95</v>
      </c>
      <c r="K37" s="196"/>
      <c r="L37" s="196"/>
      <c r="M37" s="196"/>
      <c r="N37" s="196">
        <f t="shared" si="18"/>
        <v>-950.950000000012</v>
      </c>
      <c r="O37" s="194"/>
      <c r="P37" s="195"/>
      <c r="Q37" s="125">
        <f>VLOOKUP(B37,[2]信息汇总表!$M$2:$T$816,8,0)</f>
        <v>269444</v>
      </c>
      <c r="R37" s="125">
        <f>VLOOKUP(B37,[1]sheet1!$J$4:$K$413,2,0)</f>
        <v>257519</v>
      </c>
      <c r="S37" s="125"/>
      <c r="T37" s="125">
        <f t="shared" si="17"/>
        <v>257519</v>
      </c>
      <c r="U37" s="125">
        <f t="shared" si="1"/>
        <v>11925</v>
      </c>
      <c r="V37" s="125">
        <f t="shared" si="13"/>
        <v>0</v>
      </c>
      <c r="W37" s="125">
        <f t="shared" si="16"/>
        <v>0</v>
      </c>
      <c r="X37" s="125"/>
      <c r="Y37" s="195" t="s">
        <v>42</v>
      </c>
      <c r="Z37" s="165">
        <f t="shared" ref="Z37:Z68" si="19">V37+W37</f>
        <v>0</v>
      </c>
    </row>
    <row r="38" hidden="1" spans="1:26">
      <c r="A38" s="175">
        <v>35</v>
      </c>
      <c r="B38" s="187" t="s">
        <v>94</v>
      </c>
      <c r="C38" s="183">
        <v>101.69</v>
      </c>
      <c r="D38" s="179">
        <v>3098</v>
      </c>
      <c r="E38" s="179">
        <f t="shared" si="8"/>
        <v>315036</v>
      </c>
      <c r="F38" s="184" t="s">
        <v>95</v>
      </c>
      <c r="G38" s="182"/>
      <c r="H38" s="185">
        <v>3180</v>
      </c>
      <c r="I38" s="185">
        <v>323374</v>
      </c>
      <c r="J38" s="196">
        <f>VLOOKUP(B38,泰康小区账面房号及收款金额!$A$2:$B$424,2,0)</f>
        <v>323373.75</v>
      </c>
      <c r="K38" s="196"/>
      <c r="L38" s="196"/>
      <c r="M38" s="196"/>
      <c r="N38" s="196">
        <f t="shared" si="18"/>
        <v>0.25</v>
      </c>
      <c r="O38" s="194"/>
      <c r="P38" s="195"/>
      <c r="Q38" s="125">
        <f>VLOOKUP(B38,[2]信息汇总表!$M$2:$T$816,8,0)</f>
        <v>323374</v>
      </c>
      <c r="R38" s="125">
        <f>VLOOKUP(B38,[1]sheet1!$J$4:$K$413,2,0)</f>
        <v>307975</v>
      </c>
      <c r="S38" s="125"/>
      <c r="T38" s="125">
        <f t="shared" si="17"/>
        <v>307975</v>
      </c>
      <c r="U38" s="125">
        <f t="shared" si="1"/>
        <v>15399</v>
      </c>
      <c r="V38" s="125">
        <f t="shared" ref="V38:V67" si="20">T38-S38-R38</f>
        <v>0</v>
      </c>
      <c r="W38" s="125">
        <f t="shared" ref="W38:W45" si="21">V38*0.05</f>
        <v>0</v>
      </c>
      <c r="X38" s="125"/>
      <c r="Y38" s="195" t="s">
        <v>42</v>
      </c>
      <c r="Z38" s="165">
        <f t="shared" si="19"/>
        <v>0</v>
      </c>
    </row>
    <row r="39" hidden="1" spans="1:26">
      <c r="A39" s="175">
        <v>36</v>
      </c>
      <c r="B39" s="187" t="s">
        <v>96</v>
      </c>
      <c r="C39" s="183">
        <v>101.47</v>
      </c>
      <c r="D39" s="179">
        <v>3778</v>
      </c>
      <c r="E39" s="179">
        <f t="shared" si="8"/>
        <v>383354</v>
      </c>
      <c r="F39" s="184" t="s">
        <v>97</v>
      </c>
      <c r="G39" s="182"/>
      <c r="H39" s="185">
        <v>3100</v>
      </c>
      <c r="I39" s="185">
        <v>314557</v>
      </c>
      <c r="J39" s="196">
        <f>VLOOKUP(B39,泰康小区账面房号及收款金额!$A$2:$B$424,2,0)</f>
        <v>314556.9</v>
      </c>
      <c r="K39" s="196"/>
      <c r="L39" s="196"/>
      <c r="M39" s="196"/>
      <c r="N39" s="196">
        <f t="shared" si="18"/>
        <v>0.0999999999767169</v>
      </c>
      <c r="O39" s="194"/>
      <c r="P39" s="195"/>
      <c r="Q39" s="125">
        <f>VLOOKUP(B39,[2]信息汇总表!$M$2:$T$816,8,0)</f>
        <v>314557</v>
      </c>
      <c r="R39" s="125">
        <f>VLOOKUP(B39,[1]sheet1!$J$4:$K$413,2,0)</f>
        <v>299578</v>
      </c>
      <c r="S39" s="125"/>
      <c r="T39" s="125">
        <f>I39/1.05</f>
        <v>299578.095238095</v>
      </c>
      <c r="U39" s="125">
        <f t="shared" si="1"/>
        <v>14978.904761905</v>
      </c>
      <c r="V39" s="125">
        <f t="shared" si="20"/>
        <v>0.0952380949747749</v>
      </c>
      <c r="W39" s="125">
        <f t="shared" si="21"/>
        <v>0.00476190474873874</v>
      </c>
      <c r="X39" s="125"/>
      <c r="Y39" s="195" t="s">
        <v>42</v>
      </c>
      <c r="Z39" s="165">
        <f t="shared" si="19"/>
        <v>0.0999999997235136</v>
      </c>
    </row>
    <row r="40" spans="1:26">
      <c r="A40" s="175">
        <v>37</v>
      </c>
      <c r="B40" s="187" t="s">
        <v>98</v>
      </c>
      <c r="C40" s="183">
        <v>101.69</v>
      </c>
      <c r="D40" s="179">
        <v>3098</v>
      </c>
      <c r="E40" s="179">
        <f t="shared" si="8"/>
        <v>315036</v>
      </c>
      <c r="F40" s="184" t="s">
        <v>99</v>
      </c>
      <c r="G40" s="182"/>
      <c r="H40" s="185">
        <v>3000</v>
      </c>
      <c r="I40" s="185">
        <v>305070</v>
      </c>
      <c r="J40" s="196">
        <f>VLOOKUP(B40,泰康小区账面房号及收款金额!$A$2:$B$424,2,0)</f>
        <v>305071.2</v>
      </c>
      <c r="K40" s="196"/>
      <c r="L40" s="196"/>
      <c r="M40" s="196"/>
      <c r="N40" s="196">
        <f t="shared" si="18"/>
        <v>-1.20000000001164</v>
      </c>
      <c r="O40" s="194"/>
      <c r="P40" s="195"/>
      <c r="Q40" s="125">
        <f>VLOOKUP(B40,[2]信息汇总表!$M$2:$T$816,8,0)</f>
        <v>305070</v>
      </c>
      <c r="R40" s="125">
        <f>VLOOKUP(B40,[1]sheet1!$J$4:$K$413,2,0)</f>
        <v>290544</v>
      </c>
      <c r="S40" s="125">
        <v>290542.86</v>
      </c>
      <c r="T40" s="125">
        <f>I40/1.05</f>
        <v>290542.857142857</v>
      </c>
      <c r="U40" s="125">
        <f t="shared" si="1"/>
        <v>14527.142857143</v>
      </c>
      <c r="V40" s="203">
        <f t="shared" si="20"/>
        <v>-290544.002857143</v>
      </c>
      <c r="W40" s="203">
        <f t="shared" si="21"/>
        <v>-14527.2001428572</v>
      </c>
      <c r="X40" s="204">
        <v>14526</v>
      </c>
      <c r="Y40" s="195"/>
      <c r="Z40" s="165">
        <f t="shared" si="19"/>
        <v>-305071.203</v>
      </c>
    </row>
    <row r="41" hidden="1" spans="1:26">
      <c r="A41" s="175">
        <v>38</v>
      </c>
      <c r="B41" s="187" t="s">
        <v>100</v>
      </c>
      <c r="C41" s="183">
        <v>101.47</v>
      </c>
      <c r="D41" s="179">
        <v>3098</v>
      </c>
      <c r="E41" s="179">
        <f t="shared" si="8"/>
        <v>314354</v>
      </c>
      <c r="F41" s="184" t="s">
        <v>101</v>
      </c>
      <c r="G41" s="182"/>
      <c r="H41" s="185">
        <v>2950</v>
      </c>
      <c r="I41" s="185">
        <v>299337</v>
      </c>
      <c r="J41" s="196">
        <f>VLOOKUP(B41,泰康小区账面房号及收款金额!$A$2:$B$424,2,0)</f>
        <v>299337.15</v>
      </c>
      <c r="K41" s="196"/>
      <c r="L41" s="196"/>
      <c r="M41" s="196"/>
      <c r="N41" s="196">
        <f t="shared" si="18"/>
        <v>-0.150000000023283</v>
      </c>
      <c r="O41" s="194"/>
      <c r="P41" s="195"/>
      <c r="Q41" s="125">
        <f>VLOOKUP(B41,[2]信息汇总表!$M$2:$T$816,8,0)</f>
        <v>299337</v>
      </c>
      <c r="R41" s="125">
        <f>VLOOKUP(B41,[1]sheet1!$J$4:$K$413,2,0)</f>
        <v>285083</v>
      </c>
      <c r="S41" s="125"/>
      <c r="T41" s="125">
        <f t="shared" ref="T41:T49" si="22">J41/1.05</f>
        <v>285083</v>
      </c>
      <c r="U41" s="125">
        <f t="shared" si="1"/>
        <v>14254</v>
      </c>
      <c r="V41" s="125">
        <f t="shared" si="20"/>
        <v>0</v>
      </c>
      <c r="W41" s="125">
        <f t="shared" si="21"/>
        <v>0</v>
      </c>
      <c r="X41" s="204">
        <v>9524</v>
      </c>
      <c r="Y41" s="195" t="s">
        <v>42</v>
      </c>
      <c r="Z41" s="165">
        <f t="shared" si="19"/>
        <v>0</v>
      </c>
    </row>
    <row r="42" hidden="1" spans="1:26">
      <c r="A42" s="175">
        <v>39</v>
      </c>
      <c r="B42" s="187" t="s">
        <v>102</v>
      </c>
      <c r="C42" s="183">
        <v>101.69</v>
      </c>
      <c r="D42" s="179">
        <v>2818</v>
      </c>
      <c r="E42" s="179">
        <f t="shared" si="8"/>
        <v>286562</v>
      </c>
      <c r="F42" s="184" t="s">
        <v>103</v>
      </c>
      <c r="G42" s="182"/>
      <c r="H42" s="185">
        <v>2800</v>
      </c>
      <c r="I42" s="185">
        <v>284732</v>
      </c>
      <c r="J42" s="196">
        <f>VLOOKUP(B42,泰康小区账面房号及收款金额!$A$2:$B$424,2,0)</f>
        <v>284731.65</v>
      </c>
      <c r="K42" s="196"/>
      <c r="L42" s="196"/>
      <c r="M42" s="196"/>
      <c r="N42" s="196">
        <f t="shared" si="18"/>
        <v>0.349999999976717</v>
      </c>
      <c r="O42" s="194"/>
      <c r="P42" s="195"/>
      <c r="Q42" s="125">
        <f>VLOOKUP(B42,[2]信息汇总表!$M$2:$T$816,8,0)</f>
        <v>284732</v>
      </c>
      <c r="R42" s="125">
        <f>VLOOKUP(B42,[1]sheet1!$J$4:$K$413,2,0)</f>
        <v>271173</v>
      </c>
      <c r="S42" s="125"/>
      <c r="T42" s="125">
        <f t="shared" si="22"/>
        <v>271173</v>
      </c>
      <c r="U42" s="125">
        <f t="shared" si="1"/>
        <v>13559</v>
      </c>
      <c r="V42" s="125">
        <f t="shared" si="20"/>
        <v>0</v>
      </c>
      <c r="W42" s="125">
        <f t="shared" si="21"/>
        <v>0</v>
      </c>
      <c r="X42" s="125"/>
      <c r="Y42" s="195" t="s">
        <v>42</v>
      </c>
      <c r="Z42" s="165">
        <f t="shared" si="19"/>
        <v>0</v>
      </c>
    </row>
    <row r="43" hidden="1" spans="1:26">
      <c r="A43" s="175">
        <v>40</v>
      </c>
      <c r="B43" s="187" t="s">
        <v>104</v>
      </c>
      <c r="C43" s="183">
        <v>101.47</v>
      </c>
      <c r="D43" s="179">
        <v>2818</v>
      </c>
      <c r="E43" s="179">
        <f t="shared" si="8"/>
        <v>285942</v>
      </c>
      <c r="F43" s="184" t="s">
        <v>105</v>
      </c>
      <c r="G43" s="182"/>
      <c r="H43" s="185">
        <v>2800</v>
      </c>
      <c r="I43" s="185">
        <v>284116</v>
      </c>
      <c r="J43" s="196">
        <f>VLOOKUP(B43,泰康小区账面房号及收款金额!$A$2:$B$424,2,0)</f>
        <v>284116.35</v>
      </c>
      <c r="K43" s="196"/>
      <c r="L43" s="196"/>
      <c r="M43" s="196"/>
      <c r="N43" s="196">
        <f t="shared" si="18"/>
        <v>-0.349999999976717</v>
      </c>
      <c r="O43" s="194"/>
      <c r="P43" s="195"/>
      <c r="Q43" s="125">
        <f>VLOOKUP(B43,[2]信息汇总表!$M$2:$T$816,8,0)</f>
        <v>284116</v>
      </c>
      <c r="R43" s="125">
        <f>VLOOKUP(B43,[1]sheet1!$J$4:$K$413,2,0)</f>
        <v>270587</v>
      </c>
      <c r="S43" s="125"/>
      <c r="T43" s="125">
        <f t="shared" si="22"/>
        <v>270587</v>
      </c>
      <c r="U43" s="125">
        <f t="shared" si="1"/>
        <v>13529.0000000001</v>
      </c>
      <c r="V43" s="125">
        <f t="shared" si="20"/>
        <v>0</v>
      </c>
      <c r="W43" s="125">
        <f t="shared" si="21"/>
        <v>0</v>
      </c>
      <c r="X43" s="125"/>
      <c r="Y43" s="195" t="s">
        <v>42</v>
      </c>
      <c r="Z43" s="165">
        <f t="shared" si="19"/>
        <v>0</v>
      </c>
    </row>
    <row r="44" hidden="1" spans="1:26">
      <c r="A44" s="175">
        <v>41</v>
      </c>
      <c r="B44" s="187" t="s">
        <v>106</v>
      </c>
      <c r="C44" s="183">
        <v>101.69</v>
      </c>
      <c r="D44" s="179">
        <v>2596</v>
      </c>
      <c r="E44" s="179">
        <f t="shared" si="8"/>
        <v>263987</v>
      </c>
      <c r="F44" s="184" t="s">
        <v>107</v>
      </c>
      <c r="G44" s="182"/>
      <c r="H44" s="185">
        <v>2580</v>
      </c>
      <c r="I44" s="185">
        <v>262360</v>
      </c>
      <c r="J44" s="196">
        <f>VLOOKUP(B44,泰康小区账面房号及收款金额!$A$2:$B$424,2,0)</f>
        <v>262360.35</v>
      </c>
      <c r="K44" s="196"/>
      <c r="L44" s="196"/>
      <c r="M44" s="196"/>
      <c r="N44" s="196">
        <f t="shared" si="18"/>
        <v>-0.349999999976717</v>
      </c>
      <c r="O44" s="194"/>
      <c r="P44" s="195"/>
      <c r="Q44" s="125">
        <f>VLOOKUP(B44,[2]信息汇总表!$M$2:$T$816,8,0)</f>
        <v>262360</v>
      </c>
      <c r="R44" s="125">
        <f>VLOOKUP(B44,[1]sheet1!$J$4:$K$413,2,0)</f>
        <v>249867</v>
      </c>
      <c r="S44" s="125"/>
      <c r="T44" s="125">
        <f t="shared" si="22"/>
        <v>249867</v>
      </c>
      <c r="U44" s="125">
        <f t="shared" si="1"/>
        <v>12493</v>
      </c>
      <c r="V44" s="125">
        <f t="shared" si="20"/>
        <v>0</v>
      </c>
      <c r="W44" s="125">
        <f t="shared" si="21"/>
        <v>0</v>
      </c>
      <c r="X44" s="125"/>
      <c r="Y44" s="195" t="s">
        <v>42</v>
      </c>
      <c r="Z44" s="165">
        <f t="shared" si="19"/>
        <v>0</v>
      </c>
    </row>
    <row r="45" ht="13.5" spans="1:26">
      <c r="A45" s="175">
        <v>42</v>
      </c>
      <c r="B45" s="187" t="s">
        <v>108</v>
      </c>
      <c r="C45" s="183">
        <v>101.47</v>
      </c>
      <c r="D45" s="179">
        <v>2596</v>
      </c>
      <c r="E45" s="179">
        <f t="shared" si="8"/>
        <v>263416</v>
      </c>
      <c r="F45" s="184" t="s">
        <v>109</v>
      </c>
      <c r="G45" s="182"/>
      <c r="H45" s="185">
        <v>3168</v>
      </c>
      <c r="I45" s="185">
        <v>321457</v>
      </c>
      <c r="J45" s="196">
        <f>VLOOKUP(B45,泰康小区账面房号及收款金额!$A$2:$B$424,2,0)</f>
        <v>321456.7</v>
      </c>
      <c r="K45" s="196"/>
      <c r="L45" s="196"/>
      <c r="M45" s="196"/>
      <c r="N45" s="196">
        <f t="shared" si="18"/>
        <v>0.299999999988358</v>
      </c>
      <c r="O45" s="194"/>
      <c r="P45" s="195"/>
      <c r="Q45" s="125">
        <f>VLOOKUP(B45,[2]信息汇总表!$M$2:$T$816,8,0)</f>
        <v>321457</v>
      </c>
      <c r="R45" s="125">
        <f>VLOOKUP(B45,[1]sheet1!$J$4:$K$413,2,0)</f>
        <v>310979</v>
      </c>
      <c r="S45" s="125"/>
      <c r="T45" s="125">
        <f t="shared" si="22"/>
        <v>306149.238095238</v>
      </c>
      <c r="U45" s="125">
        <f t="shared" si="1"/>
        <v>15307.7619047619</v>
      </c>
      <c r="V45" s="203">
        <f t="shared" si="20"/>
        <v>-4829.76190476189</v>
      </c>
      <c r="W45" s="203">
        <f>U45-X45</f>
        <v>4829.76190476189</v>
      </c>
      <c r="X45" s="204">
        <v>10478</v>
      </c>
      <c r="Y45" t="s">
        <v>77</v>
      </c>
      <c r="Z45" s="165">
        <f t="shared" si="19"/>
        <v>0</v>
      </c>
    </row>
    <row r="46" hidden="1" spans="1:26">
      <c r="A46" s="175">
        <v>43</v>
      </c>
      <c r="B46" s="187" t="s">
        <v>110</v>
      </c>
      <c r="C46" s="183">
        <v>94.74</v>
      </c>
      <c r="D46" s="179">
        <v>2096</v>
      </c>
      <c r="E46" s="179">
        <f t="shared" si="8"/>
        <v>198575</v>
      </c>
      <c r="F46" s="184" t="s">
        <v>111</v>
      </c>
      <c r="G46" s="182" t="s">
        <v>48</v>
      </c>
      <c r="H46" s="185">
        <v>2164</v>
      </c>
      <c r="I46" s="185">
        <v>205017</v>
      </c>
      <c r="J46" s="196">
        <f>VLOOKUP(B46,泰康小区账面房号及收款金额!$A$2:$B$424,2,0)</f>
        <v>205016.7</v>
      </c>
      <c r="K46" s="196"/>
      <c r="L46" s="196"/>
      <c r="M46" s="196"/>
      <c r="N46" s="196">
        <f t="shared" si="18"/>
        <v>0.299999999988358</v>
      </c>
      <c r="O46" s="194"/>
      <c r="P46" s="195"/>
      <c r="Q46" s="125">
        <f>VLOOKUP(B46,[2]信息汇总表!$M$2:$T$816,8,0)</f>
        <v>205017</v>
      </c>
      <c r="R46" s="125">
        <f>VLOOKUP(B46,[1]sheet1!$J$4:$K$413,2,0)</f>
        <v>195254</v>
      </c>
      <c r="S46" s="125"/>
      <c r="T46" s="125">
        <f t="shared" si="22"/>
        <v>195254</v>
      </c>
      <c r="U46" s="125">
        <f t="shared" si="1"/>
        <v>9763</v>
      </c>
      <c r="V46" s="125">
        <f t="shared" si="20"/>
        <v>0</v>
      </c>
      <c r="W46" s="125">
        <f t="shared" ref="W46:W67" si="23">V46*0.05</f>
        <v>0</v>
      </c>
      <c r="X46" s="125"/>
      <c r="Y46" s="195" t="s">
        <v>42</v>
      </c>
      <c r="Z46" s="165">
        <f t="shared" si="19"/>
        <v>0</v>
      </c>
    </row>
    <row r="47" hidden="1" spans="1:26">
      <c r="A47" s="175">
        <v>44</v>
      </c>
      <c r="B47" s="187" t="s">
        <v>112</v>
      </c>
      <c r="C47" s="183">
        <v>94.52</v>
      </c>
      <c r="D47" s="179">
        <v>2096</v>
      </c>
      <c r="E47" s="179">
        <f t="shared" si="8"/>
        <v>198114</v>
      </c>
      <c r="F47" s="184" t="s">
        <v>113</v>
      </c>
      <c r="G47" s="182"/>
      <c r="H47" s="185">
        <v>2200</v>
      </c>
      <c r="I47" s="185">
        <v>207944</v>
      </c>
      <c r="J47" s="196">
        <f>VLOOKUP(B47,泰康小区账面房号及收款金额!$A$2:$B$424,2,0)</f>
        <v>207944.1</v>
      </c>
      <c r="K47" s="196"/>
      <c r="L47" s="196"/>
      <c r="M47" s="196"/>
      <c r="N47" s="196">
        <f t="shared" si="18"/>
        <v>-0.100000000005821</v>
      </c>
      <c r="O47" s="194"/>
      <c r="P47" s="195"/>
      <c r="Q47" s="125">
        <f>VLOOKUP(B47,[2]信息汇总表!$M$2:$T$816,8,0)</f>
        <v>207944</v>
      </c>
      <c r="R47" s="125">
        <f>VLOOKUP(B47,[1]sheet1!$J$4:$K$413,2,0)</f>
        <v>198042</v>
      </c>
      <c r="S47" s="125"/>
      <c r="T47" s="125">
        <f t="shared" si="22"/>
        <v>198042</v>
      </c>
      <c r="U47" s="125">
        <f t="shared" si="1"/>
        <v>9902</v>
      </c>
      <c r="V47" s="125">
        <f t="shared" si="20"/>
        <v>0</v>
      </c>
      <c r="W47" s="125">
        <f t="shared" si="23"/>
        <v>0</v>
      </c>
      <c r="X47" s="125"/>
      <c r="Y47" s="195" t="s">
        <v>42</v>
      </c>
      <c r="Z47" s="165">
        <f t="shared" si="19"/>
        <v>0</v>
      </c>
    </row>
    <row r="48" hidden="1" spans="1:26">
      <c r="A48" s="175">
        <v>45</v>
      </c>
      <c r="B48" s="187" t="s">
        <v>114</v>
      </c>
      <c r="C48" s="183">
        <v>101.49</v>
      </c>
      <c r="D48" s="179">
        <v>3098</v>
      </c>
      <c r="E48" s="179">
        <f t="shared" si="8"/>
        <v>314416</v>
      </c>
      <c r="F48" s="184" t="s">
        <v>115</v>
      </c>
      <c r="G48" s="182"/>
      <c r="H48" s="185">
        <v>3150</v>
      </c>
      <c r="I48" s="185">
        <v>319694</v>
      </c>
      <c r="J48" s="196">
        <f>VLOOKUP(B48,泰康小区账面房号及收款金额!$A$2:$B$424,2,0)</f>
        <v>319631.55</v>
      </c>
      <c r="K48" s="196"/>
      <c r="L48" s="196"/>
      <c r="M48" s="196"/>
      <c r="N48" s="196">
        <f t="shared" si="18"/>
        <v>62.4500000000116</v>
      </c>
      <c r="O48" s="194"/>
      <c r="P48" s="195"/>
      <c r="Q48" s="125">
        <f>VLOOKUP(B48,[2]信息汇总表!$M$2:$T$816,8,0)</f>
        <v>319696</v>
      </c>
      <c r="R48" s="125">
        <f>VLOOKUP(B48,[1]sheet1!$J$4:$K$413,2,0)</f>
        <v>304411</v>
      </c>
      <c r="S48" s="125"/>
      <c r="T48" s="125">
        <f t="shared" si="22"/>
        <v>304411</v>
      </c>
      <c r="U48" s="125">
        <f t="shared" si="1"/>
        <v>15283</v>
      </c>
      <c r="V48" s="125">
        <f t="shared" si="20"/>
        <v>0</v>
      </c>
      <c r="W48" s="125">
        <f t="shared" si="23"/>
        <v>0</v>
      </c>
      <c r="X48" s="204">
        <v>10476</v>
      </c>
      <c r="Y48" s="195" t="s">
        <v>42</v>
      </c>
      <c r="Z48" s="165">
        <f t="shared" si="19"/>
        <v>0</v>
      </c>
    </row>
    <row r="49" hidden="1" spans="1:26">
      <c r="A49" s="175">
        <v>46</v>
      </c>
      <c r="B49" s="187" t="s">
        <v>116</v>
      </c>
      <c r="C49" s="183">
        <v>101.49</v>
      </c>
      <c r="D49" s="179">
        <v>3098</v>
      </c>
      <c r="E49" s="179">
        <f t="shared" si="8"/>
        <v>314416</v>
      </c>
      <c r="F49" s="184" t="s">
        <v>117</v>
      </c>
      <c r="G49" s="182"/>
      <c r="H49" s="185">
        <v>3150</v>
      </c>
      <c r="I49" s="185">
        <v>319694</v>
      </c>
      <c r="J49" s="196">
        <f>VLOOKUP(B49,泰康小区账面房号及收款金额!$A$2:$B$424,2,0)</f>
        <v>319294.4475</v>
      </c>
      <c r="K49" s="196"/>
      <c r="L49" s="196"/>
      <c r="M49" s="196"/>
      <c r="N49" s="196">
        <f t="shared" si="18"/>
        <v>399.552499999991</v>
      </c>
      <c r="O49" s="194"/>
      <c r="P49" s="195"/>
      <c r="Q49" s="125">
        <f>VLOOKUP(B49,[2]信息汇总表!$M$2:$T$816,8,0)</f>
        <v>319694</v>
      </c>
      <c r="R49" s="125">
        <f>VLOOKUP(B49,[1]sheet1!$J$4:$K$413,2,0)</f>
        <v>304089.95</v>
      </c>
      <c r="S49" s="125"/>
      <c r="T49" s="125">
        <f t="shared" si="22"/>
        <v>304089.95</v>
      </c>
      <c r="U49" s="125">
        <f t="shared" si="1"/>
        <v>15604.05</v>
      </c>
      <c r="V49" s="125">
        <f t="shared" si="20"/>
        <v>0</v>
      </c>
      <c r="W49" s="125">
        <f t="shared" si="23"/>
        <v>0</v>
      </c>
      <c r="X49" s="125"/>
      <c r="Y49" s="195" t="s">
        <v>42</v>
      </c>
      <c r="Z49" s="165">
        <f t="shared" si="19"/>
        <v>0</v>
      </c>
    </row>
    <row r="50" hidden="1" spans="1:26">
      <c r="A50" s="175">
        <v>47</v>
      </c>
      <c r="B50" s="187" t="s">
        <v>118</v>
      </c>
      <c r="C50" s="183">
        <v>101.49</v>
      </c>
      <c r="D50" s="179">
        <v>3098</v>
      </c>
      <c r="E50" s="179">
        <f t="shared" si="8"/>
        <v>314416</v>
      </c>
      <c r="F50" s="184" t="s">
        <v>119</v>
      </c>
      <c r="G50" s="182"/>
      <c r="H50" s="185">
        <v>3130</v>
      </c>
      <c r="I50" s="185">
        <v>317664</v>
      </c>
      <c r="J50" s="196">
        <f>VLOOKUP(B50,泰康小区账面房号及收款金额!$A$2:$B$424,2,0)</f>
        <v>317663.85</v>
      </c>
      <c r="K50" s="196"/>
      <c r="L50" s="196"/>
      <c r="M50" s="196"/>
      <c r="N50" s="196">
        <f t="shared" si="18"/>
        <v>0.150000000023283</v>
      </c>
      <c r="O50" s="194"/>
      <c r="P50" s="195"/>
      <c r="Q50" s="125">
        <f>VLOOKUP(B50,[2]信息汇总表!$M$2:$T$816,8,0)</f>
        <v>317664</v>
      </c>
      <c r="R50" s="125">
        <f>VLOOKUP(B50,[1]sheet1!$J$4:$K$413,2,0)</f>
        <v>302537</v>
      </c>
      <c r="S50" s="125"/>
      <c r="T50" s="125">
        <f t="shared" ref="T50:T53" si="24">J50/1.05</f>
        <v>302537</v>
      </c>
      <c r="U50" s="125">
        <f t="shared" si="1"/>
        <v>15127.0000000001</v>
      </c>
      <c r="V50" s="125">
        <f t="shared" si="20"/>
        <v>0</v>
      </c>
      <c r="W50" s="125">
        <f t="shared" si="23"/>
        <v>0</v>
      </c>
      <c r="X50" s="125"/>
      <c r="Y50" s="195" t="s">
        <v>42</v>
      </c>
      <c r="Z50" s="165">
        <f t="shared" si="19"/>
        <v>0</v>
      </c>
    </row>
    <row r="51" hidden="1" spans="1:26">
      <c r="A51" s="175">
        <v>48</v>
      </c>
      <c r="B51" s="187" t="s">
        <v>120</v>
      </c>
      <c r="C51" s="183">
        <v>101.49</v>
      </c>
      <c r="D51" s="179">
        <v>3098</v>
      </c>
      <c r="E51" s="179">
        <f t="shared" si="8"/>
        <v>314416</v>
      </c>
      <c r="F51" s="184" t="s">
        <v>121</v>
      </c>
      <c r="G51" s="182"/>
      <c r="H51" s="185">
        <v>3150</v>
      </c>
      <c r="I51" s="185">
        <v>319694</v>
      </c>
      <c r="J51" s="196">
        <f>VLOOKUP(B51,泰康小区账面房号及收款金额!$A$2:$B$424,2,0)</f>
        <v>319694.55</v>
      </c>
      <c r="K51" s="196"/>
      <c r="L51" s="196"/>
      <c r="M51" s="196"/>
      <c r="N51" s="196">
        <f t="shared" si="18"/>
        <v>-0.549999999988358</v>
      </c>
      <c r="O51" s="194"/>
      <c r="P51" s="195"/>
      <c r="Q51" s="125">
        <f>VLOOKUP(B51,[2]信息汇总表!$M$2:$T$816,8,0)</f>
        <v>319696</v>
      </c>
      <c r="R51" s="125">
        <f>VLOOKUP(B51,[1]sheet1!$J$4:$K$413,2,0)</f>
        <v>304471</v>
      </c>
      <c r="S51" s="125"/>
      <c r="T51" s="125">
        <f t="shared" si="24"/>
        <v>304471</v>
      </c>
      <c r="U51" s="125">
        <f t="shared" si="1"/>
        <v>15223</v>
      </c>
      <c r="V51" s="125">
        <f t="shared" si="20"/>
        <v>0</v>
      </c>
      <c r="W51" s="125">
        <f t="shared" si="23"/>
        <v>0</v>
      </c>
      <c r="X51" s="125"/>
      <c r="Y51" s="195" t="s">
        <v>42</v>
      </c>
      <c r="Z51" s="165">
        <f t="shared" si="19"/>
        <v>0</v>
      </c>
    </row>
    <row r="52" hidden="1" spans="1:26">
      <c r="A52" s="175">
        <v>49</v>
      </c>
      <c r="B52" s="187" t="s">
        <v>122</v>
      </c>
      <c r="C52" s="183">
        <v>101.49</v>
      </c>
      <c r="D52" s="179">
        <v>2818</v>
      </c>
      <c r="E52" s="179">
        <f t="shared" si="8"/>
        <v>285999</v>
      </c>
      <c r="F52" s="184" t="s">
        <v>123</v>
      </c>
      <c r="G52" s="182"/>
      <c r="H52" s="185">
        <v>2920</v>
      </c>
      <c r="I52" s="185">
        <v>296351</v>
      </c>
      <c r="J52" s="196">
        <f>VLOOKUP(B52,泰康小区账面房号及收款金额!$A$2:$B$424,2,0)</f>
        <v>297350.55</v>
      </c>
      <c r="K52" s="196"/>
      <c r="L52" s="196"/>
      <c r="M52" s="196"/>
      <c r="N52" s="196">
        <f t="shared" si="18"/>
        <v>-999.549999999988</v>
      </c>
      <c r="O52" s="194"/>
      <c r="P52" s="195"/>
      <c r="Q52" s="125">
        <f>VLOOKUP(B52,[2]信息汇总表!$M$2:$T$816,8,0)</f>
        <v>296351</v>
      </c>
      <c r="R52" s="125">
        <f>VLOOKUP(B52,[1]sheet1!$J$4:$K$413,2,0)</f>
        <v>283191</v>
      </c>
      <c r="S52" s="125"/>
      <c r="T52" s="125">
        <f t="shared" si="24"/>
        <v>283191</v>
      </c>
      <c r="U52" s="125">
        <f t="shared" si="1"/>
        <v>13160</v>
      </c>
      <c r="V52" s="125">
        <f t="shared" si="20"/>
        <v>0</v>
      </c>
      <c r="W52" s="125">
        <f t="shared" si="23"/>
        <v>0</v>
      </c>
      <c r="X52" s="125"/>
      <c r="Y52" s="195" t="s">
        <v>42</v>
      </c>
      <c r="Z52" s="165">
        <f t="shared" si="19"/>
        <v>0</v>
      </c>
    </row>
    <row r="53" hidden="1" spans="1:26">
      <c r="A53" s="175">
        <v>50</v>
      </c>
      <c r="B53" s="187" t="s">
        <v>124</v>
      </c>
      <c r="C53" s="183">
        <v>101.49</v>
      </c>
      <c r="D53" s="179">
        <v>2818</v>
      </c>
      <c r="E53" s="179">
        <f t="shared" si="8"/>
        <v>285999</v>
      </c>
      <c r="F53" s="184" t="s">
        <v>125</v>
      </c>
      <c r="G53" s="182"/>
      <c r="H53" s="185">
        <v>2800</v>
      </c>
      <c r="I53" s="185">
        <v>284172</v>
      </c>
      <c r="J53" s="196">
        <f>VLOOKUP(B53,泰康小区账面房号及收款金额!$A$2:$B$424,2,0)</f>
        <v>284760</v>
      </c>
      <c r="K53" s="196"/>
      <c r="L53" s="196"/>
      <c r="M53" s="196"/>
      <c r="N53" s="196">
        <f t="shared" si="18"/>
        <v>-588</v>
      </c>
      <c r="O53" s="194" t="s">
        <v>53</v>
      </c>
      <c r="P53" s="195"/>
      <c r="Q53" s="125">
        <f>VLOOKUP(B53,[2]信息汇总表!$M$2:$T$816,8,0)</f>
        <v>284172</v>
      </c>
      <c r="R53" s="125">
        <f>VLOOKUP(B53,[1]sheet1!$J$4:$K$413,2,0)</f>
        <v>271200</v>
      </c>
      <c r="S53" s="125"/>
      <c r="T53" s="125">
        <f t="shared" ref="T53:T67" si="25">J53/1.05</f>
        <v>271200</v>
      </c>
      <c r="U53" s="125">
        <f t="shared" si="1"/>
        <v>12972</v>
      </c>
      <c r="V53" s="125">
        <f t="shared" si="20"/>
        <v>0</v>
      </c>
      <c r="W53" s="125">
        <f t="shared" si="23"/>
        <v>0</v>
      </c>
      <c r="X53" s="125"/>
      <c r="Y53" s="195" t="s">
        <v>42</v>
      </c>
      <c r="Z53" s="165">
        <f t="shared" si="19"/>
        <v>0</v>
      </c>
    </row>
    <row r="54" ht="13" hidden="1" customHeight="1" spans="1:26">
      <c r="A54" s="175">
        <v>51</v>
      </c>
      <c r="B54" s="187" t="s">
        <v>126</v>
      </c>
      <c r="C54" s="183">
        <v>101.49</v>
      </c>
      <c r="D54" s="179">
        <v>2596</v>
      </c>
      <c r="E54" s="179">
        <f t="shared" si="8"/>
        <v>263468</v>
      </c>
      <c r="F54" s="184" t="s">
        <v>127</v>
      </c>
      <c r="G54" s="182"/>
      <c r="H54" s="185">
        <v>2580</v>
      </c>
      <c r="I54" s="185">
        <v>261844</v>
      </c>
      <c r="J54" s="196">
        <f>VLOOKUP(B54,泰康小区账面房号及收款金额!$A$2:$B$424,2,0)</f>
        <v>261844.8</v>
      </c>
      <c r="K54" s="196"/>
      <c r="L54" s="196"/>
      <c r="M54" s="196"/>
      <c r="N54" s="196">
        <f t="shared" si="18"/>
        <v>-0.799999999988358</v>
      </c>
      <c r="O54" s="194"/>
      <c r="P54" s="195"/>
      <c r="Q54" s="125">
        <f>VLOOKUP(B54,[2]信息汇总表!$M$2:$T$816,8,0)</f>
        <v>261844</v>
      </c>
      <c r="R54" s="125">
        <f>VLOOKUP(B54,[1]sheet1!$J$4:$K$413,2,0)</f>
        <v>249376</v>
      </c>
      <c r="S54" s="125"/>
      <c r="T54" s="125">
        <f t="shared" si="25"/>
        <v>249376</v>
      </c>
      <c r="U54" s="125">
        <f t="shared" si="1"/>
        <v>12468</v>
      </c>
      <c r="V54" s="125">
        <f t="shared" si="20"/>
        <v>0</v>
      </c>
      <c r="W54" s="125">
        <f t="shared" si="23"/>
        <v>0</v>
      </c>
      <c r="X54" s="125"/>
      <c r="Y54" s="195" t="s">
        <v>42</v>
      </c>
      <c r="Z54" s="165">
        <f t="shared" si="19"/>
        <v>0</v>
      </c>
    </row>
    <row r="55" hidden="1" spans="1:26">
      <c r="A55" s="175">
        <v>52</v>
      </c>
      <c r="B55" s="187" t="s">
        <v>128</v>
      </c>
      <c r="C55" s="183">
        <v>101.49</v>
      </c>
      <c r="D55" s="179">
        <v>2596</v>
      </c>
      <c r="E55" s="179">
        <f t="shared" si="8"/>
        <v>263468</v>
      </c>
      <c r="F55" s="184" t="s">
        <v>129</v>
      </c>
      <c r="G55" s="182"/>
      <c r="H55" s="185">
        <v>2650</v>
      </c>
      <c r="I55" s="185">
        <v>268949</v>
      </c>
      <c r="J55" s="196">
        <f>VLOOKUP(B55,泰康小区账面房号及收款金额!$A$2:$B$424,2,0)</f>
        <v>268949.1</v>
      </c>
      <c r="K55" s="196"/>
      <c r="L55" s="196"/>
      <c r="M55" s="196"/>
      <c r="N55" s="196">
        <f t="shared" si="18"/>
        <v>-0.0999999999767169</v>
      </c>
      <c r="O55" s="194"/>
      <c r="P55" s="195"/>
      <c r="Q55" s="125">
        <f>VLOOKUP(B55,[2]信息汇总表!$M$2:$T$816,8,0)</f>
        <v>268949</v>
      </c>
      <c r="R55" s="125">
        <f>VLOOKUP(B55,[1]sheet1!$J$4:$K$413,2,0)</f>
        <v>256142</v>
      </c>
      <c r="S55" s="125"/>
      <c r="T55" s="125">
        <f t="shared" si="25"/>
        <v>256142</v>
      </c>
      <c r="U55" s="125">
        <f t="shared" si="1"/>
        <v>12807</v>
      </c>
      <c r="V55" s="125">
        <f t="shared" si="20"/>
        <v>0</v>
      </c>
      <c r="W55" s="125">
        <f t="shared" si="23"/>
        <v>0</v>
      </c>
      <c r="X55" s="125"/>
      <c r="Y55" s="195" t="s">
        <v>42</v>
      </c>
      <c r="Z55" s="165">
        <f t="shared" si="19"/>
        <v>0</v>
      </c>
    </row>
    <row r="56" hidden="1" spans="1:26">
      <c r="A56" s="175">
        <v>53</v>
      </c>
      <c r="B56" s="187" t="s">
        <v>130</v>
      </c>
      <c r="C56" s="183">
        <v>94.54</v>
      </c>
      <c r="D56" s="179">
        <v>2096</v>
      </c>
      <c r="E56" s="179">
        <f t="shared" si="8"/>
        <v>198156</v>
      </c>
      <c r="F56" s="184" t="s">
        <v>131</v>
      </c>
      <c r="G56" s="182"/>
      <c r="H56" s="185">
        <v>2200</v>
      </c>
      <c r="I56" s="185">
        <v>207988</v>
      </c>
      <c r="J56" s="196">
        <f>VLOOKUP(B56,泰康小区账面房号及收款金额!$A$2:$B$424,2,0)</f>
        <v>207988.2</v>
      </c>
      <c r="K56" s="196"/>
      <c r="L56" s="196"/>
      <c r="M56" s="196"/>
      <c r="N56" s="196">
        <f t="shared" si="18"/>
        <v>-0.200000000011642</v>
      </c>
      <c r="O56" s="194"/>
      <c r="P56" s="195"/>
      <c r="Q56" s="125">
        <f>VLOOKUP(B56,[2]信息汇总表!$M$2:$T$816,8,0)</f>
        <v>207988</v>
      </c>
      <c r="R56" s="125">
        <f>VLOOKUP(B56,[1]sheet1!$J$4:$K$413,2,0)</f>
        <v>198084</v>
      </c>
      <c r="S56" s="125"/>
      <c r="T56" s="125">
        <f t="shared" si="25"/>
        <v>198084</v>
      </c>
      <c r="U56" s="125">
        <f t="shared" si="1"/>
        <v>9904</v>
      </c>
      <c r="V56" s="125">
        <f t="shared" si="20"/>
        <v>0</v>
      </c>
      <c r="W56" s="125">
        <f t="shared" si="23"/>
        <v>0</v>
      </c>
      <c r="X56" s="125"/>
      <c r="Y56" s="195" t="s">
        <v>42</v>
      </c>
      <c r="Z56" s="165">
        <f t="shared" si="19"/>
        <v>0</v>
      </c>
    </row>
    <row r="57" hidden="1" spans="1:26">
      <c r="A57" s="175">
        <v>54</v>
      </c>
      <c r="B57" s="187" t="s">
        <v>132</v>
      </c>
      <c r="C57" s="183">
        <v>94.54</v>
      </c>
      <c r="D57" s="179">
        <v>2096</v>
      </c>
      <c r="E57" s="179">
        <f t="shared" si="8"/>
        <v>198156</v>
      </c>
      <c r="F57" s="184" t="s">
        <v>133</v>
      </c>
      <c r="G57" s="182"/>
      <c r="H57" s="185">
        <v>2200</v>
      </c>
      <c r="I57" s="185">
        <v>207988</v>
      </c>
      <c r="J57" s="196">
        <f>VLOOKUP(B57,泰康小区账面房号及收款金额!$A$2:$B$424,2,0)</f>
        <v>207988.2</v>
      </c>
      <c r="K57" s="196"/>
      <c r="L57" s="196"/>
      <c r="M57" s="196"/>
      <c r="N57" s="196">
        <f t="shared" si="18"/>
        <v>-0.200000000011642</v>
      </c>
      <c r="O57" s="194"/>
      <c r="P57" s="195"/>
      <c r="Q57" s="125">
        <f>VLOOKUP(B57,[2]信息汇总表!$M$2:$T$816,8,0)</f>
        <v>207988</v>
      </c>
      <c r="R57" s="125">
        <f>VLOOKUP(B57,[1]sheet1!$J$4:$K$413,2,0)</f>
        <v>198084</v>
      </c>
      <c r="S57" s="125"/>
      <c r="T57" s="125">
        <f t="shared" si="25"/>
        <v>198084</v>
      </c>
      <c r="U57" s="125">
        <f t="shared" si="1"/>
        <v>9904</v>
      </c>
      <c r="V57" s="125">
        <f t="shared" si="20"/>
        <v>0</v>
      </c>
      <c r="W57" s="125">
        <f t="shared" si="23"/>
        <v>0</v>
      </c>
      <c r="X57" s="125"/>
      <c r="Y57" s="195" t="s">
        <v>42</v>
      </c>
      <c r="Z57" s="165">
        <f t="shared" si="19"/>
        <v>0</v>
      </c>
    </row>
    <row r="58" hidden="1" spans="1:26">
      <c r="A58" s="175">
        <v>55</v>
      </c>
      <c r="B58" s="187" t="s">
        <v>134</v>
      </c>
      <c r="C58" s="183">
        <v>101.17</v>
      </c>
      <c r="D58" s="179">
        <v>3098</v>
      </c>
      <c r="E58" s="179">
        <f t="shared" si="8"/>
        <v>313425</v>
      </c>
      <c r="F58" s="184" t="s">
        <v>135</v>
      </c>
      <c r="G58" s="182" t="s">
        <v>48</v>
      </c>
      <c r="H58" s="185">
        <v>3130</v>
      </c>
      <c r="I58" s="185">
        <v>316662</v>
      </c>
      <c r="J58" s="196">
        <f>VLOOKUP(B58,泰康小区账面房号及收款金额!$A$2:$B$424,2,0)</f>
        <v>316662.15</v>
      </c>
      <c r="K58" s="196"/>
      <c r="L58" s="196"/>
      <c r="M58" s="196"/>
      <c r="N58" s="196">
        <f t="shared" si="18"/>
        <v>-0.150000000023283</v>
      </c>
      <c r="O58" s="194"/>
      <c r="P58" s="195"/>
      <c r="Q58" s="125">
        <f>VLOOKUP(B58,[2]信息汇总表!$M$2:$T$816,8,0)</f>
        <v>316662</v>
      </c>
      <c r="R58" s="125">
        <f>VLOOKUP(B58,[1]sheet1!$J$4:$K$413,2,0)</f>
        <v>301583</v>
      </c>
      <c r="S58" s="125"/>
      <c r="T58" s="125">
        <f t="shared" si="25"/>
        <v>301583</v>
      </c>
      <c r="U58" s="125">
        <f t="shared" si="1"/>
        <v>15079</v>
      </c>
      <c r="V58" s="125">
        <f t="shared" si="20"/>
        <v>0</v>
      </c>
      <c r="W58" s="125">
        <f t="shared" si="23"/>
        <v>0</v>
      </c>
      <c r="X58" s="125"/>
      <c r="Y58" s="195" t="s">
        <v>42</v>
      </c>
      <c r="Z58" s="165">
        <f t="shared" si="19"/>
        <v>0</v>
      </c>
    </row>
    <row r="59" hidden="1" spans="1:26">
      <c r="A59" s="175">
        <v>56</v>
      </c>
      <c r="B59" s="187" t="s">
        <v>136</v>
      </c>
      <c r="C59" s="183">
        <v>106.7</v>
      </c>
      <c r="D59" s="179">
        <v>3098</v>
      </c>
      <c r="E59" s="179">
        <f t="shared" si="8"/>
        <v>330557</v>
      </c>
      <c r="F59" s="184" t="s">
        <v>137</v>
      </c>
      <c r="G59" s="182"/>
      <c r="H59" s="185">
        <v>3190</v>
      </c>
      <c r="I59" s="185">
        <v>340373</v>
      </c>
      <c r="J59" s="196">
        <f>VLOOKUP(B59,泰康小区账面房号及收款金额!$A$2:$B$424,2,0)</f>
        <v>340373.25</v>
      </c>
      <c r="K59" s="196"/>
      <c r="L59" s="196"/>
      <c r="M59" s="196"/>
      <c r="N59" s="196">
        <f t="shared" si="18"/>
        <v>-0.25</v>
      </c>
      <c r="O59" s="194"/>
      <c r="P59" s="195"/>
      <c r="Q59" s="125">
        <f>VLOOKUP(B59,[2]信息汇总表!$M$2:$T$816,8,0)</f>
        <v>340373</v>
      </c>
      <c r="R59" s="125">
        <f>VLOOKUP(B59,[1]sheet1!$J$4:$K$413,2,0)</f>
        <v>324165</v>
      </c>
      <c r="S59" s="125"/>
      <c r="T59" s="125">
        <f t="shared" si="25"/>
        <v>324165</v>
      </c>
      <c r="U59" s="125">
        <f t="shared" si="1"/>
        <v>16208</v>
      </c>
      <c r="V59" s="125">
        <f t="shared" si="20"/>
        <v>0</v>
      </c>
      <c r="W59" s="125">
        <f t="shared" si="23"/>
        <v>0</v>
      </c>
      <c r="X59" s="125"/>
      <c r="Y59" s="195" t="s">
        <v>42</v>
      </c>
      <c r="Z59" s="165">
        <f t="shared" si="19"/>
        <v>0</v>
      </c>
    </row>
    <row r="60" hidden="1" spans="1:26">
      <c r="A60" s="175">
        <v>57</v>
      </c>
      <c r="B60" s="187" t="s">
        <v>138</v>
      </c>
      <c r="C60" s="183">
        <v>101.17</v>
      </c>
      <c r="D60" s="179">
        <v>3098</v>
      </c>
      <c r="E60" s="179">
        <f t="shared" si="8"/>
        <v>313425</v>
      </c>
      <c r="F60" s="184" t="s">
        <v>139</v>
      </c>
      <c r="G60" s="182"/>
      <c r="H60" s="185">
        <v>3250</v>
      </c>
      <c r="I60" s="185">
        <v>328803</v>
      </c>
      <c r="J60" s="196">
        <f>VLOOKUP(B60,泰康小区账面房号及收款金额!$A$2:$B$424,2,0)</f>
        <v>328803.3</v>
      </c>
      <c r="K60" s="196"/>
      <c r="L60" s="196"/>
      <c r="M60" s="196"/>
      <c r="N60" s="196">
        <f t="shared" si="18"/>
        <v>-0.299999999988358</v>
      </c>
      <c r="O60" s="194"/>
      <c r="P60" s="195"/>
      <c r="Q60" s="125">
        <f>VLOOKUP(B60,[2]信息汇总表!$M$2:$T$816,8,0)</f>
        <v>328803</v>
      </c>
      <c r="R60" s="125">
        <f>VLOOKUP(B60,[1]sheet1!$J$4:$K$413,2,0)</f>
        <v>313146</v>
      </c>
      <c r="S60" s="125"/>
      <c r="T60" s="125">
        <f t="shared" si="25"/>
        <v>313146</v>
      </c>
      <c r="U60" s="125">
        <f t="shared" si="1"/>
        <v>15657</v>
      </c>
      <c r="V60" s="125">
        <f t="shared" si="20"/>
        <v>0</v>
      </c>
      <c r="W60" s="125">
        <f t="shared" si="23"/>
        <v>0</v>
      </c>
      <c r="X60" s="125"/>
      <c r="Y60" s="195" t="s">
        <v>42</v>
      </c>
      <c r="Z60" s="165">
        <f t="shared" si="19"/>
        <v>0</v>
      </c>
    </row>
    <row r="61" hidden="1" spans="1:26">
      <c r="A61" s="175">
        <v>58</v>
      </c>
      <c r="B61" s="187" t="s">
        <v>140</v>
      </c>
      <c r="C61" s="183">
        <v>106.7</v>
      </c>
      <c r="D61" s="179">
        <v>3098</v>
      </c>
      <c r="E61" s="179">
        <f t="shared" si="8"/>
        <v>330557</v>
      </c>
      <c r="F61" s="184" t="s">
        <v>141</v>
      </c>
      <c r="G61" s="182"/>
      <c r="H61" s="185">
        <v>3000</v>
      </c>
      <c r="I61" s="185">
        <v>320100</v>
      </c>
      <c r="J61" s="196">
        <f>VLOOKUP(B61,泰康小区账面房号及收款金额!$A$2:$B$424,2,0)</f>
        <v>320099.85</v>
      </c>
      <c r="K61" s="196"/>
      <c r="L61" s="196"/>
      <c r="M61" s="196"/>
      <c r="N61" s="196">
        <f t="shared" si="18"/>
        <v>0.150000000023283</v>
      </c>
      <c r="O61" s="194"/>
      <c r="P61" s="195"/>
      <c r="Q61" s="125">
        <f>VLOOKUP(B61,[2]信息汇总表!$M$2:$T$816,8,0)</f>
        <v>320100</v>
      </c>
      <c r="R61" s="125">
        <f>VLOOKUP(B61,[1]sheet1!$J$4:$K$413,2,0)</f>
        <v>304857</v>
      </c>
      <c r="S61" s="125"/>
      <c r="T61" s="125">
        <f t="shared" si="25"/>
        <v>304857</v>
      </c>
      <c r="U61" s="125">
        <f t="shared" si="1"/>
        <v>15243.0000000001</v>
      </c>
      <c r="V61" s="125">
        <f t="shared" si="20"/>
        <v>0</v>
      </c>
      <c r="W61" s="125">
        <f t="shared" si="23"/>
        <v>0</v>
      </c>
      <c r="X61" s="125"/>
      <c r="Y61" s="195" t="s">
        <v>42</v>
      </c>
      <c r="Z61" s="165">
        <f t="shared" si="19"/>
        <v>0</v>
      </c>
    </row>
    <row r="62" hidden="1" spans="1:26">
      <c r="A62" s="175">
        <v>59</v>
      </c>
      <c r="B62" s="187" t="s">
        <v>142</v>
      </c>
      <c r="C62" s="183">
        <v>101.17</v>
      </c>
      <c r="D62" s="179">
        <v>2818</v>
      </c>
      <c r="E62" s="179">
        <f t="shared" si="8"/>
        <v>285097</v>
      </c>
      <c r="F62" s="184" t="s">
        <v>143</v>
      </c>
      <c r="G62" s="182"/>
      <c r="H62" s="185">
        <v>2768</v>
      </c>
      <c r="I62" s="185">
        <v>280039</v>
      </c>
      <c r="J62" s="196">
        <f>VLOOKUP(B62,泰康小区账面房号及收款金额!$A$2:$B$424,2,0)</f>
        <v>280039.2</v>
      </c>
      <c r="K62" s="196"/>
      <c r="L62" s="196"/>
      <c r="M62" s="196"/>
      <c r="N62" s="196">
        <f t="shared" si="18"/>
        <v>-0.200000000011642</v>
      </c>
      <c r="O62" s="194"/>
      <c r="P62" s="195"/>
      <c r="Q62" s="125">
        <f>VLOOKUP(B62,[2]信息汇总表!$M$2:$T$816,8,0)</f>
        <v>280039</v>
      </c>
      <c r="R62" s="125">
        <f>VLOOKUP(B62,[1]sheet1!$J$4:$K$413,2,0)</f>
        <v>266704</v>
      </c>
      <c r="S62" s="125"/>
      <c r="T62" s="125">
        <f t="shared" si="25"/>
        <v>266704</v>
      </c>
      <c r="U62" s="125">
        <f t="shared" si="1"/>
        <v>13335</v>
      </c>
      <c r="V62" s="125">
        <f t="shared" si="20"/>
        <v>0</v>
      </c>
      <c r="W62" s="125">
        <f t="shared" si="23"/>
        <v>0</v>
      </c>
      <c r="X62" s="125"/>
      <c r="Y62" s="195" t="s">
        <v>42</v>
      </c>
      <c r="Z62" s="165">
        <f t="shared" si="19"/>
        <v>0</v>
      </c>
    </row>
    <row r="63" ht="13" hidden="1" customHeight="1" spans="1:26">
      <c r="A63" s="175">
        <v>60</v>
      </c>
      <c r="B63" s="187" t="s">
        <v>144</v>
      </c>
      <c r="C63" s="183">
        <v>106.7</v>
      </c>
      <c r="D63" s="179">
        <v>2818</v>
      </c>
      <c r="E63" s="179">
        <f t="shared" si="8"/>
        <v>300681</v>
      </c>
      <c r="F63" s="184" t="s">
        <v>145</v>
      </c>
      <c r="G63" s="182"/>
      <c r="H63" s="185">
        <v>2800</v>
      </c>
      <c r="I63" s="185">
        <v>298760</v>
      </c>
      <c r="J63" s="196">
        <f>VLOOKUP(B63,泰康小区账面房号及收款金额!$A$2:$B$424,2,0)</f>
        <v>298760.7</v>
      </c>
      <c r="K63" s="196"/>
      <c r="L63" s="196"/>
      <c r="M63" s="196"/>
      <c r="N63" s="196">
        <f t="shared" si="18"/>
        <v>-0.700000000011642</v>
      </c>
      <c r="O63" s="194"/>
      <c r="P63" s="195"/>
      <c r="Q63" s="125">
        <f>VLOOKUP(B63,[2]信息汇总表!$M$2:$T$816,8,0)</f>
        <v>298760</v>
      </c>
      <c r="R63" s="125">
        <f>VLOOKUP(B63,[1]sheet1!$J$4:$K$413,2,0)</f>
        <v>284534</v>
      </c>
      <c r="S63" s="125"/>
      <c r="T63" s="125">
        <f t="shared" si="25"/>
        <v>284534</v>
      </c>
      <c r="U63" s="125">
        <f t="shared" si="1"/>
        <v>14226</v>
      </c>
      <c r="V63" s="125">
        <f t="shared" si="20"/>
        <v>0</v>
      </c>
      <c r="W63" s="125">
        <f t="shared" si="23"/>
        <v>0</v>
      </c>
      <c r="X63" s="204">
        <v>1417</v>
      </c>
      <c r="Y63" s="195" t="s">
        <v>42</v>
      </c>
      <c r="Z63" s="165">
        <f t="shared" si="19"/>
        <v>0</v>
      </c>
    </row>
    <row r="64" hidden="1" spans="1:26">
      <c r="A64" s="175">
        <v>61</v>
      </c>
      <c r="B64" s="187" t="s">
        <v>146</v>
      </c>
      <c r="C64" s="183">
        <v>101.17</v>
      </c>
      <c r="D64" s="179">
        <v>2596</v>
      </c>
      <c r="E64" s="179">
        <f t="shared" si="8"/>
        <v>262637</v>
      </c>
      <c r="F64" s="184" t="s">
        <v>147</v>
      </c>
      <c r="G64" s="182"/>
      <c r="H64" s="185">
        <v>2580</v>
      </c>
      <c r="I64" s="185">
        <v>261019</v>
      </c>
      <c r="J64" s="196">
        <f>VLOOKUP(B64,泰康小区账面房号及收款金额!$A$2:$B$424,2,0)</f>
        <v>261793.35</v>
      </c>
      <c r="K64" s="196"/>
      <c r="L64" s="196"/>
      <c r="M64" s="196"/>
      <c r="N64" s="196">
        <f t="shared" si="18"/>
        <v>-774.350000000006</v>
      </c>
      <c r="O64" s="194" t="s">
        <v>53</v>
      </c>
      <c r="P64" s="195"/>
      <c r="Q64" s="125">
        <f>VLOOKUP(B64,[2]信息汇总表!$M$2:$T$816,8,0)</f>
        <v>261019</v>
      </c>
      <c r="R64" s="125">
        <f>VLOOKUP(B64,[1]sheet1!$J$4:$K$413,2,0)</f>
        <v>249327</v>
      </c>
      <c r="S64" s="125"/>
      <c r="T64" s="125">
        <f t="shared" si="25"/>
        <v>249327</v>
      </c>
      <c r="U64" s="125">
        <f t="shared" si="1"/>
        <v>11692</v>
      </c>
      <c r="V64" s="125">
        <f t="shared" si="20"/>
        <v>0</v>
      </c>
      <c r="W64" s="125">
        <f t="shared" si="23"/>
        <v>0</v>
      </c>
      <c r="X64" s="204">
        <v>4762</v>
      </c>
      <c r="Y64" s="195" t="s">
        <v>42</v>
      </c>
      <c r="Z64" s="165">
        <f t="shared" si="19"/>
        <v>0</v>
      </c>
    </row>
    <row r="65" hidden="1" spans="1:26">
      <c r="A65" s="175">
        <v>62</v>
      </c>
      <c r="B65" s="187" t="s">
        <v>148</v>
      </c>
      <c r="C65" s="183">
        <v>106.7</v>
      </c>
      <c r="D65" s="179">
        <v>2596</v>
      </c>
      <c r="E65" s="179">
        <f t="shared" ref="E65:E128" si="26">ROUND(IF(F65&lt;&gt;0,C65*D65,0),0)</f>
        <v>276993</v>
      </c>
      <c r="F65" s="184" t="s">
        <v>149</v>
      </c>
      <c r="G65" s="182"/>
      <c r="H65" s="185">
        <v>2580</v>
      </c>
      <c r="I65" s="185">
        <v>275286</v>
      </c>
      <c r="J65" s="196">
        <f>VLOOKUP(B65,泰康小区账面房号及收款金额!$A$2:$B$424,2,0)</f>
        <v>275285.85</v>
      </c>
      <c r="K65" s="196"/>
      <c r="L65" s="196"/>
      <c r="M65" s="196"/>
      <c r="N65" s="196">
        <f t="shared" si="18"/>
        <v>0.150000000023283</v>
      </c>
      <c r="O65" s="194"/>
      <c r="P65" s="195"/>
      <c r="Q65" s="125">
        <f>VLOOKUP(B65,[2]信息汇总表!$M$2:$T$816,8,0)</f>
        <v>275286</v>
      </c>
      <c r="R65" s="125">
        <f>VLOOKUP(B65,[1]sheet1!$J$4:$K$413,2,0)</f>
        <v>262177</v>
      </c>
      <c r="S65" s="125"/>
      <c r="T65" s="125">
        <f t="shared" si="25"/>
        <v>262177</v>
      </c>
      <c r="U65" s="125">
        <f t="shared" si="1"/>
        <v>13109.0000000001</v>
      </c>
      <c r="V65" s="125">
        <f t="shared" si="20"/>
        <v>0</v>
      </c>
      <c r="W65" s="125">
        <f t="shared" si="23"/>
        <v>0</v>
      </c>
      <c r="X65" s="204">
        <v>952</v>
      </c>
      <c r="Y65" s="195" t="s">
        <v>42</v>
      </c>
      <c r="Z65" s="165">
        <f t="shared" si="19"/>
        <v>0</v>
      </c>
    </row>
    <row r="66" ht="15" hidden="1" customHeight="1" spans="1:26">
      <c r="A66" s="175">
        <v>63</v>
      </c>
      <c r="B66" s="187" t="s">
        <v>150</v>
      </c>
      <c r="C66" s="183">
        <v>94.24</v>
      </c>
      <c r="D66" s="179">
        <v>2096</v>
      </c>
      <c r="E66" s="179">
        <f t="shared" si="26"/>
        <v>197527</v>
      </c>
      <c r="F66" s="184" t="s">
        <v>151</v>
      </c>
      <c r="G66" s="182"/>
      <c r="H66" s="185">
        <v>2200</v>
      </c>
      <c r="I66" s="185">
        <v>207328</v>
      </c>
      <c r="J66" s="196">
        <f>VLOOKUP(B66,泰康小区账面房号及收款金额!$A$2:$B$424,2,0)</f>
        <v>207327.75</v>
      </c>
      <c r="K66" s="196"/>
      <c r="L66" s="196"/>
      <c r="M66" s="196"/>
      <c r="N66" s="196">
        <f t="shared" si="18"/>
        <v>0.25</v>
      </c>
      <c r="O66" s="194"/>
      <c r="P66" s="195"/>
      <c r="Q66" s="125">
        <f>VLOOKUP(B66,[2]信息汇总表!$M$2:$T$816,8,0)</f>
        <v>207328</v>
      </c>
      <c r="R66" s="125">
        <f>VLOOKUP(B66,[1]sheet1!$J$4:$K$413,2,0)</f>
        <v>197455</v>
      </c>
      <c r="S66" s="125"/>
      <c r="T66" s="125">
        <f t="shared" si="25"/>
        <v>197455</v>
      </c>
      <c r="U66" s="125">
        <f t="shared" si="1"/>
        <v>9873</v>
      </c>
      <c r="V66" s="125">
        <f t="shared" si="20"/>
        <v>0</v>
      </c>
      <c r="W66" s="125">
        <f t="shared" si="23"/>
        <v>0</v>
      </c>
      <c r="X66" s="204">
        <v>2635</v>
      </c>
      <c r="Y66" s="195" t="s">
        <v>42</v>
      </c>
      <c r="Z66" s="165">
        <f t="shared" si="19"/>
        <v>0</v>
      </c>
    </row>
    <row r="67" hidden="1" spans="1:26">
      <c r="A67" s="175">
        <v>64</v>
      </c>
      <c r="B67" s="187" t="s">
        <v>152</v>
      </c>
      <c r="C67" s="183">
        <v>99.77</v>
      </c>
      <c r="D67" s="179">
        <v>2096</v>
      </c>
      <c r="E67" s="179">
        <f t="shared" si="26"/>
        <v>209118</v>
      </c>
      <c r="F67" s="184" t="s">
        <v>153</v>
      </c>
      <c r="G67" s="182"/>
      <c r="H67" s="185">
        <v>2180</v>
      </c>
      <c r="I67" s="185">
        <v>217499</v>
      </c>
      <c r="J67" s="196">
        <f>VLOOKUP(B67,泰康小区账面房号及收款金额!$A$2:$B$424,2,0)</f>
        <v>217499.1</v>
      </c>
      <c r="K67" s="196"/>
      <c r="L67" s="196"/>
      <c r="M67" s="196"/>
      <c r="N67" s="196">
        <f t="shared" si="18"/>
        <v>-0.100000000005821</v>
      </c>
      <c r="O67" s="194"/>
      <c r="P67" s="195"/>
      <c r="Q67" s="125">
        <f>VLOOKUP(B67,[2]信息汇总表!$M$2:$T$816,8,0)</f>
        <v>217499</v>
      </c>
      <c r="R67" s="125">
        <f>VLOOKUP(B67,[1]sheet1!$J$4:$K$413,2,0)</f>
        <v>207142</v>
      </c>
      <c r="S67" s="125"/>
      <c r="T67" s="125">
        <f t="shared" si="25"/>
        <v>207142</v>
      </c>
      <c r="U67" s="125">
        <f t="shared" si="1"/>
        <v>10357</v>
      </c>
      <c r="V67" s="125">
        <f t="shared" si="20"/>
        <v>0</v>
      </c>
      <c r="W67" s="125">
        <f t="shared" si="23"/>
        <v>0</v>
      </c>
      <c r="X67" s="204"/>
      <c r="Y67" s="195" t="s">
        <v>42</v>
      </c>
      <c r="Z67" s="165">
        <f t="shared" si="19"/>
        <v>0</v>
      </c>
    </row>
    <row r="68" hidden="1" spans="1:26">
      <c r="A68" s="175">
        <v>65</v>
      </c>
      <c r="B68" s="187" t="s">
        <v>154</v>
      </c>
      <c r="C68" s="183">
        <v>32.98</v>
      </c>
      <c r="D68" s="179">
        <v>3500</v>
      </c>
      <c r="E68" s="179">
        <f t="shared" si="26"/>
        <v>115430</v>
      </c>
      <c r="F68" s="184" t="s">
        <v>29</v>
      </c>
      <c r="G68" s="182" t="s">
        <v>23</v>
      </c>
      <c r="H68" s="185">
        <v>2200</v>
      </c>
      <c r="I68" s="185">
        <f>C68*H68</f>
        <v>72556</v>
      </c>
      <c r="J68" s="196">
        <f>泰康小区账面房号及收款金额!B3-100000</f>
        <v>8034089.4</v>
      </c>
      <c r="K68" s="196"/>
      <c r="L68" s="196"/>
      <c r="M68" s="196"/>
      <c r="N68" s="197">
        <f>SUM(I68:I137)-J68</f>
        <v>0</v>
      </c>
      <c r="O68" s="194"/>
      <c r="P68" s="195"/>
      <c r="Q68" s="125"/>
      <c r="R68" s="125">
        <f>[1]sheet1!$K$114</f>
        <v>7937228</v>
      </c>
      <c r="S68" s="125"/>
      <c r="T68" s="202">
        <f t="shared" ref="T68:T99" si="27">I68/1.05</f>
        <v>69100.9523809524</v>
      </c>
      <c r="U68" s="202">
        <f t="shared" si="1"/>
        <v>3455.0476190476</v>
      </c>
      <c r="V68" s="125"/>
      <c r="W68" s="125"/>
      <c r="X68" s="204">
        <v>8334089.4</v>
      </c>
      <c r="Y68" s="195"/>
      <c r="Z68" s="165">
        <f t="shared" si="19"/>
        <v>0</v>
      </c>
    </row>
    <row r="69" hidden="1" spans="1:26">
      <c r="A69" s="175">
        <v>66</v>
      </c>
      <c r="B69" s="187" t="s">
        <v>155</v>
      </c>
      <c r="C69" s="183">
        <f>32.5+0.15</f>
        <v>32.65</v>
      </c>
      <c r="D69" s="179">
        <v>3500</v>
      </c>
      <c r="E69" s="179">
        <f t="shared" si="26"/>
        <v>114275</v>
      </c>
      <c r="F69" s="184" t="s">
        <v>29</v>
      </c>
      <c r="G69" s="182" t="s">
        <v>23</v>
      </c>
      <c r="H69" s="185">
        <v>2200</v>
      </c>
      <c r="I69" s="185">
        <f>C69*H69</f>
        <v>71830</v>
      </c>
      <c r="J69" s="196"/>
      <c r="K69" s="196"/>
      <c r="L69" s="196"/>
      <c r="M69" s="196"/>
      <c r="N69" s="196"/>
      <c r="O69" s="194"/>
      <c r="P69" s="195"/>
      <c r="Q69" s="125"/>
      <c r="R69" s="125"/>
      <c r="S69" s="125"/>
      <c r="T69" s="202">
        <f t="shared" si="27"/>
        <v>68409.5238095238</v>
      </c>
      <c r="U69" s="202">
        <f t="shared" ref="U69:U132" si="28">I69-T69</f>
        <v>3420.4761904762</v>
      </c>
      <c r="V69" s="125"/>
      <c r="W69" s="125"/>
      <c r="X69" s="204"/>
      <c r="Y69" s="195"/>
      <c r="Z69" s="165">
        <f t="shared" ref="Z69:Z86" si="29">V69+W69</f>
        <v>0</v>
      </c>
    </row>
    <row r="70" hidden="1" spans="1:26">
      <c r="A70" s="175">
        <v>67</v>
      </c>
      <c r="B70" s="187" t="s">
        <v>156</v>
      </c>
      <c r="C70" s="183">
        <v>32.5</v>
      </c>
      <c r="D70" s="179">
        <v>3500</v>
      </c>
      <c r="E70" s="179">
        <f t="shared" si="26"/>
        <v>113750</v>
      </c>
      <c r="F70" s="184" t="s">
        <v>29</v>
      </c>
      <c r="G70" s="182" t="s">
        <v>23</v>
      </c>
      <c r="H70" s="185">
        <v>2200</v>
      </c>
      <c r="I70" s="185">
        <f t="shared" ref="I70:I101" si="30">C70*H70</f>
        <v>71500</v>
      </c>
      <c r="J70" s="196"/>
      <c r="K70" s="196"/>
      <c r="L70" s="196"/>
      <c r="M70" s="196"/>
      <c r="N70" s="196"/>
      <c r="O70" s="194"/>
      <c r="P70" s="195"/>
      <c r="Q70" s="125"/>
      <c r="R70" s="125"/>
      <c r="S70" s="125"/>
      <c r="T70" s="202">
        <f t="shared" si="27"/>
        <v>68095.2380952381</v>
      </c>
      <c r="U70" s="202">
        <f t="shared" si="28"/>
        <v>3404.76190476191</v>
      </c>
      <c r="V70" s="125"/>
      <c r="W70" s="125"/>
      <c r="X70" s="204"/>
      <c r="Y70" s="195"/>
      <c r="Z70" s="165">
        <f t="shared" si="29"/>
        <v>0</v>
      </c>
    </row>
    <row r="71" hidden="1" spans="1:26">
      <c r="A71" s="175">
        <v>68</v>
      </c>
      <c r="B71" s="187" t="s">
        <v>157</v>
      </c>
      <c r="C71" s="183">
        <v>32.5</v>
      </c>
      <c r="D71" s="179">
        <v>3500</v>
      </c>
      <c r="E71" s="179">
        <f t="shared" si="26"/>
        <v>113750</v>
      </c>
      <c r="F71" s="184" t="s">
        <v>29</v>
      </c>
      <c r="G71" s="182" t="s">
        <v>23</v>
      </c>
      <c r="H71" s="185">
        <v>2200</v>
      </c>
      <c r="I71" s="185">
        <f t="shared" si="30"/>
        <v>71500</v>
      </c>
      <c r="J71" s="196"/>
      <c r="K71" s="196"/>
      <c r="L71" s="196"/>
      <c r="M71" s="196"/>
      <c r="N71" s="196"/>
      <c r="O71" s="194"/>
      <c r="P71" s="195"/>
      <c r="Q71" s="125"/>
      <c r="R71" s="125"/>
      <c r="S71" s="125"/>
      <c r="T71" s="202">
        <f t="shared" si="27"/>
        <v>68095.2380952381</v>
      </c>
      <c r="U71" s="202">
        <f t="shared" si="28"/>
        <v>3404.76190476191</v>
      </c>
      <c r="V71" s="125"/>
      <c r="W71" s="125"/>
      <c r="X71" s="204"/>
      <c r="Y71" s="195"/>
      <c r="Z71" s="165">
        <f t="shared" si="29"/>
        <v>0</v>
      </c>
    </row>
    <row r="72" hidden="1" spans="1:26">
      <c r="A72" s="175">
        <v>69</v>
      </c>
      <c r="B72" s="187" t="s">
        <v>158</v>
      </c>
      <c r="C72" s="183">
        <v>32.5</v>
      </c>
      <c r="D72" s="179">
        <v>3500</v>
      </c>
      <c r="E72" s="179">
        <f t="shared" si="26"/>
        <v>113750</v>
      </c>
      <c r="F72" s="184" t="s">
        <v>29</v>
      </c>
      <c r="G72" s="182" t="s">
        <v>23</v>
      </c>
      <c r="H72" s="185">
        <v>2200</v>
      </c>
      <c r="I72" s="185">
        <f t="shared" si="30"/>
        <v>71500</v>
      </c>
      <c r="J72" s="196"/>
      <c r="K72" s="196"/>
      <c r="L72" s="196"/>
      <c r="M72" s="196"/>
      <c r="N72" s="196"/>
      <c r="O72" s="194"/>
      <c r="P72" s="195"/>
      <c r="Q72" s="125"/>
      <c r="R72" s="125"/>
      <c r="S72" s="125"/>
      <c r="T72" s="202">
        <f t="shared" si="27"/>
        <v>68095.2380952381</v>
      </c>
      <c r="U72" s="202">
        <f t="shared" si="28"/>
        <v>3404.76190476191</v>
      </c>
      <c r="V72" s="125"/>
      <c r="W72" s="125"/>
      <c r="X72" s="125"/>
      <c r="Y72" s="195"/>
      <c r="Z72" s="165">
        <f t="shared" si="29"/>
        <v>0</v>
      </c>
    </row>
    <row r="73" hidden="1" spans="1:26">
      <c r="A73" s="175">
        <v>70</v>
      </c>
      <c r="B73" s="187" t="s">
        <v>159</v>
      </c>
      <c r="C73" s="183">
        <v>32.59</v>
      </c>
      <c r="D73" s="179">
        <v>3500</v>
      </c>
      <c r="E73" s="179">
        <f t="shared" si="26"/>
        <v>114065</v>
      </c>
      <c r="F73" s="184" t="s">
        <v>29</v>
      </c>
      <c r="G73" s="182" t="s">
        <v>23</v>
      </c>
      <c r="H73" s="185">
        <v>2200</v>
      </c>
      <c r="I73" s="185">
        <f t="shared" si="30"/>
        <v>71698</v>
      </c>
      <c r="J73" s="196"/>
      <c r="K73" s="196"/>
      <c r="L73" s="196"/>
      <c r="M73" s="196"/>
      <c r="N73" s="196"/>
      <c r="O73" s="194"/>
      <c r="P73" s="195"/>
      <c r="Q73" s="125"/>
      <c r="R73" s="125"/>
      <c r="S73" s="125"/>
      <c r="T73" s="202">
        <f t="shared" si="27"/>
        <v>68283.8095238095</v>
      </c>
      <c r="U73" s="202">
        <f t="shared" si="28"/>
        <v>3414.19047619047</v>
      </c>
      <c r="V73" s="125"/>
      <c r="W73" s="125"/>
      <c r="X73" s="125"/>
      <c r="Y73" s="195"/>
      <c r="Z73" s="165">
        <f t="shared" si="29"/>
        <v>0</v>
      </c>
    </row>
    <row r="74" hidden="1" spans="1:26">
      <c r="A74" s="175">
        <v>71</v>
      </c>
      <c r="B74" s="187" t="s">
        <v>160</v>
      </c>
      <c r="C74" s="183">
        <v>32.61</v>
      </c>
      <c r="D74" s="179">
        <v>3500</v>
      </c>
      <c r="E74" s="179">
        <f t="shared" si="26"/>
        <v>114135</v>
      </c>
      <c r="F74" s="184" t="s">
        <v>29</v>
      </c>
      <c r="G74" s="182" t="s">
        <v>23</v>
      </c>
      <c r="H74" s="185">
        <v>2200</v>
      </c>
      <c r="I74" s="185">
        <f t="shared" si="30"/>
        <v>71742</v>
      </c>
      <c r="J74" s="196"/>
      <c r="K74" s="196"/>
      <c r="L74" s="196"/>
      <c r="M74" s="196"/>
      <c r="N74" s="196"/>
      <c r="O74" s="194"/>
      <c r="P74" s="195"/>
      <c r="Q74" s="125"/>
      <c r="R74" s="125"/>
      <c r="S74" s="125"/>
      <c r="T74" s="202">
        <f t="shared" si="27"/>
        <v>68325.7142857143</v>
      </c>
      <c r="U74" s="202">
        <f t="shared" si="28"/>
        <v>3416.28571428571</v>
      </c>
      <c r="V74" s="125"/>
      <c r="W74" s="125"/>
      <c r="X74" s="125"/>
      <c r="Y74" s="195"/>
      <c r="Z74" s="165">
        <f t="shared" si="29"/>
        <v>0</v>
      </c>
    </row>
    <row r="75" hidden="1" spans="1:26">
      <c r="A75" s="175">
        <v>72</v>
      </c>
      <c r="B75" s="187" t="s">
        <v>161</v>
      </c>
      <c r="C75" s="183">
        <v>32.5</v>
      </c>
      <c r="D75" s="179">
        <v>3500</v>
      </c>
      <c r="E75" s="179">
        <f t="shared" si="26"/>
        <v>113750</v>
      </c>
      <c r="F75" s="184" t="s">
        <v>29</v>
      </c>
      <c r="G75" s="182" t="s">
        <v>23</v>
      </c>
      <c r="H75" s="185">
        <v>2200</v>
      </c>
      <c r="I75" s="185">
        <f t="shared" si="30"/>
        <v>71500</v>
      </c>
      <c r="J75" s="196"/>
      <c r="K75" s="196"/>
      <c r="L75" s="196"/>
      <c r="M75" s="196"/>
      <c r="N75" s="196"/>
      <c r="O75" s="194"/>
      <c r="P75" s="195"/>
      <c r="Q75" s="125"/>
      <c r="R75" s="125"/>
      <c r="S75" s="125"/>
      <c r="T75" s="202">
        <f t="shared" si="27"/>
        <v>68095.2380952381</v>
      </c>
      <c r="U75" s="202">
        <f t="shared" si="28"/>
        <v>3404.76190476191</v>
      </c>
      <c r="V75" s="125"/>
      <c r="W75" s="125"/>
      <c r="X75" s="125"/>
      <c r="Y75" s="195"/>
      <c r="Z75" s="165">
        <f t="shared" si="29"/>
        <v>0</v>
      </c>
    </row>
    <row r="76" hidden="1" spans="1:26">
      <c r="A76" s="175">
        <v>73</v>
      </c>
      <c r="B76" s="187" t="s">
        <v>162</v>
      </c>
      <c r="C76" s="183">
        <v>32.5</v>
      </c>
      <c r="D76" s="179">
        <v>3500</v>
      </c>
      <c r="E76" s="179">
        <f t="shared" si="26"/>
        <v>113750</v>
      </c>
      <c r="F76" s="184" t="s">
        <v>29</v>
      </c>
      <c r="G76" s="182" t="s">
        <v>23</v>
      </c>
      <c r="H76" s="185">
        <v>2200</v>
      </c>
      <c r="I76" s="185">
        <f t="shared" si="30"/>
        <v>71500</v>
      </c>
      <c r="J76" s="196"/>
      <c r="K76" s="196"/>
      <c r="L76" s="196"/>
      <c r="M76" s="196"/>
      <c r="N76" s="196"/>
      <c r="O76" s="194"/>
      <c r="P76" s="195"/>
      <c r="Q76" s="125"/>
      <c r="R76" s="125"/>
      <c r="S76" s="125"/>
      <c r="T76" s="202">
        <f t="shared" si="27"/>
        <v>68095.2380952381</v>
      </c>
      <c r="U76" s="202">
        <f t="shared" si="28"/>
        <v>3404.76190476191</v>
      </c>
      <c r="V76" s="125"/>
      <c r="W76" s="125"/>
      <c r="X76" s="125"/>
      <c r="Y76" s="195"/>
      <c r="Z76" s="165">
        <f t="shared" si="29"/>
        <v>0</v>
      </c>
    </row>
    <row r="77" hidden="1" spans="1:26">
      <c r="A77" s="175">
        <v>74</v>
      </c>
      <c r="B77" s="187" t="s">
        <v>163</v>
      </c>
      <c r="C77" s="183">
        <v>32.5</v>
      </c>
      <c r="D77" s="179">
        <v>3500</v>
      </c>
      <c r="E77" s="179">
        <f t="shared" si="26"/>
        <v>113750</v>
      </c>
      <c r="F77" s="184" t="s">
        <v>29</v>
      </c>
      <c r="G77" s="182" t="s">
        <v>23</v>
      </c>
      <c r="H77" s="185">
        <v>2200</v>
      </c>
      <c r="I77" s="185">
        <f t="shared" si="30"/>
        <v>71500</v>
      </c>
      <c r="J77" s="196"/>
      <c r="K77" s="196"/>
      <c r="L77" s="196"/>
      <c r="M77" s="196"/>
      <c r="N77" s="196"/>
      <c r="O77" s="194"/>
      <c r="P77" s="195"/>
      <c r="Q77" s="125"/>
      <c r="R77" s="125"/>
      <c r="S77" s="125"/>
      <c r="T77" s="202">
        <f t="shared" si="27"/>
        <v>68095.2380952381</v>
      </c>
      <c r="U77" s="202">
        <f t="shared" si="28"/>
        <v>3404.76190476191</v>
      </c>
      <c r="V77" s="125"/>
      <c r="W77" s="125"/>
      <c r="X77" s="125"/>
      <c r="Y77" s="195"/>
      <c r="Z77" s="165">
        <f t="shared" si="29"/>
        <v>0</v>
      </c>
    </row>
    <row r="78" hidden="1" spans="1:26">
      <c r="A78" s="175">
        <v>75</v>
      </c>
      <c r="B78" s="187" t="s">
        <v>164</v>
      </c>
      <c r="C78" s="183">
        <v>32.5</v>
      </c>
      <c r="D78" s="179">
        <v>3500</v>
      </c>
      <c r="E78" s="179">
        <f t="shared" si="26"/>
        <v>113750</v>
      </c>
      <c r="F78" s="184" t="s">
        <v>29</v>
      </c>
      <c r="G78" s="182" t="s">
        <v>23</v>
      </c>
      <c r="H78" s="185">
        <v>2200</v>
      </c>
      <c r="I78" s="185">
        <f t="shared" si="30"/>
        <v>71500</v>
      </c>
      <c r="J78" s="196"/>
      <c r="K78" s="196"/>
      <c r="L78" s="196"/>
      <c r="M78" s="196"/>
      <c r="N78" s="196"/>
      <c r="O78" s="194"/>
      <c r="P78" s="195"/>
      <c r="Q78" s="125"/>
      <c r="R78" s="125"/>
      <c r="S78" s="125"/>
      <c r="T78" s="202">
        <f t="shared" si="27"/>
        <v>68095.2380952381</v>
      </c>
      <c r="U78" s="202">
        <f t="shared" si="28"/>
        <v>3404.76190476191</v>
      </c>
      <c r="V78" s="125"/>
      <c r="W78" s="125"/>
      <c r="X78" s="125"/>
      <c r="Y78" s="195"/>
      <c r="Z78" s="165">
        <f t="shared" si="29"/>
        <v>0</v>
      </c>
    </row>
    <row r="79" hidden="1" spans="1:26">
      <c r="A79" s="175">
        <v>76</v>
      </c>
      <c r="B79" s="187" t="s">
        <v>165</v>
      </c>
      <c r="C79" s="183">
        <v>32.5</v>
      </c>
      <c r="D79" s="179">
        <v>3500</v>
      </c>
      <c r="E79" s="179">
        <f t="shared" si="26"/>
        <v>113750</v>
      </c>
      <c r="F79" s="184" t="s">
        <v>29</v>
      </c>
      <c r="G79" s="182" t="s">
        <v>23</v>
      </c>
      <c r="H79" s="185">
        <v>2200</v>
      </c>
      <c r="I79" s="185">
        <f t="shared" si="30"/>
        <v>71500</v>
      </c>
      <c r="J79" s="196"/>
      <c r="K79" s="196"/>
      <c r="L79" s="196"/>
      <c r="M79" s="196"/>
      <c r="N79" s="196"/>
      <c r="O79" s="194"/>
      <c r="P79" s="195"/>
      <c r="Q79" s="125"/>
      <c r="R79" s="125"/>
      <c r="S79" s="125"/>
      <c r="T79" s="202">
        <f t="shared" si="27"/>
        <v>68095.2380952381</v>
      </c>
      <c r="U79" s="202">
        <f t="shared" si="28"/>
        <v>3404.76190476191</v>
      </c>
      <c r="V79" s="125"/>
      <c r="W79" s="125"/>
      <c r="X79" s="125"/>
      <c r="Y79" s="195"/>
      <c r="Z79" s="165">
        <f t="shared" si="29"/>
        <v>0</v>
      </c>
    </row>
    <row r="80" hidden="1" spans="1:26">
      <c r="A80" s="175">
        <v>77</v>
      </c>
      <c r="B80" s="187" t="s">
        <v>166</v>
      </c>
      <c r="C80" s="183">
        <v>32.5</v>
      </c>
      <c r="D80" s="179">
        <v>3500</v>
      </c>
      <c r="E80" s="179">
        <f t="shared" si="26"/>
        <v>113750</v>
      </c>
      <c r="F80" s="184" t="s">
        <v>29</v>
      </c>
      <c r="G80" s="182" t="s">
        <v>23</v>
      </c>
      <c r="H80" s="185">
        <v>2200</v>
      </c>
      <c r="I80" s="185">
        <f t="shared" si="30"/>
        <v>71500</v>
      </c>
      <c r="J80" s="196"/>
      <c r="K80" s="196"/>
      <c r="L80" s="196"/>
      <c r="M80" s="196"/>
      <c r="N80" s="196"/>
      <c r="O80" s="194"/>
      <c r="P80" s="195"/>
      <c r="Q80" s="125"/>
      <c r="R80" s="125"/>
      <c r="S80" s="125"/>
      <c r="T80" s="202">
        <f t="shared" si="27"/>
        <v>68095.2380952381</v>
      </c>
      <c r="U80" s="202">
        <f t="shared" si="28"/>
        <v>3404.76190476191</v>
      </c>
      <c r="V80" s="125"/>
      <c r="W80" s="125"/>
      <c r="X80" s="125"/>
      <c r="Y80" s="195"/>
      <c r="Z80" s="165">
        <f t="shared" si="29"/>
        <v>0</v>
      </c>
    </row>
    <row r="81" hidden="1" spans="1:26">
      <c r="A81" s="175">
        <v>78</v>
      </c>
      <c r="B81" s="187" t="s">
        <v>167</v>
      </c>
      <c r="C81" s="183">
        <v>32.98</v>
      </c>
      <c r="D81" s="179">
        <v>3500</v>
      </c>
      <c r="E81" s="179">
        <f t="shared" si="26"/>
        <v>115430</v>
      </c>
      <c r="F81" s="184" t="s">
        <v>29</v>
      </c>
      <c r="G81" s="182" t="s">
        <v>23</v>
      </c>
      <c r="H81" s="185">
        <v>2200</v>
      </c>
      <c r="I81" s="185">
        <f t="shared" si="30"/>
        <v>72556</v>
      </c>
      <c r="J81" s="196"/>
      <c r="K81" s="196"/>
      <c r="L81" s="196"/>
      <c r="M81" s="196"/>
      <c r="N81" s="196"/>
      <c r="O81" s="194"/>
      <c r="P81" s="195"/>
      <c r="Q81" s="125"/>
      <c r="R81" s="125"/>
      <c r="S81" s="125"/>
      <c r="T81" s="202">
        <f t="shared" si="27"/>
        <v>69100.9523809524</v>
      </c>
      <c r="U81" s="202">
        <f t="shared" si="28"/>
        <v>3455.04761904762</v>
      </c>
      <c r="V81" s="125"/>
      <c r="W81" s="125"/>
      <c r="X81" s="125"/>
      <c r="Y81" s="195"/>
      <c r="Z81" s="165">
        <f t="shared" si="29"/>
        <v>0</v>
      </c>
    </row>
    <row r="82" hidden="1" spans="1:26">
      <c r="A82" s="175">
        <v>79</v>
      </c>
      <c r="B82" s="187" t="s">
        <v>168</v>
      </c>
      <c r="C82" s="183">
        <v>32.98</v>
      </c>
      <c r="D82" s="179">
        <v>3500</v>
      </c>
      <c r="E82" s="179">
        <f t="shared" si="26"/>
        <v>115430</v>
      </c>
      <c r="F82" s="184" t="s">
        <v>29</v>
      </c>
      <c r="G82" s="182" t="s">
        <v>23</v>
      </c>
      <c r="H82" s="185">
        <v>2200</v>
      </c>
      <c r="I82" s="185">
        <f t="shared" si="30"/>
        <v>72556</v>
      </c>
      <c r="J82" s="196"/>
      <c r="K82" s="196"/>
      <c r="L82" s="196"/>
      <c r="M82" s="196"/>
      <c r="N82" s="196"/>
      <c r="O82" s="194"/>
      <c r="P82" s="195"/>
      <c r="Q82" s="125"/>
      <c r="R82" s="125"/>
      <c r="S82" s="125"/>
      <c r="T82" s="202">
        <f t="shared" si="27"/>
        <v>69100.9523809524</v>
      </c>
      <c r="U82" s="202">
        <f t="shared" si="28"/>
        <v>3455.04761904762</v>
      </c>
      <c r="V82" s="125"/>
      <c r="W82" s="125"/>
      <c r="X82" s="125"/>
      <c r="Y82" s="195"/>
      <c r="Z82" s="165">
        <f t="shared" si="29"/>
        <v>0</v>
      </c>
    </row>
    <row r="83" hidden="1" spans="1:26">
      <c r="A83" s="175">
        <v>80</v>
      </c>
      <c r="B83" s="187" t="s">
        <v>169</v>
      </c>
      <c r="C83" s="183">
        <v>32.5</v>
      </c>
      <c r="D83" s="179">
        <v>3500</v>
      </c>
      <c r="E83" s="179">
        <f t="shared" si="26"/>
        <v>113750</v>
      </c>
      <c r="F83" s="184" t="s">
        <v>29</v>
      </c>
      <c r="G83" s="182" t="s">
        <v>23</v>
      </c>
      <c r="H83" s="185">
        <v>2200</v>
      </c>
      <c r="I83" s="185">
        <f t="shared" si="30"/>
        <v>71500</v>
      </c>
      <c r="J83" s="196"/>
      <c r="K83" s="196"/>
      <c r="L83" s="196"/>
      <c r="M83" s="196"/>
      <c r="N83" s="196"/>
      <c r="O83" s="194"/>
      <c r="P83" s="195"/>
      <c r="Q83" s="125"/>
      <c r="R83" s="125"/>
      <c r="S83" s="125"/>
      <c r="T83" s="202">
        <f t="shared" si="27"/>
        <v>68095.2380952381</v>
      </c>
      <c r="U83" s="202">
        <f t="shared" si="28"/>
        <v>3404.76190476191</v>
      </c>
      <c r="V83" s="125"/>
      <c r="W83" s="125"/>
      <c r="X83" s="125"/>
      <c r="Y83" s="195"/>
      <c r="Z83" s="165">
        <f t="shared" si="29"/>
        <v>0</v>
      </c>
    </row>
    <row r="84" hidden="1" spans="1:26">
      <c r="A84" s="175">
        <v>81</v>
      </c>
      <c r="B84" s="187" t="s">
        <v>170</v>
      </c>
      <c r="C84" s="183">
        <v>32.5</v>
      </c>
      <c r="D84" s="179">
        <v>3500</v>
      </c>
      <c r="E84" s="179">
        <f t="shared" si="26"/>
        <v>113750</v>
      </c>
      <c r="F84" s="184" t="s">
        <v>29</v>
      </c>
      <c r="G84" s="182" t="s">
        <v>23</v>
      </c>
      <c r="H84" s="185">
        <v>2200</v>
      </c>
      <c r="I84" s="185">
        <f t="shared" si="30"/>
        <v>71500</v>
      </c>
      <c r="J84" s="196"/>
      <c r="K84" s="196"/>
      <c r="L84" s="196"/>
      <c r="M84" s="196"/>
      <c r="N84" s="196"/>
      <c r="O84" s="194"/>
      <c r="P84" s="195"/>
      <c r="Q84" s="125"/>
      <c r="R84" s="125"/>
      <c r="S84" s="125"/>
      <c r="T84" s="202">
        <f t="shared" si="27"/>
        <v>68095.2380952381</v>
      </c>
      <c r="U84" s="202">
        <f t="shared" si="28"/>
        <v>3404.76190476191</v>
      </c>
      <c r="V84" s="125"/>
      <c r="W84" s="125"/>
      <c r="X84" s="125"/>
      <c r="Y84" s="195"/>
      <c r="Z84" s="165">
        <f t="shared" si="29"/>
        <v>0</v>
      </c>
    </row>
    <row r="85" hidden="1" spans="1:26">
      <c r="A85" s="175">
        <v>82</v>
      </c>
      <c r="B85" s="187" t="s">
        <v>171</v>
      </c>
      <c r="C85" s="183">
        <v>32.5</v>
      </c>
      <c r="D85" s="179">
        <v>3500</v>
      </c>
      <c r="E85" s="179">
        <f t="shared" si="26"/>
        <v>113750</v>
      </c>
      <c r="F85" s="184" t="s">
        <v>29</v>
      </c>
      <c r="G85" s="182" t="s">
        <v>23</v>
      </c>
      <c r="H85" s="185">
        <v>2200</v>
      </c>
      <c r="I85" s="185">
        <f t="shared" si="30"/>
        <v>71500</v>
      </c>
      <c r="J85" s="196"/>
      <c r="K85" s="196"/>
      <c r="L85" s="196"/>
      <c r="M85" s="196"/>
      <c r="N85" s="196"/>
      <c r="O85" s="194"/>
      <c r="P85" s="195"/>
      <c r="Q85" s="125"/>
      <c r="R85" s="125"/>
      <c r="S85" s="125"/>
      <c r="T85" s="202">
        <f t="shared" si="27"/>
        <v>68095.2380952381</v>
      </c>
      <c r="U85" s="202">
        <f t="shared" si="28"/>
        <v>3404.76190476191</v>
      </c>
      <c r="V85" s="125"/>
      <c r="W85" s="125"/>
      <c r="X85" s="125"/>
      <c r="Y85" s="195"/>
      <c r="Z85" s="165">
        <f t="shared" si="29"/>
        <v>0</v>
      </c>
    </row>
    <row r="86" hidden="1" spans="1:26">
      <c r="A86" s="175">
        <v>83</v>
      </c>
      <c r="B86" s="187" t="s">
        <v>172</v>
      </c>
      <c r="C86" s="183">
        <v>32.5</v>
      </c>
      <c r="D86" s="179">
        <v>3500</v>
      </c>
      <c r="E86" s="179">
        <f t="shared" si="26"/>
        <v>113750</v>
      </c>
      <c r="F86" s="184" t="s">
        <v>29</v>
      </c>
      <c r="G86" s="182" t="s">
        <v>23</v>
      </c>
      <c r="H86" s="185">
        <v>2200</v>
      </c>
      <c r="I86" s="185">
        <f t="shared" si="30"/>
        <v>71500</v>
      </c>
      <c r="J86" s="196"/>
      <c r="K86" s="196"/>
      <c r="L86" s="196"/>
      <c r="M86" s="196"/>
      <c r="N86" s="196"/>
      <c r="O86" s="194"/>
      <c r="P86" s="195"/>
      <c r="Q86" s="125"/>
      <c r="R86" s="125"/>
      <c r="S86" s="125"/>
      <c r="T86" s="202">
        <f t="shared" si="27"/>
        <v>68095.2380952381</v>
      </c>
      <c r="U86" s="202">
        <f t="shared" si="28"/>
        <v>3404.76190476191</v>
      </c>
      <c r="V86" s="125"/>
      <c r="W86" s="125"/>
      <c r="X86" s="125"/>
      <c r="Y86" s="195"/>
      <c r="Z86" s="165">
        <f t="shared" si="29"/>
        <v>0</v>
      </c>
    </row>
    <row r="87" hidden="1" spans="1:26">
      <c r="A87" s="175">
        <v>84</v>
      </c>
      <c r="B87" s="187" t="s">
        <v>173</v>
      </c>
      <c r="C87" s="183">
        <v>32.59</v>
      </c>
      <c r="D87" s="179">
        <v>3500</v>
      </c>
      <c r="E87" s="179">
        <f t="shared" si="26"/>
        <v>114065</v>
      </c>
      <c r="F87" s="184" t="s">
        <v>29</v>
      </c>
      <c r="G87" s="182" t="s">
        <v>23</v>
      </c>
      <c r="H87" s="185">
        <v>2200</v>
      </c>
      <c r="I87" s="185">
        <f t="shared" si="30"/>
        <v>71698</v>
      </c>
      <c r="J87" s="196"/>
      <c r="K87" s="196"/>
      <c r="L87" s="196"/>
      <c r="M87" s="196"/>
      <c r="N87" s="196"/>
      <c r="O87" s="194"/>
      <c r="P87" s="195"/>
      <c r="Q87" s="125"/>
      <c r="R87" s="125"/>
      <c r="S87" s="125"/>
      <c r="T87" s="202">
        <f t="shared" si="27"/>
        <v>68283.8095238095</v>
      </c>
      <c r="U87" s="202">
        <f t="shared" si="28"/>
        <v>3414.19047619047</v>
      </c>
      <c r="V87" s="125"/>
      <c r="W87" s="125"/>
      <c r="X87" s="125"/>
      <c r="Y87" s="195"/>
      <c r="Z87" s="165">
        <f t="shared" ref="Z87:Z150" si="31">V87+W87</f>
        <v>0</v>
      </c>
    </row>
    <row r="88" hidden="1" spans="1:26">
      <c r="A88" s="175">
        <v>85</v>
      </c>
      <c r="B88" s="187" t="s">
        <v>174</v>
      </c>
      <c r="C88" s="183">
        <v>32.61</v>
      </c>
      <c r="D88" s="179">
        <v>3500</v>
      </c>
      <c r="E88" s="179">
        <f t="shared" si="26"/>
        <v>114135</v>
      </c>
      <c r="F88" s="184" t="s">
        <v>29</v>
      </c>
      <c r="G88" s="182" t="s">
        <v>23</v>
      </c>
      <c r="H88" s="185">
        <v>2200</v>
      </c>
      <c r="I88" s="185">
        <f t="shared" si="30"/>
        <v>71742</v>
      </c>
      <c r="J88" s="196"/>
      <c r="K88" s="196"/>
      <c r="L88" s="196"/>
      <c r="M88" s="196"/>
      <c r="N88" s="196"/>
      <c r="O88" s="194"/>
      <c r="P88" s="195"/>
      <c r="Q88" s="125"/>
      <c r="R88" s="125"/>
      <c r="S88" s="125"/>
      <c r="T88" s="202">
        <f t="shared" si="27"/>
        <v>68325.7142857143</v>
      </c>
      <c r="U88" s="202">
        <f t="shared" si="28"/>
        <v>3416.28571428571</v>
      </c>
      <c r="V88" s="125"/>
      <c r="W88" s="125"/>
      <c r="X88" s="125"/>
      <c r="Y88" s="195"/>
      <c r="Z88" s="165">
        <f t="shared" si="31"/>
        <v>0</v>
      </c>
    </row>
    <row r="89" hidden="1" spans="1:26">
      <c r="A89" s="175">
        <v>86</v>
      </c>
      <c r="B89" s="187" t="s">
        <v>175</v>
      </c>
      <c r="C89" s="183">
        <v>32.5</v>
      </c>
      <c r="D89" s="179">
        <v>3500</v>
      </c>
      <c r="E89" s="179">
        <f t="shared" si="26"/>
        <v>113750</v>
      </c>
      <c r="F89" s="184" t="s">
        <v>29</v>
      </c>
      <c r="G89" s="182" t="s">
        <v>23</v>
      </c>
      <c r="H89" s="185">
        <v>2200</v>
      </c>
      <c r="I89" s="185">
        <f t="shared" si="30"/>
        <v>71500</v>
      </c>
      <c r="J89" s="196"/>
      <c r="K89" s="196"/>
      <c r="L89" s="196"/>
      <c r="M89" s="196"/>
      <c r="N89" s="196"/>
      <c r="O89" s="194"/>
      <c r="P89" s="195"/>
      <c r="Q89" s="125"/>
      <c r="R89" s="125"/>
      <c r="S89" s="125"/>
      <c r="T89" s="202">
        <f t="shared" si="27"/>
        <v>68095.2380952381</v>
      </c>
      <c r="U89" s="202">
        <f t="shared" si="28"/>
        <v>3404.76190476191</v>
      </c>
      <c r="V89" s="125"/>
      <c r="W89" s="125"/>
      <c r="X89" s="125"/>
      <c r="Y89" s="195"/>
      <c r="Z89" s="165">
        <f t="shared" si="31"/>
        <v>0</v>
      </c>
    </row>
    <row r="90" hidden="1" spans="1:26">
      <c r="A90" s="175">
        <v>87</v>
      </c>
      <c r="B90" s="187" t="s">
        <v>176</v>
      </c>
      <c r="C90" s="183">
        <v>32.5</v>
      </c>
      <c r="D90" s="179">
        <v>3500</v>
      </c>
      <c r="E90" s="179">
        <f t="shared" si="26"/>
        <v>113750</v>
      </c>
      <c r="F90" s="184" t="s">
        <v>29</v>
      </c>
      <c r="G90" s="182" t="s">
        <v>23</v>
      </c>
      <c r="H90" s="185">
        <v>2200</v>
      </c>
      <c r="I90" s="185">
        <f t="shared" si="30"/>
        <v>71500</v>
      </c>
      <c r="J90" s="196"/>
      <c r="K90" s="196"/>
      <c r="L90" s="196"/>
      <c r="M90" s="196"/>
      <c r="N90" s="196"/>
      <c r="O90" s="194"/>
      <c r="P90" s="195"/>
      <c r="Q90" s="125"/>
      <c r="R90" s="125"/>
      <c r="S90" s="125"/>
      <c r="T90" s="202">
        <f t="shared" si="27"/>
        <v>68095.2380952381</v>
      </c>
      <c r="U90" s="202">
        <f t="shared" si="28"/>
        <v>3404.76190476191</v>
      </c>
      <c r="V90" s="125"/>
      <c r="W90" s="125"/>
      <c r="X90" s="125"/>
      <c r="Y90" s="195"/>
      <c r="Z90" s="165">
        <f t="shared" si="31"/>
        <v>0</v>
      </c>
    </row>
    <row r="91" hidden="1" spans="1:26">
      <c r="A91" s="175">
        <v>88</v>
      </c>
      <c r="B91" s="187" t="s">
        <v>177</v>
      </c>
      <c r="C91" s="183">
        <v>32.5</v>
      </c>
      <c r="D91" s="179">
        <v>3500</v>
      </c>
      <c r="E91" s="179">
        <f t="shared" si="26"/>
        <v>113750</v>
      </c>
      <c r="F91" s="184" t="s">
        <v>29</v>
      </c>
      <c r="G91" s="182" t="s">
        <v>23</v>
      </c>
      <c r="H91" s="185">
        <v>2200</v>
      </c>
      <c r="I91" s="185">
        <f t="shared" si="30"/>
        <v>71500</v>
      </c>
      <c r="J91" s="196"/>
      <c r="K91" s="196"/>
      <c r="L91" s="196"/>
      <c r="M91" s="196"/>
      <c r="N91" s="196"/>
      <c r="O91" s="194"/>
      <c r="P91" s="195"/>
      <c r="Q91" s="125"/>
      <c r="R91" s="125"/>
      <c r="S91" s="125"/>
      <c r="T91" s="202">
        <f t="shared" si="27"/>
        <v>68095.2380952381</v>
      </c>
      <c r="U91" s="202">
        <f t="shared" si="28"/>
        <v>3404.76190476191</v>
      </c>
      <c r="V91" s="125"/>
      <c r="W91" s="125"/>
      <c r="X91" s="125"/>
      <c r="Y91" s="195"/>
      <c r="Z91" s="165">
        <f t="shared" si="31"/>
        <v>0</v>
      </c>
    </row>
    <row r="92" hidden="1" spans="1:26">
      <c r="A92" s="175">
        <v>89</v>
      </c>
      <c r="B92" s="187" t="s">
        <v>178</v>
      </c>
      <c r="C92" s="183">
        <v>32.5</v>
      </c>
      <c r="D92" s="179">
        <v>3500</v>
      </c>
      <c r="E92" s="179">
        <f t="shared" si="26"/>
        <v>113750</v>
      </c>
      <c r="F92" s="184" t="s">
        <v>29</v>
      </c>
      <c r="G92" s="182" t="s">
        <v>23</v>
      </c>
      <c r="H92" s="185">
        <v>2200</v>
      </c>
      <c r="I92" s="185">
        <f t="shared" si="30"/>
        <v>71500</v>
      </c>
      <c r="J92" s="196"/>
      <c r="K92" s="196"/>
      <c r="L92" s="196"/>
      <c r="M92" s="196"/>
      <c r="N92" s="196"/>
      <c r="O92" s="194"/>
      <c r="P92" s="195"/>
      <c r="Q92" s="125"/>
      <c r="R92" s="125"/>
      <c r="S92" s="125"/>
      <c r="T92" s="202">
        <f t="shared" si="27"/>
        <v>68095.2380952381</v>
      </c>
      <c r="U92" s="202">
        <f t="shared" si="28"/>
        <v>3404.76190476191</v>
      </c>
      <c r="V92" s="125"/>
      <c r="W92" s="125"/>
      <c r="X92" s="125"/>
      <c r="Y92" s="195"/>
      <c r="Z92" s="165">
        <f t="shared" si="31"/>
        <v>0</v>
      </c>
    </row>
    <row r="93" hidden="1" spans="1:26">
      <c r="A93" s="175">
        <v>90</v>
      </c>
      <c r="B93" s="187" t="s">
        <v>179</v>
      </c>
      <c r="C93" s="183">
        <v>32.5</v>
      </c>
      <c r="D93" s="179">
        <v>3500</v>
      </c>
      <c r="E93" s="179">
        <f t="shared" si="26"/>
        <v>113750</v>
      </c>
      <c r="F93" s="184" t="s">
        <v>29</v>
      </c>
      <c r="G93" s="182" t="s">
        <v>23</v>
      </c>
      <c r="H93" s="185">
        <v>2200</v>
      </c>
      <c r="I93" s="185">
        <f t="shared" si="30"/>
        <v>71500</v>
      </c>
      <c r="J93" s="196"/>
      <c r="K93" s="196"/>
      <c r="L93" s="196"/>
      <c r="M93" s="196"/>
      <c r="N93" s="196"/>
      <c r="O93" s="194"/>
      <c r="P93" s="195"/>
      <c r="Q93" s="125"/>
      <c r="R93" s="125"/>
      <c r="S93" s="125"/>
      <c r="T93" s="202">
        <f t="shared" si="27"/>
        <v>68095.2380952381</v>
      </c>
      <c r="U93" s="202">
        <f t="shared" si="28"/>
        <v>3404.76190476191</v>
      </c>
      <c r="V93" s="125"/>
      <c r="W93" s="125"/>
      <c r="X93" s="125"/>
      <c r="Y93" s="195"/>
      <c r="Z93" s="165">
        <f t="shared" si="31"/>
        <v>0</v>
      </c>
    </row>
    <row r="94" hidden="1" spans="1:26">
      <c r="A94" s="175">
        <v>91</v>
      </c>
      <c r="B94" s="187" t="s">
        <v>180</v>
      </c>
      <c r="C94" s="183">
        <v>32.5</v>
      </c>
      <c r="D94" s="179">
        <v>3500</v>
      </c>
      <c r="E94" s="179">
        <f t="shared" si="26"/>
        <v>113750</v>
      </c>
      <c r="F94" s="184" t="s">
        <v>29</v>
      </c>
      <c r="G94" s="182" t="s">
        <v>23</v>
      </c>
      <c r="H94" s="185">
        <v>2200</v>
      </c>
      <c r="I94" s="185">
        <f t="shared" si="30"/>
        <v>71500</v>
      </c>
      <c r="J94" s="196"/>
      <c r="K94" s="196"/>
      <c r="L94" s="196"/>
      <c r="M94" s="196"/>
      <c r="N94" s="196"/>
      <c r="O94" s="194"/>
      <c r="P94" s="195"/>
      <c r="Q94" s="125"/>
      <c r="R94" s="125"/>
      <c r="S94" s="125"/>
      <c r="T94" s="202">
        <f t="shared" si="27"/>
        <v>68095.2380952381</v>
      </c>
      <c r="U94" s="202">
        <f t="shared" si="28"/>
        <v>3404.76190476191</v>
      </c>
      <c r="V94" s="125"/>
      <c r="W94" s="125"/>
      <c r="X94" s="125"/>
      <c r="Y94" s="195"/>
      <c r="Z94" s="165">
        <f t="shared" si="31"/>
        <v>0</v>
      </c>
    </row>
    <row r="95" hidden="1" spans="1:26">
      <c r="A95" s="175">
        <v>92</v>
      </c>
      <c r="B95" s="187" t="s">
        <v>181</v>
      </c>
      <c r="C95" s="183">
        <v>32.98</v>
      </c>
      <c r="D95" s="179">
        <v>3500</v>
      </c>
      <c r="E95" s="179">
        <f t="shared" si="26"/>
        <v>115430</v>
      </c>
      <c r="F95" s="184" t="s">
        <v>29</v>
      </c>
      <c r="G95" s="182" t="s">
        <v>23</v>
      </c>
      <c r="H95" s="185">
        <v>2200</v>
      </c>
      <c r="I95" s="185">
        <f t="shared" si="30"/>
        <v>72556</v>
      </c>
      <c r="J95" s="196"/>
      <c r="K95" s="196"/>
      <c r="L95" s="196"/>
      <c r="M95" s="196"/>
      <c r="N95" s="196"/>
      <c r="O95" s="194"/>
      <c r="P95" s="195"/>
      <c r="Q95" s="125"/>
      <c r="R95" s="125"/>
      <c r="S95" s="125"/>
      <c r="T95" s="202">
        <f t="shared" si="27"/>
        <v>69100.9523809524</v>
      </c>
      <c r="U95" s="202">
        <f t="shared" si="28"/>
        <v>3455.04761904762</v>
      </c>
      <c r="V95" s="125"/>
      <c r="W95" s="125"/>
      <c r="X95" s="125"/>
      <c r="Y95" s="195"/>
      <c r="Z95" s="165">
        <f t="shared" si="31"/>
        <v>0</v>
      </c>
    </row>
    <row r="96" hidden="1" spans="1:26">
      <c r="A96" s="175">
        <v>93</v>
      </c>
      <c r="B96" s="187" t="s">
        <v>182</v>
      </c>
      <c r="C96" s="183">
        <v>32.98</v>
      </c>
      <c r="D96" s="179">
        <v>3500</v>
      </c>
      <c r="E96" s="179">
        <f t="shared" si="26"/>
        <v>115430</v>
      </c>
      <c r="F96" s="184" t="s">
        <v>29</v>
      </c>
      <c r="G96" s="182" t="s">
        <v>23</v>
      </c>
      <c r="H96" s="185">
        <v>2200</v>
      </c>
      <c r="I96" s="185">
        <f t="shared" si="30"/>
        <v>72556</v>
      </c>
      <c r="J96" s="196"/>
      <c r="K96" s="196"/>
      <c r="L96" s="196"/>
      <c r="M96" s="196"/>
      <c r="N96" s="196"/>
      <c r="O96" s="194"/>
      <c r="P96" s="195"/>
      <c r="Q96" s="125"/>
      <c r="R96" s="125"/>
      <c r="S96" s="125"/>
      <c r="T96" s="202">
        <f t="shared" si="27"/>
        <v>69100.9523809524</v>
      </c>
      <c r="U96" s="202">
        <f t="shared" si="28"/>
        <v>3455.04761904762</v>
      </c>
      <c r="V96" s="125"/>
      <c r="W96" s="125"/>
      <c r="X96" s="125"/>
      <c r="Y96" s="195"/>
      <c r="Z96" s="165">
        <f t="shared" si="31"/>
        <v>0</v>
      </c>
    </row>
    <row r="97" hidden="1" spans="1:26">
      <c r="A97" s="175">
        <v>94</v>
      </c>
      <c r="B97" s="187" t="s">
        <v>183</v>
      </c>
      <c r="C97" s="183">
        <v>32.5</v>
      </c>
      <c r="D97" s="179">
        <v>3500</v>
      </c>
      <c r="E97" s="179">
        <f t="shared" si="26"/>
        <v>113750</v>
      </c>
      <c r="F97" s="184" t="s">
        <v>29</v>
      </c>
      <c r="G97" s="182" t="s">
        <v>23</v>
      </c>
      <c r="H97" s="185">
        <v>2200</v>
      </c>
      <c r="I97" s="185">
        <f t="shared" si="30"/>
        <v>71500</v>
      </c>
      <c r="J97" s="196"/>
      <c r="K97" s="196"/>
      <c r="L97" s="196"/>
      <c r="M97" s="196"/>
      <c r="N97" s="196"/>
      <c r="O97" s="194"/>
      <c r="P97" s="195"/>
      <c r="Q97" s="125"/>
      <c r="R97" s="125"/>
      <c r="S97" s="125"/>
      <c r="T97" s="202">
        <f t="shared" si="27"/>
        <v>68095.2380952381</v>
      </c>
      <c r="U97" s="202">
        <f t="shared" si="28"/>
        <v>3404.76190476191</v>
      </c>
      <c r="V97" s="125"/>
      <c r="W97" s="125"/>
      <c r="X97" s="125"/>
      <c r="Y97" s="195"/>
      <c r="Z97" s="165">
        <f t="shared" si="31"/>
        <v>0</v>
      </c>
    </row>
    <row r="98" hidden="1" spans="1:26">
      <c r="A98" s="175">
        <v>95</v>
      </c>
      <c r="B98" s="187" t="s">
        <v>184</v>
      </c>
      <c r="C98" s="183">
        <v>32.5</v>
      </c>
      <c r="D98" s="179">
        <v>3500</v>
      </c>
      <c r="E98" s="179">
        <f t="shared" si="26"/>
        <v>113750</v>
      </c>
      <c r="F98" s="184" t="s">
        <v>29</v>
      </c>
      <c r="G98" s="182" t="s">
        <v>23</v>
      </c>
      <c r="H98" s="185">
        <v>2200</v>
      </c>
      <c r="I98" s="185">
        <f t="shared" si="30"/>
        <v>71500</v>
      </c>
      <c r="J98" s="196"/>
      <c r="K98" s="196"/>
      <c r="L98" s="196"/>
      <c r="M98" s="196"/>
      <c r="N98" s="196"/>
      <c r="O98" s="194"/>
      <c r="P98" s="195"/>
      <c r="Q98" s="125"/>
      <c r="R98" s="125"/>
      <c r="S98" s="125"/>
      <c r="T98" s="202">
        <f t="shared" si="27"/>
        <v>68095.2380952381</v>
      </c>
      <c r="U98" s="202">
        <f t="shared" si="28"/>
        <v>3404.76190476189</v>
      </c>
      <c r="V98" s="125"/>
      <c r="W98" s="125"/>
      <c r="X98" s="125"/>
      <c r="Y98" s="195"/>
      <c r="Z98" s="165">
        <f t="shared" si="31"/>
        <v>0</v>
      </c>
    </row>
    <row r="99" hidden="1" spans="1:26">
      <c r="A99" s="175">
        <v>96</v>
      </c>
      <c r="B99" s="187" t="s">
        <v>185</v>
      </c>
      <c r="C99" s="183">
        <v>32.5</v>
      </c>
      <c r="D99" s="179">
        <v>3500</v>
      </c>
      <c r="E99" s="179">
        <f t="shared" si="26"/>
        <v>113750</v>
      </c>
      <c r="F99" s="184" t="s">
        <v>29</v>
      </c>
      <c r="G99" s="182" t="s">
        <v>23</v>
      </c>
      <c r="H99" s="185">
        <v>2200</v>
      </c>
      <c r="I99" s="185">
        <f t="shared" si="30"/>
        <v>71500</v>
      </c>
      <c r="J99" s="196"/>
      <c r="K99" s="196"/>
      <c r="L99" s="196"/>
      <c r="M99" s="196"/>
      <c r="N99" s="196"/>
      <c r="O99" s="194"/>
      <c r="P99" s="195"/>
      <c r="Q99" s="125"/>
      <c r="R99" s="125"/>
      <c r="S99" s="125"/>
      <c r="T99" s="202">
        <f t="shared" si="27"/>
        <v>68095.2380952381</v>
      </c>
      <c r="U99" s="202">
        <f t="shared" si="28"/>
        <v>3404.76190476189</v>
      </c>
      <c r="V99" s="125"/>
      <c r="W99" s="125"/>
      <c r="X99" s="125"/>
      <c r="Y99" s="195"/>
      <c r="Z99" s="165">
        <f t="shared" si="31"/>
        <v>0</v>
      </c>
    </row>
    <row r="100" hidden="1" spans="1:26">
      <c r="A100" s="175">
        <v>97</v>
      </c>
      <c r="B100" s="187" t="s">
        <v>186</v>
      </c>
      <c r="C100" s="183">
        <v>32.5</v>
      </c>
      <c r="D100" s="179">
        <v>3500</v>
      </c>
      <c r="E100" s="179">
        <f t="shared" si="26"/>
        <v>113750</v>
      </c>
      <c r="F100" s="184" t="s">
        <v>29</v>
      </c>
      <c r="G100" s="182" t="s">
        <v>23</v>
      </c>
      <c r="H100" s="185">
        <v>2200</v>
      </c>
      <c r="I100" s="185">
        <f t="shared" si="30"/>
        <v>71500</v>
      </c>
      <c r="J100" s="196"/>
      <c r="K100" s="196"/>
      <c r="L100" s="196"/>
      <c r="M100" s="196"/>
      <c r="N100" s="196"/>
      <c r="O100" s="194"/>
      <c r="P100" s="195"/>
      <c r="Q100" s="125"/>
      <c r="R100" s="125"/>
      <c r="S100" s="125"/>
      <c r="T100" s="202">
        <f t="shared" ref="T100:T131" si="32">I100/1.05</f>
        <v>68095.2380952381</v>
      </c>
      <c r="U100" s="202">
        <f t="shared" si="28"/>
        <v>3404.76190476189</v>
      </c>
      <c r="V100" s="125"/>
      <c r="W100" s="125"/>
      <c r="X100" s="125"/>
      <c r="Y100" s="195"/>
      <c r="Z100" s="165">
        <f t="shared" si="31"/>
        <v>0</v>
      </c>
    </row>
    <row r="101" hidden="1" spans="1:26">
      <c r="A101" s="175">
        <v>98</v>
      </c>
      <c r="B101" s="187" t="s">
        <v>187</v>
      </c>
      <c r="C101" s="183">
        <v>32.59</v>
      </c>
      <c r="D101" s="179">
        <v>3500</v>
      </c>
      <c r="E101" s="179">
        <f t="shared" si="26"/>
        <v>114065</v>
      </c>
      <c r="F101" s="184" t="s">
        <v>29</v>
      </c>
      <c r="G101" s="182" t="s">
        <v>23</v>
      </c>
      <c r="H101" s="185">
        <v>2200</v>
      </c>
      <c r="I101" s="185">
        <f t="shared" si="30"/>
        <v>71698</v>
      </c>
      <c r="J101" s="196"/>
      <c r="K101" s="196"/>
      <c r="L101" s="196"/>
      <c r="M101" s="196"/>
      <c r="N101" s="196"/>
      <c r="O101" s="194"/>
      <c r="P101" s="195"/>
      <c r="Q101" s="125"/>
      <c r="R101" s="125"/>
      <c r="S101" s="125"/>
      <c r="T101" s="202">
        <f t="shared" si="32"/>
        <v>68283.8095238095</v>
      </c>
      <c r="U101" s="202">
        <f t="shared" si="28"/>
        <v>3414.1904761905</v>
      </c>
      <c r="V101" s="125"/>
      <c r="W101" s="125"/>
      <c r="X101" s="125"/>
      <c r="Y101" s="195"/>
      <c r="Z101" s="165">
        <f t="shared" si="31"/>
        <v>0</v>
      </c>
    </row>
    <row r="102" hidden="1" spans="1:26">
      <c r="A102" s="175">
        <v>99</v>
      </c>
      <c r="B102" s="187" t="s">
        <v>188</v>
      </c>
      <c r="C102" s="183">
        <v>32.61</v>
      </c>
      <c r="D102" s="179">
        <v>3500</v>
      </c>
      <c r="E102" s="179">
        <f t="shared" si="26"/>
        <v>114135</v>
      </c>
      <c r="F102" s="184" t="s">
        <v>29</v>
      </c>
      <c r="G102" s="182" t="s">
        <v>23</v>
      </c>
      <c r="H102" s="185">
        <v>2200</v>
      </c>
      <c r="I102" s="185">
        <f t="shared" ref="I102:I137" si="33">C102*H102</f>
        <v>71742</v>
      </c>
      <c r="J102" s="196"/>
      <c r="K102" s="196"/>
      <c r="L102" s="196"/>
      <c r="M102" s="196"/>
      <c r="N102" s="196"/>
      <c r="O102" s="194"/>
      <c r="P102" s="195"/>
      <c r="Q102" s="125"/>
      <c r="R102" s="125"/>
      <c r="S102" s="125"/>
      <c r="T102" s="202">
        <f t="shared" si="32"/>
        <v>68325.7142857143</v>
      </c>
      <c r="U102" s="202">
        <f t="shared" si="28"/>
        <v>3416.2857142857</v>
      </c>
      <c r="V102" s="125"/>
      <c r="W102" s="125"/>
      <c r="X102" s="125"/>
      <c r="Y102" s="195"/>
      <c r="Z102" s="165">
        <f t="shared" si="31"/>
        <v>0</v>
      </c>
    </row>
    <row r="103" hidden="1" spans="1:26">
      <c r="A103" s="175">
        <v>100</v>
      </c>
      <c r="B103" s="187" t="s">
        <v>189</v>
      </c>
      <c r="C103" s="183">
        <v>32.5</v>
      </c>
      <c r="D103" s="179">
        <v>3500</v>
      </c>
      <c r="E103" s="179">
        <f t="shared" si="26"/>
        <v>113750</v>
      </c>
      <c r="F103" s="184" t="s">
        <v>29</v>
      </c>
      <c r="G103" s="182" t="s">
        <v>23</v>
      </c>
      <c r="H103" s="185">
        <v>2200</v>
      </c>
      <c r="I103" s="185">
        <f t="shared" si="33"/>
        <v>71500</v>
      </c>
      <c r="J103" s="196"/>
      <c r="K103" s="196"/>
      <c r="L103" s="196"/>
      <c r="M103" s="196"/>
      <c r="N103" s="196"/>
      <c r="O103" s="194"/>
      <c r="P103" s="195"/>
      <c r="Q103" s="125"/>
      <c r="R103" s="125"/>
      <c r="S103" s="125"/>
      <c r="T103" s="202">
        <f t="shared" si="32"/>
        <v>68095.2380952381</v>
      </c>
      <c r="U103" s="202">
        <f t="shared" si="28"/>
        <v>3404.76190476189</v>
      </c>
      <c r="V103" s="125"/>
      <c r="W103" s="125"/>
      <c r="X103" s="125"/>
      <c r="Y103" s="195"/>
      <c r="Z103" s="165">
        <f t="shared" si="31"/>
        <v>0</v>
      </c>
    </row>
    <row r="104" hidden="1" spans="1:26">
      <c r="A104" s="175">
        <v>101</v>
      </c>
      <c r="B104" s="187" t="s">
        <v>190</v>
      </c>
      <c r="C104" s="183">
        <v>32.5</v>
      </c>
      <c r="D104" s="179">
        <v>3500</v>
      </c>
      <c r="E104" s="179">
        <f t="shared" si="26"/>
        <v>113750</v>
      </c>
      <c r="F104" s="184" t="s">
        <v>29</v>
      </c>
      <c r="G104" s="182" t="s">
        <v>23</v>
      </c>
      <c r="H104" s="185">
        <v>2200</v>
      </c>
      <c r="I104" s="185">
        <f t="shared" si="33"/>
        <v>71500</v>
      </c>
      <c r="J104" s="196"/>
      <c r="K104" s="196"/>
      <c r="L104" s="196"/>
      <c r="M104" s="196"/>
      <c r="N104" s="196"/>
      <c r="O104" s="194"/>
      <c r="P104" s="195"/>
      <c r="Q104" s="125"/>
      <c r="R104" s="125"/>
      <c r="S104" s="125"/>
      <c r="T104" s="202">
        <f t="shared" si="32"/>
        <v>68095.2380952381</v>
      </c>
      <c r="U104" s="202">
        <f t="shared" si="28"/>
        <v>3404.76190476189</v>
      </c>
      <c r="V104" s="125"/>
      <c r="W104" s="125"/>
      <c r="X104" s="125"/>
      <c r="Y104" s="195"/>
      <c r="Z104" s="165">
        <f t="shared" si="31"/>
        <v>0</v>
      </c>
    </row>
    <row r="105" hidden="1" spans="1:26">
      <c r="A105" s="175">
        <v>102</v>
      </c>
      <c r="B105" s="187" t="s">
        <v>191</v>
      </c>
      <c r="C105" s="183">
        <v>32.5</v>
      </c>
      <c r="D105" s="179">
        <v>3500</v>
      </c>
      <c r="E105" s="179">
        <f t="shared" si="26"/>
        <v>113750</v>
      </c>
      <c r="F105" s="184" t="s">
        <v>29</v>
      </c>
      <c r="G105" s="182" t="s">
        <v>23</v>
      </c>
      <c r="H105" s="185">
        <v>2200</v>
      </c>
      <c r="I105" s="185">
        <f t="shared" si="33"/>
        <v>71500</v>
      </c>
      <c r="J105" s="196"/>
      <c r="K105" s="196"/>
      <c r="L105" s="196"/>
      <c r="M105" s="196"/>
      <c r="N105" s="196"/>
      <c r="O105" s="194"/>
      <c r="P105" s="195"/>
      <c r="Q105" s="125"/>
      <c r="R105" s="125"/>
      <c r="S105" s="125"/>
      <c r="T105" s="202">
        <f t="shared" si="32"/>
        <v>68095.2380952381</v>
      </c>
      <c r="U105" s="202">
        <f t="shared" si="28"/>
        <v>3404.76190476189</v>
      </c>
      <c r="V105" s="125"/>
      <c r="W105" s="125"/>
      <c r="X105" s="125"/>
      <c r="Y105" s="195"/>
      <c r="Z105" s="165">
        <f t="shared" si="31"/>
        <v>0</v>
      </c>
    </row>
    <row r="106" hidden="1" spans="1:26">
      <c r="A106" s="175">
        <v>103</v>
      </c>
      <c r="B106" s="187" t="s">
        <v>192</v>
      </c>
      <c r="C106" s="183">
        <v>32.5</v>
      </c>
      <c r="D106" s="179">
        <v>3500</v>
      </c>
      <c r="E106" s="179">
        <f t="shared" si="26"/>
        <v>113750</v>
      </c>
      <c r="F106" s="184" t="s">
        <v>29</v>
      </c>
      <c r="G106" s="182" t="s">
        <v>23</v>
      </c>
      <c r="H106" s="185">
        <v>2200</v>
      </c>
      <c r="I106" s="185">
        <f t="shared" si="33"/>
        <v>71500</v>
      </c>
      <c r="J106" s="196"/>
      <c r="K106" s="196"/>
      <c r="L106" s="196"/>
      <c r="M106" s="196"/>
      <c r="N106" s="196"/>
      <c r="O106" s="194"/>
      <c r="P106" s="195"/>
      <c r="Q106" s="125"/>
      <c r="R106" s="125"/>
      <c r="S106" s="125"/>
      <c r="T106" s="202">
        <f t="shared" si="32"/>
        <v>68095.2380952381</v>
      </c>
      <c r="U106" s="202">
        <f t="shared" si="28"/>
        <v>3404.76190476189</v>
      </c>
      <c r="V106" s="125"/>
      <c r="W106" s="125"/>
      <c r="X106" s="125"/>
      <c r="Y106" s="195"/>
      <c r="Z106" s="165">
        <f t="shared" si="31"/>
        <v>0</v>
      </c>
    </row>
    <row r="107" hidden="1" spans="1:26">
      <c r="A107" s="175">
        <v>104</v>
      </c>
      <c r="B107" s="187" t="s">
        <v>193</v>
      </c>
      <c r="C107" s="183">
        <v>32.5</v>
      </c>
      <c r="D107" s="179">
        <v>3500</v>
      </c>
      <c r="E107" s="179">
        <f t="shared" si="26"/>
        <v>113750</v>
      </c>
      <c r="F107" s="184" t="s">
        <v>29</v>
      </c>
      <c r="G107" s="182" t="s">
        <v>23</v>
      </c>
      <c r="H107" s="185">
        <v>2200</v>
      </c>
      <c r="I107" s="185">
        <f t="shared" si="33"/>
        <v>71500</v>
      </c>
      <c r="J107" s="196"/>
      <c r="K107" s="196"/>
      <c r="L107" s="196"/>
      <c r="M107" s="196"/>
      <c r="N107" s="196"/>
      <c r="O107" s="194"/>
      <c r="P107" s="195"/>
      <c r="Q107" s="125"/>
      <c r="R107" s="125"/>
      <c r="S107" s="125"/>
      <c r="T107" s="202">
        <f t="shared" si="32"/>
        <v>68095.2380952381</v>
      </c>
      <c r="U107" s="202">
        <f t="shared" si="28"/>
        <v>3404.76190476189</v>
      </c>
      <c r="V107" s="125"/>
      <c r="W107" s="125"/>
      <c r="X107" s="125"/>
      <c r="Y107" s="195"/>
      <c r="Z107" s="165">
        <f t="shared" si="31"/>
        <v>0</v>
      </c>
    </row>
    <row r="108" hidden="1" spans="1:26">
      <c r="A108" s="175">
        <v>105</v>
      </c>
      <c r="B108" s="187" t="s">
        <v>194</v>
      </c>
      <c r="C108" s="183">
        <v>32.5</v>
      </c>
      <c r="D108" s="179">
        <v>3500</v>
      </c>
      <c r="E108" s="179">
        <f t="shared" si="26"/>
        <v>113750</v>
      </c>
      <c r="F108" s="184" t="s">
        <v>29</v>
      </c>
      <c r="G108" s="182" t="s">
        <v>23</v>
      </c>
      <c r="H108" s="185">
        <v>2200</v>
      </c>
      <c r="I108" s="185">
        <f t="shared" si="33"/>
        <v>71500</v>
      </c>
      <c r="J108" s="196"/>
      <c r="K108" s="196"/>
      <c r="L108" s="196"/>
      <c r="M108" s="196"/>
      <c r="N108" s="196"/>
      <c r="O108" s="194"/>
      <c r="P108" s="195"/>
      <c r="Q108" s="125"/>
      <c r="R108" s="125"/>
      <c r="S108" s="125"/>
      <c r="T108" s="202">
        <f t="shared" si="32"/>
        <v>68095.2380952381</v>
      </c>
      <c r="U108" s="202">
        <f t="shared" si="28"/>
        <v>3404.76190476189</v>
      </c>
      <c r="V108" s="125"/>
      <c r="W108" s="125"/>
      <c r="X108" s="125"/>
      <c r="Y108" s="195"/>
      <c r="Z108" s="165">
        <f t="shared" si="31"/>
        <v>0</v>
      </c>
    </row>
    <row r="109" hidden="1" spans="1:26">
      <c r="A109" s="175">
        <v>106</v>
      </c>
      <c r="B109" s="187" t="s">
        <v>195</v>
      </c>
      <c r="C109" s="183">
        <v>32.98</v>
      </c>
      <c r="D109" s="179">
        <v>3500</v>
      </c>
      <c r="E109" s="179">
        <f t="shared" si="26"/>
        <v>115430</v>
      </c>
      <c r="F109" s="184" t="s">
        <v>29</v>
      </c>
      <c r="G109" s="182" t="s">
        <v>23</v>
      </c>
      <c r="H109" s="185">
        <v>2200</v>
      </c>
      <c r="I109" s="185">
        <f t="shared" si="33"/>
        <v>72556</v>
      </c>
      <c r="J109" s="196"/>
      <c r="K109" s="196"/>
      <c r="L109" s="196"/>
      <c r="M109" s="196"/>
      <c r="N109" s="196"/>
      <c r="O109" s="194"/>
      <c r="P109" s="195"/>
      <c r="Q109" s="125"/>
      <c r="R109" s="125"/>
      <c r="S109" s="125"/>
      <c r="T109" s="202">
        <f t="shared" si="32"/>
        <v>69100.9523809524</v>
      </c>
      <c r="U109" s="202">
        <f t="shared" si="28"/>
        <v>3455.0476190476</v>
      </c>
      <c r="V109" s="125"/>
      <c r="W109" s="125"/>
      <c r="X109" s="125"/>
      <c r="Y109" s="195"/>
      <c r="Z109" s="165">
        <f t="shared" si="31"/>
        <v>0</v>
      </c>
    </row>
    <row r="110" hidden="1" spans="1:26">
      <c r="A110" s="175">
        <v>107</v>
      </c>
      <c r="B110" s="187" t="s">
        <v>196</v>
      </c>
      <c r="C110" s="183">
        <v>32.98</v>
      </c>
      <c r="D110" s="179">
        <v>3500</v>
      </c>
      <c r="E110" s="179">
        <f t="shared" si="26"/>
        <v>115430</v>
      </c>
      <c r="F110" s="184" t="s">
        <v>29</v>
      </c>
      <c r="G110" s="182" t="s">
        <v>23</v>
      </c>
      <c r="H110" s="185">
        <v>2200</v>
      </c>
      <c r="I110" s="185">
        <f t="shared" si="33"/>
        <v>72556</v>
      </c>
      <c r="J110" s="196"/>
      <c r="K110" s="196"/>
      <c r="L110" s="196"/>
      <c r="M110" s="196"/>
      <c r="N110" s="196"/>
      <c r="O110" s="194"/>
      <c r="P110" s="195"/>
      <c r="Q110" s="125"/>
      <c r="R110" s="125"/>
      <c r="S110" s="125"/>
      <c r="T110" s="202">
        <f t="shared" si="32"/>
        <v>69100.9523809524</v>
      </c>
      <c r="U110" s="202">
        <f t="shared" si="28"/>
        <v>3455.0476190476</v>
      </c>
      <c r="V110" s="125"/>
      <c r="W110" s="125"/>
      <c r="X110" s="125"/>
      <c r="Y110" s="195"/>
      <c r="Z110" s="165">
        <f t="shared" si="31"/>
        <v>0</v>
      </c>
    </row>
    <row r="111" hidden="1" spans="1:26">
      <c r="A111" s="175">
        <v>108</v>
      </c>
      <c r="B111" s="187" t="s">
        <v>197</v>
      </c>
      <c r="C111" s="183">
        <v>32.5</v>
      </c>
      <c r="D111" s="179">
        <v>3500</v>
      </c>
      <c r="E111" s="179">
        <f t="shared" si="26"/>
        <v>113750</v>
      </c>
      <c r="F111" s="184" t="s">
        <v>29</v>
      </c>
      <c r="G111" s="182" t="s">
        <v>23</v>
      </c>
      <c r="H111" s="185">
        <v>2200</v>
      </c>
      <c r="I111" s="185">
        <f t="shared" si="33"/>
        <v>71500</v>
      </c>
      <c r="J111" s="196"/>
      <c r="K111" s="196"/>
      <c r="L111" s="196"/>
      <c r="M111" s="196"/>
      <c r="N111" s="196"/>
      <c r="O111" s="194"/>
      <c r="P111" s="195"/>
      <c r="Q111" s="125"/>
      <c r="R111" s="125"/>
      <c r="S111" s="125"/>
      <c r="T111" s="202">
        <f t="shared" si="32"/>
        <v>68095.2380952381</v>
      </c>
      <c r="U111" s="202">
        <f t="shared" si="28"/>
        <v>3404.76190476189</v>
      </c>
      <c r="V111" s="125"/>
      <c r="W111" s="125"/>
      <c r="X111" s="125"/>
      <c r="Y111" s="195"/>
      <c r="Z111" s="165">
        <f t="shared" si="31"/>
        <v>0</v>
      </c>
    </row>
    <row r="112" hidden="1" spans="1:26">
      <c r="A112" s="175">
        <v>109</v>
      </c>
      <c r="B112" s="187" t="s">
        <v>198</v>
      </c>
      <c r="C112" s="183">
        <v>32.5</v>
      </c>
      <c r="D112" s="179">
        <v>3500</v>
      </c>
      <c r="E112" s="179">
        <f t="shared" si="26"/>
        <v>113750</v>
      </c>
      <c r="F112" s="184" t="s">
        <v>29</v>
      </c>
      <c r="G112" s="182" t="s">
        <v>23</v>
      </c>
      <c r="H112" s="185">
        <v>2200</v>
      </c>
      <c r="I112" s="185">
        <f t="shared" si="33"/>
        <v>71500</v>
      </c>
      <c r="J112" s="196"/>
      <c r="K112" s="196"/>
      <c r="L112" s="196"/>
      <c r="M112" s="196"/>
      <c r="N112" s="196"/>
      <c r="O112" s="194"/>
      <c r="P112" s="195"/>
      <c r="Q112" s="125"/>
      <c r="R112" s="125"/>
      <c r="S112" s="125"/>
      <c r="T112" s="202">
        <f t="shared" si="32"/>
        <v>68095.2380952381</v>
      </c>
      <c r="U112" s="202">
        <f t="shared" si="28"/>
        <v>3404.76190476189</v>
      </c>
      <c r="V112" s="125"/>
      <c r="W112" s="125"/>
      <c r="X112" s="125"/>
      <c r="Y112" s="195"/>
      <c r="Z112" s="165">
        <f t="shared" si="31"/>
        <v>0</v>
      </c>
    </row>
    <row r="113" hidden="1" spans="1:26">
      <c r="A113" s="175">
        <v>110</v>
      </c>
      <c r="B113" s="187" t="s">
        <v>199</v>
      </c>
      <c r="C113" s="183">
        <v>32.5</v>
      </c>
      <c r="D113" s="179">
        <v>3500</v>
      </c>
      <c r="E113" s="179">
        <f t="shared" si="26"/>
        <v>113750</v>
      </c>
      <c r="F113" s="184" t="s">
        <v>29</v>
      </c>
      <c r="G113" s="182" t="s">
        <v>23</v>
      </c>
      <c r="H113" s="185">
        <v>2200</v>
      </c>
      <c r="I113" s="185">
        <f t="shared" si="33"/>
        <v>71500</v>
      </c>
      <c r="J113" s="196"/>
      <c r="K113" s="196"/>
      <c r="L113" s="196"/>
      <c r="M113" s="196"/>
      <c r="N113" s="196"/>
      <c r="O113" s="194"/>
      <c r="P113" s="195"/>
      <c r="Q113" s="125"/>
      <c r="R113" s="125"/>
      <c r="S113" s="125"/>
      <c r="T113" s="202">
        <f t="shared" si="32"/>
        <v>68095.2380952381</v>
      </c>
      <c r="U113" s="202">
        <f t="shared" si="28"/>
        <v>3404.76190476189</v>
      </c>
      <c r="V113" s="125"/>
      <c r="W113" s="125"/>
      <c r="X113" s="125"/>
      <c r="Y113" s="195"/>
      <c r="Z113" s="165">
        <f t="shared" si="31"/>
        <v>0</v>
      </c>
    </row>
    <row r="114" hidden="1" spans="1:26">
      <c r="A114" s="175">
        <v>111</v>
      </c>
      <c r="B114" s="187" t="s">
        <v>200</v>
      </c>
      <c r="C114" s="183">
        <v>32.5</v>
      </c>
      <c r="D114" s="179">
        <v>3500</v>
      </c>
      <c r="E114" s="179">
        <f t="shared" si="26"/>
        <v>113750</v>
      </c>
      <c r="F114" s="184" t="s">
        <v>29</v>
      </c>
      <c r="G114" s="182" t="s">
        <v>23</v>
      </c>
      <c r="H114" s="185">
        <v>2200</v>
      </c>
      <c r="I114" s="185">
        <f t="shared" si="33"/>
        <v>71500</v>
      </c>
      <c r="J114" s="196"/>
      <c r="K114" s="196"/>
      <c r="L114" s="196"/>
      <c r="M114" s="196"/>
      <c r="N114" s="196"/>
      <c r="O114" s="194"/>
      <c r="P114" s="195"/>
      <c r="Q114" s="125"/>
      <c r="R114" s="125"/>
      <c r="S114" s="125"/>
      <c r="T114" s="202">
        <f t="shared" si="32"/>
        <v>68095.2380952381</v>
      </c>
      <c r="U114" s="202">
        <f t="shared" si="28"/>
        <v>3404.76190476189</v>
      </c>
      <c r="V114" s="125"/>
      <c r="W114" s="125"/>
      <c r="X114" s="125"/>
      <c r="Y114" s="195"/>
      <c r="Z114" s="165">
        <f t="shared" si="31"/>
        <v>0</v>
      </c>
    </row>
    <row r="115" hidden="1" spans="1:26">
      <c r="A115" s="175">
        <v>112</v>
      </c>
      <c r="B115" s="187" t="s">
        <v>201</v>
      </c>
      <c r="C115" s="183">
        <v>32.59</v>
      </c>
      <c r="D115" s="179">
        <v>3500</v>
      </c>
      <c r="E115" s="179">
        <f t="shared" si="26"/>
        <v>114065</v>
      </c>
      <c r="F115" s="184" t="s">
        <v>29</v>
      </c>
      <c r="G115" s="182" t="s">
        <v>23</v>
      </c>
      <c r="H115" s="185">
        <v>2200</v>
      </c>
      <c r="I115" s="185">
        <f t="shared" si="33"/>
        <v>71698</v>
      </c>
      <c r="J115" s="196"/>
      <c r="K115" s="196"/>
      <c r="L115" s="196"/>
      <c r="M115" s="196"/>
      <c r="N115" s="196"/>
      <c r="O115" s="194"/>
      <c r="P115" s="195"/>
      <c r="Q115" s="125"/>
      <c r="R115" s="125"/>
      <c r="S115" s="125"/>
      <c r="T115" s="202">
        <f t="shared" si="32"/>
        <v>68283.8095238095</v>
      </c>
      <c r="U115" s="202">
        <f t="shared" si="28"/>
        <v>3414.1904761905</v>
      </c>
      <c r="V115" s="125"/>
      <c r="W115" s="125"/>
      <c r="X115" s="125"/>
      <c r="Y115" s="195"/>
      <c r="Z115" s="165">
        <f t="shared" si="31"/>
        <v>0</v>
      </c>
    </row>
    <row r="116" hidden="1" spans="1:26">
      <c r="A116" s="175">
        <v>113</v>
      </c>
      <c r="B116" s="187" t="s">
        <v>202</v>
      </c>
      <c r="C116" s="183">
        <v>32.61</v>
      </c>
      <c r="D116" s="179">
        <v>3500</v>
      </c>
      <c r="E116" s="179">
        <f t="shared" si="26"/>
        <v>114135</v>
      </c>
      <c r="F116" s="184" t="s">
        <v>29</v>
      </c>
      <c r="G116" s="182" t="s">
        <v>23</v>
      </c>
      <c r="H116" s="185">
        <v>2200</v>
      </c>
      <c r="I116" s="185">
        <f t="shared" si="33"/>
        <v>71742</v>
      </c>
      <c r="J116" s="196"/>
      <c r="K116" s="196"/>
      <c r="L116" s="196"/>
      <c r="M116" s="196"/>
      <c r="N116" s="196"/>
      <c r="O116" s="194"/>
      <c r="P116" s="195"/>
      <c r="Q116" s="125"/>
      <c r="R116" s="125"/>
      <c r="S116" s="125"/>
      <c r="T116" s="202">
        <f t="shared" si="32"/>
        <v>68325.7142857143</v>
      </c>
      <c r="U116" s="202">
        <f t="shared" si="28"/>
        <v>3416.2857142857</v>
      </c>
      <c r="V116" s="125"/>
      <c r="W116" s="125"/>
      <c r="X116" s="125"/>
      <c r="Y116" s="195"/>
      <c r="Z116" s="165">
        <f t="shared" si="31"/>
        <v>0</v>
      </c>
    </row>
    <row r="117" hidden="1" spans="1:26">
      <c r="A117" s="175">
        <v>114</v>
      </c>
      <c r="B117" s="187" t="s">
        <v>203</v>
      </c>
      <c r="C117" s="183">
        <v>32.5</v>
      </c>
      <c r="D117" s="179">
        <v>3500</v>
      </c>
      <c r="E117" s="179">
        <f t="shared" si="26"/>
        <v>113750</v>
      </c>
      <c r="F117" s="184" t="s">
        <v>29</v>
      </c>
      <c r="G117" s="182" t="s">
        <v>23</v>
      </c>
      <c r="H117" s="185">
        <v>2200</v>
      </c>
      <c r="I117" s="185">
        <f t="shared" si="33"/>
        <v>71500</v>
      </c>
      <c r="J117" s="196"/>
      <c r="K117" s="196"/>
      <c r="L117" s="196"/>
      <c r="M117" s="196"/>
      <c r="N117" s="196"/>
      <c r="O117" s="194"/>
      <c r="P117" s="195"/>
      <c r="Q117" s="125"/>
      <c r="R117" s="125"/>
      <c r="S117" s="125"/>
      <c r="T117" s="202">
        <f t="shared" si="32"/>
        <v>68095.2380952381</v>
      </c>
      <c r="U117" s="202">
        <f t="shared" si="28"/>
        <v>3404.76190476189</v>
      </c>
      <c r="V117" s="125"/>
      <c r="W117" s="125"/>
      <c r="X117" s="125"/>
      <c r="Y117" s="195"/>
      <c r="Z117" s="165">
        <f t="shared" si="31"/>
        <v>0</v>
      </c>
    </row>
    <row r="118" hidden="1" spans="1:26">
      <c r="A118" s="175">
        <v>115</v>
      </c>
      <c r="B118" s="187" t="s">
        <v>204</v>
      </c>
      <c r="C118" s="183">
        <v>32.5</v>
      </c>
      <c r="D118" s="179">
        <v>3500</v>
      </c>
      <c r="E118" s="179">
        <f t="shared" si="26"/>
        <v>113750</v>
      </c>
      <c r="F118" s="184" t="s">
        <v>29</v>
      </c>
      <c r="G118" s="182" t="s">
        <v>23</v>
      </c>
      <c r="H118" s="185">
        <v>2200</v>
      </c>
      <c r="I118" s="185">
        <f t="shared" si="33"/>
        <v>71500</v>
      </c>
      <c r="J118" s="196"/>
      <c r="K118" s="196"/>
      <c r="L118" s="196"/>
      <c r="M118" s="196"/>
      <c r="N118" s="196"/>
      <c r="O118" s="194"/>
      <c r="P118" s="195"/>
      <c r="Q118" s="125"/>
      <c r="R118" s="125"/>
      <c r="S118" s="125"/>
      <c r="T118" s="202">
        <f t="shared" si="32"/>
        <v>68095.2380952381</v>
      </c>
      <c r="U118" s="202">
        <f t="shared" si="28"/>
        <v>3404.76190476189</v>
      </c>
      <c r="V118" s="125"/>
      <c r="W118" s="125"/>
      <c r="X118" s="125"/>
      <c r="Y118" s="195"/>
      <c r="Z118" s="165">
        <f t="shared" si="31"/>
        <v>0</v>
      </c>
    </row>
    <row r="119" hidden="1" spans="1:26">
      <c r="A119" s="175">
        <v>116</v>
      </c>
      <c r="B119" s="187" t="s">
        <v>205</v>
      </c>
      <c r="C119" s="183">
        <v>32.5</v>
      </c>
      <c r="D119" s="179">
        <v>3500</v>
      </c>
      <c r="E119" s="179">
        <f t="shared" si="26"/>
        <v>113750</v>
      </c>
      <c r="F119" s="184" t="s">
        <v>29</v>
      </c>
      <c r="G119" s="182" t="s">
        <v>23</v>
      </c>
      <c r="H119" s="185">
        <v>2200</v>
      </c>
      <c r="I119" s="185">
        <f t="shared" si="33"/>
        <v>71500</v>
      </c>
      <c r="J119" s="196"/>
      <c r="K119" s="196"/>
      <c r="L119" s="196"/>
      <c r="M119" s="196"/>
      <c r="N119" s="196"/>
      <c r="O119" s="194"/>
      <c r="P119" s="195"/>
      <c r="Q119" s="125"/>
      <c r="R119" s="125"/>
      <c r="S119" s="125"/>
      <c r="T119" s="202">
        <f t="shared" si="32"/>
        <v>68095.2380952381</v>
      </c>
      <c r="U119" s="202">
        <f t="shared" si="28"/>
        <v>3404.76190476189</v>
      </c>
      <c r="V119" s="125"/>
      <c r="W119" s="125"/>
      <c r="X119" s="125"/>
      <c r="Y119" s="195"/>
      <c r="Z119" s="165">
        <f t="shared" si="31"/>
        <v>0</v>
      </c>
    </row>
    <row r="120" hidden="1" spans="1:26">
      <c r="A120" s="175">
        <v>117</v>
      </c>
      <c r="B120" s="187" t="s">
        <v>206</v>
      </c>
      <c r="C120" s="183">
        <v>32.5</v>
      </c>
      <c r="D120" s="179">
        <v>3500</v>
      </c>
      <c r="E120" s="179">
        <f t="shared" si="26"/>
        <v>113750</v>
      </c>
      <c r="F120" s="184" t="s">
        <v>29</v>
      </c>
      <c r="G120" s="182" t="s">
        <v>23</v>
      </c>
      <c r="H120" s="185">
        <v>2200</v>
      </c>
      <c r="I120" s="185">
        <f t="shared" si="33"/>
        <v>71500</v>
      </c>
      <c r="J120" s="196"/>
      <c r="K120" s="196"/>
      <c r="L120" s="196"/>
      <c r="M120" s="196"/>
      <c r="N120" s="196"/>
      <c r="O120" s="194"/>
      <c r="P120" s="195"/>
      <c r="Q120" s="125"/>
      <c r="R120" s="125"/>
      <c r="S120" s="125"/>
      <c r="T120" s="202">
        <f t="shared" si="32"/>
        <v>68095.2380952381</v>
      </c>
      <c r="U120" s="202">
        <f t="shared" si="28"/>
        <v>3404.76190476189</v>
      </c>
      <c r="V120" s="125"/>
      <c r="W120" s="125"/>
      <c r="X120" s="125"/>
      <c r="Y120" s="195"/>
      <c r="Z120" s="165">
        <f t="shared" si="31"/>
        <v>0</v>
      </c>
    </row>
    <row r="121" hidden="1" spans="1:26">
      <c r="A121" s="175">
        <v>118</v>
      </c>
      <c r="B121" s="187" t="s">
        <v>207</v>
      </c>
      <c r="C121" s="183">
        <v>32.5</v>
      </c>
      <c r="D121" s="179">
        <v>3500</v>
      </c>
      <c r="E121" s="179">
        <f t="shared" si="26"/>
        <v>113750</v>
      </c>
      <c r="F121" s="184" t="s">
        <v>29</v>
      </c>
      <c r="G121" s="182" t="s">
        <v>23</v>
      </c>
      <c r="H121" s="185">
        <v>2200</v>
      </c>
      <c r="I121" s="185">
        <f t="shared" si="33"/>
        <v>71500</v>
      </c>
      <c r="J121" s="196"/>
      <c r="K121" s="196"/>
      <c r="L121" s="196"/>
      <c r="M121" s="196"/>
      <c r="N121" s="196"/>
      <c r="O121" s="194"/>
      <c r="P121" s="195"/>
      <c r="Q121" s="125"/>
      <c r="R121" s="125"/>
      <c r="S121" s="125"/>
      <c r="T121" s="202">
        <f t="shared" si="32"/>
        <v>68095.2380952381</v>
      </c>
      <c r="U121" s="202">
        <f t="shared" si="28"/>
        <v>3404.76190476189</v>
      </c>
      <c r="V121" s="125"/>
      <c r="W121" s="125"/>
      <c r="X121" s="125"/>
      <c r="Y121" s="195"/>
      <c r="Z121" s="165">
        <f t="shared" si="31"/>
        <v>0</v>
      </c>
    </row>
    <row r="122" hidden="1" spans="1:26">
      <c r="A122" s="175">
        <v>119</v>
      </c>
      <c r="B122" s="187" t="s">
        <v>208</v>
      </c>
      <c r="C122" s="183">
        <v>32.5</v>
      </c>
      <c r="D122" s="179">
        <v>3500</v>
      </c>
      <c r="E122" s="179">
        <f t="shared" si="26"/>
        <v>113750</v>
      </c>
      <c r="F122" s="184" t="s">
        <v>29</v>
      </c>
      <c r="G122" s="182" t="s">
        <v>23</v>
      </c>
      <c r="H122" s="185">
        <v>2200</v>
      </c>
      <c r="I122" s="185">
        <f t="shared" si="33"/>
        <v>71500</v>
      </c>
      <c r="J122" s="196"/>
      <c r="K122" s="196"/>
      <c r="L122" s="196"/>
      <c r="M122" s="196"/>
      <c r="N122" s="196"/>
      <c r="O122" s="194"/>
      <c r="P122" s="195"/>
      <c r="Q122" s="125"/>
      <c r="R122" s="125"/>
      <c r="S122" s="125"/>
      <c r="T122" s="202">
        <f t="shared" si="32"/>
        <v>68095.2380952381</v>
      </c>
      <c r="U122" s="202">
        <f t="shared" si="28"/>
        <v>3404.76190476189</v>
      </c>
      <c r="V122" s="125"/>
      <c r="W122" s="125"/>
      <c r="X122" s="125"/>
      <c r="Y122" s="195"/>
      <c r="Z122" s="165">
        <f t="shared" si="31"/>
        <v>0</v>
      </c>
    </row>
    <row r="123" hidden="1" spans="1:26">
      <c r="A123" s="175">
        <v>120</v>
      </c>
      <c r="B123" s="187" t="s">
        <v>209</v>
      </c>
      <c r="C123" s="183">
        <v>32.98</v>
      </c>
      <c r="D123" s="179">
        <v>3500</v>
      </c>
      <c r="E123" s="179">
        <f t="shared" si="26"/>
        <v>115430</v>
      </c>
      <c r="F123" s="184" t="s">
        <v>29</v>
      </c>
      <c r="G123" s="182" t="s">
        <v>23</v>
      </c>
      <c r="H123" s="185">
        <v>2200</v>
      </c>
      <c r="I123" s="185">
        <f t="shared" si="33"/>
        <v>72556</v>
      </c>
      <c r="J123" s="196"/>
      <c r="K123" s="196"/>
      <c r="L123" s="196"/>
      <c r="M123" s="196"/>
      <c r="N123" s="196"/>
      <c r="O123" s="194"/>
      <c r="P123" s="195"/>
      <c r="Q123" s="125"/>
      <c r="R123" s="125"/>
      <c r="S123" s="125"/>
      <c r="T123" s="202">
        <f t="shared" si="32"/>
        <v>69100.9523809524</v>
      </c>
      <c r="U123" s="202">
        <f t="shared" si="28"/>
        <v>3455.0476190476</v>
      </c>
      <c r="V123" s="125"/>
      <c r="W123" s="125"/>
      <c r="X123" s="125"/>
      <c r="Y123" s="195"/>
      <c r="Z123" s="165">
        <f t="shared" si="31"/>
        <v>0</v>
      </c>
    </row>
    <row r="124" hidden="1" spans="1:26">
      <c r="A124" s="175">
        <v>121</v>
      </c>
      <c r="B124" s="187" t="s">
        <v>210</v>
      </c>
      <c r="C124" s="183">
        <v>32.98</v>
      </c>
      <c r="D124" s="179">
        <v>3500</v>
      </c>
      <c r="E124" s="179">
        <f t="shared" si="26"/>
        <v>115430</v>
      </c>
      <c r="F124" s="184" t="s">
        <v>29</v>
      </c>
      <c r="G124" s="182" t="s">
        <v>23</v>
      </c>
      <c r="H124" s="185">
        <v>2200</v>
      </c>
      <c r="I124" s="185">
        <f t="shared" si="33"/>
        <v>72556</v>
      </c>
      <c r="J124" s="196"/>
      <c r="K124" s="196"/>
      <c r="L124" s="196"/>
      <c r="M124" s="196"/>
      <c r="N124" s="196"/>
      <c r="O124" s="194"/>
      <c r="P124" s="195"/>
      <c r="Q124" s="125"/>
      <c r="R124" s="125"/>
      <c r="S124" s="125"/>
      <c r="T124" s="202">
        <f t="shared" si="32"/>
        <v>69100.9523809524</v>
      </c>
      <c r="U124" s="202">
        <f t="shared" si="28"/>
        <v>3455.0476190476</v>
      </c>
      <c r="V124" s="125"/>
      <c r="W124" s="125"/>
      <c r="X124" s="125"/>
      <c r="Y124" s="195"/>
      <c r="Z124" s="165">
        <f t="shared" si="31"/>
        <v>0</v>
      </c>
    </row>
    <row r="125" hidden="1" spans="1:26">
      <c r="A125" s="175">
        <v>122</v>
      </c>
      <c r="B125" s="187" t="s">
        <v>211</v>
      </c>
      <c r="C125" s="183">
        <v>32.5</v>
      </c>
      <c r="D125" s="179">
        <v>3500</v>
      </c>
      <c r="E125" s="179">
        <f t="shared" si="26"/>
        <v>113750</v>
      </c>
      <c r="F125" s="184" t="s">
        <v>29</v>
      </c>
      <c r="G125" s="182" t="s">
        <v>23</v>
      </c>
      <c r="H125" s="185">
        <v>2200</v>
      </c>
      <c r="I125" s="185">
        <f t="shared" si="33"/>
        <v>71500</v>
      </c>
      <c r="J125" s="196"/>
      <c r="K125" s="196"/>
      <c r="L125" s="196"/>
      <c r="M125" s="196"/>
      <c r="N125" s="196"/>
      <c r="O125" s="194"/>
      <c r="P125" s="195"/>
      <c r="Q125" s="125"/>
      <c r="R125" s="125"/>
      <c r="S125" s="125"/>
      <c r="T125" s="202">
        <f t="shared" si="32"/>
        <v>68095.2380952381</v>
      </c>
      <c r="U125" s="202">
        <f t="shared" si="28"/>
        <v>3404.76190476189</v>
      </c>
      <c r="V125" s="125"/>
      <c r="W125" s="125"/>
      <c r="X125" s="125"/>
      <c r="Y125" s="195"/>
      <c r="Z125" s="165">
        <f t="shared" si="31"/>
        <v>0</v>
      </c>
    </row>
    <row r="126" hidden="1" spans="1:26">
      <c r="A126" s="175">
        <v>123</v>
      </c>
      <c r="B126" s="187" t="s">
        <v>212</v>
      </c>
      <c r="C126" s="183">
        <v>32.5</v>
      </c>
      <c r="D126" s="179">
        <v>3500</v>
      </c>
      <c r="E126" s="179">
        <f t="shared" si="26"/>
        <v>113750</v>
      </c>
      <c r="F126" s="184" t="s">
        <v>29</v>
      </c>
      <c r="G126" s="182" t="s">
        <v>23</v>
      </c>
      <c r="H126" s="185">
        <v>2200</v>
      </c>
      <c r="I126" s="185">
        <f t="shared" si="33"/>
        <v>71500</v>
      </c>
      <c r="J126" s="196"/>
      <c r="K126" s="196"/>
      <c r="L126" s="196"/>
      <c r="M126" s="196"/>
      <c r="N126" s="196"/>
      <c r="O126" s="194"/>
      <c r="P126" s="195"/>
      <c r="Q126" s="125"/>
      <c r="R126" s="125"/>
      <c r="S126" s="125"/>
      <c r="T126" s="202">
        <f t="shared" si="32"/>
        <v>68095.2380952381</v>
      </c>
      <c r="U126" s="202">
        <f t="shared" si="28"/>
        <v>3404.76190476189</v>
      </c>
      <c r="V126" s="125"/>
      <c r="W126" s="125"/>
      <c r="X126" s="125"/>
      <c r="Y126" s="195"/>
      <c r="Z126" s="165">
        <f t="shared" si="31"/>
        <v>0</v>
      </c>
    </row>
    <row r="127" hidden="1" spans="1:26">
      <c r="A127" s="175">
        <v>124</v>
      </c>
      <c r="B127" s="187" t="s">
        <v>213</v>
      </c>
      <c r="C127" s="183">
        <v>32.5</v>
      </c>
      <c r="D127" s="179">
        <v>3500</v>
      </c>
      <c r="E127" s="179">
        <f t="shared" si="26"/>
        <v>113750</v>
      </c>
      <c r="F127" s="184" t="s">
        <v>29</v>
      </c>
      <c r="G127" s="182" t="s">
        <v>23</v>
      </c>
      <c r="H127" s="185">
        <v>2200</v>
      </c>
      <c r="I127" s="185">
        <f t="shared" si="33"/>
        <v>71500</v>
      </c>
      <c r="J127" s="196"/>
      <c r="K127" s="196"/>
      <c r="L127" s="196"/>
      <c r="M127" s="196"/>
      <c r="N127" s="196"/>
      <c r="O127" s="194"/>
      <c r="P127" s="195"/>
      <c r="Q127" s="125"/>
      <c r="R127" s="125"/>
      <c r="S127" s="125"/>
      <c r="T127" s="202">
        <f t="shared" si="32"/>
        <v>68095.2380952381</v>
      </c>
      <c r="U127" s="202">
        <f t="shared" si="28"/>
        <v>3404.76190476189</v>
      </c>
      <c r="V127" s="125"/>
      <c r="W127" s="125"/>
      <c r="X127" s="125"/>
      <c r="Y127" s="195"/>
      <c r="Z127" s="165">
        <f t="shared" si="31"/>
        <v>0</v>
      </c>
    </row>
    <row r="128" hidden="1" spans="1:26">
      <c r="A128" s="175">
        <v>125</v>
      </c>
      <c r="B128" s="187" t="s">
        <v>214</v>
      </c>
      <c r="C128" s="183">
        <v>32.5</v>
      </c>
      <c r="D128" s="179">
        <v>3500</v>
      </c>
      <c r="E128" s="179">
        <f t="shared" si="26"/>
        <v>113750</v>
      </c>
      <c r="F128" s="184" t="s">
        <v>29</v>
      </c>
      <c r="G128" s="182" t="s">
        <v>23</v>
      </c>
      <c r="H128" s="185">
        <v>2200</v>
      </c>
      <c r="I128" s="185">
        <f t="shared" si="33"/>
        <v>71500</v>
      </c>
      <c r="J128" s="196"/>
      <c r="K128" s="196"/>
      <c r="L128" s="196"/>
      <c r="M128" s="196"/>
      <c r="N128" s="196"/>
      <c r="O128" s="194"/>
      <c r="P128" s="195"/>
      <c r="Q128" s="125"/>
      <c r="R128" s="125"/>
      <c r="S128" s="125"/>
      <c r="T128" s="202">
        <f t="shared" si="32"/>
        <v>68095.2380952381</v>
      </c>
      <c r="U128" s="202">
        <f t="shared" si="28"/>
        <v>3404.76190476189</v>
      </c>
      <c r="V128" s="125"/>
      <c r="W128" s="125"/>
      <c r="X128" s="125"/>
      <c r="Y128" s="195"/>
      <c r="Z128" s="165">
        <f t="shared" si="31"/>
        <v>0</v>
      </c>
    </row>
    <row r="129" hidden="1" spans="1:26">
      <c r="A129" s="175">
        <v>126</v>
      </c>
      <c r="B129" s="187" t="s">
        <v>215</v>
      </c>
      <c r="C129" s="183">
        <v>32.59</v>
      </c>
      <c r="D129" s="179">
        <v>3500</v>
      </c>
      <c r="E129" s="179">
        <f t="shared" ref="E129:E192" si="34">ROUND(IF(F129&lt;&gt;0,C129*D129,0),0)</f>
        <v>114065</v>
      </c>
      <c r="F129" s="184" t="s">
        <v>29</v>
      </c>
      <c r="G129" s="182" t="s">
        <v>23</v>
      </c>
      <c r="H129" s="185">
        <v>2200</v>
      </c>
      <c r="I129" s="185">
        <f t="shared" si="33"/>
        <v>71698</v>
      </c>
      <c r="J129" s="196"/>
      <c r="K129" s="196"/>
      <c r="L129" s="196"/>
      <c r="M129" s="196"/>
      <c r="N129" s="196"/>
      <c r="O129" s="194"/>
      <c r="P129" s="195"/>
      <c r="Q129" s="125"/>
      <c r="R129" s="125"/>
      <c r="S129" s="125"/>
      <c r="T129" s="202">
        <f t="shared" si="32"/>
        <v>68283.8095238095</v>
      </c>
      <c r="U129" s="202">
        <f t="shared" si="28"/>
        <v>3414.1904761905</v>
      </c>
      <c r="V129" s="125"/>
      <c r="W129" s="125"/>
      <c r="X129" s="125"/>
      <c r="Y129" s="195"/>
      <c r="Z129" s="165">
        <f t="shared" si="31"/>
        <v>0</v>
      </c>
    </row>
    <row r="130" hidden="1" spans="1:26">
      <c r="A130" s="175">
        <v>127</v>
      </c>
      <c r="B130" s="187" t="s">
        <v>216</v>
      </c>
      <c r="C130" s="183">
        <v>32.61</v>
      </c>
      <c r="D130" s="179">
        <v>3500</v>
      </c>
      <c r="E130" s="179">
        <f t="shared" si="34"/>
        <v>114135</v>
      </c>
      <c r="F130" s="184" t="s">
        <v>29</v>
      </c>
      <c r="G130" s="182" t="s">
        <v>23</v>
      </c>
      <c r="H130" s="185">
        <v>2200</v>
      </c>
      <c r="I130" s="185">
        <f t="shared" si="33"/>
        <v>71742</v>
      </c>
      <c r="J130" s="196"/>
      <c r="K130" s="196"/>
      <c r="L130" s="196"/>
      <c r="M130" s="196"/>
      <c r="N130" s="196"/>
      <c r="O130" s="194"/>
      <c r="P130" s="195"/>
      <c r="Q130" s="125"/>
      <c r="R130" s="125"/>
      <c r="S130" s="125"/>
      <c r="T130" s="202">
        <f t="shared" si="32"/>
        <v>68325.7142857143</v>
      </c>
      <c r="U130" s="202">
        <f t="shared" si="28"/>
        <v>3416.2857142857</v>
      </c>
      <c r="V130" s="125"/>
      <c r="W130" s="125"/>
      <c r="X130" s="125"/>
      <c r="Y130" s="195"/>
      <c r="Z130" s="165">
        <f t="shared" si="31"/>
        <v>0</v>
      </c>
    </row>
    <row r="131" hidden="1" spans="1:26">
      <c r="A131" s="175">
        <v>128</v>
      </c>
      <c r="B131" s="187" t="s">
        <v>217</v>
      </c>
      <c r="C131" s="183">
        <v>32.5</v>
      </c>
      <c r="D131" s="179">
        <v>3500</v>
      </c>
      <c r="E131" s="179">
        <f t="shared" si="34"/>
        <v>113750</v>
      </c>
      <c r="F131" s="184" t="s">
        <v>29</v>
      </c>
      <c r="G131" s="182" t="s">
        <v>23</v>
      </c>
      <c r="H131" s="185">
        <v>2200</v>
      </c>
      <c r="I131" s="185">
        <f t="shared" si="33"/>
        <v>71500</v>
      </c>
      <c r="J131" s="196"/>
      <c r="K131" s="196"/>
      <c r="L131" s="196"/>
      <c r="M131" s="196"/>
      <c r="N131" s="196"/>
      <c r="O131" s="194"/>
      <c r="P131" s="195"/>
      <c r="Q131" s="125"/>
      <c r="R131" s="125"/>
      <c r="S131" s="125"/>
      <c r="T131" s="202">
        <f t="shared" si="32"/>
        <v>68095.2380952381</v>
      </c>
      <c r="U131" s="202">
        <f t="shared" si="28"/>
        <v>3404.76190476189</v>
      </c>
      <c r="V131" s="125"/>
      <c r="W131" s="125"/>
      <c r="X131" s="125"/>
      <c r="Y131" s="195"/>
      <c r="Z131" s="165">
        <f t="shared" si="31"/>
        <v>0</v>
      </c>
    </row>
    <row r="132" hidden="1" spans="1:26">
      <c r="A132" s="175">
        <v>129</v>
      </c>
      <c r="B132" s="187" t="s">
        <v>218</v>
      </c>
      <c r="C132" s="183">
        <v>32.5</v>
      </c>
      <c r="D132" s="179">
        <v>3500</v>
      </c>
      <c r="E132" s="179">
        <f t="shared" si="34"/>
        <v>113750</v>
      </c>
      <c r="F132" s="184" t="s">
        <v>29</v>
      </c>
      <c r="G132" s="182" t="s">
        <v>23</v>
      </c>
      <c r="H132" s="185">
        <v>2200</v>
      </c>
      <c r="I132" s="185">
        <f t="shared" si="33"/>
        <v>71500</v>
      </c>
      <c r="J132" s="196"/>
      <c r="K132" s="196"/>
      <c r="L132" s="196"/>
      <c r="M132" s="196"/>
      <c r="N132" s="196"/>
      <c r="O132" s="194"/>
      <c r="P132" s="195"/>
      <c r="Q132" s="125"/>
      <c r="R132" s="125"/>
      <c r="S132" s="125"/>
      <c r="T132" s="202">
        <f t="shared" ref="T132:T158" si="35">I132/1.05</f>
        <v>68095.2380952381</v>
      </c>
      <c r="U132" s="202">
        <f t="shared" si="28"/>
        <v>3404.76190476189</v>
      </c>
      <c r="V132" s="125"/>
      <c r="W132" s="125"/>
      <c r="X132" s="125"/>
      <c r="Y132" s="195"/>
      <c r="Z132" s="165">
        <f t="shared" si="31"/>
        <v>0</v>
      </c>
    </row>
    <row r="133" hidden="1" spans="1:26">
      <c r="A133" s="175">
        <v>130</v>
      </c>
      <c r="B133" s="187" t="s">
        <v>219</v>
      </c>
      <c r="C133" s="183">
        <v>32.5</v>
      </c>
      <c r="D133" s="179">
        <v>3500</v>
      </c>
      <c r="E133" s="179">
        <f t="shared" si="34"/>
        <v>113750</v>
      </c>
      <c r="F133" s="184" t="s">
        <v>29</v>
      </c>
      <c r="G133" s="182" t="s">
        <v>23</v>
      </c>
      <c r="H133" s="185">
        <v>2200</v>
      </c>
      <c r="I133" s="185">
        <f t="shared" si="33"/>
        <v>71500</v>
      </c>
      <c r="J133" s="196"/>
      <c r="K133" s="196"/>
      <c r="L133" s="196"/>
      <c r="M133" s="196"/>
      <c r="N133" s="196"/>
      <c r="O133" s="194"/>
      <c r="P133" s="195"/>
      <c r="Q133" s="125"/>
      <c r="R133" s="125"/>
      <c r="S133" s="125"/>
      <c r="T133" s="202">
        <f t="shared" si="35"/>
        <v>68095.2380952381</v>
      </c>
      <c r="U133" s="202">
        <f t="shared" ref="U133:U196" si="36">I133-T133</f>
        <v>3404.76190476189</v>
      </c>
      <c r="V133" s="125"/>
      <c r="W133" s="125"/>
      <c r="X133" s="125"/>
      <c r="Y133" s="195"/>
      <c r="Z133" s="165">
        <f t="shared" si="31"/>
        <v>0</v>
      </c>
    </row>
    <row r="134" hidden="1" spans="1:26">
      <c r="A134" s="175">
        <v>131</v>
      </c>
      <c r="B134" s="187" t="s">
        <v>220</v>
      </c>
      <c r="C134" s="183">
        <v>32.5</v>
      </c>
      <c r="D134" s="179">
        <v>3500</v>
      </c>
      <c r="E134" s="179">
        <f t="shared" si="34"/>
        <v>113750</v>
      </c>
      <c r="F134" s="184" t="s">
        <v>29</v>
      </c>
      <c r="G134" s="182" t="s">
        <v>23</v>
      </c>
      <c r="H134" s="185">
        <v>2200</v>
      </c>
      <c r="I134" s="185">
        <f t="shared" si="33"/>
        <v>71500</v>
      </c>
      <c r="J134" s="196"/>
      <c r="K134" s="196"/>
      <c r="L134" s="196"/>
      <c r="M134" s="196"/>
      <c r="N134" s="196"/>
      <c r="O134" s="194"/>
      <c r="P134" s="195"/>
      <c r="Q134" s="125"/>
      <c r="R134" s="125"/>
      <c r="S134" s="125"/>
      <c r="T134" s="202">
        <f t="shared" si="35"/>
        <v>68095.2380952381</v>
      </c>
      <c r="U134" s="202">
        <f t="shared" si="36"/>
        <v>3404.76190476189</v>
      </c>
      <c r="V134" s="125"/>
      <c r="W134" s="125"/>
      <c r="X134" s="125"/>
      <c r="Y134" s="195"/>
      <c r="Z134" s="165">
        <f t="shared" si="31"/>
        <v>0</v>
      </c>
    </row>
    <row r="135" hidden="1" spans="1:26">
      <c r="A135" s="175">
        <v>132</v>
      </c>
      <c r="B135" s="187" t="s">
        <v>221</v>
      </c>
      <c r="C135" s="183">
        <v>32.5</v>
      </c>
      <c r="D135" s="179">
        <v>3500</v>
      </c>
      <c r="E135" s="179">
        <f t="shared" si="34"/>
        <v>113750</v>
      </c>
      <c r="F135" s="184" t="s">
        <v>29</v>
      </c>
      <c r="G135" s="182" t="s">
        <v>23</v>
      </c>
      <c r="H135" s="185">
        <v>2200</v>
      </c>
      <c r="I135" s="185">
        <f t="shared" si="33"/>
        <v>71500</v>
      </c>
      <c r="J135" s="196"/>
      <c r="K135" s="196"/>
      <c r="L135" s="196"/>
      <c r="M135" s="196"/>
      <c r="N135" s="196"/>
      <c r="O135" s="194"/>
      <c r="P135" s="195"/>
      <c r="Q135" s="125"/>
      <c r="R135" s="125"/>
      <c r="S135" s="125"/>
      <c r="T135" s="202">
        <f t="shared" si="35"/>
        <v>68095.2380952381</v>
      </c>
      <c r="U135" s="202">
        <f t="shared" si="36"/>
        <v>3404.76190476189</v>
      </c>
      <c r="V135" s="125"/>
      <c r="W135" s="125"/>
      <c r="X135" s="125"/>
      <c r="Y135" s="195"/>
      <c r="Z135" s="165">
        <f t="shared" si="31"/>
        <v>0</v>
      </c>
    </row>
    <row r="136" hidden="1" spans="1:26">
      <c r="A136" s="175">
        <v>133</v>
      </c>
      <c r="B136" s="187" t="s">
        <v>222</v>
      </c>
      <c r="C136" s="183">
        <v>32.5</v>
      </c>
      <c r="D136" s="179">
        <v>3500</v>
      </c>
      <c r="E136" s="179">
        <f t="shared" si="34"/>
        <v>113750</v>
      </c>
      <c r="F136" s="184" t="s">
        <v>29</v>
      </c>
      <c r="G136" s="182" t="s">
        <v>23</v>
      </c>
      <c r="H136" s="185">
        <v>2200</v>
      </c>
      <c r="I136" s="185">
        <f t="shared" si="33"/>
        <v>71500</v>
      </c>
      <c r="J136" s="196"/>
      <c r="K136" s="196"/>
      <c r="L136" s="196"/>
      <c r="M136" s="196"/>
      <c r="N136" s="196"/>
      <c r="O136" s="194"/>
      <c r="P136" s="195"/>
      <c r="Q136" s="125"/>
      <c r="R136" s="125"/>
      <c r="S136" s="125"/>
      <c r="T136" s="202">
        <f t="shared" si="35"/>
        <v>68095.2380952381</v>
      </c>
      <c r="U136" s="202">
        <f t="shared" si="36"/>
        <v>3404.76190476189</v>
      </c>
      <c r="V136" s="125"/>
      <c r="W136" s="125"/>
      <c r="X136" s="125"/>
      <c r="Y136" s="195"/>
      <c r="Z136" s="165">
        <f t="shared" si="31"/>
        <v>0</v>
      </c>
    </row>
    <row r="137" hidden="1" spans="1:26">
      <c r="A137" s="175">
        <v>134</v>
      </c>
      <c r="B137" s="187" t="s">
        <v>223</v>
      </c>
      <c r="C137" s="183">
        <v>32.98</v>
      </c>
      <c r="D137" s="179">
        <v>3500</v>
      </c>
      <c r="E137" s="179">
        <f t="shared" si="34"/>
        <v>115430</v>
      </c>
      <c r="F137" s="184" t="s">
        <v>29</v>
      </c>
      <c r="G137" s="182" t="s">
        <v>23</v>
      </c>
      <c r="H137" s="185">
        <v>2200</v>
      </c>
      <c r="I137" s="185">
        <f t="shared" si="33"/>
        <v>72556</v>
      </c>
      <c r="J137" s="196"/>
      <c r="K137" s="196"/>
      <c r="L137" s="196"/>
      <c r="M137" s="196"/>
      <c r="N137" s="196"/>
      <c r="O137" s="194"/>
      <c r="P137" s="195"/>
      <c r="Q137" s="125"/>
      <c r="R137" s="125"/>
      <c r="S137" s="125"/>
      <c r="T137" s="202">
        <f t="shared" si="35"/>
        <v>69100.9523809524</v>
      </c>
      <c r="U137" s="202">
        <f t="shared" si="36"/>
        <v>3455.0476190476</v>
      </c>
      <c r="V137" s="125"/>
      <c r="W137" s="125"/>
      <c r="X137" s="125"/>
      <c r="Y137" s="195"/>
      <c r="Z137" s="165">
        <f t="shared" si="31"/>
        <v>0</v>
      </c>
    </row>
    <row r="138" spans="1:26">
      <c r="A138" s="175">
        <v>135</v>
      </c>
      <c r="B138" s="187"/>
      <c r="C138" s="183"/>
      <c r="D138" s="179"/>
      <c r="E138" s="179">
        <f t="shared" si="34"/>
        <v>0</v>
      </c>
      <c r="F138" s="207"/>
      <c r="G138" s="182"/>
      <c r="H138" s="185">
        <v>0</v>
      </c>
      <c r="I138" s="185">
        <v>0</v>
      </c>
      <c r="J138" s="196"/>
      <c r="K138" s="196"/>
      <c r="L138" s="196"/>
      <c r="M138" s="196"/>
      <c r="N138" s="196">
        <f t="shared" ref="N136:N199" si="37">I138-J138</f>
        <v>0</v>
      </c>
      <c r="O138" s="194"/>
      <c r="P138" s="195"/>
      <c r="Q138" s="125"/>
      <c r="R138" s="125"/>
      <c r="S138" s="125"/>
      <c r="T138" s="125">
        <f t="shared" si="35"/>
        <v>0</v>
      </c>
      <c r="U138" s="125">
        <f t="shared" si="36"/>
        <v>0</v>
      </c>
      <c r="V138" s="125"/>
      <c r="W138" s="125"/>
      <c r="X138" s="125"/>
      <c r="Y138" s="195"/>
      <c r="Z138" s="165">
        <f t="shared" si="31"/>
        <v>0</v>
      </c>
    </row>
    <row r="139" ht="13.5" spans="1:26">
      <c r="A139" s="175">
        <v>136</v>
      </c>
      <c r="B139" s="187" t="s">
        <v>224</v>
      </c>
      <c r="C139" s="183">
        <v>125.06</v>
      </c>
      <c r="D139" s="179">
        <v>3688</v>
      </c>
      <c r="E139" s="179">
        <f t="shared" si="34"/>
        <v>461221</v>
      </c>
      <c r="F139" s="184" t="s">
        <v>225</v>
      </c>
      <c r="G139" s="182"/>
      <c r="H139" s="185">
        <v>3622</v>
      </c>
      <c r="I139" s="185">
        <v>452967</v>
      </c>
      <c r="J139" s="196">
        <f>VLOOKUP(B139,泰康小区账面房号及收款金额!$A$2:$B$424,2,0)</f>
        <v>452967</v>
      </c>
      <c r="K139" s="196"/>
      <c r="L139" s="196"/>
      <c r="M139" s="196"/>
      <c r="N139" s="196">
        <f t="shared" si="37"/>
        <v>0</v>
      </c>
      <c r="O139" s="194"/>
      <c r="P139" s="195"/>
      <c r="Q139" s="125">
        <f>VLOOKUP(B139,[2]信息汇总表!$M$2:$T$816,8,0)</f>
        <v>452967</v>
      </c>
      <c r="R139" s="125">
        <f>VLOOKUP(B139,[1]sheet1!$J$4:$K$413,2,0)</f>
        <v>452967</v>
      </c>
      <c r="S139" s="125"/>
      <c r="T139" s="125">
        <f>J139/1.05</f>
        <v>431397.142857143</v>
      </c>
      <c r="U139" s="125">
        <f t="shared" si="36"/>
        <v>21569.8571428572</v>
      </c>
      <c r="V139" s="203">
        <f t="shared" ref="V139:V175" si="38">T139-S139-R139</f>
        <v>-21569.8571428572</v>
      </c>
      <c r="W139" s="203">
        <f t="shared" ref="W139:W175" si="39">U139-X139</f>
        <v>21569.8571428572</v>
      </c>
      <c r="X139" s="125"/>
      <c r="Y139" t="s">
        <v>77</v>
      </c>
      <c r="Z139" s="165">
        <f t="shared" si="31"/>
        <v>0</v>
      </c>
    </row>
    <row r="140" ht="13.5" spans="1:26">
      <c r="A140" s="175">
        <v>137</v>
      </c>
      <c r="B140" s="187" t="s">
        <v>226</v>
      </c>
      <c r="C140" s="183">
        <v>124.66</v>
      </c>
      <c r="D140" s="179">
        <v>3458</v>
      </c>
      <c r="E140" s="179">
        <f t="shared" si="34"/>
        <v>431074</v>
      </c>
      <c r="F140" s="184" t="s">
        <v>227</v>
      </c>
      <c r="G140" s="182"/>
      <c r="H140" s="185">
        <v>3458</v>
      </c>
      <c r="I140" s="185">
        <v>431074</v>
      </c>
      <c r="J140" s="196">
        <f>VLOOKUP(B140,泰康小区账面房号及收款金额!$A$2:$B$424,2,0)</f>
        <v>431074</v>
      </c>
      <c r="K140" s="196"/>
      <c r="L140" s="196"/>
      <c r="M140" s="196"/>
      <c r="N140" s="196">
        <f t="shared" si="37"/>
        <v>0</v>
      </c>
      <c r="O140" s="194"/>
      <c r="P140" s="195"/>
      <c r="Q140" s="125">
        <f>VLOOKUP(B140,[2]信息汇总表!$M$2:$T$816,8,0)</f>
        <v>431074</v>
      </c>
      <c r="R140" s="125">
        <f>VLOOKUP(B140,[1]sheet1!$J$4:$K$413,2,0)</f>
        <v>431074</v>
      </c>
      <c r="S140" s="125"/>
      <c r="T140" s="125">
        <f t="shared" si="35"/>
        <v>410546.666666667</v>
      </c>
      <c r="U140" s="125">
        <f t="shared" si="36"/>
        <v>20527.333333333</v>
      </c>
      <c r="V140" s="203">
        <f t="shared" si="38"/>
        <v>-20527.333333333</v>
      </c>
      <c r="W140" s="203">
        <f t="shared" si="39"/>
        <v>20527.333333333</v>
      </c>
      <c r="X140" s="125"/>
      <c r="Y140" t="s">
        <v>77</v>
      </c>
      <c r="Z140" s="165">
        <f t="shared" si="31"/>
        <v>0</v>
      </c>
    </row>
    <row r="141" ht="13.5" spans="1:26">
      <c r="A141" s="175">
        <v>138</v>
      </c>
      <c r="B141" s="187" t="s">
        <v>228</v>
      </c>
      <c r="C141" s="183">
        <v>125.06</v>
      </c>
      <c r="D141" s="179">
        <v>3638</v>
      </c>
      <c r="E141" s="179">
        <f t="shared" si="34"/>
        <v>454968</v>
      </c>
      <c r="F141" s="184" t="s">
        <v>229</v>
      </c>
      <c r="G141" s="182"/>
      <c r="H141" s="185">
        <v>3668</v>
      </c>
      <c r="I141" s="185">
        <v>458720</v>
      </c>
      <c r="J141" s="196">
        <f>VLOOKUP(B141,泰康小区账面房号及收款金额!$A$2:$B$424,2,0)</f>
        <v>458720</v>
      </c>
      <c r="K141" s="196"/>
      <c r="L141" s="196"/>
      <c r="M141" s="196"/>
      <c r="N141" s="196">
        <f t="shared" si="37"/>
        <v>0</v>
      </c>
      <c r="O141" s="194"/>
      <c r="P141" s="195"/>
      <c r="Q141" s="125">
        <f>VLOOKUP(B141,[2]信息汇总表!$M$2:$T$816,8,0)</f>
        <v>458720</v>
      </c>
      <c r="R141" s="125">
        <f>VLOOKUP(B141,[1]sheet1!$J$4:$K$413,2,0)</f>
        <v>458720</v>
      </c>
      <c r="S141" s="125"/>
      <c r="T141" s="125">
        <f t="shared" si="35"/>
        <v>436876.19047619</v>
      </c>
      <c r="U141" s="125">
        <f t="shared" si="36"/>
        <v>21843.80952381</v>
      </c>
      <c r="V141" s="203">
        <f t="shared" si="38"/>
        <v>-21843.80952381</v>
      </c>
      <c r="W141" s="203">
        <f t="shared" si="39"/>
        <v>21843.80952381</v>
      </c>
      <c r="X141" s="125"/>
      <c r="Y141" t="s">
        <v>77</v>
      </c>
      <c r="Z141" s="165">
        <f t="shared" si="31"/>
        <v>0</v>
      </c>
    </row>
    <row r="142" ht="13.5" spans="1:26">
      <c r="A142" s="175">
        <v>139</v>
      </c>
      <c r="B142" s="187" t="s">
        <v>230</v>
      </c>
      <c r="C142" s="183">
        <v>124.66</v>
      </c>
      <c r="D142" s="179">
        <v>3638</v>
      </c>
      <c r="E142" s="179">
        <f t="shared" si="34"/>
        <v>453513</v>
      </c>
      <c r="F142" s="184" t="s">
        <v>231</v>
      </c>
      <c r="G142" s="182"/>
      <c r="H142" s="185">
        <v>3668</v>
      </c>
      <c r="I142" s="185">
        <v>457253</v>
      </c>
      <c r="J142" s="196">
        <f>VLOOKUP(B142,泰康小区账面房号及收款金额!$A$2:$B$424,2,0)</f>
        <v>457253</v>
      </c>
      <c r="K142" s="196"/>
      <c r="L142" s="196"/>
      <c r="M142" s="196"/>
      <c r="N142" s="196">
        <f t="shared" si="37"/>
        <v>0</v>
      </c>
      <c r="O142" s="194"/>
      <c r="P142" s="195"/>
      <c r="Q142" s="125">
        <f>VLOOKUP(B142,[2]信息汇总表!$M$2:$T$816,8,0)</f>
        <v>457253</v>
      </c>
      <c r="R142" s="125">
        <f>VLOOKUP(B142,[1]sheet1!$J$4:$K$413,2,0)</f>
        <v>457253</v>
      </c>
      <c r="S142" s="125"/>
      <c r="T142" s="125">
        <f t="shared" si="35"/>
        <v>435479.047619048</v>
      </c>
      <c r="U142" s="125">
        <f t="shared" si="36"/>
        <v>21773.952380952</v>
      </c>
      <c r="V142" s="203">
        <f t="shared" si="38"/>
        <v>-21773.952380952</v>
      </c>
      <c r="W142" s="203">
        <f t="shared" si="39"/>
        <v>21773.952380952</v>
      </c>
      <c r="X142" s="125"/>
      <c r="Y142" t="s">
        <v>77</v>
      </c>
      <c r="Z142" s="165">
        <f t="shared" si="31"/>
        <v>0</v>
      </c>
    </row>
    <row r="143" ht="13.5" spans="1:26">
      <c r="A143" s="175">
        <v>140</v>
      </c>
      <c r="B143" s="187" t="s">
        <v>232</v>
      </c>
      <c r="C143" s="183">
        <v>125.06</v>
      </c>
      <c r="D143" s="179">
        <v>3598</v>
      </c>
      <c r="E143" s="179">
        <f t="shared" si="34"/>
        <v>449966</v>
      </c>
      <c r="F143" s="184" t="s">
        <v>233</v>
      </c>
      <c r="G143" s="182"/>
      <c r="H143" s="185">
        <v>3628</v>
      </c>
      <c r="I143" s="185">
        <v>453718</v>
      </c>
      <c r="J143" s="196">
        <f>VLOOKUP(B143,泰康小区账面房号及收款金额!$A$2:$B$424,2,0)</f>
        <v>453718</v>
      </c>
      <c r="K143" s="196"/>
      <c r="L143" s="196"/>
      <c r="M143" s="196"/>
      <c r="N143" s="196">
        <f t="shared" si="37"/>
        <v>0</v>
      </c>
      <c r="O143" s="194"/>
      <c r="P143" s="195"/>
      <c r="Q143" s="125">
        <f>VLOOKUP(B143,[2]信息汇总表!$M$2:$T$816,8,0)</f>
        <v>453718</v>
      </c>
      <c r="R143" s="125">
        <f>VLOOKUP(B143,[1]sheet1!$J$4:$K$413,2,0)</f>
        <v>453718</v>
      </c>
      <c r="S143" s="125"/>
      <c r="T143" s="125">
        <f t="shared" si="35"/>
        <v>432112.380952381</v>
      </c>
      <c r="U143" s="125">
        <f t="shared" si="36"/>
        <v>21605.619047619</v>
      </c>
      <c r="V143" s="203">
        <f t="shared" si="38"/>
        <v>-21605.619047619</v>
      </c>
      <c r="W143" s="203">
        <f t="shared" si="39"/>
        <v>21605.619047619</v>
      </c>
      <c r="X143" s="125"/>
      <c r="Y143" t="s">
        <v>77</v>
      </c>
      <c r="Z143" s="165">
        <f t="shared" si="31"/>
        <v>0</v>
      </c>
    </row>
    <row r="144" ht="13.5" spans="1:26">
      <c r="A144" s="175">
        <v>141</v>
      </c>
      <c r="B144" s="187" t="s">
        <v>234</v>
      </c>
      <c r="C144" s="183">
        <v>124.66</v>
      </c>
      <c r="D144" s="179">
        <v>3598</v>
      </c>
      <c r="E144" s="179">
        <f t="shared" si="34"/>
        <v>448527</v>
      </c>
      <c r="F144" s="184" t="s">
        <v>235</v>
      </c>
      <c r="G144" s="182"/>
      <c r="H144" s="185">
        <v>3628</v>
      </c>
      <c r="I144" s="185">
        <v>452266</v>
      </c>
      <c r="J144" s="196">
        <f>VLOOKUP(B144,泰康小区账面房号及收款金额!$A$2:$B$424,2,0)</f>
        <v>452266</v>
      </c>
      <c r="K144" s="196"/>
      <c r="L144" s="196"/>
      <c r="M144" s="196"/>
      <c r="N144" s="196">
        <f t="shared" si="37"/>
        <v>0</v>
      </c>
      <c r="O144" s="194"/>
      <c r="P144" s="195"/>
      <c r="Q144" s="125">
        <f>VLOOKUP(B144,[2]信息汇总表!$M$2:$T$816,8,0)</f>
        <v>452266</v>
      </c>
      <c r="R144" s="125">
        <f>VLOOKUP(B144,[1]sheet1!$J$4:$K$413,2,0)</f>
        <v>452266</v>
      </c>
      <c r="S144" s="125"/>
      <c r="T144" s="125">
        <f t="shared" si="35"/>
        <v>430729.523809524</v>
      </c>
      <c r="U144" s="125">
        <f t="shared" si="36"/>
        <v>21536.476190476</v>
      </c>
      <c r="V144" s="203">
        <f t="shared" si="38"/>
        <v>-21536.476190476</v>
      </c>
      <c r="W144" s="203">
        <f t="shared" si="39"/>
        <v>21536.476190476</v>
      </c>
      <c r="X144" s="125"/>
      <c r="Y144" t="s">
        <v>77</v>
      </c>
      <c r="Z144" s="165">
        <f t="shared" si="31"/>
        <v>0</v>
      </c>
    </row>
    <row r="145" ht="13.5" spans="1:26">
      <c r="A145" s="175">
        <v>142</v>
      </c>
      <c r="B145" s="187" t="s">
        <v>236</v>
      </c>
      <c r="C145" s="183">
        <v>125.06</v>
      </c>
      <c r="D145" s="179">
        <v>3528</v>
      </c>
      <c r="E145" s="179">
        <f t="shared" si="34"/>
        <v>441212</v>
      </c>
      <c r="F145" s="184" t="s">
        <v>237</v>
      </c>
      <c r="G145" s="182"/>
      <c r="H145" s="185">
        <v>3558</v>
      </c>
      <c r="I145" s="185">
        <v>444963</v>
      </c>
      <c r="J145" s="196">
        <f>VLOOKUP(B145,泰康小区账面房号及收款金额!$A$2:$B$424,2,0)</f>
        <v>444963</v>
      </c>
      <c r="K145" s="196"/>
      <c r="L145" s="196"/>
      <c r="M145" s="196"/>
      <c r="N145" s="196">
        <f t="shared" si="37"/>
        <v>0</v>
      </c>
      <c r="O145" s="194"/>
      <c r="P145" s="195"/>
      <c r="Q145" s="125">
        <f>VLOOKUP(B145,[2]信息汇总表!$M$2:$T$816,8,0)</f>
        <v>444963</v>
      </c>
      <c r="R145" s="125">
        <f>VLOOKUP(B145,[1]sheet1!$J$4:$K$413,2,0)</f>
        <v>444963</v>
      </c>
      <c r="S145" s="125"/>
      <c r="T145" s="125">
        <f t="shared" si="35"/>
        <v>423774.285714286</v>
      </c>
      <c r="U145" s="125">
        <f t="shared" si="36"/>
        <v>21188.714285714</v>
      </c>
      <c r="V145" s="203">
        <f t="shared" si="38"/>
        <v>-21188.714285714</v>
      </c>
      <c r="W145" s="203">
        <f t="shared" si="39"/>
        <v>21188.714285714</v>
      </c>
      <c r="X145" s="125"/>
      <c r="Y145" t="s">
        <v>77</v>
      </c>
      <c r="Z145" s="165">
        <f t="shared" si="31"/>
        <v>0</v>
      </c>
    </row>
    <row r="146" ht="13.5" spans="1:26">
      <c r="A146" s="175">
        <v>143</v>
      </c>
      <c r="B146" s="187" t="s">
        <v>238</v>
      </c>
      <c r="C146" s="183">
        <v>124.66</v>
      </c>
      <c r="D146" s="179">
        <v>3458</v>
      </c>
      <c r="E146" s="179">
        <f t="shared" si="34"/>
        <v>431074</v>
      </c>
      <c r="F146" s="184" t="s">
        <v>239</v>
      </c>
      <c r="G146" s="182"/>
      <c r="H146" s="185">
        <v>3458</v>
      </c>
      <c r="I146" s="185">
        <v>431074</v>
      </c>
      <c r="J146" s="196">
        <f>VLOOKUP(B146,泰康小区账面房号及收款金额!$A$2:$B$424,2,0)</f>
        <v>431074</v>
      </c>
      <c r="K146" s="196"/>
      <c r="L146" s="196"/>
      <c r="M146" s="196"/>
      <c r="N146" s="196">
        <f t="shared" si="37"/>
        <v>0</v>
      </c>
      <c r="O146" s="194"/>
      <c r="P146" s="195"/>
      <c r="Q146" s="125">
        <f>VLOOKUP(B146,[2]信息汇总表!$M$2:$T$816,8,0)</f>
        <v>431074</v>
      </c>
      <c r="R146" s="125">
        <f>VLOOKUP(B146,[1]sheet1!$J$4:$K$413,2,0)</f>
        <v>431074</v>
      </c>
      <c r="S146" s="125"/>
      <c r="T146" s="125">
        <f t="shared" si="35"/>
        <v>410546.666666667</v>
      </c>
      <c r="U146" s="125">
        <f t="shared" si="36"/>
        <v>20527.333333333</v>
      </c>
      <c r="V146" s="203">
        <f t="shared" si="38"/>
        <v>-20527.333333333</v>
      </c>
      <c r="W146" s="203">
        <f t="shared" si="39"/>
        <v>20527.333333333</v>
      </c>
      <c r="X146" s="125"/>
      <c r="Y146" t="s">
        <v>77</v>
      </c>
      <c r="Z146" s="165">
        <f t="shared" si="31"/>
        <v>0</v>
      </c>
    </row>
    <row r="147" ht="13.5" spans="1:26">
      <c r="A147" s="175">
        <v>144</v>
      </c>
      <c r="B147" s="187" t="s">
        <v>240</v>
      </c>
      <c r="C147" s="183">
        <v>125.06</v>
      </c>
      <c r="D147" s="179">
        <v>3138</v>
      </c>
      <c r="E147" s="179">
        <f t="shared" si="34"/>
        <v>392438</v>
      </c>
      <c r="F147" s="184" t="s">
        <v>241</v>
      </c>
      <c r="G147" s="182"/>
      <c r="H147" s="185">
        <v>3122</v>
      </c>
      <c r="I147" s="185">
        <v>390437</v>
      </c>
      <c r="J147" s="196">
        <f>VLOOKUP(B147,泰康小区账面房号及收款金额!$A$2:$B$424,2,0)</f>
        <v>390437</v>
      </c>
      <c r="K147" s="196"/>
      <c r="L147" s="196"/>
      <c r="M147" s="196"/>
      <c r="N147" s="196">
        <f t="shared" si="37"/>
        <v>0</v>
      </c>
      <c r="O147" s="194"/>
      <c r="P147" s="195"/>
      <c r="Q147" s="125">
        <f>VLOOKUP(B147,[2]信息汇总表!$M$2:$T$816,8,0)</f>
        <v>390437</v>
      </c>
      <c r="R147" s="125">
        <f>VLOOKUP(B147,[1]sheet1!$J$4:$K$413,2,0)</f>
        <v>390437</v>
      </c>
      <c r="S147" s="125"/>
      <c r="T147" s="125">
        <f t="shared" si="35"/>
        <v>371844.761904762</v>
      </c>
      <c r="U147" s="125">
        <f t="shared" si="36"/>
        <v>18592.238095238</v>
      </c>
      <c r="V147" s="203">
        <f t="shared" si="38"/>
        <v>-18592.238095238</v>
      </c>
      <c r="W147" s="203">
        <f t="shared" si="39"/>
        <v>18592.238095238</v>
      </c>
      <c r="X147" s="125"/>
      <c r="Y147" t="s">
        <v>77</v>
      </c>
      <c r="Z147" s="165">
        <f t="shared" si="31"/>
        <v>0</v>
      </c>
    </row>
    <row r="148" ht="13.5" spans="1:26">
      <c r="A148" s="175">
        <v>145</v>
      </c>
      <c r="B148" s="187" t="s">
        <v>242</v>
      </c>
      <c r="C148" s="183">
        <v>124.66</v>
      </c>
      <c r="D148" s="179">
        <v>3138</v>
      </c>
      <c r="E148" s="179">
        <f t="shared" si="34"/>
        <v>391183</v>
      </c>
      <c r="F148" s="184" t="s">
        <v>243</v>
      </c>
      <c r="G148" s="182"/>
      <c r="H148" s="185">
        <v>3168</v>
      </c>
      <c r="I148" s="185">
        <v>394923</v>
      </c>
      <c r="J148" s="196">
        <f>VLOOKUP(B148,泰康小区账面房号及收款金额!$A$2:$B$424,2,0)</f>
        <v>394923</v>
      </c>
      <c r="K148" s="196"/>
      <c r="L148" s="196"/>
      <c r="M148" s="196"/>
      <c r="N148" s="196">
        <f t="shared" si="37"/>
        <v>0</v>
      </c>
      <c r="O148" s="194"/>
      <c r="P148" s="195"/>
      <c r="Q148" s="125">
        <f>VLOOKUP(B148,[2]信息汇总表!$M$2:$T$816,8,0)</f>
        <v>394923</v>
      </c>
      <c r="R148" s="125">
        <f>VLOOKUP(B148,[1]sheet1!$J$4:$K$413,2,0)</f>
        <v>394923</v>
      </c>
      <c r="S148" s="125"/>
      <c r="T148" s="125">
        <f t="shared" si="35"/>
        <v>376117.142857143</v>
      </c>
      <c r="U148" s="125">
        <f t="shared" si="36"/>
        <v>18805.857142857</v>
      </c>
      <c r="V148" s="203">
        <f t="shared" si="38"/>
        <v>-18805.857142857</v>
      </c>
      <c r="W148" s="203">
        <f t="shared" si="39"/>
        <v>18805.857142857</v>
      </c>
      <c r="X148" s="125"/>
      <c r="Y148" t="s">
        <v>77</v>
      </c>
      <c r="Z148" s="165">
        <f t="shared" si="31"/>
        <v>0</v>
      </c>
    </row>
    <row r="149" ht="13.5" spans="1:26">
      <c r="A149" s="175">
        <v>146</v>
      </c>
      <c r="B149" s="187" t="s">
        <v>244</v>
      </c>
      <c r="C149" s="183">
        <v>117.84</v>
      </c>
      <c r="D149" s="179">
        <v>3038</v>
      </c>
      <c r="E149" s="179">
        <f t="shared" si="34"/>
        <v>357998</v>
      </c>
      <c r="F149" s="184" t="s">
        <v>245</v>
      </c>
      <c r="G149" s="182" t="s">
        <v>23</v>
      </c>
      <c r="H149" s="185">
        <v>2500</v>
      </c>
      <c r="I149" s="185">
        <v>294600</v>
      </c>
      <c r="J149" s="196">
        <f>VLOOKUP(B149,泰康小区账面房号及收款金额!$A$2:$B$424,2,0)</f>
        <v>294600</v>
      </c>
      <c r="K149" s="196"/>
      <c r="L149" s="196"/>
      <c r="M149" s="196"/>
      <c r="N149" s="196">
        <f t="shared" si="37"/>
        <v>0</v>
      </c>
      <c r="O149" s="194"/>
      <c r="P149" s="195"/>
      <c r="Q149" s="125">
        <f>VLOOKUP(B149,[2]信息汇总表!$M$2:$T$816,8,0)</f>
        <v>294600</v>
      </c>
      <c r="R149" s="125">
        <f>VLOOKUP(B149,[1]sheet1!$J$4:$K$413,2,0)</f>
        <v>294600</v>
      </c>
      <c r="S149" s="125"/>
      <c r="T149" s="125">
        <f t="shared" si="35"/>
        <v>280571.428571429</v>
      </c>
      <c r="U149" s="125">
        <f t="shared" si="36"/>
        <v>14028.571428571</v>
      </c>
      <c r="V149" s="203">
        <f t="shared" si="38"/>
        <v>-14028.571428571</v>
      </c>
      <c r="W149" s="203">
        <f t="shared" si="39"/>
        <v>14028.571428571</v>
      </c>
      <c r="X149" s="125"/>
      <c r="Y149" t="s">
        <v>77</v>
      </c>
      <c r="Z149" s="165">
        <f t="shared" si="31"/>
        <v>0</v>
      </c>
    </row>
    <row r="150" ht="13.5" spans="1:26">
      <c r="A150" s="175">
        <v>147</v>
      </c>
      <c r="B150" s="187" t="s">
        <v>246</v>
      </c>
      <c r="C150" s="183">
        <v>117.44</v>
      </c>
      <c r="D150" s="179">
        <v>2096</v>
      </c>
      <c r="E150" s="179">
        <f t="shared" si="34"/>
        <v>246154</v>
      </c>
      <c r="F150" s="184" t="s">
        <v>247</v>
      </c>
      <c r="G150" s="182"/>
      <c r="H150" s="185">
        <v>1960</v>
      </c>
      <c r="I150" s="185">
        <v>230182</v>
      </c>
      <c r="J150" s="196">
        <f>VLOOKUP(B150,泰康小区账面房号及收款金额!$A$2:$B$424,2,0)</f>
        <v>230182</v>
      </c>
      <c r="K150" s="196"/>
      <c r="L150" s="196"/>
      <c r="M150" s="196"/>
      <c r="N150" s="196">
        <f t="shared" si="37"/>
        <v>0</v>
      </c>
      <c r="O150" s="194"/>
      <c r="P150" s="195"/>
      <c r="Q150" s="125">
        <f>VLOOKUP(B150,[2]信息汇总表!$M$2:$T$816,8,0)</f>
        <v>230182</v>
      </c>
      <c r="R150" s="125">
        <f>VLOOKUP(B150,[1]sheet1!$J$4:$K$413,2,0)</f>
        <v>230182</v>
      </c>
      <c r="S150" s="125"/>
      <c r="T150" s="125">
        <f t="shared" si="35"/>
        <v>219220.952380952</v>
      </c>
      <c r="U150" s="125">
        <f t="shared" si="36"/>
        <v>10961.047619048</v>
      </c>
      <c r="V150" s="203">
        <f t="shared" si="38"/>
        <v>-10961.047619048</v>
      </c>
      <c r="W150" s="203">
        <f t="shared" si="39"/>
        <v>10961.047619048</v>
      </c>
      <c r="X150" s="125"/>
      <c r="Y150" t="s">
        <v>77</v>
      </c>
      <c r="Z150" s="165">
        <f t="shared" si="31"/>
        <v>0</v>
      </c>
    </row>
    <row r="151" ht="13.5" spans="1:26">
      <c r="A151" s="175">
        <v>148</v>
      </c>
      <c r="B151" s="187" t="s">
        <v>248</v>
      </c>
      <c r="C151" s="183">
        <v>124.66</v>
      </c>
      <c r="D151" s="179">
        <v>3638</v>
      </c>
      <c r="E151" s="179">
        <f t="shared" si="34"/>
        <v>453513</v>
      </c>
      <c r="F151" s="184" t="s">
        <v>249</v>
      </c>
      <c r="G151" s="182"/>
      <c r="H151" s="185">
        <v>3638</v>
      </c>
      <c r="I151" s="185">
        <v>453513</v>
      </c>
      <c r="J151" s="196">
        <f>VLOOKUP(B151,泰康小区账面房号及收款金额!$A$2:$B$424,2,0)</f>
        <v>453513</v>
      </c>
      <c r="K151" s="196"/>
      <c r="L151" s="196"/>
      <c r="M151" s="196"/>
      <c r="N151" s="196">
        <f t="shared" si="37"/>
        <v>0</v>
      </c>
      <c r="O151" s="194"/>
      <c r="P151" s="195"/>
      <c r="Q151" s="125">
        <f>VLOOKUP(B151,[2]信息汇总表!$M$2:$T$816,8,0)</f>
        <v>453513</v>
      </c>
      <c r="R151" s="125">
        <f>VLOOKUP(B151,[1]sheet1!$J$4:$K$413,2,0)</f>
        <v>453513</v>
      </c>
      <c r="S151" s="125"/>
      <c r="T151" s="125">
        <f t="shared" si="35"/>
        <v>431917.142857143</v>
      </c>
      <c r="U151" s="125">
        <f t="shared" si="36"/>
        <v>21595.857142857</v>
      </c>
      <c r="V151" s="203">
        <f t="shared" si="38"/>
        <v>-21595.857142857</v>
      </c>
      <c r="W151" s="203">
        <f t="shared" si="39"/>
        <v>21595.857142857</v>
      </c>
      <c r="X151" s="125"/>
      <c r="Y151" t="s">
        <v>77</v>
      </c>
      <c r="Z151" s="165">
        <f t="shared" ref="Z151:Z214" si="40">V151+W151</f>
        <v>0</v>
      </c>
    </row>
    <row r="152" ht="13.5" spans="1:26">
      <c r="A152" s="175">
        <v>149</v>
      </c>
      <c r="B152" s="187" t="s">
        <v>250</v>
      </c>
      <c r="C152" s="183">
        <v>124.66</v>
      </c>
      <c r="D152" s="179">
        <v>3668</v>
      </c>
      <c r="E152" s="179">
        <f t="shared" si="34"/>
        <v>457253</v>
      </c>
      <c r="F152" s="184" t="s">
        <v>251</v>
      </c>
      <c r="G152" s="182" t="s">
        <v>23</v>
      </c>
      <c r="H152" s="185">
        <v>3638</v>
      </c>
      <c r="I152" s="185">
        <v>453513</v>
      </c>
      <c r="J152" s="196">
        <f>VLOOKUP(B152,泰康小区账面房号及收款金额!$A$2:$B$424,2,0)</f>
        <v>453513</v>
      </c>
      <c r="K152" s="196"/>
      <c r="L152" s="196"/>
      <c r="M152" s="196"/>
      <c r="N152" s="196">
        <f t="shared" si="37"/>
        <v>0</v>
      </c>
      <c r="O152" s="194"/>
      <c r="P152" s="195"/>
      <c r="Q152" s="125">
        <f>VLOOKUP(B152,[2]信息汇总表!$M$2:$T$816,8,0)</f>
        <v>479692</v>
      </c>
      <c r="R152" s="125">
        <f>VLOOKUP(B152,[1]sheet1!$J$4:$K$413,2,0)</f>
        <v>453513</v>
      </c>
      <c r="S152" s="125"/>
      <c r="T152" s="125">
        <f t="shared" si="35"/>
        <v>431917.142857143</v>
      </c>
      <c r="U152" s="125">
        <f t="shared" si="36"/>
        <v>21595.857142857</v>
      </c>
      <c r="V152" s="203">
        <f t="shared" si="38"/>
        <v>-21595.857142857</v>
      </c>
      <c r="W152" s="203">
        <f t="shared" si="39"/>
        <v>21595.857142857</v>
      </c>
      <c r="X152" s="125"/>
      <c r="Y152" t="s">
        <v>77</v>
      </c>
      <c r="Z152" s="165">
        <f t="shared" si="40"/>
        <v>0</v>
      </c>
    </row>
    <row r="153" ht="13.5" spans="1:26">
      <c r="A153" s="175">
        <v>150</v>
      </c>
      <c r="B153" s="187" t="s">
        <v>252</v>
      </c>
      <c r="C153" s="183">
        <v>124.66</v>
      </c>
      <c r="D153" s="179">
        <v>3638</v>
      </c>
      <c r="E153" s="179">
        <f t="shared" si="34"/>
        <v>453513</v>
      </c>
      <c r="F153" s="184" t="s">
        <v>253</v>
      </c>
      <c r="G153" s="182"/>
      <c r="H153" s="185">
        <v>3668</v>
      </c>
      <c r="I153" s="185">
        <v>457253</v>
      </c>
      <c r="J153" s="196">
        <f>VLOOKUP(B153,泰康小区账面房号及收款金额!$A$2:$B$424,2,0)</f>
        <v>457253</v>
      </c>
      <c r="K153" s="196"/>
      <c r="L153" s="196"/>
      <c r="M153" s="196"/>
      <c r="N153" s="196">
        <f t="shared" si="37"/>
        <v>0</v>
      </c>
      <c r="O153" s="194"/>
      <c r="P153" s="195"/>
      <c r="Q153" s="125">
        <f>VLOOKUP(B153,[2]信息汇总表!$M$2:$T$816,8,0)</f>
        <v>457253</v>
      </c>
      <c r="R153" s="125">
        <f>VLOOKUP(B153,[1]sheet1!$J$4:$K$413,2,0)</f>
        <v>457253</v>
      </c>
      <c r="S153" s="125"/>
      <c r="T153" s="125">
        <f t="shared" si="35"/>
        <v>435479.047619048</v>
      </c>
      <c r="U153" s="125">
        <f t="shared" si="36"/>
        <v>21773.952380952</v>
      </c>
      <c r="V153" s="203">
        <f t="shared" si="38"/>
        <v>-21773.952380952</v>
      </c>
      <c r="W153" s="203">
        <f t="shared" si="39"/>
        <v>21773.952380952</v>
      </c>
      <c r="X153" s="125"/>
      <c r="Y153" t="s">
        <v>77</v>
      </c>
      <c r="Z153" s="165">
        <f t="shared" si="40"/>
        <v>0</v>
      </c>
    </row>
    <row r="154" ht="13.5" spans="1:26">
      <c r="A154" s="175">
        <v>151</v>
      </c>
      <c r="B154" s="187" t="s">
        <v>254</v>
      </c>
      <c r="C154" s="183">
        <v>124.66</v>
      </c>
      <c r="D154" s="179">
        <v>3638</v>
      </c>
      <c r="E154" s="179">
        <f t="shared" si="34"/>
        <v>453513</v>
      </c>
      <c r="F154" s="184" t="s">
        <v>255</v>
      </c>
      <c r="G154" s="182"/>
      <c r="H154" s="185">
        <v>3668</v>
      </c>
      <c r="I154" s="185">
        <v>457253</v>
      </c>
      <c r="J154" s="196">
        <f>VLOOKUP(B154,泰康小区账面房号及收款金额!$A$2:$B$424,2,0)</f>
        <v>457253</v>
      </c>
      <c r="K154" s="196"/>
      <c r="L154" s="196"/>
      <c r="M154" s="196"/>
      <c r="N154" s="196">
        <f t="shared" si="37"/>
        <v>0</v>
      </c>
      <c r="O154" s="194"/>
      <c r="P154" s="195"/>
      <c r="Q154" s="125">
        <f>VLOOKUP(B154,[2]信息汇总表!$M$2:$T$816,8,0)</f>
        <v>457253</v>
      </c>
      <c r="R154" s="125">
        <f>VLOOKUP(B154,[1]sheet1!$J$4:$K$413,2,0)</f>
        <v>457253</v>
      </c>
      <c r="S154" s="125"/>
      <c r="T154" s="125">
        <f t="shared" si="35"/>
        <v>435479.047619048</v>
      </c>
      <c r="U154" s="125">
        <f t="shared" si="36"/>
        <v>21773.952380952</v>
      </c>
      <c r="V154" s="203">
        <f t="shared" si="38"/>
        <v>-21773.952380952</v>
      </c>
      <c r="W154" s="203">
        <f t="shared" si="39"/>
        <v>21773.952380952</v>
      </c>
      <c r="X154" s="125"/>
      <c r="Y154" t="s">
        <v>77</v>
      </c>
      <c r="Z154" s="165">
        <f t="shared" si="40"/>
        <v>0</v>
      </c>
    </row>
    <row r="155" ht="13.5" spans="1:26">
      <c r="A155" s="175">
        <v>152</v>
      </c>
      <c r="B155" s="187" t="s">
        <v>256</v>
      </c>
      <c r="C155" s="183">
        <v>124.66</v>
      </c>
      <c r="D155" s="179">
        <v>3598</v>
      </c>
      <c r="E155" s="179">
        <f t="shared" si="34"/>
        <v>448527</v>
      </c>
      <c r="F155" s="184" t="s">
        <v>257</v>
      </c>
      <c r="G155" s="182"/>
      <c r="H155" s="185">
        <v>3628</v>
      </c>
      <c r="I155" s="185">
        <v>452266</v>
      </c>
      <c r="J155" s="196">
        <f>VLOOKUP(B155,泰康小区账面房号及收款金额!$A$2:$B$424,2,0)</f>
        <v>452266</v>
      </c>
      <c r="K155" s="196"/>
      <c r="L155" s="196"/>
      <c r="M155" s="196"/>
      <c r="N155" s="196">
        <f t="shared" si="37"/>
        <v>0</v>
      </c>
      <c r="O155" s="194"/>
      <c r="P155" s="195"/>
      <c r="Q155" s="125">
        <f>VLOOKUP(B155,[2]信息汇总表!$M$2:$T$816,8,0)</f>
        <v>452266</v>
      </c>
      <c r="R155" s="125">
        <f>VLOOKUP(B155,[1]sheet1!$J$4:$K$413,2,0)</f>
        <v>452266</v>
      </c>
      <c r="S155" s="125"/>
      <c r="T155" s="125">
        <f t="shared" si="35"/>
        <v>430729.523809524</v>
      </c>
      <c r="U155" s="125">
        <f t="shared" si="36"/>
        <v>21536.476190476</v>
      </c>
      <c r="V155" s="203">
        <f t="shared" si="38"/>
        <v>-21536.476190476</v>
      </c>
      <c r="W155" s="203">
        <f t="shared" si="39"/>
        <v>21536.476190476</v>
      </c>
      <c r="X155" s="125"/>
      <c r="Y155" t="s">
        <v>77</v>
      </c>
      <c r="Z155" s="165">
        <f t="shared" si="40"/>
        <v>0</v>
      </c>
    </row>
    <row r="156" ht="13.5" spans="1:26">
      <c r="A156" s="175">
        <v>153</v>
      </c>
      <c r="B156" s="187" t="s">
        <v>258</v>
      </c>
      <c r="C156" s="183">
        <v>124.66</v>
      </c>
      <c r="D156" s="179">
        <v>3598</v>
      </c>
      <c r="E156" s="179">
        <f t="shared" si="34"/>
        <v>448527</v>
      </c>
      <c r="F156" s="184" t="s">
        <v>259</v>
      </c>
      <c r="G156" s="182"/>
      <c r="H156" s="185">
        <v>3300</v>
      </c>
      <c r="I156" s="185">
        <v>411378</v>
      </c>
      <c r="J156" s="196">
        <f>VLOOKUP(B156,泰康小区账面房号及收款金额!$A$2:$B$424,2,0)</f>
        <v>411378</v>
      </c>
      <c r="K156" s="196"/>
      <c r="L156" s="196"/>
      <c r="M156" s="196"/>
      <c r="N156" s="196">
        <f t="shared" si="37"/>
        <v>0</v>
      </c>
      <c r="O156" s="194"/>
      <c r="P156" s="195"/>
      <c r="Q156" s="125">
        <f>VLOOKUP(B156,[2]信息汇总表!$M$2:$T$816,8,0)</f>
        <v>411378</v>
      </c>
      <c r="R156" s="125">
        <f>VLOOKUP(B156,[1]sheet1!$J$4:$K$413,2,0)</f>
        <v>411378</v>
      </c>
      <c r="S156" s="125"/>
      <c r="T156" s="125">
        <f t="shared" si="35"/>
        <v>391788.571428571</v>
      </c>
      <c r="U156" s="125">
        <f t="shared" si="36"/>
        <v>19589.428571429</v>
      </c>
      <c r="V156" s="203">
        <f t="shared" si="38"/>
        <v>-19589.428571429</v>
      </c>
      <c r="W156" s="203">
        <f t="shared" si="39"/>
        <v>19589.428571429</v>
      </c>
      <c r="X156" s="125"/>
      <c r="Y156" t="s">
        <v>77</v>
      </c>
      <c r="Z156" s="165">
        <f t="shared" si="40"/>
        <v>0</v>
      </c>
    </row>
    <row r="157" ht="13.5" spans="1:26">
      <c r="A157" s="175">
        <v>154</v>
      </c>
      <c r="B157" s="187" t="s">
        <v>260</v>
      </c>
      <c r="C157" s="183">
        <v>124.66</v>
      </c>
      <c r="D157" s="179">
        <v>3558</v>
      </c>
      <c r="E157" s="179">
        <f t="shared" si="34"/>
        <v>443540</v>
      </c>
      <c r="F157" s="184" t="s">
        <v>261</v>
      </c>
      <c r="G157" s="182"/>
      <c r="H157" s="185">
        <v>3558</v>
      </c>
      <c r="I157" s="185">
        <v>443540</v>
      </c>
      <c r="J157" s="196">
        <f>VLOOKUP(B157,泰康小区账面房号及收款金额!$A$2:$B$424,2,0)</f>
        <v>443540</v>
      </c>
      <c r="K157" s="196"/>
      <c r="L157" s="196"/>
      <c r="M157" s="196"/>
      <c r="N157" s="196">
        <f t="shared" si="37"/>
        <v>0</v>
      </c>
      <c r="O157" s="194"/>
      <c r="P157" s="195"/>
      <c r="Q157" s="125">
        <f>VLOOKUP(B157,[2]信息汇总表!$M$2:$T$816,8,0)</f>
        <v>443540</v>
      </c>
      <c r="R157" s="125">
        <f>VLOOKUP(B157,[1]sheet1!$J$4:$K$413,2,0)</f>
        <v>443540</v>
      </c>
      <c r="S157" s="125"/>
      <c r="T157" s="125">
        <f t="shared" si="35"/>
        <v>422419.047619048</v>
      </c>
      <c r="U157" s="125">
        <f t="shared" si="36"/>
        <v>21120.952380952</v>
      </c>
      <c r="V157" s="203">
        <f t="shared" si="38"/>
        <v>-21120.952380952</v>
      </c>
      <c r="W157" s="203">
        <f t="shared" si="39"/>
        <v>21120.952380952</v>
      </c>
      <c r="X157" s="125"/>
      <c r="Y157" t="s">
        <v>77</v>
      </c>
      <c r="Z157" s="165">
        <f t="shared" si="40"/>
        <v>0</v>
      </c>
    </row>
    <row r="158" ht="13.5" spans="1:26">
      <c r="A158" s="175">
        <v>155</v>
      </c>
      <c r="B158" s="187" t="s">
        <v>262</v>
      </c>
      <c r="C158" s="183">
        <v>124.66</v>
      </c>
      <c r="D158" s="179">
        <v>3558</v>
      </c>
      <c r="E158" s="179">
        <f t="shared" si="34"/>
        <v>443540</v>
      </c>
      <c r="F158" s="184" t="s">
        <v>263</v>
      </c>
      <c r="G158" s="182"/>
      <c r="H158" s="185">
        <v>3558</v>
      </c>
      <c r="I158" s="185">
        <v>443540</v>
      </c>
      <c r="J158" s="196">
        <f>VLOOKUP(B158,泰康小区账面房号及收款金额!$A$2:$B$424,2,0)</f>
        <v>443540</v>
      </c>
      <c r="K158" s="196"/>
      <c r="L158" s="196"/>
      <c r="M158" s="196"/>
      <c r="N158" s="196">
        <f t="shared" si="37"/>
        <v>0</v>
      </c>
      <c r="O158" s="194"/>
      <c r="P158" s="195"/>
      <c r="Q158" s="125">
        <f>VLOOKUP(B158,[2]信息汇总表!$M$2:$T$816,8,0)</f>
        <v>443540</v>
      </c>
      <c r="R158" s="125">
        <f>VLOOKUP(B158,[1]sheet1!$J$4:$K$413,2,0)</f>
        <v>443540</v>
      </c>
      <c r="S158" s="125"/>
      <c r="T158" s="125">
        <f t="shared" si="35"/>
        <v>422419.047619048</v>
      </c>
      <c r="U158" s="125">
        <f t="shared" si="36"/>
        <v>21120.952380952</v>
      </c>
      <c r="V158" s="203">
        <f t="shared" si="38"/>
        <v>-21120.952380952</v>
      </c>
      <c r="W158" s="203">
        <f t="shared" si="39"/>
        <v>21120.952380952</v>
      </c>
      <c r="X158" s="125"/>
      <c r="Y158" t="s">
        <v>77</v>
      </c>
      <c r="Z158" s="165">
        <f t="shared" si="40"/>
        <v>0</v>
      </c>
    </row>
    <row r="159" ht="13.5" spans="1:26">
      <c r="A159" s="175">
        <v>156</v>
      </c>
      <c r="B159" s="187" t="s">
        <v>264</v>
      </c>
      <c r="C159" s="183">
        <v>124.66</v>
      </c>
      <c r="D159" s="179">
        <v>3138</v>
      </c>
      <c r="E159" s="179">
        <f t="shared" si="34"/>
        <v>391183</v>
      </c>
      <c r="F159" s="184" t="s">
        <v>265</v>
      </c>
      <c r="G159" s="182"/>
      <c r="H159" s="185">
        <v>3168</v>
      </c>
      <c r="I159" s="185">
        <v>394923</v>
      </c>
      <c r="J159" s="196">
        <f>VLOOKUP(B159,泰康小区账面房号及收款金额!$A$2:$B$424,2,0)</f>
        <v>394923</v>
      </c>
      <c r="K159" s="196"/>
      <c r="L159" s="196"/>
      <c r="M159" s="196"/>
      <c r="N159" s="196">
        <f t="shared" si="37"/>
        <v>0</v>
      </c>
      <c r="O159" s="194"/>
      <c r="P159" s="195"/>
      <c r="Q159" s="125">
        <f>VLOOKUP(B159,[2]信息汇总表!$M$2:$T$816,8,0)</f>
        <v>394923</v>
      </c>
      <c r="R159" s="125">
        <f>VLOOKUP(B159,[1]sheet1!$J$4:$K$413,2,0)</f>
        <v>394923</v>
      </c>
      <c r="S159" s="125"/>
      <c r="T159" s="125">
        <f t="shared" ref="T159:T222" si="41">I159/1.05</f>
        <v>376117.142857143</v>
      </c>
      <c r="U159" s="125">
        <f t="shared" si="36"/>
        <v>18805.8571428572</v>
      </c>
      <c r="V159" s="203">
        <f t="shared" si="38"/>
        <v>-18805.857142857</v>
      </c>
      <c r="W159" s="203">
        <f t="shared" si="39"/>
        <v>18805.8571428572</v>
      </c>
      <c r="X159" s="125"/>
      <c r="Y159" t="s">
        <v>77</v>
      </c>
      <c r="Z159" s="165">
        <f t="shared" si="40"/>
        <v>2.00088834390044e-10</v>
      </c>
    </row>
    <row r="160" ht="13.5" spans="1:26">
      <c r="A160" s="175">
        <v>157</v>
      </c>
      <c r="B160" s="187" t="s">
        <v>266</v>
      </c>
      <c r="C160" s="183">
        <v>124.66</v>
      </c>
      <c r="D160" s="179">
        <v>3138</v>
      </c>
      <c r="E160" s="179">
        <f t="shared" si="34"/>
        <v>391183</v>
      </c>
      <c r="F160" s="184" t="s">
        <v>267</v>
      </c>
      <c r="G160" s="182"/>
      <c r="H160" s="185">
        <v>3138</v>
      </c>
      <c r="I160" s="185">
        <v>391183</v>
      </c>
      <c r="J160" s="196">
        <f>VLOOKUP(B160,泰康小区账面房号及收款金额!$A$2:$B$424,2,0)</f>
        <v>391183</v>
      </c>
      <c r="K160" s="196"/>
      <c r="L160" s="196"/>
      <c r="M160" s="196"/>
      <c r="N160" s="196">
        <f t="shared" si="37"/>
        <v>0</v>
      </c>
      <c r="O160" s="194"/>
      <c r="P160" s="195"/>
      <c r="Q160" s="125">
        <f>VLOOKUP(B160,[2]信息汇总表!$M$2:$T$816,8,0)</f>
        <v>391183</v>
      </c>
      <c r="R160" s="125">
        <f>VLOOKUP(B160,[1]sheet1!$J$4:$K$413,2,0)</f>
        <v>391183</v>
      </c>
      <c r="S160" s="125"/>
      <c r="T160" s="125">
        <f t="shared" si="41"/>
        <v>372555.238095238</v>
      </c>
      <c r="U160" s="125">
        <f t="shared" si="36"/>
        <v>18627.7619047619</v>
      </c>
      <c r="V160" s="203">
        <f t="shared" si="38"/>
        <v>-18627.761904762</v>
      </c>
      <c r="W160" s="203">
        <f t="shared" si="39"/>
        <v>18627.7619047619</v>
      </c>
      <c r="X160" s="125"/>
      <c r="Y160" t="s">
        <v>77</v>
      </c>
      <c r="Z160" s="165">
        <f t="shared" si="40"/>
        <v>-9.82254277914762e-11</v>
      </c>
    </row>
    <row r="161" ht="13.5" spans="1:26">
      <c r="A161" s="175">
        <v>158</v>
      </c>
      <c r="B161" s="187" t="s">
        <v>268</v>
      </c>
      <c r="C161" s="183">
        <v>117.44</v>
      </c>
      <c r="D161" s="179">
        <v>2928</v>
      </c>
      <c r="E161" s="179">
        <f t="shared" si="34"/>
        <v>343864</v>
      </c>
      <c r="F161" s="184" t="s">
        <v>269</v>
      </c>
      <c r="G161" s="182"/>
      <c r="H161" s="185">
        <v>2941</v>
      </c>
      <c r="I161" s="185">
        <v>345391</v>
      </c>
      <c r="J161" s="196">
        <f>VLOOKUP(B161,泰康小区账面房号及收款金额!$A$2:$B$424,2,0)</f>
        <v>345391</v>
      </c>
      <c r="K161" s="196"/>
      <c r="L161" s="196"/>
      <c r="M161" s="196"/>
      <c r="N161" s="196">
        <f t="shared" si="37"/>
        <v>0</v>
      </c>
      <c r="O161" s="194"/>
      <c r="P161" s="195"/>
      <c r="Q161" s="125">
        <f>VLOOKUP(B161,[2]信息汇总表!$M$2:$T$816,8,0)</f>
        <v>345391</v>
      </c>
      <c r="R161" s="125">
        <f>VLOOKUP(B161,[1]sheet1!$J$4:$K$413,2,0)</f>
        <v>345391</v>
      </c>
      <c r="S161" s="125"/>
      <c r="T161" s="125">
        <f t="shared" si="41"/>
        <v>328943.80952381</v>
      </c>
      <c r="U161" s="125">
        <f t="shared" si="36"/>
        <v>16447.1904761905</v>
      </c>
      <c r="V161" s="203">
        <f t="shared" si="38"/>
        <v>-16447.19047619</v>
      </c>
      <c r="W161" s="203">
        <f t="shared" si="39"/>
        <v>16447.1904761905</v>
      </c>
      <c r="X161" s="125"/>
      <c r="Y161" t="s">
        <v>77</v>
      </c>
      <c r="Z161" s="165">
        <f t="shared" si="40"/>
        <v>4.98403096571565e-10</v>
      </c>
    </row>
    <row r="162" ht="13.5" spans="1:26">
      <c r="A162" s="175">
        <v>159</v>
      </c>
      <c r="B162" s="187" t="s">
        <v>270</v>
      </c>
      <c r="C162" s="183">
        <v>117.44</v>
      </c>
      <c r="D162" s="179">
        <v>2928</v>
      </c>
      <c r="E162" s="179">
        <f t="shared" si="34"/>
        <v>343864</v>
      </c>
      <c r="F162" s="184" t="s">
        <v>271</v>
      </c>
      <c r="G162" s="182"/>
      <c r="H162" s="185">
        <v>2928</v>
      </c>
      <c r="I162" s="185">
        <v>343864</v>
      </c>
      <c r="J162" s="196">
        <f>VLOOKUP(B162,泰康小区账面房号及收款金额!$A$2:$B$424,2,0)</f>
        <v>343864</v>
      </c>
      <c r="K162" s="196"/>
      <c r="L162" s="196"/>
      <c r="M162" s="196"/>
      <c r="N162" s="196">
        <f t="shared" si="37"/>
        <v>0</v>
      </c>
      <c r="O162" s="194"/>
      <c r="P162" s="195"/>
      <c r="Q162" s="125">
        <f>VLOOKUP(B162,[2]信息汇总表!$M$2:$T$816,8,0)</f>
        <v>343864</v>
      </c>
      <c r="R162" s="125">
        <f>VLOOKUP(B162,[1]sheet1!$J$4:$K$413,2,0)</f>
        <v>343864</v>
      </c>
      <c r="S162" s="125"/>
      <c r="T162" s="125">
        <f t="shared" si="41"/>
        <v>327489.523809524</v>
      </c>
      <c r="U162" s="125">
        <f t="shared" si="36"/>
        <v>16374.4761904762</v>
      </c>
      <c r="V162" s="203">
        <f t="shared" si="38"/>
        <v>-16374.476190476</v>
      </c>
      <c r="W162" s="203">
        <f t="shared" si="39"/>
        <v>16374.4761904762</v>
      </c>
      <c r="X162" s="125"/>
      <c r="Y162" t="s">
        <v>77</v>
      </c>
      <c r="Z162" s="165">
        <f t="shared" si="40"/>
        <v>2.00088834390044e-10</v>
      </c>
    </row>
    <row r="163" ht="13.5" spans="1:26">
      <c r="A163" s="175">
        <v>160</v>
      </c>
      <c r="B163" s="187" t="s">
        <v>272</v>
      </c>
      <c r="C163" s="183">
        <v>124.66</v>
      </c>
      <c r="D163" s="179">
        <v>3688</v>
      </c>
      <c r="E163" s="179">
        <f t="shared" si="34"/>
        <v>459746</v>
      </c>
      <c r="F163" s="184" t="s">
        <v>273</v>
      </c>
      <c r="G163" s="182" t="s">
        <v>48</v>
      </c>
      <c r="H163" s="185">
        <v>2600</v>
      </c>
      <c r="I163" s="185">
        <v>324116</v>
      </c>
      <c r="J163" s="196">
        <f>VLOOKUP(B163,泰康小区账面房号及收款金额!$A$2:$B$424,2,0)</f>
        <v>324116.4</v>
      </c>
      <c r="K163" s="196"/>
      <c r="L163" s="196"/>
      <c r="M163" s="196"/>
      <c r="N163" s="196">
        <f t="shared" si="37"/>
        <v>-0.400000000023283</v>
      </c>
      <c r="O163" s="194"/>
      <c r="P163" s="195"/>
      <c r="Q163" s="125">
        <f>VLOOKUP(B163,[2]信息汇总表!$M$2:$T$816,8,0)</f>
        <v>324116</v>
      </c>
      <c r="R163" s="125">
        <f>VLOOKUP(B163,[1]sheet1!$J$4:$K$413,2,0)</f>
        <v>324116.4</v>
      </c>
      <c r="S163" s="125"/>
      <c r="T163" s="125">
        <f t="shared" si="41"/>
        <v>308681.904761905</v>
      </c>
      <c r="U163" s="125">
        <f t="shared" si="36"/>
        <v>15434.0952380953</v>
      </c>
      <c r="V163" s="203">
        <f t="shared" si="38"/>
        <v>-15434.495238095</v>
      </c>
      <c r="W163" s="203">
        <f t="shared" si="39"/>
        <v>15434.0952380953</v>
      </c>
      <c r="X163" s="125"/>
      <c r="Y163" t="s">
        <v>77</v>
      </c>
      <c r="Z163" s="165">
        <f t="shared" si="40"/>
        <v>-0.399999999699503</v>
      </c>
    </row>
    <row r="164" ht="13.5" spans="1:26">
      <c r="A164" s="175">
        <v>161</v>
      </c>
      <c r="B164" s="187" t="s">
        <v>274</v>
      </c>
      <c r="C164" s="183">
        <v>125.06</v>
      </c>
      <c r="D164" s="179">
        <v>3458</v>
      </c>
      <c r="E164" s="179">
        <f t="shared" si="34"/>
        <v>432457</v>
      </c>
      <c r="F164" s="184" t="s">
        <v>275</v>
      </c>
      <c r="G164" s="182" t="s">
        <v>48</v>
      </c>
      <c r="H164" s="185">
        <v>3231</v>
      </c>
      <c r="I164" s="185">
        <v>404069</v>
      </c>
      <c r="J164" s="196">
        <f>VLOOKUP(B164,泰康小区账面房号及收款金额!$A$2:$B$424,2,0)</f>
        <v>404069</v>
      </c>
      <c r="K164" s="196"/>
      <c r="L164" s="196"/>
      <c r="M164" s="196"/>
      <c r="N164" s="196">
        <f t="shared" si="37"/>
        <v>0</v>
      </c>
      <c r="O164" s="194"/>
      <c r="P164" s="195"/>
      <c r="Q164" s="125">
        <f>VLOOKUP(B164,[2]信息汇总表!$M$2:$T$816,8,0)</f>
        <v>404069</v>
      </c>
      <c r="R164" s="125">
        <f>VLOOKUP(B164,[1]sheet1!$J$4:$K$413,2,0)</f>
        <v>404069</v>
      </c>
      <c r="S164" s="125"/>
      <c r="T164" s="125">
        <f t="shared" si="41"/>
        <v>384827.619047619</v>
      </c>
      <c r="U164" s="125">
        <f t="shared" si="36"/>
        <v>19241.3809523809</v>
      </c>
      <c r="V164" s="203">
        <f t="shared" si="38"/>
        <v>-19241.380952381</v>
      </c>
      <c r="W164" s="203">
        <f t="shared" si="39"/>
        <v>19241.3809523809</v>
      </c>
      <c r="X164" s="125"/>
      <c r="Y164" t="s">
        <v>77</v>
      </c>
      <c r="Z164" s="165">
        <f t="shared" si="40"/>
        <v>-1.01863406598568e-10</v>
      </c>
    </row>
    <row r="165" ht="13.5" spans="1:26">
      <c r="A165" s="175">
        <v>162</v>
      </c>
      <c r="B165" s="187" t="s">
        <v>276</v>
      </c>
      <c r="C165" s="183">
        <v>124.66</v>
      </c>
      <c r="D165" s="179">
        <v>3488</v>
      </c>
      <c r="E165" s="179">
        <f t="shared" si="34"/>
        <v>434814</v>
      </c>
      <c r="F165" s="184" t="s">
        <v>277</v>
      </c>
      <c r="G165" s="182"/>
      <c r="H165" s="185">
        <v>3488</v>
      </c>
      <c r="I165" s="185">
        <v>434814</v>
      </c>
      <c r="J165" s="196">
        <f>VLOOKUP(B165,泰康小区账面房号及收款金额!$A$2:$B$424,2,0)</f>
        <v>434814</v>
      </c>
      <c r="K165" s="196"/>
      <c r="L165" s="196"/>
      <c r="M165" s="196"/>
      <c r="N165" s="196">
        <f t="shared" si="37"/>
        <v>0</v>
      </c>
      <c r="O165" s="194"/>
      <c r="P165" s="195"/>
      <c r="Q165" s="125">
        <f>VLOOKUP(B165,[2]信息汇总表!$M$2:$T$816,8,0)</f>
        <v>434814</v>
      </c>
      <c r="R165" s="125">
        <f>VLOOKUP(B165,[1]sheet1!$J$4:$K$413,2,0)</f>
        <v>434814</v>
      </c>
      <c r="S165" s="125"/>
      <c r="T165" s="125">
        <f t="shared" si="41"/>
        <v>414108.571428571</v>
      </c>
      <c r="U165" s="125">
        <f t="shared" si="36"/>
        <v>20705.4285714286</v>
      </c>
      <c r="V165" s="203">
        <f t="shared" si="38"/>
        <v>-20705.428571429</v>
      </c>
      <c r="W165" s="203">
        <f t="shared" si="39"/>
        <v>20705.4285714286</v>
      </c>
      <c r="X165" s="125"/>
      <c r="Y165" t="s">
        <v>77</v>
      </c>
      <c r="Z165" s="165">
        <f t="shared" si="40"/>
        <v>-4.00177668780088e-10</v>
      </c>
    </row>
    <row r="166" spans="1:26">
      <c r="A166" s="175">
        <v>163</v>
      </c>
      <c r="B166" s="187" t="s">
        <v>278</v>
      </c>
      <c r="C166" s="183">
        <v>125.06</v>
      </c>
      <c r="D166" s="179">
        <v>3488</v>
      </c>
      <c r="E166" s="179">
        <f t="shared" si="34"/>
        <v>436209</v>
      </c>
      <c r="F166" s="184" t="s">
        <v>279</v>
      </c>
      <c r="G166" s="182" t="s">
        <v>23</v>
      </c>
      <c r="H166" s="185">
        <v>3488</v>
      </c>
      <c r="I166" s="185">
        <v>436209</v>
      </c>
      <c r="J166" s="196">
        <f>VLOOKUP(B166,泰康小区账面房号及收款金额!$A$2:$B$424,2,0)</f>
        <v>436209.55</v>
      </c>
      <c r="K166" s="196"/>
      <c r="L166" s="196"/>
      <c r="M166" s="196"/>
      <c r="N166" s="196">
        <f t="shared" si="37"/>
        <v>-0.549999999988358</v>
      </c>
      <c r="O166" s="194"/>
      <c r="P166" s="195"/>
      <c r="Q166" s="125">
        <f>VLOOKUP(B166,[2]信息汇总表!$M$2:$T$816,8,0)</f>
        <v>436209</v>
      </c>
      <c r="R166" s="125">
        <f>VLOOKUP(B166,[1]sheet1!$J$4:$K$413,2,0)</f>
        <v>432400</v>
      </c>
      <c r="S166" s="125"/>
      <c r="T166" s="125">
        <f t="shared" si="41"/>
        <v>415437.142857143</v>
      </c>
      <c r="U166" s="125">
        <f t="shared" si="36"/>
        <v>20771.8571428572</v>
      </c>
      <c r="V166" s="203">
        <f t="shared" si="38"/>
        <v>-16962.857142857</v>
      </c>
      <c r="W166" s="203">
        <f t="shared" si="39"/>
        <v>20771.8571428572</v>
      </c>
      <c r="X166" s="125"/>
      <c r="Y166" s="195" t="s">
        <v>280</v>
      </c>
      <c r="Z166" s="165">
        <f t="shared" si="40"/>
        <v>3809.0000000002</v>
      </c>
    </row>
    <row r="167" ht="13.5" spans="1:26">
      <c r="A167" s="175">
        <v>164</v>
      </c>
      <c r="B167" s="187" t="s">
        <v>281</v>
      </c>
      <c r="C167" s="183">
        <v>124.66</v>
      </c>
      <c r="D167" s="179">
        <v>3448</v>
      </c>
      <c r="E167" s="179">
        <f t="shared" si="34"/>
        <v>429828</v>
      </c>
      <c r="F167" s="184" t="s">
        <v>282</v>
      </c>
      <c r="G167" s="182"/>
      <c r="H167" s="185">
        <v>3448</v>
      </c>
      <c r="I167" s="185">
        <v>429828</v>
      </c>
      <c r="J167" s="196">
        <f>VLOOKUP(B167,泰康小区账面房号及收款金额!$A$2:$B$424,2,0)</f>
        <v>429828</v>
      </c>
      <c r="K167" s="196"/>
      <c r="L167" s="196"/>
      <c r="M167" s="196"/>
      <c r="N167" s="196">
        <f t="shared" si="37"/>
        <v>0</v>
      </c>
      <c r="O167" s="194"/>
      <c r="P167" s="195"/>
      <c r="Q167" s="125">
        <f>VLOOKUP(B167,[2]信息汇总表!$M$2:$T$816,8,0)</f>
        <v>429828</v>
      </c>
      <c r="R167" s="125">
        <f>VLOOKUP(B167,[1]sheet1!$J$4:$K$413,2,0)</f>
        <v>429828</v>
      </c>
      <c r="S167" s="125"/>
      <c r="T167" s="125">
        <f t="shared" si="41"/>
        <v>409360</v>
      </c>
      <c r="U167" s="125">
        <f t="shared" si="36"/>
        <v>20468</v>
      </c>
      <c r="V167" s="203">
        <f t="shared" si="38"/>
        <v>-20468</v>
      </c>
      <c r="W167" s="203">
        <f t="shared" si="39"/>
        <v>20468</v>
      </c>
      <c r="X167" s="125"/>
      <c r="Y167" t="s">
        <v>77</v>
      </c>
      <c r="Z167" s="165">
        <f t="shared" si="40"/>
        <v>0</v>
      </c>
    </row>
    <row r="168" ht="13.5" spans="1:26">
      <c r="A168" s="175">
        <v>165</v>
      </c>
      <c r="B168" s="187" t="s">
        <v>283</v>
      </c>
      <c r="C168" s="183">
        <v>125.06</v>
      </c>
      <c r="D168" s="179">
        <v>3448</v>
      </c>
      <c r="E168" s="179">
        <f t="shared" si="34"/>
        <v>431207</v>
      </c>
      <c r="F168" s="184" t="s">
        <v>284</v>
      </c>
      <c r="G168" s="182"/>
      <c r="H168" s="185">
        <v>3448</v>
      </c>
      <c r="I168" s="185">
        <v>431207</v>
      </c>
      <c r="J168" s="196">
        <f>VLOOKUP(B168,泰康小区账面房号及收款金额!$A$2:$B$424,2,0)</f>
        <v>431207</v>
      </c>
      <c r="K168" s="196"/>
      <c r="L168" s="196"/>
      <c r="M168" s="196"/>
      <c r="N168" s="196">
        <f t="shared" si="37"/>
        <v>0</v>
      </c>
      <c r="O168" s="194"/>
      <c r="P168" s="195"/>
      <c r="Q168" s="125">
        <f>VLOOKUP(B168,[2]信息汇总表!$M$2:$T$816,8,0)</f>
        <v>431207</v>
      </c>
      <c r="R168" s="125">
        <f>VLOOKUP(B168,[1]sheet1!$J$4:$K$413,2,0)</f>
        <v>431207</v>
      </c>
      <c r="S168" s="125"/>
      <c r="T168" s="125">
        <f t="shared" si="41"/>
        <v>410673.333333333</v>
      </c>
      <c r="U168" s="125">
        <f t="shared" si="36"/>
        <v>20533.6666666667</v>
      </c>
      <c r="V168" s="203">
        <f t="shared" si="38"/>
        <v>-20533.666666667</v>
      </c>
      <c r="W168" s="203">
        <f t="shared" si="39"/>
        <v>20533.6666666667</v>
      </c>
      <c r="X168" s="125"/>
      <c r="Y168" t="s">
        <v>77</v>
      </c>
      <c r="Z168" s="165">
        <f t="shared" si="40"/>
        <v>-2.9831426218152e-10</v>
      </c>
    </row>
    <row r="169" ht="26" customHeight="1" spans="1:26">
      <c r="A169" s="175">
        <v>166</v>
      </c>
      <c r="B169" s="187" t="s">
        <v>285</v>
      </c>
      <c r="C169" s="183">
        <v>124.66</v>
      </c>
      <c r="D169" s="179">
        <v>3528</v>
      </c>
      <c r="E169" s="179">
        <f t="shared" si="34"/>
        <v>439800</v>
      </c>
      <c r="F169" s="184" t="s">
        <v>286</v>
      </c>
      <c r="G169" s="182"/>
      <c r="H169" s="185">
        <v>3400</v>
      </c>
      <c r="I169" s="185">
        <v>423844</v>
      </c>
      <c r="J169" s="196">
        <f>VLOOKUP(B169,泰康小区账面房号及收款金额!$A$2:$B$424,2,0)</f>
        <v>430987.26</v>
      </c>
      <c r="K169" s="196"/>
      <c r="L169" s="196"/>
      <c r="M169" s="196"/>
      <c r="N169" s="197">
        <f t="shared" si="37"/>
        <v>-7143.26000000001</v>
      </c>
      <c r="O169" s="194"/>
      <c r="P169" s="195"/>
      <c r="Q169" s="125">
        <f>VLOOKUP(B169,[2]信息汇总表!$M$2:$T$816,8,0)</f>
        <v>423844</v>
      </c>
      <c r="R169" s="125">
        <f>VLOOKUP(B169,[1]sheet1!$J$4:$K$413,2,0)</f>
        <v>19048</v>
      </c>
      <c r="S169" s="125">
        <f>146518.1+257142.86</f>
        <v>403660.96</v>
      </c>
      <c r="T169" s="125">
        <f t="shared" si="41"/>
        <v>403660.952380952</v>
      </c>
      <c r="U169" s="125">
        <f t="shared" si="36"/>
        <v>20183.0476190476</v>
      </c>
      <c r="V169" s="203">
        <f t="shared" si="38"/>
        <v>-19048.007619048</v>
      </c>
      <c r="W169" s="203">
        <f t="shared" si="39"/>
        <v>-951.992380952401</v>
      </c>
      <c r="X169" s="125">
        <v>21135.04</v>
      </c>
      <c r="Y169" s="195"/>
      <c r="Z169" s="165">
        <f t="shared" si="40"/>
        <v>-20000.0000000004</v>
      </c>
    </row>
    <row r="170" ht="13.5" spans="1:26">
      <c r="A170" s="175">
        <v>167</v>
      </c>
      <c r="B170" s="187" t="s">
        <v>287</v>
      </c>
      <c r="C170" s="183">
        <v>125.06</v>
      </c>
      <c r="D170" s="179">
        <v>3588</v>
      </c>
      <c r="E170" s="179">
        <f t="shared" si="34"/>
        <v>448715</v>
      </c>
      <c r="F170" s="184" t="s">
        <v>288</v>
      </c>
      <c r="G170" s="182"/>
      <c r="H170" s="185">
        <v>3528</v>
      </c>
      <c r="I170" s="185">
        <v>441212</v>
      </c>
      <c r="J170" s="196">
        <f>VLOOKUP(B170,泰康小区账面房号及收款金额!$A$2:$B$424,2,0)</f>
        <v>441212</v>
      </c>
      <c r="K170" s="196"/>
      <c r="L170" s="196"/>
      <c r="M170" s="196"/>
      <c r="N170" s="196">
        <f t="shared" si="37"/>
        <v>0</v>
      </c>
      <c r="O170" s="194"/>
      <c r="P170" s="195"/>
      <c r="Q170" s="125">
        <f>VLOOKUP(B170,[2]信息汇总表!$M$2:$T$816,8,0)</f>
        <v>441212</v>
      </c>
      <c r="R170" s="125">
        <f>VLOOKUP(B170,[1]sheet1!$J$4:$K$413,2,0)</f>
        <v>441212</v>
      </c>
      <c r="S170" s="125"/>
      <c r="T170" s="125">
        <f t="shared" si="41"/>
        <v>420201.904761905</v>
      </c>
      <c r="U170" s="125">
        <f t="shared" si="36"/>
        <v>21010.0952380953</v>
      </c>
      <c r="V170" s="203">
        <f t="shared" si="38"/>
        <v>-21010.095238095</v>
      </c>
      <c r="W170" s="203">
        <f t="shared" si="39"/>
        <v>21010.0952380953</v>
      </c>
      <c r="X170" s="125"/>
      <c r="Y170" t="s">
        <v>77</v>
      </c>
      <c r="Z170" s="165">
        <f t="shared" si="40"/>
        <v>2.9831426218152e-10</v>
      </c>
    </row>
    <row r="171" customHeight="1" spans="1:26">
      <c r="A171" s="175">
        <v>168</v>
      </c>
      <c r="B171" s="187" t="s">
        <v>289</v>
      </c>
      <c r="C171" s="183">
        <v>124.66</v>
      </c>
      <c r="D171" s="179">
        <v>3138</v>
      </c>
      <c r="E171" s="179">
        <f t="shared" si="34"/>
        <v>391183</v>
      </c>
      <c r="F171" s="184" t="s">
        <v>290</v>
      </c>
      <c r="G171" s="182"/>
      <c r="H171" s="185">
        <v>3168</v>
      </c>
      <c r="I171" s="185">
        <v>394923</v>
      </c>
      <c r="J171" s="196">
        <f>VLOOKUP(B171,泰康小区账面房号及收款金额!$A$2:$B$424,2,0)</f>
        <v>394923</v>
      </c>
      <c r="K171" s="196"/>
      <c r="L171" s="196"/>
      <c r="M171" s="196"/>
      <c r="N171" s="196">
        <f t="shared" si="37"/>
        <v>0</v>
      </c>
      <c r="O171" s="194"/>
      <c r="P171" s="195"/>
      <c r="Q171" s="125">
        <f>VLOOKUP(B171,[2]信息汇总表!$M$2:$T$816,8,0)</f>
        <v>394923</v>
      </c>
      <c r="R171" s="125">
        <f>VLOOKUP(B171,[1]sheet1!$J$4:$K$413,2,0)</f>
        <v>394923</v>
      </c>
      <c r="S171" s="125"/>
      <c r="T171" s="125">
        <f t="shared" si="41"/>
        <v>376117.142857143</v>
      </c>
      <c r="U171" s="125">
        <f t="shared" si="36"/>
        <v>18805.8571428572</v>
      </c>
      <c r="V171" s="203">
        <f t="shared" si="38"/>
        <v>-18805.857142857</v>
      </c>
      <c r="W171" s="203">
        <f t="shared" si="39"/>
        <v>18805.8571428572</v>
      </c>
      <c r="X171" s="125"/>
      <c r="Y171" t="s">
        <v>77</v>
      </c>
      <c r="Z171" s="165">
        <f t="shared" si="40"/>
        <v>2.00088834390044e-10</v>
      </c>
    </row>
    <row r="172" ht="13.5" spans="1:26">
      <c r="A172" s="175">
        <v>169</v>
      </c>
      <c r="B172" s="187" t="s">
        <v>291</v>
      </c>
      <c r="C172" s="183">
        <v>125.06</v>
      </c>
      <c r="D172" s="179">
        <v>3248</v>
      </c>
      <c r="E172" s="179">
        <f t="shared" si="34"/>
        <v>406195</v>
      </c>
      <c r="F172" s="184" t="s">
        <v>292</v>
      </c>
      <c r="G172" s="182"/>
      <c r="H172" s="185">
        <v>3218</v>
      </c>
      <c r="I172" s="185">
        <v>402443</v>
      </c>
      <c r="J172" s="196">
        <f>VLOOKUP(B172,泰康小区账面房号及收款金额!$A$2:$B$424,2,0)</f>
        <v>402443</v>
      </c>
      <c r="K172" s="196"/>
      <c r="L172" s="196"/>
      <c r="M172" s="196"/>
      <c r="N172" s="196">
        <f t="shared" si="37"/>
        <v>0</v>
      </c>
      <c r="O172" s="194"/>
      <c r="P172" s="195"/>
      <c r="Q172" s="125">
        <f>VLOOKUP(B172,[2]信息汇总表!$M$2:$T$816,8,0)</f>
        <v>402443</v>
      </c>
      <c r="R172" s="125">
        <f>VLOOKUP(B172,[1]sheet1!$J$4:$K$413,2,0)</f>
        <v>402443</v>
      </c>
      <c r="S172" s="125"/>
      <c r="T172" s="125">
        <f t="shared" si="41"/>
        <v>383279.047619048</v>
      </c>
      <c r="U172" s="125">
        <f t="shared" si="36"/>
        <v>19163.9523809524</v>
      </c>
      <c r="V172" s="203">
        <f t="shared" si="38"/>
        <v>-19163.952380952</v>
      </c>
      <c r="W172" s="203">
        <f t="shared" si="39"/>
        <v>19163.9523809524</v>
      </c>
      <c r="X172" s="125"/>
      <c r="Y172" t="s">
        <v>77</v>
      </c>
      <c r="Z172" s="165">
        <f t="shared" si="40"/>
        <v>4.00177668780088e-10</v>
      </c>
    </row>
    <row r="173" ht="13.5" spans="1:26">
      <c r="A173" s="175">
        <v>170</v>
      </c>
      <c r="B173" s="187" t="s">
        <v>293</v>
      </c>
      <c r="C173" s="183">
        <v>117.44</v>
      </c>
      <c r="D173" s="179">
        <v>2928</v>
      </c>
      <c r="E173" s="179">
        <f t="shared" si="34"/>
        <v>343864</v>
      </c>
      <c r="F173" s="184" t="s">
        <v>294</v>
      </c>
      <c r="G173" s="182"/>
      <c r="H173" s="185">
        <v>2958</v>
      </c>
      <c r="I173" s="185">
        <v>347388</v>
      </c>
      <c r="J173" s="196">
        <f>VLOOKUP(B173,泰康小区账面房号及收款金额!$A$2:$B$424,2,0)</f>
        <v>347388</v>
      </c>
      <c r="K173" s="196"/>
      <c r="L173" s="196"/>
      <c r="M173" s="196"/>
      <c r="N173" s="196">
        <f t="shared" si="37"/>
        <v>0</v>
      </c>
      <c r="O173" s="194"/>
      <c r="P173" s="195"/>
      <c r="Q173" s="125">
        <f>VLOOKUP(B173,[2]信息汇总表!$M$2:$T$816,8,0)</f>
        <v>347388</v>
      </c>
      <c r="R173" s="125">
        <f>VLOOKUP(B173,[1]sheet1!$J$4:$K$413,2,0)</f>
        <v>347388</v>
      </c>
      <c r="S173" s="125"/>
      <c r="T173" s="125">
        <f t="shared" si="41"/>
        <v>330845.714285714</v>
      </c>
      <c r="U173" s="125">
        <f t="shared" si="36"/>
        <v>16542.2857142857</v>
      </c>
      <c r="V173" s="203">
        <f t="shared" si="38"/>
        <v>-16542.285714286</v>
      </c>
      <c r="W173" s="203">
        <f t="shared" si="39"/>
        <v>16542.2857142857</v>
      </c>
      <c r="X173" s="125"/>
      <c r="Y173" t="s">
        <v>77</v>
      </c>
      <c r="Z173" s="165">
        <f t="shared" si="40"/>
        <v>-3.01952240988612e-10</v>
      </c>
    </row>
    <row r="174" ht="13.5" spans="1:26">
      <c r="A174" s="175">
        <v>171</v>
      </c>
      <c r="B174" s="187" t="s">
        <v>295</v>
      </c>
      <c r="C174" s="183">
        <v>117.84</v>
      </c>
      <c r="D174" s="179">
        <v>2888</v>
      </c>
      <c r="E174" s="179">
        <f t="shared" si="34"/>
        <v>340322</v>
      </c>
      <c r="F174" s="184" t="s">
        <v>296</v>
      </c>
      <c r="G174" s="182"/>
      <c r="H174" s="185">
        <v>2888</v>
      </c>
      <c r="I174" s="185">
        <v>340322</v>
      </c>
      <c r="J174" s="196">
        <f>VLOOKUP(B174,泰康小区账面房号及收款金额!$A$2:$B$424,2,0)</f>
        <v>340322</v>
      </c>
      <c r="K174" s="196"/>
      <c r="L174" s="196"/>
      <c r="M174" s="196"/>
      <c r="N174" s="196">
        <f t="shared" si="37"/>
        <v>0</v>
      </c>
      <c r="O174" s="194"/>
      <c r="P174" s="195"/>
      <c r="Q174" s="125">
        <f>VLOOKUP(B174,[2]信息汇总表!$M$2:$T$816,8,0)</f>
        <v>340322</v>
      </c>
      <c r="R174" s="125">
        <f>VLOOKUP(B174,[1]sheet1!$J$4:$K$413,2,0)</f>
        <v>340322</v>
      </c>
      <c r="S174" s="125"/>
      <c r="T174" s="125">
        <f t="shared" si="41"/>
        <v>324116.19047619</v>
      </c>
      <c r="U174" s="125">
        <f t="shared" si="36"/>
        <v>16205.8095238095</v>
      </c>
      <c r="V174" s="203">
        <f t="shared" si="38"/>
        <v>-16205.80952381</v>
      </c>
      <c r="W174" s="203">
        <f t="shared" si="39"/>
        <v>16205.8095238095</v>
      </c>
      <c r="X174" s="125"/>
      <c r="Y174" t="s">
        <v>77</v>
      </c>
      <c r="Z174" s="165">
        <f t="shared" si="40"/>
        <v>-5.00222085975111e-10</v>
      </c>
    </row>
    <row r="175" spans="1:26">
      <c r="A175" s="175">
        <v>172</v>
      </c>
      <c r="B175" s="187"/>
      <c r="C175" s="183"/>
      <c r="D175" s="179"/>
      <c r="E175" s="179">
        <f t="shared" si="34"/>
        <v>0</v>
      </c>
      <c r="F175" s="207"/>
      <c r="G175" s="182"/>
      <c r="H175" s="185">
        <v>0</v>
      </c>
      <c r="I175" s="185">
        <v>0</v>
      </c>
      <c r="J175" s="196"/>
      <c r="K175" s="196"/>
      <c r="L175" s="196"/>
      <c r="M175" s="196"/>
      <c r="N175" s="196">
        <f t="shared" si="37"/>
        <v>0</v>
      </c>
      <c r="O175" s="194"/>
      <c r="P175" s="195"/>
      <c r="Q175" s="125"/>
      <c r="R175" s="125"/>
      <c r="S175" s="125"/>
      <c r="T175" s="125">
        <f t="shared" si="41"/>
        <v>0</v>
      </c>
      <c r="U175" s="125">
        <f t="shared" si="36"/>
        <v>0</v>
      </c>
      <c r="V175" s="125"/>
      <c r="W175" s="125"/>
      <c r="X175" s="125"/>
      <c r="Y175" s="195"/>
      <c r="Z175" s="165">
        <f t="shared" si="40"/>
        <v>0</v>
      </c>
    </row>
    <row r="176" ht="13.5" spans="1:26">
      <c r="A176" s="175">
        <v>173</v>
      </c>
      <c r="B176" s="187" t="s">
        <v>297</v>
      </c>
      <c r="C176" s="183">
        <v>97.77</v>
      </c>
      <c r="D176" s="179">
        <v>3608</v>
      </c>
      <c r="E176" s="179">
        <f t="shared" si="34"/>
        <v>352754</v>
      </c>
      <c r="F176" s="184" t="s">
        <v>298</v>
      </c>
      <c r="G176" s="182"/>
      <c r="H176" s="185">
        <v>3638</v>
      </c>
      <c r="I176" s="185">
        <v>355687</v>
      </c>
      <c r="J176" s="196">
        <f>VLOOKUP(B176,泰康小区账面房号及收款金额!$A$2:$B$424,2,0)</f>
        <v>355652.45</v>
      </c>
      <c r="K176" s="196"/>
      <c r="L176" s="196"/>
      <c r="M176" s="196"/>
      <c r="N176" s="196">
        <f t="shared" si="37"/>
        <v>34.5499999999884</v>
      </c>
      <c r="O176" s="194"/>
      <c r="P176" s="195"/>
      <c r="Q176" s="125">
        <f>VLOOKUP(B176,[2]信息汇总表!$M$2:$T$816,8,0)</f>
        <v>355687</v>
      </c>
      <c r="R176" s="125">
        <f>VLOOKUP(B176,[1]sheet1!$J$4:$K$413,2,0)</f>
        <v>355687</v>
      </c>
      <c r="S176" s="125"/>
      <c r="T176" s="125">
        <f t="shared" si="41"/>
        <v>338749.523809524</v>
      </c>
      <c r="U176" s="125">
        <f t="shared" si="36"/>
        <v>16937.4761904762</v>
      </c>
      <c r="V176" s="203">
        <f t="shared" ref="V176:V199" si="42">T176-S176-R176</f>
        <v>-16937.476190476</v>
      </c>
      <c r="W176" s="203">
        <f t="shared" ref="W176:W188" si="43">U176-X176</f>
        <v>16937.4761904762</v>
      </c>
      <c r="X176" s="125"/>
      <c r="Y176" t="s">
        <v>77</v>
      </c>
      <c r="Z176" s="165">
        <f t="shared" si="40"/>
        <v>2.00088834390044e-10</v>
      </c>
    </row>
    <row r="177" ht="13.5" spans="1:26">
      <c r="A177" s="175">
        <v>174</v>
      </c>
      <c r="B177" s="187" t="s">
        <v>299</v>
      </c>
      <c r="C177" s="183">
        <v>97.43</v>
      </c>
      <c r="D177" s="179">
        <v>3608</v>
      </c>
      <c r="E177" s="179">
        <f t="shared" si="34"/>
        <v>351527</v>
      </c>
      <c r="F177" s="184" t="s">
        <v>300</v>
      </c>
      <c r="G177" s="182"/>
      <c r="H177" s="185">
        <v>3638</v>
      </c>
      <c r="I177" s="185">
        <v>354450</v>
      </c>
      <c r="J177" s="196">
        <f>VLOOKUP(B177,泰康小区账面房号及收款金额!$A$2:$B$424,2,0)</f>
        <v>354416.45</v>
      </c>
      <c r="K177" s="196"/>
      <c r="L177" s="196"/>
      <c r="M177" s="196"/>
      <c r="N177" s="196">
        <f t="shared" si="37"/>
        <v>33.5499999999884</v>
      </c>
      <c r="O177" s="194"/>
      <c r="P177" s="195"/>
      <c r="Q177" s="125">
        <f>VLOOKUP(B177,[2]信息汇总表!$M$2:$T$816,8,0)</f>
        <v>354451</v>
      </c>
      <c r="R177" s="125">
        <f>VLOOKUP(B177,[1]sheet1!$J$4:$K$413,2,0)</f>
        <v>354451</v>
      </c>
      <c r="S177" s="125"/>
      <c r="T177" s="125">
        <f t="shared" si="41"/>
        <v>337571.428571429</v>
      </c>
      <c r="U177" s="125">
        <f t="shared" si="36"/>
        <v>16878.5714285714</v>
      </c>
      <c r="V177" s="203">
        <f t="shared" si="42"/>
        <v>-16879.571428571</v>
      </c>
      <c r="W177" s="203">
        <f t="shared" si="43"/>
        <v>16878.5714285714</v>
      </c>
      <c r="X177" s="125"/>
      <c r="Y177" t="s">
        <v>77</v>
      </c>
      <c r="Z177" s="165">
        <f t="shared" si="40"/>
        <v>-0.999999999599822</v>
      </c>
    </row>
    <row r="178" ht="13.5" spans="1:26">
      <c r="A178" s="175">
        <v>175</v>
      </c>
      <c r="B178" s="187" t="s">
        <v>301</v>
      </c>
      <c r="C178" s="183">
        <v>97.77</v>
      </c>
      <c r="D178" s="179">
        <v>3638</v>
      </c>
      <c r="E178" s="179">
        <f t="shared" si="34"/>
        <v>355687</v>
      </c>
      <c r="F178" s="184" t="s">
        <v>302</v>
      </c>
      <c r="G178" s="182"/>
      <c r="H178" s="185">
        <v>3638</v>
      </c>
      <c r="I178" s="185">
        <v>355687</v>
      </c>
      <c r="J178" s="196">
        <f>VLOOKUP(B178,泰康小区账面房号及收款金额!$A$2:$B$424,2,0)</f>
        <v>355652.45</v>
      </c>
      <c r="K178" s="196"/>
      <c r="L178" s="196"/>
      <c r="M178" s="196"/>
      <c r="N178" s="196">
        <f t="shared" si="37"/>
        <v>34.5499999999884</v>
      </c>
      <c r="O178" s="194"/>
      <c r="P178" s="195"/>
      <c r="Q178" s="125">
        <f>VLOOKUP(B178,[2]信息汇总表!$M$2:$T$816,8,0)</f>
        <v>355687</v>
      </c>
      <c r="R178" s="125">
        <f>VLOOKUP(B178,[1]sheet1!$J$4:$K$413,2,0)</f>
        <v>355687</v>
      </c>
      <c r="S178" s="125"/>
      <c r="T178" s="125">
        <f t="shared" si="41"/>
        <v>338749.523809524</v>
      </c>
      <c r="U178" s="125">
        <f t="shared" si="36"/>
        <v>16937.4761904762</v>
      </c>
      <c r="V178" s="203">
        <f t="shared" si="42"/>
        <v>-16937.476190476</v>
      </c>
      <c r="W178" s="203">
        <f t="shared" si="43"/>
        <v>16937.4761904762</v>
      </c>
      <c r="X178" s="125"/>
      <c r="Y178" t="s">
        <v>77</v>
      </c>
      <c r="Z178" s="165">
        <f t="shared" si="40"/>
        <v>2.00088834390044e-10</v>
      </c>
    </row>
    <row r="179" ht="13.5" spans="1:26">
      <c r="A179" s="175">
        <v>176</v>
      </c>
      <c r="B179" s="187" t="s">
        <v>303</v>
      </c>
      <c r="C179" s="183">
        <v>97.43</v>
      </c>
      <c r="D179" s="179">
        <v>3698</v>
      </c>
      <c r="E179" s="179">
        <f t="shared" si="34"/>
        <v>360296</v>
      </c>
      <c r="F179" s="184" t="s">
        <v>304</v>
      </c>
      <c r="G179" s="182"/>
      <c r="H179" s="185">
        <v>3758</v>
      </c>
      <c r="I179" s="185">
        <v>366142</v>
      </c>
      <c r="J179" s="196">
        <f>VLOOKUP(B179,泰康小区账面房号及收款金额!$A$2:$B$424,2,0)</f>
        <v>366106.3</v>
      </c>
      <c r="K179" s="196"/>
      <c r="L179" s="196"/>
      <c r="M179" s="196"/>
      <c r="N179" s="196">
        <f t="shared" si="37"/>
        <v>35.7000000000116</v>
      </c>
      <c r="O179" s="194"/>
      <c r="P179" s="195"/>
      <c r="Q179" s="125">
        <f>VLOOKUP(B179,[2]信息汇总表!$M$2:$T$816,8,0)</f>
        <v>366142</v>
      </c>
      <c r="R179" s="125">
        <f>VLOOKUP(B179,[1]sheet1!$J$4:$K$413,2,0)</f>
        <v>366142</v>
      </c>
      <c r="S179" s="125"/>
      <c r="T179" s="125">
        <f t="shared" si="41"/>
        <v>348706.666666667</v>
      </c>
      <c r="U179" s="125">
        <f t="shared" si="36"/>
        <v>17435.3333333334</v>
      </c>
      <c r="V179" s="203">
        <f t="shared" si="42"/>
        <v>-17435.333333333</v>
      </c>
      <c r="W179" s="203">
        <f t="shared" si="43"/>
        <v>17435.3333333334</v>
      </c>
      <c r="X179" s="125"/>
      <c r="Y179" t="s">
        <v>77</v>
      </c>
      <c r="Z179" s="165">
        <f t="shared" si="40"/>
        <v>4.00177668780088e-10</v>
      </c>
    </row>
    <row r="180" ht="13.5" spans="1:26">
      <c r="A180" s="175">
        <v>177</v>
      </c>
      <c r="B180" s="187" t="s">
        <v>305</v>
      </c>
      <c r="C180" s="183">
        <v>97.77</v>
      </c>
      <c r="D180" s="179">
        <v>3598</v>
      </c>
      <c r="E180" s="179">
        <f t="shared" si="34"/>
        <v>351776</v>
      </c>
      <c r="F180" s="184" t="s">
        <v>306</v>
      </c>
      <c r="G180" s="182"/>
      <c r="H180" s="185">
        <v>3628</v>
      </c>
      <c r="I180" s="185">
        <v>354710</v>
      </c>
      <c r="J180" s="196">
        <f>VLOOKUP(B180,泰康小区账面房号及收款金额!$A$2:$B$424,2,0)</f>
        <v>354674.5</v>
      </c>
      <c r="K180" s="196"/>
      <c r="L180" s="196"/>
      <c r="M180" s="196"/>
      <c r="N180" s="196">
        <f t="shared" si="37"/>
        <v>35.5</v>
      </c>
      <c r="O180" s="194"/>
      <c r="P180" s="195"/>
      <c r="Q180" s="125">
        <f>VLOOKUP(B180,[2]信息汇总表!$M$2:$T$816,8,0)</f>
        <v>354709</v>
      </c>
      <c r="R180" s="125">
        <f>VLOOKUP(B180,[1]sheet1!$J$4:$K$413,2,0)</f>
        <v>354709</v>
      </c>
      <c r="S180" s="125"/>
      <c r="T180" s="125">
        <f t="shared" si="41"/>
        <v>337819.047619048</v>
      </c>
      <c r="U180" s="125">
        <f t="shared" si="36"/>
        <v>16890.9523809524</v>
      </c>
      <c r="V180" s="203">
        <f t="shared" si="42"/>
        <v>-16889.952380952</v>
      </c>
      <c r="W180" s="203">
        <f t="shared" si="43"/>
        <v>16890.9523809524</v>
      </c>
      <c r="X180" s="125"/>
      <c r="Y180" t="s">
        <v>77</v>
      </c>
      <c r="Z180" s="165">
        <f t="shared" si="40"/>
        <v>1.00000000040018</v>
      </c>
    </row>
    <row r="181" ht="13.5" spans="1:26">
      <c r="A181" s="175">
        <v>178</v>
      </c>
      <c r="B181" s="187" t="s">
        <v>307</v>
      </c>
      <c r="C181" s="183">
        <v>97.43</v>
      </c>
      <c r="D181" s="179">
        <v>3448</v>
      </c>
      <c r="E181" s="179">
        <f t="shared" si="34"/>
        <v>335939</v>
      </c>
      <c r="F181" s="184" t="s">
        <v>308</v>
      </c>
      <c r="G181" s="182"/>
      <c r="H181" s="185">
        <v>3598</v>
      </c>
      <c r="I181" s="185">
        <v>350553</v>
      </c>
      <c r="J181" s="196">
        <f>VLOOKUP(B181,泰康小区账面房号及收款金额!$A$2:$B$424,2,0)</f>
        <v>350519.85</v>
      </c>
      <c r="K181" s="196"/>
      <c r="L181" s="196"/>
      <c r="M181" s="196"/>
      <c r="N181" s="196">
        <f t="shared" si="37"/>
        <v>33.1500000000233</v>
      </c>
      <c r="O181" s="194"/>
      <c r="P181" s="195"/>
      <c r="Q181" s="125">
        <f>VLOOKUP(B181,[2]信息汇总表!$M$2:$T$816,8,0)</f>
        <v>350553</v>
      </c>
      <c r="R181" s="125">
        <f>VLOOKUP(B181,[1]sheet1!$J$4:$K$413,2,0)</f>
        <v>350554</v>
      </c>
      <c r="S181" s="125"/>
      <c r="T181" s="125">
        <f t="shared" si="41"/>
        <v>333860</v>
      </c>
      <c r="U181" s="125">
        <f t="shared" si="36"/>
        <v>16693</v>
      </c>
      <c r="V181" s="203">
        <f t="shared" si="42"/>
        <v>-16694</v>
      </c>
      <c r="W181" s="203">
        <f t="shared" si="43"/>
        <v>16693</v>
      </c>
      <c r="X181" s="125"/>
      <c r="Y181" t="s">
        <v>77</v>
      </c>
      <c r="Z181" s="165">
        <f t="shared" si="40"/>
        <v>-1</v>
      </c>
    </row>
    <row r="182" ht="13.5" spans="1:26">
      <c r="A182" s="175">
        <v>179</v>
      </c>
      <c r="B182" s="187" t="s">
        <v>309</v>
      </c>
      <c r="C182" s="183">
        <v>97.77</v>
      </c>
      <c r="D182" s="179">
        <v>3528</v>
      </c>
      <c r="E182" s="179">
        <f t="shared" si="34"/>
        <v>344933</v>
      </c>
      <c r="F182" s="184" t="s">
        <v>310</v>
      </c>
      <c r="G182" s="182"/>
      <c r="H182" s="185">
        <v>3558</v>
      </c>
      <c r="I182" s="185">
        <v>347866</v>
      </c>
      <c r="J182" s="196">
        <f>VLOOKUP(B182,泰康小区账面房号及收款金额!$A$2:$B$424,2,0)</f>
        <v>347832.2</v>
      </c>
      <c r="K182" s="196"/>
      <c r="L182" s="196"/>
      <c r="M182" s="196"/>
      <c r="N182" s="196">
        <f t="shared" si="37"/>
        <v>33.7999999999884</v>
      </c>
      <c r="O182" s="194"/>
      <c r="P182" s="195"/>
      <c r="Q182" s="125">
        <f>VLOOKUP(B182,[2]信息汇总表!$M$2:$T$816,8,0)</f>
        <v>347865</v>
      </c>
      <c r="R182" s="125">
        <f>VLOOKUP(B182,[1]sheet1!$J$4:$K$413,2,0)</f>
        <v>347866</v>
      </c>
      <c r="S182" s="125"/>
      <c r="T182" s="125">
        <f t="shared" si="41"/>
        <v>331300.952380952</v>
      </c>
      <c r="U182" s="125">
        <f t="shared" si="36"/>
        <v>16565.0476190476</v>
      </c>
      <c r="V182" s="203">
        <f t="shared" si="42"/>
        <v>-16565.047619048</v>
      </c>
      <c r="W182" s="203">
        <f t="shared" si="43"/>
        <v>16565.0476190476</v>
      </c>
      <c r="X182" s="125"/>
      <c r="Y182" t="s">
        <v>77</v>
      </c>
      <c r="Z182" s="165">
        <f t="shared" si="40"/>
        <v>-4.00177668780088e-10</v>
      </c>
    </row>
    <row r="183" ht="13.5" spans="1:26">
      <c r="A183" s="175">
        <v>180</v>
      </c>
      <c r="B183" s="187" t="s">
        <v>311</v>
      </c>
      <c r="C183" s="183">
        <v>97.43</v>
      </c>
      <c r="D183" s="179">
        <v>3528</v>
      </c>
      <c r="E183" s="179">
        <f t="shared" si="34"/>
        <v>343733</v>
      </c>
      <c r="F183" s="184" t="s">
        <v>312</v>
      </c>
      <c r="G183" s="182"/>
      <c r="H183" s="185">
        <v>3558</v>
      </c>
      <c r="I183" s="185">
        <v>346656</v>
      </c>
      <c r="J183" s="196">
        <f>VLOOKUP(B183,泰康小区账面房号及收款金额!$A$2:$B$424,2,0)</f>
        <v>346622.2</v>
      </c>
      <c r="K183" s="196"/>
      <c r="L183" s="196"/>
      <c r="M183" s="196"/>
      <c r="N183" s="196">
        <f t="shared" si="37"/>
        <v>33.7999999999884</v>
      </c>
      <c r="O183" s="194"/>
      <c r="P183" s="195"/>
      <c r="Q183" s="125">
        <f>VLOOKUP(B183,[2]信息汇总表!$M$2:$T$816,8,0)</f>
        <v>346656</v>
      </c>
      <c r="R183" s="125">
        <f>VLOOKUP(B183,[1]sheet1!$J$4:$K$413,2,0)</f>
        <v>346656</v>
      </c>
      <c r="S183" s="125"/>
      <c r="T183" s="125">
        <f t="shared" si="41"/>
        <v>330148.571428571</v>
      </c>
      <c r="U183" s="125">
        <f t="shared" si="36"/>
        <v>16507.4285714286</v>
      </c>
      <c r="V183" s="203">
        <f t="shared" si="42"/>
        <v>-16507.428571429</v>
      </c>
      <c r="W183" s="203">
        <f t="shared" si="43"/>
        <v>16507.4285714286</v>
      </c>
      <c r="X183" s="125"/>
      <c r="Y183" t="s">
        <v>77</v>
      </c>
      <c r="Z183" s="165">
        <f t="shared" si="40"/>
        <v>-4.00177668780088e-10</v>
      </c>
    </row>
    <row r="184" ht="13.5" spans="1:26">
      <c r="A184" s="175">
        <v>181</v>
      </c>
      <c r="B184" s="187" t="s">
        <v>313</v>
      </c>
      <c r="C184" s="183">
        <v>97.77</v>
      </c>
      <c r="D184" s="179">
        <v>3138</v>
      </c>
      <c r="E184" s="179">
        <f t="shared" si="34"/>
        <v>306802</v>
      </c>
      <c r="F184" s="184" t="s">
        <v>314</v>
      </c>
      <c r="G184" s="182"/>
      <c r="H184" s="185">
        <v>3168</v>
      </c>
      <c r="I184" s="185">
        <v>309735</v>
      </c>
      <c r="J184" s="196">
        <f>VLOOKUP(B184,泰康小区账面房号及收款金额!$A$2:$B$424,2,0)</f>
        <v>309705.95</v>
      </c>
      <c r="K184" s="196"/>
      <c r="L184" s="196"/>
      <c r="M184" s="196"/>
      <c r="N184" s="196">
        <f t="shared" si="37"/>
        <v>29.0499999999884</v>
      </c>
      <c r="O184" s="194"/>
      <c r="P184" s="195"/>
      <c r="Q184" s="125">
        <f>VLOOKUP(B184,[2]信息汇总表!$M$2:$T$816,8,0)</f>
        <v>309735</v>
      </c>
      <c r="R184" s="125">
        <f>VLOOKUP(B184,[1]sheet1!$J$4:$K$413,2,0)</f>
        <v>309736</v>
      </c>
      <c r="S184" s="125"/>
      <c r="T184" s="125">
        <f t="shared" si="41"/>
        <v>294985.714285714</v>
      </c>
      <c r="U184" s="125">
        <f t="shared" si="36"/>
        <v>14749.2857142857</v>
      </c>
      <c r="V184" s="203">
        <f t="shared" si="42"/>
        <v>-14750.285714286</v>
      </c>
      <c r="W184" s="203">
        <f t="shared" si="43"/>
        <v>14749.2857142857</v>
      </c>
      <c r="X184" s="125"/>
      <c r="Y184" t="s">
        <v>77</v>
      </c>
      <c r="Z184" s="165">
        <f t="shared" si="40"/>
        <v>-1.00000000030013</v>
      </c>
    </row>
    <row r="185" ht="13.5" spans="1:26">
      <c r="A185" s="175">
        <v>182</v>
      </c>
      <c r="B185" s="187" t="s">
        <v>315</v>
      </c>
      <c r="C185" s="183">
        <v>97.43</v>
      </c>
      <c r="D185" s="179">
        <v>3138</v>
      </c>
      <c r="E185" s="179">
        <f t="shared" si="34"/>
        <v>305735</v>
      </c>
      <c r="F185" s="184" t="s">
        <v>316</v>
      </c>
      <c r="G185" s="182"/>
      <c r="H185" s="185">
        <v>3168</v>
      </c>
      <c r="I185" s="185">
        <v>308658</v>
      </c>
      <c r="J185" s="196">
        <f>VLOOKUP(B185,泰康小区账面房号及收款金额!$A$2:$B$424,2,0)</f>
        <v>308627.9</v>
      </c>
      <c r="K185" s="196"/>
      <c r="L185" s="196"/>
      <c r="M185" s="196"/>
      <c r="N185" s="196">
        <f t="shared" si="37"/>
        <v>30.0999999999767</v>
      </c>
      <c r="O185" s="194"/>
      <c r="P185" s="195"/>
      <c r="Q185" s="125">
        <f>VLOOKUP(B185,[2]信息汇总表!$M$2:$T$816,8,0)</f>
        <v>308658</v>
      </c>
      <c r="R185" s="125">
        <f>VLOOKUP(B185,[1]sheet1!$J$4:$K$413,2,0)</f>
        <v>308658</v>
      </c>
      <c r="S185" s="125"/>
      <c r="T185" s="125">
        <f t="shared" si="41"/>
        <v>293960</v>
      </c>
      <c r="U185" s="125">
        <f t="shared" si="36"/>
        <v>14698</v>
      </c>
      <c r="V185" s="203">
        <f t="shared" si="42"/>
        <v>-14698</v>
      </c>
      <c r="W185" s="203">
        <f t="shared" si="43"/>
        <v>14698</v>
      </c>
      <c r="X185" s="125"/>
      <c r="Y185" t="s">
        <v>77</v>
      </c>
      <c r="Z185" s="165">
        <f t="shared" si="40"/>
        <v>0</v>
      </c>
    </row>
    <row r="186" ht="24" customHeight="1" spans="1:26">
      <c r="A186" s="175">
        <v>183</v>
      </c>
      <c r="B186" s="187" t="s">
        <v>317</v>
      </c>
      <c r="C186" s="183">
        <v>90.62</v>
      </c>
      <c r="D186" s="179">
        <v>2928</v>
      </c>
      <c r="E186" s="179">
        <f t="shared" si="34"/>
        <v>265335</v>
      </c>
      <c r="F186" s="184" t="s">
        <v>318</v>
      </c>
      <c r="G186" s="182"/>
      <c r="H186" s="185">
        <f>I186/C186</f>
        <v>2890.00220701832</v>
      </c>
      <c r="I186" s="185">
        <v>261892</v>
      </c>
      <c r="J186" s="196">
        <f>VLOOKUP(B186,泰康小区账面房号及收款金额!$A$2:$B$424,2,0)</f>
        <v>350449.05</v>
      </c>
      <c r="K186" s="196"/>
      <c r="L186" s="196"/>
      <c r="M186" s="196"/>
      <c r="N186" s="197">
        <f t="shared" si="37"/>
        <v>-88557.05</v>
      </c>
      <c r="O186" s="194" t="s">
        <v>319</v>
      </c>
      <c r="P186" s="195"/>
      <c r="Q186" s="125">
        <f>VLOOKUP(B186,[2]信息汇总表!$M$2:$T$816,8,0)</f>
        <v>261892</v>
      </c>
      <c r="R186" s="125">
        <f>VLOOKUP(B186,[1]sheet1!$J$4:$K$413,2,0)</f>
        <v>337978</v>
      </c>
      <c r="S186" s="125"/>
      <c r="T186" s="125">
        <f t="shared" si="41"/>
        <v>249420.952380952</v>
      </c>
      <c r="U186" s="125">
        <f t="shared" si="36"/>
        <v>12471.0476190476</v>
      </c>
      <c r="V186" s="203">
        <f t="shared" si="42"/>
        <v>-88557.047619048</v>
      </c>
      <c r="W186" s="203">
        <f t="shared" si="43"/>
        <v>0.0476190476001648</v>
      </c>
      <c r="X186" s="125">
        <v>12471</v>
      </c>
      <c r="Y186" s="195"/>
      <c r="Z186" s="165">
        <f t="shared" si="40"/>
        <v>-88557.0000000004</v>
      </c>
    </row>
    <row r="187" ht="24" customHeight="1" spans="1:26">
      <c r="A187" s="175">
        <v>184</v>
      </c>
      <c r="B187" s="187" t="s">
        <v>320</v>
      </c>
      <c r="C187" s="183">
        <v>90.28</v>
      </c>
      <c r="D187" s="179">
        <v>2928</v>
      </c>
      <c r="E187" s="179">
        <f t="shared" si="34"/>
        <v>264340</v>
      </c>
      <c r="F187" s="184" t="s">
        <v>321</v>
      </c>
      <c r="G187" s="182"/>
      <c r="H187" s="185">
        <v>2958</v>
      </c>
      <c r="I187" s="185">
        <v>267048</v>
      </c>
      <c r="J187" s="196">
        <f>VLOOKUP(B187,泰康小区账面房号及收款金额!$A$2:$B$424,2,0)</f>
        <v>267022.4</v>
      </c>
      <c r="K187" s="196"/>
      <c r="L187" s="196"/>
      <c r="M187" s="196"/>
      <c r="N187" s="196">
        <f t="shared" si="37"/>
        <v>25.5999999999767</v>
      </c>
      <c r="O187" s="194"/>
      <c r="P187" s="195"/>
      <c r="Q187" s="125">
        <f>VLOOKUP(B187,[2]信息汇总表!$M$2:$T$816,8,0)</f>
        <v>267049</v>
      </c>
      <c r="R187" s="125">
        <f>VLOOKUP(B187,[1]sheet1!$J$4:$K$413,2,0)</f>
        <v>267049</v>
      </c>
      <c r="S187" s="125"/>
      <c r="T187" s="125">
        <f t="shared" si="41"/>
        <v>254331.428571429</v>
      </c>
      <c r="U187" s="125">
        <f t="shared" si="36"/>
        <v>12716.5714285714</v>
      </c>
      <c r="V187" s="203">
        <f t="shared" si="42"/>
        <v>-12717.571428571</v>
      </c>
      <c r="W187" s="203">
        <f>V187</f>
        <v>-12717.571428571</v>
      </c>
      <c r="X187" s="125"/>
      <c r="Y187" t="s">
        <v>77</v>
      </c>
      <c r="Z187" s="165">
        <f t="shared" si="40"/>
        <v>-25435.142857142</v>
      </c>
    </row>
    <row r="188" ht="36" spans="1:26">
      <c r="A188" s="175">
        <v>185</v>
      </c>
      <c r="B188" s="187" t="s">
        <v>322</v>
      </c>
      <c r="C188" s="183">
        <v>97.43</v>
      </c>
      <c r="D188" s="179">
        <v>3608</v>
      </c>
      <c r="E188" s="179">
        <f t="shared" si="34"/>
        <v>351527</v>
      </c>
      <c r="F188" s="184" t="s">
        <v>323</v>
      </c>
      <c r="G188" s="182" t="s">
        <v>48</v>
      </c>
      <c r="H188" s="185">
        <v>3150</v>
      </c>
      <c r="I188" s="185">
        <v>306905</v>
      </c>
      <c r="J188" s="196">
        <f>VLOOKUP(B188,泰康小区账面房号及收款金额!$A$2:$B$424,2,0)</f>
        <v>160000.05</v>
      </c>
      <c r="K188" s="196"/>
      <c r="L188" s="196"/>
      <c r="M188" s="196"/>
      <c r="N188" s="196">
        <f t="shared" si="37"/>
        <v>146904.95</v>
      </c>
      <c r="O188" s="194" t="s">
        <v>324</v>
      </c>
      <c r="P188" s="195"/>
      <c r="Q188" s="125">
        <f>VLOOKUP(B188,[2]信息汇总表!$M$2:$T$816,8,0)</f>
        <v>306905</v>
      </c>
      <c r="R188" s="125">
        <f>VLOOKUP(B188,[1]sheet1!$J$4:$K$413,2,0)</f>
        <v>152381</v>
      </c>
      <c r="S188" s="125"/>
      <c r="T188" s="125">
        <f t="shared" si="41"/>
        <v>292290.476190476</v>
      </c>
      <c r="U188" s="125">
        <f t="shared" si="36"/>
        <v>14614.5238095238</v>
      </c>
      <c r="V188" s="203">
        <f t="shared" si="42"/>
        <v>139909.476190476</v>
      </c>
      <c r="W188" s="203">
        <f t="shared" ref="W188:W199" si="44">U188-X188</f>
        <v>6995.5238095238</v>
      </c>
      <c r="X188" s="125">
        <v>7619</v>
      </c>
      <c r="Y188" s="195" t="s">
        <v>280</v>
      </c>
      <c r="Z188" s="165">
        <f t="shared" si="40"/>
        <v>146905</v>
      </c>
    </row>
    <row r="189" ht="21" customHeight="1" spans="1:26">
      <c r="A189" s="175">
        <v>186</v>
      </c>
      <c r="B189" s="187" t="s">
        <v>325</v>
      </c>
      <c r="C189" s="183">
        <v>97.77</v>
      </c>
      <c r="D189" s="179">
        <v>3608</v>
      </c>
      <c r="E189" s="179">
        <f t="shared" si="34"/>
        <v>352754</v>
      </c>
      <c r="F189" s="184" t="s">
        <v>326</v>
      </c>
      <c r="G189" s="182"/>
      <c r="H189" s="185">
        <v>3638</v>
      </c>
      <c r="I189" s="185">
        <v>355687</v>
      </c>
      <c r="J189" s="196">
        <f>VLOOKUP(B189,泰康小区账面房号及收款金额!$A$2:$B$424,2,0)</f>
        <v>356378</v>
      </c>
      <c r="K189" s="196"/>
      <c r="L189" s="196"/>
      <c r="M189" s="196"/>
      <c r="N189" s="196">
        <f t="shared" si="37"/>
        <v>-691</v>
      </c>
      <c r="O189" s="194" t="s">
        <v>327</v>
      </c>
      <c r="P189" s="195"/>
      <c r="Q189" s="125">
        <f>VLOOKUP(B189,[2]信息汇总表!$M$2:$T$816,8,0)</f>
        <v>355687</v>
      </c>
      <c r="R189" s="125">
        <f>VLOOKUP(B189,[1]sheet1!$J$4:$K$413,2,0)</f>
        <v>356378</v>
      </c>
      <c r="S189" s="125"/>
      <c r="T189" s="125">
        <f t="shared" ref="T189:T192" si="45">J189/1.05</f>
        <v>339407.619047619</v>
      </c>
      <c r="U189" s="125">
        <f t="shared" ref="U189:U192" si="46">T189*0.05</f>
        <v>16970.380952381</v>
      </c>
      <c r="V189" s="203">
        <f t="shared" si="42"/>
        <v>-16970.3809523809</v>
      </c>
      <c r="W189" s="203">
        <f t="shared" si="44"/>
        <v>16970.380952381</v>
      </c>
      <c r="X189" s="125"/>
      <c r="Y189" t="s">
        <v>77</v>
      </c>
      <c r="Z189" s="165">
        <f t="shared" si="40"/>
        <v>1.01863406598568e-10</v>
      </c>
    </row>
    <row r="190" ht="18" customHeight="1" spans="1:26">
      <c r="A190" s="175">
        <v>187</v>
      </c>
      <c r="B190" s="187" t="s">
        <v>328</v>
      </c>
      <c r="C190" s="183">
        <v>97.43</v>
      </c>
      <c r="D190" s="179">
        <v>3638</v>
      </c>
      <c r="E190" s="179">
        <f t="shared" si="34"/>
        <v>354450</v>
      </c>
      <c r="F190" s="184" t="s">
        <v>329</v>
      </c>
      <c r="G190" s="182"/>
      <c r="H190" s="185">
        <v>3668</v>
      </c>
      <c r="I190" s="185">
        <v>357373</v>
      </c>
      <c r="J190" s="196">
        <f>VLOOKUP(B190,泰康小区账面房号及收款金额!$A$2:$B$424,2,0)</f>
        <v>357372.8</v>
      </c>
      <c r="K190" s="196"/>
      <c r="L190" s="196"/>
      <c r="M190" s="196"/>
      <c r="N190" s="196">
        <f t="shared" si="37"/>
        <v>0.200000000011642</v>
      </c>
      <c r="O190" s="194"/>
      <c r="P190" s="195"/>
      <c r="Q190" s="125">
        <f>VLOOKUP(B190,[2]信息汇总表!$M$2:$T$816,8,0)</f>
        <v>357374</v>
      </c>
      <c r="R190" s="125">
        <f>VLOOKUP(B190,[1]sheet1!$J$4:$K$413,2,0)</f>
        <v>357406</v>
      </c>
      <c r="S190" s="125"/>
      <c r="T190" s="125">
        <f t="shared" si="45"/>
        <v>340355.047619048</v>
      </c>
      <c r="U190" s="125">
        <f t="shared" si="46"/>
        <v>17017.7523809524</v>
      </c>
      <c r="V190" s="203">
        <f t="shared" si="42"/>
        <v>-17050.9523809524</v>
      </c>
      <c r="W190" s="203">
        <f t="shared" si="44"/>
        <v>17050.7523809524</v>
      </c>
      <c r="X190" s="125">
        <v>-33</v>
      </c>
      <c r="Y190" t="s">
        <v>77</v>
      </c>
      <c r="Z190" s="165">
        <f t="shared" si="40"/>
        <v>-0.200000000000728</v>
      </c>
    </row>
    <row r="191" ht="19" customHeight="1" spans="1:26">
      <c r="A191" s="175">
        <v>188</v>
      </c>
      <c r="B191" s="187" t="s">
        <v>330</v>
      </c>
      <c r="C191" s="183">
        <v>97.77</v>
      </c>
      <c r="D191" s="179">
        <v>3638</v>
      </c>
      <c r="E191" s="179">
        <f t="shared" si="34"/>
        <v>355687</v>
      </c>
      <c r="F191" s="184" t="s">
        <v>331</v>
      </c>
      <c r="G191" s="182"/>
      <c r="H191" s="185">
        <v>3668</v>
      </c>
      <c r="I191" s="185">
        <v>358620</v>
      </c>
      <c r="J191" s="196">
        <f>VLOOKUP(B191,泰康小区账面房号及收款金额!$A$2:$B$424,2,0)</f>
        <v>358621</v>
      </c>
      <c r="K191" s="196"/>
      <c r="L191" s="196"/>
      <c r="M191" s="196"/>
      <c r="N191" s="196">
        <f t="shared" si="37"/>
        <v>-1</v>
      </c>
      <c r="O191" s="194"/>
      <c r="P191" s="195"/>
      <c r="Q191" s="125">
        <f>VLOOKUP(B191,[2]信息汇总表!$M$2:$T$816,8,0)</f>
        <v>358620</v>
      </c>
      <c r="R191" s="125">
        <f>VLOOKUP(B191,[1]sheet1!$J$4:$K$413,2,0)</f>
        <v>358621</v>
      </c>
      <c r="S191" s="125"/>
      <c r="T191" s="125">
        <f t="shared" si="45"/>
        <v>341543.80952381</v>
      </c>
      <c r="U191" s="125">
        <f t="shared" si="46"/>
        <v>17077.1904761905</v>
      </c>
      <c r="V191" s="203">
        <f t="shared" si="42"/>
        <v>-17077.1904761905</v>
      </c>
      <c r="W191" s="203">
        <f t="shared" si="44"/>
        <v>17077.1904761905</v>
      </c>
      <c r="X191" s="125"/>
      <c r="Y191" t="s">
        <v>77</v>
      </c>
      <c r="Z191" s="165">
        <f t="shared" si="40"/>
        <v>0</v>
      </c>
    </row>
    <row r="192" ht="21" customHeight="1" spans="1:26">
      <c r="A192" s="175">
        <v>189</v>
      </c>
      <c r="B192" s="187" t="s">
        <v>332</v>
      </c>
      <c r="C192" s="183">
        <v>97.43</v>
      </c>
      <c r="D192" s="179">
        <v>3598</v>
      </c>
      <c r="E192" s="179">
        <f t="shared" si="34"/>
        <v>350553</v>
      </c>
      <c r="F192" s="184" t="s">
        <v>333</v>
      </c>
      <c r="G192" s="182"/>
      <c r="H192" s="185">
        <v>3598</v>
      </c>
      <c r="I192" s="185">
        <v>350553</v>
      </c>
      <c r="J192" s="196">
        <f>VLOOKUP(B192,泰康小区账面房号及收款金额!$A$2:$B$424,2,0)</f>
        <v>350554</v>
      </c>
      <c r="K192" s="196"/>
      <c r="L192" s="196"/>
      <c r="M192" s="196"/>
      <c r="N192" s="196">
        <f t="shared" si="37"/>
        <v>-1</v>
      </c>
      <c r="O192" s="194"/>
      <c r="P192" s="195"/>
      <c r="Q192" s="125"/>
      <c r="R192" s="125">
        <f>VLOOKUP(B192,[1]sheet1!$J$4:$K$413,2,0)</f>
        <v>350554</v>
      </c>
      <c r="S192" s="125"/>
      <c r="T192" s="125">
        <f t="shared" si="45"/>
        <v>333860.952380952</v>
      </c>
      <c r="U192" s="125">
        <f t="shared" si="46"/>
        <v>16693.0476190476</v>
      </c>
      <c r="V192" s="203">
        <f t="shared" si="42"/>
        <v>-16693.0476190476</v>
      </c>
      <c r="W192" s="203">
        <f t="shared" si="44"/>
        <v>16693.0476190476</v>
      </c>
      <c r="X192" s="125"/>
      <c r="Y192" t="s">
        <v>77</v>
      </c>
      <c r="Z192" s="165">
        <f t="shared" si="40"/>
        <v>0</v>
      </c>
    </row>
    <row r="193" ht="19" customHeight="1" spans="1:26">
      <c r="A193" s="175">
        <v>190</v>
      </c>
      <c r="B193" s="187" t="s">
        <v>334</v>
      </c>
      <c r="C193" s="183">
        <v>97.77</v>
      </c>
      <c r="D193" s="179">
        <v>3598</v>
      </c>
      <c r="E193" s="179">
        <f t="shared" ref="E193:E256" si="47">ROUND(IF(F193&lt;&gt;0,C193*D193,0),0)</f>
        <v>351776</v>
      </c>
      <c r="F193" s="184" t="s">
        <v>335</v>
      </c>
      <c r="G193" s="182"/>
      <c r="H193" s="185">
        <v>3628</v>
      </c>
      <c r="I193" s="185">
        <v>354710</v>
      </c>
      <c r="J193" s="196">
        <f>VLOOKUP(B193,泰康小区账面房号及收款金额!$A$2:$B$424,2,0)</f>
        <v>354710</v>
      </c>
      <c r="K193" s="196"/>
      <c r="L193" s="196"/>
      <c r="M193" s="196"/>
      <c r="N193" s="196">
        <f t="shared" si="37"/>
        <v>0</v>
      </c>
      <c r="O193" s="194"/>
      <c r="P193" s="195"/>
      <c r="Q193" s="125">
        <f>VLOOKUP(B193,[2]信息汇总表!$M$2:$T$816,8,0)</f>
        <v>354709</v>
      </c>
      <c r="R193" s="125">
        <f>VLOOKUP(B193,[1]sheet1!$J$4:$K$413,2,0)</f>
        <v>354710</v>
      </c>
      <c r="S193" s="125"/>
      <c r="T193" s="125">
        <f t="shared" si="41"/>
        <v>337819.047619048</v>
      </c>
      <c r="U193" s="125">
        <f t="shared" si="36"/>
        <v>16890.9523809524</v>
      </c>
      <c r="V193" s="203">
        <f t="shared" si="42"/>
        <v>-16890.952380952</v>
      </c>
      <c r="W193" s="203">
        <f t="shared" si="44"/>
        <v>16890.9523809524</v>
      </c>
      <c r="X193" s="125"/>
      <c r="Y193" t="s">
        <v>77</v>
      </c>
      <c r="Z193" s="165">
        <f t="shared" si="40"/>
        <v>4.00177668780088e-10</v>
      </c>
    </row>
    <row r="194" ht="19" customHeight="1" spans="1:26">
      <c r="A194" s="175">
        <v>191</v>
      </c>
      <c r="B194" s="187" t="s">
        <v>336</v>
      </c>
      <c r="C194" s="183">
        <v>97.43</v>
      </c>
      <c r="D194" s="179">
        <v>3498</v>
      </c>
      <c r="E194" s="179">
        <f t="shared" si="47"/>
        <v>340810</v>
      </c>
      <c r="F194" s="184" t="s">
        <v>337</v>
      </c>
      <c r="G194" s="182"/>
      <c r="H194" s="185">
        <v>3528</v>
      </c>
      <c r="I194" s="185">
        <v>343733</v>
      </c>
      <c r="J194" s="196">
        <f>VLOOKUP(B194,泰康小区账面房号及收款金额!$A$2:$B$424,2,0)</f>
        <v>343733</v>
      </c>
      <c r="K194" s="196"/>
      <c r="L194" s="196"/>
      <c r="M194" s="196"/>
      <c r="N194" s="196">
        <f t="shared" si="37"/>
        <v>0</v>
      </c>
      <c r="O194" s="194"/>
      <c r="P194" s="195"/>
      <c r="Q194" s="125">
        <f>VLOOKUP(B194,[2]信息汇总表!$M$2:$T$816,8,0)</f>
        <v>343733</v>
      </c>
      <c r="R194" s="125">
        <f>VLOOKUP(B194,[1]sheet1!$J$4:$K$413,2,0)</f>
        <v>343733</v>
      </c>
      <c r="S194" s="125"/>
      <c r="T194" s="125">
        <f t="shared" si="41"/>
        <v>327364.761904762</v>
      </c>
      <c r="U194" s="125">
        <f t="shared" si="36"/>
        <v>16368.2380952381</v>
      </c>
      <c r="V194" s="203">
        <f t="shared" si="42"/>
        <v>-16368.238095238</v>
      </c>
      <c r="W194" s="203">
        <f t="shared" si="44"/>
        <v>16368.2380952381</v>
      </c>
      <c r="X194" s="125"/>
      <c r="Y194" t="s">
        <v>77</v>
      </c>
      <c r="Z194" s="165">
        <f t="shared" si="40"/>
        <v>1.00044417195022e-10</v>
      </c>
    </row>
    <row r="195" ht="19" customHeight="1" spans="1:26">
      <c r="A195" s="175">
        <v>192</v>
      </c>
      <c r="B195" s="187" t="s">
        <v>338</v>
      </c>
      <c r="C195" s="183">
        <v>97.77</v>
      </c>
      <c r="D195" s="179">
        <v>3528</v>
      </c>
      <c r="E195" s="179">
        <f t="shared" si="47"/>
        <v>344933</v>
      </c>
      <c r="F195" s="184" t="s">
        <v>339</v>
      </c>
      <c r="G195" s="182"/>
      <c r="H195" s="185">
        <v>3558</v>
      </c>
      <c r="I195" s="185">
        <v>347866</v>
      </c>
      <c r="J195" s="196">
        <f>VLOOKUP(B195,泰康小区账面房号及收款金额!$A$2:$B$424,2,0)</f>
        <v>347866</v>
      </c>
      <c r="K195" s="196"/>
      <c r="L195" s="196"/>
      <c r="M195" s="196"/>
      <c r="N195" s="196">
        <f t="shared" si="37"/>
        <v>0</v>
      </c>
      <c r="O195" s="194"/>
      <c r="P195" s="195"/>
      <c r="Q195" s="125">
        <f>VLOOKUP(B195,[2]信息汇总表!$M$2:$T$816,8,0)</f>
        <v>347865</v>
      </c>
      <c r="R195" s="125">
        <f>VLOOKUP(B195,[1]sheet1!$J$4:$K$413,2,0)</f>
        <v>347866</v>
      </c>
      <c r="S195" s="125"/>
      <c r="T195" s="125">
        <f t="shared" si="41"/>
        <v>331300.952380952</v>
      </c>
      <c r="U195" s="125">
        <f t="shared" si="36"/>
        <v>16565.0476190476</v>
      </c>
      <c r="V195" s="203">
        <f t="shared" si="42"/>
        <v>-16565.047619048</v>
      </c>
      <c r="W195" s="203">
        <f t="shared" si="44"/>
        <v>16565.0476190476</v>
      </c>
      <c r="X195" s="125"/>
      <c r="Y195" t="s">
        <v>77</v>
      </c>
      <c r="Z195" s="165">
        <f t="shared" si="40"/>
        <v>-4.00177668780088e-10</v>
      </c>
    </row>
    <row r="196" ht="19" customHeight="1" spans="1:26">
      <c r="A196" s="175">
        <v>193</v>
      </c>
      <c r="B196" s="187" t="s">
        <v>340</v>
      </c>
      <c r="C196" s="183">
        <v>97.43</v>
      </c>
      <c r="D196" s="179">
        <v>3138</v>
      </c>
      <c r="E196" s="179">
        <f t="shared" si="47"/>
        <v>305735</v>
      </c>
      <c r="F196" s="184" t="s">
        <v>341</v>
      </c>
      <c r="G196" s="182"/>
      <c r="H196" s="185">
        <v>3138</v>
      </c>
      <c r="I196" s="185">
        <v>305735</v>
      </c>
      <c r="J196" s="196">
        <f>VLOOKUP(B196,泰康小区账面房号及收款金额!$A$2:$B$424,2,0)</f>
        <v>305736</v>
      </c>
      <c r="K196" s="196"/>
      <c r="L196" s="196"/>
      <c r="M196" s="196"/>
      <c r="N196" s="196">
        <f t="shared" si="37"/>
        <v>-1</v>
      </c>
      <c r="O196" s="194"/>
      <c r="P196" s="195"/>
      <c r="Q196" s="125">
        <f>VLOOKUP(B196,[2]信息汇总表!$M$2:$T$816,8,0)</f>
        <v>305735</v>
      </c>
      <c r="R196" s="125">
        <f>VLOOKUP(B196,[1]sheet1!$J$4:$K$413,2,0)</f>
        <v>305736</v>
      </c>
      <c r="S196" s="125"/>
      <c r="T196" s="125">
        <f>J196/1.05</f>
        <v>291177.142857143</v>
      </c>
      <c r="U196" s="125">
        <f t="shared" ref="U196:U201" si="48">T196*0.05</f>
        <v>14558.8571428571</v>
      </c>
      <c r="V196" s="203">
        <f t="shared" si="42"/>
        <v>-14558.8571428572</v>
      </c>
      <c r="W196" s="203">
        <f t="shared" si="44"/>
        <v>14558.8571428571</v>
      </c>
      <c r="X196" s="125"/>
      <c r="Y196" t="s">
        <v>77</v>
      </c>
      <c r="Z196" s="165">
        <f t="shared" si="40"/>
        <v>-1.00044417195022e-10</v>
      </c>
    </row>
    <row r="197" ht="19" customHeight="1" spans="1:26">
      <c r="A197" s="175">
        <v>194</v>
      </c>
      <c r="B197" s="187" t="s">
        <v>342</v>
      </c>
      <c r="C197" s="183">
        <v>97.77</v>
      </c>
      <c r="D197" s="179">
        <v>3138</v>
      </c>
      <c r="E197" s="179">
        <f t="shared" si="47"/>
        <v>306802</v>
      </c>
      <c r="F197" s="184" t="s">
        <v>343</v>
      </c>
      <c r="G197" s="182"/>
      <c r="H197" s="185">
        <v>3148</v>
      </c>
      <c r="I197" s="185">
        <v>307780</v>
      </c>
      <c r="J197" s="196">
        <f>VLOOKUP(B197,泰康小区账面房号及收款金额!$A$2:$B$424,2,0)</f>
        <v>307780</v>
      </c>
      <c r="K197" s="196"/>
      <c r="L197" s="196"/>
      <c r="M197" s="196"/>
      <c r="N197" s="196">
        <f t="shared" si="37"/>
        <v>0</v>
      </c>
      <c r="O197" s="194"/>
      <c r="P197" s="195"/>
      <c r="Q197" s="125">
        <f>VLOOKUP(B197,[2]信息汇总表!$M$2:$T$816,8,0)</f>
        <v>307779</v>
      </c>
      <c r="R197" s="125">
        <f>VLOOKUP(B197,[1]sheet1!$J$4:$K$413,2,0)</f>
        <v>307780</v>
      </c>
      <c r="S197" s="125"/>
      <c r="T197" s="125">
        <f t="shared" si="41"/>
        <v>293123.80952381</v>
      </c>
      <c r="U197" s="125">
        <f t="shared" ref="U197:U260" si="49">I197-T197</f>
        <v>14656.19047619</v>
      </c>
      <c r="V197" s="203">
        <f t="shared" si="42"/>
        <v>-14656.19047619</v>
      </c>
      <c r="W197" s="203">
        <f t="shared" si="44"/>
        <v>14656.19047619</v>
      </c>
      <c r="X197" s="125"/>
      <c r="Y197" t="s">
        <v>77</v>
      </c>
      <c r="Z197" s="165">
        <f t="shared" si="40"/>
        <v>0</v>
      </c>
    </row>
    <row r="198" ht="19" customHeight="1" spans="1:26">
      <c r="A198" s="175">
        <v>195</v>
      </c>
      <c r="B198" s="187" t="s">
        <v>344</v>
      </c>
      <c r="C198" s="183">
        <v>90.28</v>
      </c>
      <c r="D198" s="179">
        <v>2858</v>
      </c>
      <c r="E198" s="179">
        <f t="shared" si="47"/>
        <v>258020</v>
      </c>
      <c r="F198" s="184" t="s">
        <v>345</v>
      </c>
      <c r="G198" s="182"/>
      <c r="H198" s="185">
        <v>2888</v>
      </c>
      <c r="I198" s="185">
        <v>260729</v>
      </c>
      <c r="J198" s="196">
        <f>VLOOKUP(B198,泰康小区账面房号及收款金额!$A$2:$B$424,2,0)</f>
        <v>260728</v>
      </c>
      <c r="K198" s="196"/>
      <c r="L198" s="196"/>
      <c r="M198" s="196"/>
      <c r="N198" s="196">
        <f t="shared" si="37"/>
        <v>1</v>
      </c>
      <c r="O198" s="194"/>
      <c r="P198" s="195"/>
      <c r="Q198" s="125">
        <f>VLOOKUP(B198,[2]信息汇总表!$M$2:$T$816,8,0)</f>
        <v>260728</v>
      </c>
      <c r="R198" s="125">
        <f>VLOOKUP(B198,[1]sheet1!$J$4:$K$413,2,0)</f>
        <v>260728</v>
      </c>
      <c r="S198" s="125"/>
      <c r="T198" s="125">
        <f t="shared" ref="T198:T203" si="50">J198/1.05</f>
        <v>248312.380952381</v>
      </c>
      <c r="U198" s="125">
        <f t="shared" si="48"/>
        <v>12415.619047619</v>
      </c>
      <c r="V198" s="203">
        <f t="shared" si="42"/>
        <v>-12415.6190476191</v>
      </c>
      <c r="W198" s="203">
        <f t="shared" si="44"/>
        <v>12415.619047619</v>
      </c>
      <c r="X198" s="125"/>
      <c r="Y198" t="s">
        <v>77</v>
      </c>
      <c r="Z198" s="165">
        <f t="shared" si="40"/>
        <v>-1.00044417195022e-10</v>
      </c>
    </row>
    <row r="199" ht="19" customHeight="1" spans="1:26">
      <c r="A199" s="175">
        <v>196</v>
      </c>
      <c r="B199" s="187" t="s">
        <v>346</v>
      </c>
      <c r="C199" s="183">
        <v>90.62</v>
      </c>
      <c r="D199" s="179">
        <v>2898</v>
      </c>
      <c r="E199" s="179">
        <f t="shared" si="47"/>
        <v>262617</v>
      </c>
      <c r="F199" s="184" t="s">
        <v>347</v>
      </c>
      <c r="G199" s="182"/>
      <c r="H199" s="185">
        <v>2928</v>
      </c>
      <c r="I199" s="185">
        <v>265335</v>
      </c>
      <c r="J199" s="196">
        <f>VLOOKUP(B199,泰康小区账面房号及收款金额!$A$2:$B$424,2,0)</f>
        <v>265335</v>
      </c>
      <c r="K199" s="196"/>
      <c r="L199" s="196"/>
      <c r="M199" s="196"/>
      <c r="N199" s="196">
        <f t="shared" si="37"/>
        <v>0</v>
      </c>
      <c r="O199" s="194"/>
      <c r="P199" s="195"/>
      <c r="Q199" s="125">
        <f>VLOOKUP(B199,[2]信息汇总表!$M$2:$T$816,8,0)</f>
        <v>265335</v>
      </c>
      <c r="R199" s="125">
        <f>VLOOKUP(B199,[1]sheet1!$J$4:$K$413,2,0)</f>
        <v>265335</v>
      </c>
      <c r="S199" s="125"/>
      <c r="T199" s="125">
        <f t="shared" si="41"/>
        <v>252700</v>
      </c>
      <c r="U199" s="125">
        <f t="shared" si="49"/>
        <v>12635</v>
      </c>
      <c r="V199" s="203">
        <f t="shared" si="42"/>
        <v>-12635</v>
      </c>
      <c r="W199" s="203">
        <f t="shared" si="44"/>
        <v>12635</v>
      </c>
      <c r="X199" s="125"/>
      <c r="Y199" t="s">
        <v>77</v>
      </c>
      <c r="Z199" s="165">
        <f t="shared" si="40"/>
        <v>0</v>
      </c>
    </row>
    <row r="200" ht="19" customHeight="1" spans="1:26">
      <c r="A200" s="175">
        <v>197</v>
      </c>
      <c r="B200" s="187"/>
      <c r="C200" s="183"/>
      <c r="D200" s="179"/>
      <c r="E200" s="179">
        <f t="shared" si="47"/>
        <v>0</v>
      </c>
      <c r="F200" s="207"/>
      <c r="G200" s="182"/>
      <c r="H200" s="185">
        <v>0</v>
      </c>
      <c r="I200" s="185">
        <v>0</v>
      </c>
      <c r="J200" s="196"/>
      <c r="K200" s="196"/>
      <c r="L200" s="196"/>
      <c r="M200" s="196"/>
      <c r="N200" s="196">
        <f t="shared" ref="N200:N263" si="51">I200-J200</f>
        <v>0</v>
      </c>
      <c r="O200" s="194"/>
      <c r="P200" s="195"/>
      <c r="Q200" s="125"/>
      <c r="R200" s="125"/>
      <c r="S200" s="125"/>
      <c r="T200" s="125">
        <f t="shared" si="41"/>
        <v>0</v>
      </c>
      <c r="U200" s="125">
        <f t="shared" si="49"/>
        <v>0</v>
      </c>
      <c r="V200" s="125"/>
      <c r="W200" s="125"/>
      <c r="X200" s="125"/>
      <c r="Y200" s="195"/>
      <c r="Z200" s="165">
        <f t="shared" si="40"/>
        <v>0</v>
      </c>
    </row>
    <row r="201" ht="13.5" spans="1:26">
      <c r="A201" s="175">
        <v>198</v>
      </c>
      <c r="B201" s="187" t="s">
        <v>348</v>
      </c>
      <c r="C201" s="183">
        <v>94.91</v>
      </c>
      <c r="D201" s="179">
        <v>3608</v>
      </c>
      <c r="E201" s="179">
        <f t="shared" si="47"/>
        <v>342435</v>
      </c>
      <c r="F201" s="184" t="s">
        <v>349</v>
      </c>
      <c r="G201" s="182"/>
      <c r="H201" s="185">
        <v>3638</v>
      </c>
      <c r="I201" s="185">
        <v>345283</v>
      </c>
      <c r="J201" s="196">
        <f>VLOOKUP(B201,泰康小区账面房号及收款金额!$A$2:$B$424,2,0)</f>
        <v>345901</v>
      </c>
      <c r="K201" s="196"/>
      <c r="L201" s="196"/>
      <c r="M201" s="196"/>
      <c r="N201" s="196">
        <f t="shared" si="51"/>
        <v>-618</v>
      </c>
      <c r="O201" s="194" t="s">
        <v>327</v>
      </c>
      <c r="P201" s="195"/>
      <c r="Q201" s="125">
        <f>VLOOKUP(B201,[2]信息汇总表!$M$2:$T$816,8,0)</f>
        <v>345282</v>
      </c>
      <c r="R201" s="125">
        <f>VLOOKUP(B201,[1]sheet1!$J$4:$K$413,2,0)</f>
        <v>345901</v>
      </c>
      <c r="S201" s="125"/>
      <c r="T201" s="125">
        <f t="shared" si="50"/>
        <v>329429.523809524</v>
      </c>
      <c r="U201" s="125">
        <f t="shared" si="48"/>
        <v>16471.4761904762</v>
      </c>
      <c r="V201" s="203">
        <f t="shared" ref="V201:V264" si="52">T201-S201-R201</f>
        <v>-16471.4761904762</v>
      </c>
      <c r="W201" s="203">
        <f t="shared" ref="W201:W243" si="53">U201-X201</f>
        <v>16471.4761904762</v>
      </c>
      <c r="X201" s="125"/>
      <c r="Y201" t="s">
        <v>77</v>
      </c>
      <c r="Z201" s="165">
        <f t="shared" si="40"/>
        <v>0</v>
      </c>
    </row>
    <row r="202" ht="13.5" spans="1:26">
      <c r="A202" s="175">
        <v>199</v>
      </c>
      <c r="B202" s="187" t="s">
        <v>350</v>
      </c>
      <c r="C202" s="183">
        <v>94.59</v>
      </c>
      <c r="D202" s="179">
        <v>3608</v>
      </c>
      <c r="E202" s="179">
        <f t="shared" si="47"/>
        <v>341281</v>
      </c>
      <c r="F202" s="184" t="s">
        <v>351</v>
      </c>
      <c r="G202" s="182" t="s">
        <v>48</v>
      </c>
      <c r="H202" s="185">
        <v>2850</v>
      </c>
      <c r="I202" s="185">
        <v>269582</v>
      </c>
      <c r="J202" s="196">
        <f>VLOOKUP(B202,泰康小区账面房号及收款金额!$A$2:$B$424,2,0)</f>
        <v>269582</v>
      </c>
      <c r="K202" s="196"/>
      <c r="L202" s="196"/>
      <c r="M202" s="196"/>
      <c r="N202" s="196">
        <f t="shared" si="51"/>
        <v>0</v>
      </c>
      <c r="O202" s="194"/>
      <c r="P202" s="195"/>
      <c r="Q202" s="125">
        <f>VLOOKUP(B202,[2]信息汇总表!$M$2:$T$816,8,0)</f>
        <v>269582</v>
      </c>
      <c r="R202" s="125">
        <f>VLOOKUP(B202,[1]sheet1!$J$4:$K$413,2,0)</f>
        <v>269582</v>
      </c>
      <c r="S202" s="125"/>
      <c r="T202" s="125">
        <f t="shared" si="41"/>
        <v>256744.761904762</v>
      </c>
      <c r="U202" s="125">
        <f t="shared" si="49"/>
        <v>12837.238095238</v>
      </c>
      <c r="V202" s="203">
        <f t="shared" si="52"/>
        <v>-12837.238095238</v>
      </c>
      <c r="W202" s="203">
        <f t="shared" si="53"/>
        <v>12837.238095238</v>
      </c>
      <c r="X202" s="125"/>
      <c r="Y202" t="s">
        <v>77</v>
      </c>
      <c r="Z202" s="165">
        <f t="shared" si="40"/>
        <v>0</v>
      </c>
    </row>
    <row r="203" ht="13.5" spans="1:26">
      <c r="A203" s="175">
        <v>200</v>
      </c>
      <c r="B203" s="187" t="s">
        <v>352</v>
      </c>
      <c r="C203" s="183">
        <v>94.91</v>
      </c>
      <c r="D203" s="179">
        <v>3638</v>
      </c>
      <c r="E203" s="179">
        <f t="shared" si="47"/>
        <v>345283</v>
      </c>
      <c r="F203" s="184" t="s">
        <v>353</v>
      </c>
      <c r="G203" s="182"/>
      <c r="H203" s="185">
        <v>3668</v>
      </c>
      <c r="I203" s="185">
        <v>348130</v>
      </c>
      <c r="J203" s="196">
        <f>VLOOKUP(B203,泰康小区账面房号及收款金额!$A$2:$B$424,2,0)</f>
        <v>348130</v>
      </c>
      <c r="K203" s="196"/>
      <c r="L203" s="196"/>
      <c r="M203" s="196"/>
      <c r="N203" s="196">
        <f t="shared" si="51"/>
        <v>0</v>
      </c>
      <c r="O203" s="194"/>
      <c r="P203" s="195"/>
      <c r="Q203" s="125">
        <f>VLOOKUP(B203,[2]信息汇总表!$M$2:$T$816,8,0)</f>
        <v>348129</v>
      </c>
      <c r="R203" s="125">
        <f>VLOOKUP(B203,[1]sheet1!$J$4:$K$413,2,0)</f>
        <v>348130</v>
      </c>
      <c r="S203" s="125"/>
      <c r="T203" s="125">
        <f t="shared" si="50"/>
        <v>331552.380952381</v>
      </c>
      <c r="U203" s="125">
        <f t="shared" ref="U203:U208" si="54">T203*0.05</f>
        <v>16577.619047619</v>
      </c>
      <c r="V203" s="203">
        <f t="shared" si="52"/>
        <v>-16577.6190476191</v>
      </c>
      <c r="W203" s="203">
        <f t="shared" si="53"/>
        <v>16577.619047619</v>
      </c>
      <c r="X203" s="125"/>
      <c r="Y203" t="s">
        <v>77</v>
      </c>
      <c r="Z203" s="165">
        <f t="shared" si="40"/>
        <v>-1.01863406598568e-10</v>
      </c>
    </row>
    <row r="204" ht="13.5" spans="1:26">
      <c r="A204" s="175">
        <v>201</v>
      </c>
      <c r="B204" s="187" t="s">
        <v>354</v>
      </c>
      <c r="C204" s="183">
        <v>94.59</v>
      </c>
      <c r="D204" s="179">
        <v>3638</v>
      </c>
      <c r="E204" s="179">
        <f t="shared" si="47"/>
        <v>344118</v>
      </c>
      <c r="F204" s="184" t="s">
        <v>355</v>
      </c>
      <c r="G204" s="182"/>
      <c r="H204" s="185">
        <v>3668</v>
      </c>
      <c r="I204" s="185">
        <v>346956</v>
      </c>
      <c r="J204" s="196">
        <f>VLOOKUP(B204,泰康小区账面房号及收款金额!$A$2:$B$424,2,0)</f>
        <v>346956</v>
      </c>
      <c r="K204" s="196"/>
      <c r="L204" s="196"/>
      <c r="M204" s="196"/>
      <c r="N204" s="196">
        <f t="shared" si="51"/>
        <v>0</v>
      </c>
      <c r="O204" s="194"/>
      <c r="P204" s="195"/>
      <c r="Q204" s="125">
        <f>VLOOKUP(B204,[2]信息汇总表!$M$2:$T$816,8,0)</f>
        <v>346956</v>
      </c>
      <c r="R204" s="125">
        <f>VLOOKUP(B204,[1]sheet1!$J$4:$K$413,2,0)</f>
        <v>346956</v>
      </c>
      <c r="S204" s="125"/>
      <c r="T204" s="125">
        <f t="shared" si="41"/>
        <v>330434.285714286</v>
      </c>
      <c r="U204" s="125">
        <f t="shared" si="49"/>
        <v>16521.714285714</v>
      </c>
      <c r="V204" s="203">
        <f t="shared" si="52"/>
        <v>-16521.714285714</v>
      </c>
      <c r="W204" s="203">
        <f t="shared" si="53"/>
        <v>16521.714285714</v>
      </c>
      <c r="X204" s="125"/>
      <c r="Y204" t="s">
        <v>77</v>
      </c>
      <c r="Z204" s="165">
        <f t="shared" si="40"/>
        <v>0</v>
      </c>
    </row>
    <row r="205" ht="13.5" spans="1:26">
      <c r="A205" s="175">
        <v>202</v>
      </c>
      <c r="B205" s="187" t="s">
        <v>356</v>
      </c>
      <c r="C205" s="183">
        <v>94.91</v>
      </c>
      <c r="D205" s="179">
        <v>3598</v>
      </c>
      <c r="E205" s="179">
        <f t="shared" si="47"/>
        <v>341486</v>
      </c>
      <c r="F205" s="184" t="s">
        <v>357</v>
      </c>
      <c r="G205" s="182"/>
      <c r="H205" s="185">
        <v>3628</v>
      </c>
      <c r="I205" s="185">
        <v>344333</v>
      </c>
      <c r="J205" s="196">
        <f>VLOOKUP(B205,泰康小区账面房号及收款金额!$A$2:$B$424,2,0)</f>
        <v>344333</v>
      </c>
      <c r="K205" s="196"/>
      <c r="L205" s="196"/>
      <c r="M205" s="196"/>
      <c r="N205" s="196">
        <f t="shared" si="51"/>
        <v>0</v>
      </c>
      <c r="O205" s="194"/>
      <c r="P205" s="195"/>
      <c r="Q205" s="125">
        <f>VLOOKUP(B205,[2]信息汇总表!$M$2:$T$816,8,0)</f>
        <v>344333</v>
      </c>
      <c r="R205" s="125">
        <f>VLOOKUP(B205,[1]sheet1!$J$4:$K$413,2,0)</f>
        <v>344333</v>
      </c>
      <c r="S205" s="125"/>
      <c r="T205" s="125">
        <f t="shared" si="41"/>
        <v>327936.19047619</v>
      </c>
      <c r="U205" s="125">
        <f t="shared" si="49"/>
        <v>16396.80952381</v>
      </c>
      <c r="V205" s="203">
        <f t="shared" si="52"/>
        <v>-16396.80952381</v>
      </c>
      <c r="W205" s="203">
        <f t="shared" si="53"/>
        <v>16396.80952381</v>
      </c>
      <c r="X205" s="125"/>
      <c r="Y205" t="s">
        <v>77</v>
      </c>
      <c r="Z205" s="165">
        <f t="shared" si="40"/>
        <v>0</v>
      </c>
    </row>
    <row r="206" ht="13.5" spans="1:26">
      <c r="A206" s="175">
        <v>203</v>
      </c>
      <c r="B206" s="187" t="s">
        <v>358</v>
      </c>
      <c r="C206" s="183">
        <v>94.59</v>
      </c>
      <c r="D206" s="179">
        <v>3598</v>
      </c>
      <c r="E206" s="179">
        <f t="shared" si="47"/>
        <v>340335</v>
      </c>
      <c r="F206" s="184" t="s">
        <v>359</v>
      </c>
      <c r="G206" s="182"/>
      <c r="H206" s="185">
        <v>3628</v>
      </c>
      <c r="I206" s="185">
        <v>343173</v>
      </c>
      <c r="J206" s="196">
        <f>VLOOKUP(B206,泰康小区账面房号及收款金额!$A$2:$B$424,2,0)</f>
        <v>343172</v>
      </c>
      <c r="K206" s="196"/>
      <c r="L206" s="196"/>
      <c r="M206" s="196"/>
      <c r="N206" s="196">
        <f t="shared" si="51"/>
        <v>1</v>
      </c>
      <c r="O206" s="194"/>
      <c r="P206" s="195"/>
      <c r="Q206" s="125">
        <f>VLOOKUP(B206,[2]信息汇总表!$M$2:$T$816,8,0)</f>
        <v>343172.52</v>
      </c>
      <c r="R206" s="125">
        <f>VLOOKUP(B206,[1]sheet1!$J$4:$K$413,2,0)</f>
        <v>343172</v>
      </c>
      <c r="S206" s="125"/>
      <c r="T206" s="125">
        <f>J206/1.05</f>
        <v>326830.476190476</v>
      </c>
      <c r="U206" s="125">
        <f t="shared" si="54"/>
        <v>16341.5238095238</v>
      </c>
      <c r="V206" s="203">
        <f t="shared" si="52"/>
        <v>-16341.5238095238</v>
      </c>
      <c r="W206" s="203">
        <f t="shared" si="53"/>
        <v>16341.5238095238</v>
      </c>
      <c r="X206" s="125"/>
      <c r="Y206" t="s">
        <v>77</v>
      </c>
      <c r="Z206" s="165">
        <f t="shared" si="40"/>
        <v>0</v>
      </c>
    </row>
    <row r="207" ht="13.5" spans="1:26">
      <c r="A207" s="175">
        <v>204</v>
      </c>
      <c r="B207" s="187" t="s">
        <v>360</v>
      </c>
      <c r="C207" s="183">
        <v>87.97</v>
      </c>
      <c r="D207" s="179">
        <v>3528</v>
      </c>
      <c r="E207" s="179">
        <f t="shared" si="47"/>
        <v>310358</v>
      </c>
      <c r="F207" s="184" t="s">
        <v>361</v>
      </c>
      <c r="G207" s="182"/>
      <c r="H207" s="185">
        <v>3558</v>
      </c>
      <c r="I207" s="185">
        <v>312997</v>
      </c>
      <c r="J207" s="196">
        <f>VLOOKUP(B207,泰康小区账面房号及收款金额!$A$2:$B$424,2,0)</f>
        <v>312998</v>
      </c>
      <c r="K207" s="196"/>
      <c r="L207" s="196"/>
      <c r="M207" s="196"/>
      <c r="N207" s="196">
        <f t="shared" si="51"/>
        <v>-1</v>
      </c>
      <c r="O207" s="194"/>
      <c r="P207" s="195"/>
      <c r="Q207" s="125">
        <f>VLOOKUP(B207,[2]信息汇总表!$M$2:$T$816,8,0)</f>
        <v>312997</v>
      </c>
      <c r="R207" s="125">
        <f>VLOOKUP(B207,[1]sheet1!$J$4:$K$413,2,0)</f>
        <v>312998</v>
      </c>
      <c r="S207" s="125"/>
      <c r="T207" s="125">
        <f>J207/1.05</f>
        <v>298093.333333333</v>
      </c>
      <c r="U207" s="125">
        <f t="shared" si="54"/>
        <v>14904.6666666667</v>
      </c>
      <c r="V207" s="203">
        <f t="shared" si="52"/>
        <v>-14904.6666666667</v>
      </c>
      <c r="W207" s="203">
        <f t="shared" si="53"/>
        <v>14904.6666666667</v>
      </c>
      <c r="X207" s="125"/>
      <c r="Y207" t="s">
        <v>77</v>
      </c>
      <c r="Z207" s="165">
        <f t="shared" si="40"/>
        <v>0</v>
      </c>
    </row>
    <row r="208" ht="24" spans="1:26">
      <c r="A208" s="175">
        <v>205</v>
      </c>
      <c r="B208" s="187" t="s">
        <v>362</v>
      </c>
      <c r="C208" s="183">
        <v>87.65</v>
      </c>
      <c r="D208" s="179">
        <v>3528</v>
      </c>
      <c r="E208" s="179">
        <f t="shared" si="47"/>
        <v>309229</v>
      </c>
      <c r="F208" s="184" t="s">
        <v>363</v>
      </c>
      <c r="G208" s="182"/>
      <c r="H208" s="185">
        <v>3100</v>
      </c>
      <c r="I208" s="185">
        <v>275000</v>
      </c>
      <c r="J208" s="196">
        <f>VLOOKUP(B208,泰康小区账面房号及收款金额!$A$2:$B$424,2,0)</f>
        <v>294999.6</v>
      </c>
      <c r="K208" s="196"/>
      <c r="L208" s="196"/>
      <c r="M208" s="196"/>
      <c r="N208" s="197">
        <f t="shared" si="51"/>
        <v>-19999.6</v>
      </c>
      <c r="O208" s="194" t="s">
        <v>364</v>
      </c>
      <c r="P208" s="195"/>
      <c r="Q208" s="125">
        <f>VLOOKUP(B208,[2]信息汇总表!$M$2:$T$816,8,0)</f>
        <v>275000</v>
      </c>
      <c r="R208" s="125">
        <f>VLOOKUP(B208,[1]sheet1!$J$4:$K$413,2,0)</f>
        <v>280952</v>
      </c>
      <c r="S208" s="125"/>
      <c r="T208" s="125">
        <f t="shared" si="41"/>
        <v>261904.761904762</v>
      </c>
      <c r="U208" s="125">
        <f t="shared" si="54"/>
        <v>13095.2380952381</v>
      </c>
      <c r="V208" s="203">
        <f t="shared" si="52"/>
        <v>-19047.238095238</v>
      </c>
      <c r="W208" s="203">
        <f t="shared" si="53"/>
        <v>-952.761904761899</v>
      </c>
      <c r="X208" s="204">
        <v>14048</v>
      </c>
      <c r="Y208" s="209"/>
      <c r="Z208" s="165">
        <f t="shared" si="40"/>
        <v>-19999.9999999999</v>
      </c>
    </row>
    <row r="209" hidden="1" spans="1:26">
      <c r="A209" s="175">
        <v>206</v>
      </c>
      <c r="B209" s="187" t="s">
        <v>365</v>
      </c>
      <c r="C209" s="183">
        <v>152.11</v>
      </c>
      <c r="D209" s="179">
        <v>3098</v>
      </c>
      <c r="E209" s="179">
        <f t="shared" si="47"/>
        <v>471237</v>
      </c>
      <c r="F209" s="171" t="s">
        <v>366</v>
      </c>
      <c r="G209" s="182" t="s">
        <v>48</v>
      </c>
      <c r="H209" s="185">
        <v>2800</v>
      </c>
      <c r="I209" s="185">
        <v>425908</v>
      </c>
      <c r="J209" s="196">
        <f>VLOOKUP(B209,泰康小区账面房号及收款金额!$A$2:$B$424,2,0)</f>
        <v>425908</v>
      </c>
      <c r="K209" s="196"/>
      <c r="L209" s="196"/>
      <c r="M209" s="196"/>
      <c r="N209" s="196">
        <f t="shared" si="51"/>
        <v>0</v>
      </c>
      <c r="O209" s="194"/>
      <c r="P209" s="195"/>
      <c r="Q209" s="125">
        <f>VLOOKUP(B209,[2]信息汇总表!$M$2:$T$816,8,0)</f>
        <v>425908</v>
      </c>
      <c r="R209" s="125">
        <f>VLOOKUP(B209,[1]sheet1!$J$4:$K$413,2,0)</f>
        <v>405627</v>
      </c>
      <c r="S209" s="125"/>
      <c r="T209" s="125">
        <f t="shared" si="41"/>
        <v>405626.666666667</v>
      </c>
      <c r="U209" s="125">
        <f t="shared" si="49"/>
        <v>20281.333333333</v>
      </c>
      <c r="V209" s="125">
        <f t="shared" si="52"/>
        <v>-0.333333333022892</v>
      </c>
      <c r="W209" s="125">
        <f t="shared" si="53"/>
        <v>0.333333333001065</v>
      </c>
      <c r="X209" s="204">
        <v>20281</v>
      </c>
      <c r="Y209" s="195" t="s">
        <v>42</v>
      </c>
      <c r="Z209" s="165">
        <f t="shared" si="40"/>
        <v>-2.18269846641306e-11</v>
      </c>
    </row>
    <row r="210" hidden="1" spans="1:26">
      <c r="A210" s="175">
        <v>207</v>
      </c>
      <c r="B210" s="187" t="s">
        <v>367</v>
      </c>
      <c r="C210" s="183">
        <v>148.39</v>
      </c>
      <c r="D210" s="179">
        <v>3098</v>
      </c>
      <c r="E210" s="179">
        <f t="shared" si="47"/>
        <v>459712</v>
      </c>
      <c r="F210" s="184" t="s">
        <v>368</v>
      </c>
      <c r="G210" s="182" t="s">
        <v>48</v>
      </c>
      <c r="H210" s="185">
        <v>3000</v>
      </c>
      <c r="I210" s="185">
        <v>445170</v>
      </c>
      <c r="J210" s="196">
        <f>VLOOKUP(B210,泰康小区账面房号及收款金额!$A$2:$B$424,2,0)</f>
        <v>445169.55</v>
      </c>
      <c r="K210" s="196"/>
      <c r="L210" s="196"/>
      <c r="M210" s="196"/>
      <c r="N210" s="196">
        <f t="shared" si="51"/>
        <v>0.450000000011642</v>
      </c>
      <c r="O210" s="194"/>
      <c r="P210" s="195"/>
      <c r="Q210" s="125">
        <f>VLOOKUP(B210,[2]信息汇总表!$M$2:$T$816,8,0)</f>
        <v>445170</v>
      </c>
      <c r="R210" s="125">
        <f>VLOOKUP(B210,[1]sheet1!$J$4:$K$413,2,0)</f>
        <v>423971</v>
      </c>
      <c r="S210" s="125"/>
      <c r="T210" s="125">
        <f t="shared" si="41"/>
        <v>423971.428571429</v>
      </c>
      <c r="U210" s="125">
        <f t="shared" si="49"/>
        <v>21198.571428571</v>
      </c>
      <c r="V210" s="125">
        <f t="shared" si="52"/>
        <v>0.428571428987198</v>
      </c>
      <c r="W210" s="125">
        <f t="shared" si="53"/>
        <v>-0.428571429001749</v>
      </c>
      <c r="X210" s="204">
        <v>21199</v>
      </c>
      <c r="Y210" s="195" t="s">
        <v>42</v>
      </c>
      <c r="Z210" s="165">
        <f t="shared" si="40"/>
        <v>-1.45509715387959e-11</v>
      </c>
    </row>
    <row r="211" ht="24" spans="1:26">
      <c r="A211" s="175">
        <v>208</v>
      </c>
      <c r="B211" s="187" t="s">
        <v>369</v>
      </c>
      <c r="C211" s="183">
        <v>152.11</v>
      </c>
      <c r="D211" s="179">
        <v>4028</v>
      </c>
      <c r="E211" s="179">
        <f t="shared" si="47"/>
        <v>612699</v>
      </c>
      <c r="F211" s="184" t="s">
        <v>370</v>
      </c>
      <c r="G211" s="182" t="s">
        <v>48</v>
      </c>
      <c r="H211" s="185">
        <v>3100</v>
      </c>
      <c r="I211" s="185">
        <v>471541</v>
      </c>
      <c r="J211" s="196">
        <f>VLOOKUP(B211,泰康小区账面房号及收款金额!$A$2:$B$424,2,0)</f>
        <v>463936.2</v>
      </c>
      <c r="K211" s="196"/>
      <c r="L211" s="196"/>
      <c r="M211" s="196"/>
      <c r="N211" s="196">
        <f t="shared" si="51"/>
        <v>7604.79999999999</v>
      </c>
      <c r="O211" s="194" t="s">
        <v>371</v>
      </c>
      <c r="P211" s="195"/>
      <c r="Q211" s="125">
        <f>VLOOKUP(B211,[2]信息汇总表!$M$2:$T$816,8,0)</f>
        <v>471541</v>
      </c>
      <c r="R211" s="125">
        <f>VLOOKUP(B211,[1]sheet1!$J$4:$K$413,2,0)</f>
        <v>441844</v>
      </c>
      <c r="S211" s="125"/>
      <c r="T211" s="125">
        <f t="shared" si="41"/>
        <v>449086.666666667</v>
      </c>
      <c r="U211" s="125">
        <f t="shared" si="49"/>
        <v>22454.333333333</v>
      </c>
      <c r="V211" s="203">
        <f t="shared" si="52"/>
        <v>7242.66666666698</v>
      </c>
      <c r="W211" s="203">
        <f t="shared" si="53"/>
        <v>362.133333333</v>
      </c>
      <c r="X211" s="204">
        <v>22092.2</v>
      </c>
      <c r="Y211" s="195"/>
      <c r="Z211" s="165">
        <f t="shared" si="40"/>
        <v>7604.79999999998</v>
      </c>
    </row>
    <row r="212" ht="13.5" spans="1:26">
      <c r="A212" s="175">
        <v>209</v>
      </c>
      <c r="B212" s="187" t="s">
        <v>372</v>
      </c>
      <c r="C212" s="183">
        <v>148.39</v>
      </c>
      <c r="D212" s="179">
        <v>4028</v>
      </c>
      <c r="E212" s="179">
        <f t="shared" si="47"/>
        <v>597715</v>
      </c>
      <c r="F212" s="184" t="s">
        <v>373</v>
      </c>
      <c r="G212" s="182" t="s">
        <v>48</v>
      </c>
      <c r="H212" s="185">
        <v>3000</v>
      </c>
      <c r="I212" s="185">
        <v>445170</v>
      </c>
      <c r="J212" s="196">
        <f>VLOOKUP(B212,泰康小区账面房号及收款金额!$A$2:$B$424,2,0)</f>
        <v>445131</v>
      </c>
      <c r="K212" s="196"/>
      <c r="L212" s="196"/>
      <c r="M212" s="196"/>
      <c r="N212" s="196">
        <f t="shared" si="51"/>
        <v>39</v>
      </c>
      <c r="O212" s="194"/>
      <c r="P212" s="195"/>
      <c r="Q212" s="125">
        <f>VLOOKUP(B212,[2]信息汇总表!$M$2:$T$816,8,0)</f>
        <v>445170</v>
      </c>
      <c r="R212" s="125">
        <f>VLOOKUP(B212,[1]sheet1!$J$4:$K$413,2,0)</f>
        <v>445170</v>
      </c>
      <c r="S212" s="125"/>
      <c r="T212" s="125">
        <f t="shared" si="41"/>
        <v>423971.428571429</v>
      </c>
      <c r="U212" s="125">
        <f t="shared" si="49"/>
        <v>21198.571428571</v>
      </c>
      <c r="V212" s="203">
        <f t="shared" si="52"/>
        <v>-21198.571428571</v>
      </c>
      <c r="W212" s="203">
        <f t="shared" si="53"/>
        <v>21198.571428571</v>
      </c>
      <c r="X212" s="204"/>
      <c r="Y212" t="s">
        <v>77</v>
      </c>
      <c r="Z212" s="165">
        <f t="shared" si="40"/>
        <v>0</v>
      </c>
    </row>
    <row r="213" hidden="1" spans="1:26">
      <c r="A213" s="175">
        <v>210</v>
      </c>
      <c r="B213" s="187" t="s">
        <v>374</v>
      </c>
      <c r="C213" s="183">
        <v>152.11</v>
      </c>
      <c r="D213" s="179">
        <v>3098</v>
      </c>
      <c r="E213" s="179">
        <f t="shared" si="47"/>
        <v>471237</v>
      </c>
      <c r="F213" s="184" t="s">
        <v>375</v>
      </c>
      <c r="G213" s="182"/>
      <c r="H213" s="185">
        <v>3150</v>
      </c>
      <c r="I213" s="185">
        <v>479147</v>
      </c>
      <c r="J213" s="196">
        <f>VLOOKUP(B213,泰康小区账面房号及收款金额!$A$2:$B$424,2,0)</f>
        <v>479146.5</v>
      </c>
      <c r="K213" s="196"/>
      <c r="L213" s="196"/>
      <c r="M213" s="196"/>
      <c r="N213" s="196">
        <f t="shared" si="51"/>
        <v>0.5</v>
      </c>
      <c r="O213" s="194"/>
      <c r="P213" s="195"/>
      <c r="Q213" s="125">
        <f>VLOOKUP(B213,[2]信息汇总表!$M$2:$T$816,8,0)</f>
        <v>479147</v>
      </c>
      <c r="R213" s="125">
        <f>VLOOKUP(B213,[1]sheet1!$J$4:$K$413,2,0)</f>
        <v>456330</v>
      </c>
      <c r="S213" s="125"/>
      <c r="T213" s="125">
        <f t="shared" si="41"/>
        <v>456330.476190476</v>
      </c>
      <c r="U213" s="125">
        <f t="shared" si="49"/>
        <v>22816.523809524</v>
      </c>
      <c r="V213" s="125">
        <f t="shared" si="52"/>
        <v>0.47619047597982</v>
      </c>
      <c r="W213" s="125">
        <f t="shared" si="53"/>
        <v>-0.476190476001648</v>
      </c>
      <c r="X213" s="204">
        <v>22817</v>
      </c>
      <c r="Y213" s="195" t="s">
        <v>42</v>
      </c>
      <c r="Z213" s="165">
        <f t="shared" si="40"/>
        <v>-2.18279838648527e-11</v>
      </c>
    </row>
    <row r="214" ht="13.5" spans="1:26">
      <c r="A214" s="175">
        <v>211</v>
      </c>
      <c r="B214" s="187" t="s">
        <v>376</v>
      </c>
      <c r="C214" s="183">
        <v>148.39</v>
      </c>
      <c r="D214" s="179">
        <v>3098</v>
      </c>
      <c r="E214" s="179">
        <f t="shared" si="47"/>
        <v>459712</v>
      </c>
      <c r="F214" s="184" t="s">
        <v>377</v>
      </c>
      <c r="G214" s="182"/>
      <c r="H214" s="185">
        <v>3050</v>
      </c>
      <c r="I214" s="185">
        <v>452590</v>
      </c>
      <c r="J214" s="196">
        <f>VLOOKUP(B214,泰康小区账面房号及收款金额!$A$2:$B$424,2,0)</f>
        <v>452590</v>
      </c>
      <c r="K214" s="196"/>
      <c r="L214" s="196"/>
      <c r="M214" s="196"/>
      <c r="N214" s="196">
        <f t="shared" si="51"/>
        <v>0</v>
      </c>
      <c r="O214" s="194"/>
      <c r="P214" s="195"/>
      <c r="Q214" s="125">
        <f>VLOOKUP(B214,[2]信息汇总表!$M$2:$T$816,8,0)</f>
        <v>452590</v>
      </c>
      <c r="R214" s="125">
        <f>VLOOKUP(B214,[1]sheet1!$J$4:$K$413,2,0)</f>
        <v>452590</v>
      </c>
      <c r="S214" s="125"/>
      <c r="T214" s="125">
        <f t="shared" si="41"/>
        <v>431038.095238095</v>
      </c>
      <c r="U214" s="125">
        <f t="shared" si="49"/>
        <v>21551.904761905</v>
      </c>
      <c r="V214" s="203">
        <f t="shared" si="52"/>
        <v>-21551.904761905</v>
      </c>
      <c r="W214" s="203">
        <f t="shared" si="53"/>
        <v>21551.904761905</v>
      </c>
      <c r="X214" s="204"/>
      <c r="Y214" t="s">
        <v>77</v>
      </c>
      <c r="Z214" s="165">
        <f t="shared" si="40"/>
        <v>0</v>
      </c>
    </row>
    <row r="215" ht="13.5" spans="1:26">
      <c r="A215" s="175">
        <v>212</v>
      </c>
      <c r="B215" s="187" t="s">
        <v>378</v>
      </c>
      <c r="C215" s="183">
        <v>124.37</v>
      </c>
      <c r="D215" s="179">
        <v>3898</v>
      </c>
      <c r="E215" s="179">
        <f t="shared" si="47"/>
        <v>484794</v>
      </c>
      <c r="F215" s="184" t="s">
        <v>379</v>
      </c>
      <c r="G215" s="182"/>
      <c r="H215" s="185">
        <v>3218</v>
      </c>
      <c r="I215" s="185">
        <v>400223</v>
      </c>
      <c r="J215" s="196">
        <f>VLOOKUP(B215,泰康小区账面房号及收款金额!$A$2:$B$424,2,0)</f>
        <v>400223</v>
      </c>
      <c r="K215" s="196"/>
      <c r="L215" s="196"/>
      <c r="M215" s="196"/>
      <c r="N215" s="196">
        <f t="shared" si="51"/>
        <v>0</v>
      </c>
      <c r="O215" s="194"/>
      <c r="P215" s="195"/>
      <c r="Q215" s="125">
        <f>VLOOKUP(B215,[2]信息汇总表!$M$2:$T$816,8,0)</f>
        <v>400222</v>
      </c>
      <c r="R215" s="125">
        <f>VLOOKUP(B215,[1]sheet1!$J$4:$K$413,2,0)</f>
        <v>400223</v>
      </c>
      <c r="S215" s="125"/>
      <c r="T215" s="125">
        <f t="shared" si="41"/>
        <v>381164.761904762</v>
      </c>
      <c r="U215" s="125">
        <f t="shared" si="49"/>
        <v>19058.238095238</v>
      </c>
      <c r="V215" s="203">
        <f t="shared" si="52"/>
        <v>-19058.238095238</v>
      </c>
      <c r="W215" s="203">
        <f t="shared" si="53"/>
        <v>19058.238095238</v>
      </c>
      <c r="X215" s="204"/>
      <c r="Y215" t="s">
        <v>77</v>
      </c>
      <c r="Z215" s="165">
        <f t="shared" ref="Z215:Z278" si="55">V215+W215</f>
        <v>0</v>
      </c>
    </row>
    <row r="216" ht="13.5" spans="1:26">
      <c r="A216" s="175">
        <v>213</v>
      </c>
      <c r="B216" s="187" t="s">
        <v>380</v>
      </c>
      <c r="C216" s="183">
        <v>50.71</v>
      </c>
      <c r="D216" s="179">
        <v>3898</v>
      </c>
      <c r="E216" s="179">
        <f t="shared" si="47"/>
        <v>197668</v>
      </c>
      <c r="F216" s="184" t="s">
        <v>381</v>
      </c>
      <c r="G216" s="182"/>
      <c r="H216" s="185">
        <v>2818</v>
      </c>
      <c r="I216" s="185">
        <v>142900</v>
      </c>
      <c r="J216" s="196">
        <f>VLOOKUP(B216,泰康小区账面房号及收款金额!$A$2:$B$424,2,0)</f>
        <v>142900</v>
      </c>
      <c r="K216" s="196"/>
      <c r="L216" s="196"/>
      <c r="M216" s="196"/>
      <c r="N216" s="196">
        <f t="shared" si="51"/>
        <v>0</v>
      </c>
      <c r="O216" s="194"/>
      <c r="P216" s="195"/>
      <c r="Q216" s="125">
        <f>VLOOKUP(B216,[2]信息汇总表!$M$2:$T$816,8,0)</f>
        <v>142900</v>
      </c>
      <c r="R216" s="125">
        <f>VLOOKUP(B216,[1]sheet1!$J$4:$K$413,2,0)</f>
        <v>142900</v>
      </c>
      <c r="S216" s="125"/>
      <c r="T216" s="125">
        <f t="shared" si="41"/>
        <v>136095.238095238</v>
      </c>
      <c r="U216" s="125">
        <f t="shared" si="49"/>
        <v>6804.76190476201</v>
      </c>
      <c r="V216" s="203">
        <f t="shared" si="52"/>
        <v>-6804.76190476201</v>
      </c>
      <c r="W216" s="203">
        <f t="shared" si="53"/>
        <v>6804.76190476201</v>
      </c>
      <c r="X216" s="204"/>
      <c r="Y216" t="s">
        <v>77</v>
      </c>
      <c r="Z216" s="165">
        <f t="shared" si="55"/>
        <v>0</v>
      </c>
    </row>
    <row r="217" ht="13.5" spans="1:26">
      <c r="A217" s="175">
        <v>214</v>
      </c>
      <c r="B217" s="187" t="s">
        <v>382</v>
      </c>
      <c r="C217" s="183">
        <v>125.41</v>
      </c>
      <c r="D217" s="179">
        <v>3568</v>
      </c>
      <c r="E217" s="179">
        <f t="shared" si="47"/>
        <v>447463</v>
      </c>
      <c r="F217" s="184" t="s">
        <v>383</v>
      </c>
      <c r="G217" s="182"/>
      <c r="H217" s="185">
        <v>3598</v>
      </c>
      <c r="I217" s="185">
        <v>451225</v>
      </c>
      <c r="J217" s="196">
        <f>VLOOKUP(B217,泰康小区账面房号及收款金额!$A$2:$B$424,2,0)</f>
        <v>451225</v>
      </c>
      <c r="K217" s="196"/>
      <c r="L217" s="196"/>
      <c r="M217" s="196"/>
      <c r="N217" s="196">
        <f t="shared" si="51"/>
        <v>0</v>
      </c>
      <c r="O217" s="194"/>
      <c r="P217" s="195"/>
      <c r="Q217" s="125">
        <f>VLOOKUP(B217,[2]信息汇总表!$M$2:$T$816,8,0)</f>
        <v>451225</v>
      </c>
      <c r="R217" s="125">
        <f>VLOOKUP(B217,[1]sheet1!$J$4:$K$413,2,0)</f>
        <v>451225</v>
      </c>
      <c r="S217" s="125"/>
      <c r="T217" s="125">
        <f t="shared" si="41"/>
        <v>429738.095238095</v>
      </c>
      <c r="U217" s="125">
        <f t="shared" si="49"/>
        <v>21486.904761905</v>
      </c>
      <c r="V217" s="203">
        <f t="shared" si="52"/>
        <v>-21486.904761905</v>
      </c>
      <c r="W217" s="203">
        <f t="shared" si="53"/>
        <v>21486.904761905</v>
      </c>
      <c r="X217" s="204"/>
      <c r="Y217" t="s">
        <v>77</v>
      </c>
      <c r="Z217" s="165">
        <f t="shared" si="55"/>
        <v>0</v>
      </c>
    </row>
    <row r="218" ht="13.5" spans="1:26">
      <c r="A218" s="175">
        <v>215</v>
      </c>
      <c r="B218" s="187" t="s">
        <v>384</v>
      </c>
      <c r="C218" s="183">
        <v>124.71</v>
      </c>
      <c r="D218" s="179">
        <v>3568</v>
      </c>
      <c r="E218" s="179">
        <f t="shared" si="47"/>
        <v>444965</v>
      </c>
      <c r="F218" s="184" t="s">
        <v>385</v>
      </c>
      <c r="G218" s="182"/>
      <c r="H218" s="185">
        <v>2600</v>
      </c>
      <c r="I218" s="185">
        <v>324246</v>
      </c>
      <c r="J218" s="196">
        <f>VLOOKUP(B218,泰康小区账面房号及收款金额!$A$2:$B$424,2,0)</f>
        <v>324246</v>
      </c>
      <c r="K218" s="196"/>
      <c r="L218" s="196"/>
      <c r="M218" s="196"/>
      <c r="N218" s="196">
        <f t="shared" si="51"/>
        <v>0</v>
      </c>
      <c r="O218" s="194"/>
      <c r="P218" s="195"/>
      <c r="Q218" s="125">
        <f>VLOOKUP(B218,[2]信息汇总表!$M$2:$T$816,8,0)</f>
        <v>324246</v>
      </c>
      <c r="R218" s="125">
        <f>VLOOKUP(B218,[1]sheet1!$J$4:$K$413,2,0)</f>
        <v>324246</v>
      </c>
      <c r="S218" s="125"/>
      <c r="T218" s="125">
        <f t="shared" si="41"/>
        <v>308805.714285714</v>
      </c>
      <c r="U218" s="125">
        <f t="shared" si="49"/>
        <v>15440.285714286</v>
      </c>
      <c r="V218" s="203">
        <f t="shared" si="52"/>
        <v>-15440.285714286</v>
      </c>
      <c r="W218" s="203">
        <f t="shared" si="53"/>
        <v>15440.285714286</v>
      </c>
      <c r="X218" s="204"/>
      <c r="Y218" t="s">
        <v>77</v>
      </c>
      <c r="Z218" s="165">
        <f t="shared" si="55"/>
        <v>0</v>
      </c>
    </row>
    <row r="219" hidden="1" spans="1:26">
      <c r="A219" s="175">
        <v>216</v>
      </c>
      <c r="B219" s="187" t="s">
        <v>386</v>
      </c>
      <c r="C219" s="183">
        <v>50.71</v>
      </c>
      <c r="D219" s="179">
        <v>2596</v>
      </c>
      <c r="E219" s="179">
        <f t="shared" si="47"/>
        <v>131643</v>
      </c>
      <c r="F219" s="184" t="s">
        <v>387</v>
      </c>
      <c r="G219" s="182"/>
      <c r="H219" s="185">
        <v>2650</v>
      </c>
      <c r="I219" s="185">
        <v>134382</v>
      </c>
      <c r="J219" s="196">
        <f>VLOOKUP(B219,泰康小区账面房号及收款金额!$A$2:$B$424,2,0)</f>
        <v>134382.15</v>
      </c>
      <c r="K219" s="196"/>
      <c r="L219" s="196"/>
      <c r="M219" s="196"/>
      <c r="N219" s="196">
        <f t="shared" si="51"/>
        <v>-0.149999999994179</v>
      </c>
      <c r="O219" s="194"/>
      <c r="P219" s="195"/>
      <c r="Q219" s="125">
        <f>VLOOKUP(B219,[2]信息汇总表!$M$2:$T$816,8,0)</f>
        <v>134382</v>
      </c>
      <c r="R219" s="125">
        <f>VLOOKUP(B219,[1]sheet1!$J$4:$K$413,2,0)</f>
        <v>127983</v>
      </c>
      <c r="S219" s="125"/>
      <c r="T219" s="125">
        <f t="shared" si="41"/>
        <v>127982.857142857</v>
      </c>
      <c r="U219" s="125">
        <f t="shared" si="49"/>
        <v>6399.142857143</v>
      </c>
      <c r="V219" s="125">
        <f t="shared" si="52"/>
        <v>-0.142857143000583</v>
      </c>
      <c r="W219" s="125">
        <f t="shared" si="53"/>
        <v>0.142857142999674</v>
      </c>
      <c r="X219" s="204">
        <v>6399</v>
      </c>
      <c r="Y219" s="195" t="s">
        <v>42</v>
      </c>
      <c r="Z219" s="165">
        <f t="shared" si="55"/>
        <v>-9.08995101411847e-13</v>
      </c>
    </row>
    <row r="220" ht="13.5" spans="1:26">
      <c r="A220" s="175">
        <v>217</v>
      </c>
      <c r="B220" s="187" t="s">
        <v>388</v>
      </c>
      <c r="C220" s="183">
        <v>125.41</v>
      </c>
      <c r="D220" s="179">
        <v>3568</v>
      </c>
      <c r="E220" s="179">
        <f t="shared" si="47"/>
        <v>447463</v>
      </c>
      <c r="F220" s="184" t="s">
        <v>389</v>
      </c>
      <c r="G220" s="182" t="s">
        <v>48</v>
      </c>
      <c r="H220" s="185">
        <v>2820</v>
      </c>
      <c r="I220" s="185">
        <v>353656</v>
      </c>
      <c r="J220" s="196">
        <f>VLOOKUP(B220,泰康小区账面房号及收款金额!$A$2:$B$424,2,0)</f>
        <v>354277</v>
      </c>
      <c r="K220" s="196"/>
      <c r="L220" s="196"/>
      <c r="M220" s="196"/>
      <c r="N220" s="196">
        <f t="shared" si="51"/>
        <v>-621</v>
      </c>
      <c r="O220" s="194"/>
      <c r="P220" s="195"/>
      <c r="Q220" s="125">
        <f>VLOOKUP(B220,[2]信息汇总表!$M$2:$T$816,8,0)</f>
        <v>353657</v>
      </c>
      <c r="R220" s="125">
        <f>VLOOKUP(B220,[1]sheet1!$J$4:$K$413,2,0)</f>
        <v>354277</v>
      </c>
      <c r="S220" s="125"/>
      <c r="T220" s="125">
        <f>J220/1.05</f>
        <v>337406.666666667</v>
      </c>
      <c r="U220" s="125">
        <f t="shared" ref="U220:U223" si="56">T220*0.05</f>
        <v>16870.3333333333</v>
      </c>
      <c r="V220" s="203">
        <f t="shared" si="52"/>
        <v>-16870.3333333334</v>
      </c>
      <c r="W220" s="203">
        <f t="shared" si="53"/>
        <v>16870.3333333333</v>
      </c>
      <c r="X220" s="125"/>
      <c r="Y220" t="s">
        <v>77</v>
      </c>
      <c r="Z220" s="165">
        <f t="shared" si="55"/>
        <v>-1.01863406598568e-10</v>
      </c>
    </row>
    <row r="221" ht="13.5" spans="1:26">
      <c r="A221" s="175">
        <v>218</v>
      </c>
      <c r="B221" s="187" t="s">
        <v>390</v>
      </c>
      <c r="C221" s="183">
        <v>115.94</v>
      </c>
      <c r="D221" s="179">
        <v>3318</v>
      </c>
      <c r="E221" s="179">
        <f t="shared" si="47"/>
        <v>384689</v>
      </c>
      <c r="F221" s="184" t="s">
        <v>391</v>
      </c>
      <c r="G221" s="182" t="s">
        <v>23</v>
      </c>
      <c r="H221" s="185">
        <v>3168</v>
      </c>
      <c r="I221" s="185">
        <v>367298</v>
      </c>
      <c r="J221" s="196">
        <f>VLOOKUP(B221,泰康小区账面房号及收款金额!$A$2:$B$424,2,0)</f>
        <v>367299</v>
      </c>
      <c r="K221" s="196"/>
      <c r="L221" s="196"/>
      <c r="M221" s="196"/>
      <c r="N221" s="196">
        <f t="shared" si="51"/>
        <v>-1</v>
      </c>
      <c r="O221" s="194"/>
      <c r="P221" s="195"/>
      <c r="Q221" s="125">
        <f>VLOOKUP(B221,[2]信息汇总表!$M$2:$T$816,8,0)</f>
        <v>367297</v>
      </c>
      <c r="R221" s="125">
        <f>VLOOKUP(B221,[1]sheet1!$J$4:$K$413,2,0)</f>
        <v>367299</v>
      </c>
      <c r="S221" s="125"/>
      <c r="T221" s="125">
        <f>J221/1.05</f>
        <v>349808.571428571</v>
      </c>
      <c r="U221" s="125">
        <f t="shared" si="56"/>
        <v>17490.4285714286</v>
      </c>
      <c r="V221" s="203">
        <f t="shared" si="52"/>
        <v>-17490.4285714286</v>
      </c>
      <c r="W221" s="203">
        <f t="shared" si="53"/>
        <v>17490.4285714286</v>
      </c>
      <c r="X221" s="125"/>
      <c r="Y221" t="s">
        <v>77</v>
      </c>
      <c r="Z221" s="165">
        <f t="shared" si="55"/>
        <v>0</v>
      </c>
    </row>
    <row r="222" hidden="1" spans="1:26">
      <c r="A222" s="175">
        <v>219</v>
      </c>
      <c r="B222" s="187" t="s">
        <v>392</v>
      </c>
      <c r="C222" s="183">
        <v>50.88</v>
      </c>
      <c r="D222" s="179">
        <v>2096</v>
      </c>
      <c r="E222" s="179">
        <f t="shared" si="47"/>
        <v>106644</v>
      </c>
      <c r="F222" s="184" t="s">
        <v>393</v>
      </c>
      <c r="G222" s="182"/>
      <c r="H222" s="185">
        <v>2100</v>
      </c>
      <c r="I222" s="185">
        <v>106848</v>
      </c>
      <c r="J222" s="196">
        <f>VLOOKUP(B222,泰康小区账面房号及收款金额!$A$2:$B$424,2,0)</f>
        <v>106848</v>
      </c>
      <c r="K222" s="196"/>
      <c r="L222" s="196"/>
      <c r="M222" s="196"/>
      <c r="N222" s="196">
        <f t="shared" si="51"/>
        <v>0</v>
      </c>
      <c r="O222" s="194"/>
      <c r="P222" s="195"/>
      <c r="Q222" s="125">
        <f>VLOOKUP(B222,[2]信息汇总表!$M$2:$T$816,8,0)</f>
        <v>106848</v>
      </c>
      <c r="R222" s="125">
        <f>VLOOKUP(B222,[1]sheet1!$J$4:$K$413,2,0)</f>
        <v>101760</v>
      </c>
      <c r="S222" s="125"/>
      <c r="T222" s="125">
        <f t="shared" si="41"/>
        <v>101760</v>
      </c>
      <c r="U222" s="125">
        <f t="shared" si="49"/>
        <v>5088</v>
      </c>
      <c r="V222" s="125">
        <f t="shared" si="52"/>
        <v>0</v>
      </c>
      <c r="W222" s="125">
        <f t="shared" si="53"/>
        <v>0</v>
      </c>
      <c r="X222" s="125">
        <v>5088</v>
      </c>
      <c r="Y222" s="195" t="s">
        <v>42</v>
      </c>
      <c r="Z222" s="165">
        <f t="shared" si="55"/>
        <v>0</v>
      </c>
    </row>
    <row r="223" ht="13.5" spans="1:26">
      <c r="A223" s="175">
        <v>220</v>
      </c>
      <c r="B223" s="187" t="s">
        <v>394</v>
      </c>
      <c r="C223" s="183">
        <v>116.64</v>
      </c>
      <c r="D223" s="179">
        <v>3318</v>
      </c>
      <c r="E223" s="179">
        <f t="shared" si="47"/>
        <v>387012</v>
      </c>
      <c r="F223" s="184" t="s">
        <v>395</v>
      </c>
      <c r="G223" s="182" t="s">
        <v>23</v>
      </c>
      <c r="H223" s="185">
        <v>2660</v>
      </c>
      <c r="I223" s="185">
        <v>310264</v>
      </c>
      <c r="J223" s="196">
        <f>VLOOKUP(B223,泰康小区账面房号及收款金额!$A$2:$B$424,2,0)</f>
        <v>310264</v>
      </c>
      <c r="K223" s="196"/>
      <c r="L223" s="196"/>
      <c r="M223" s="196"/>
      <c r="N223" s="196">
        <f t="shared" si="51"/>
        <v>0</v>
      </c>
      <c r="O223" s="194"/>
      <c r="P223" s="195"/>
      <c r="Q223" s="125">
        <f>VLOOKUP(B223,[2]信息汇总表!$M$2:$T$816,8,0)</f>
        <v>310264</v>
      </c>
      <c r="R223" s="125">
        <f>VLOOKUP(B223,[1]sheet1!$J$4:$K$413,2,0)</f>
        <v>310263.9</v>
      </c>
      <c r="S223" s="125"/>
      <c r="T223" s="125">
        <f t="shared" ref="T223:T286" si="57">I223/1.05</f>
        <v>295489.523809524</v>
      </c>
      <c r="U223" s="125">
        <f t="shared" si="56"/>
        <v>14774.4761904762</v>
      </c>
      <c r="V223" s="203">
        <f t="shared" si="52"/>
        <v>-14774.376190476</v>
      </c>
      <c r="W223" s="203">
        <f t="shared" si="53"/>
        <v>14774.4761904762</v>
      </c>
      <c r="X223" s="125"/>
      <c r="Y223" t="s">
        <v>77</v>
      </c>
      <c r="Z223" s="165">
        <f t="shared" si="55"/>
        <v>0.100000000200453</v>
      </c>
    </row>
    <row r="224" ht="19" hidden="1" customHeight="1" spans="1:26">
      <c r="A224" s="175">
        <v>221</v>
      </c>
      <c r="B224" s="187" t="s">
        <v>396</v>
      </c>
      <c r="C224" s="183">
        <v>148.39</v>
      </c>
      <c r="D224" s="179">
        <v>3098</v>
      </c>
      <c r="E224" s="179">
        <f t="shared" si="47"/>
        <v>459712</v>
      </c>
      <c r="F224" s="184" t="s">
        <v>397</v>
      </c>
      <c r="G224" s="182"/>
      <c r="H224" s="185">
        <v>3099.94</v>
      </c>
      <c r="I224" s="185">
        <v>460000</v>
      </c>
      <c r="J224" s="196">
        <f>VLOOKUP(B224,泰康小区账面房号及收款金额!$A$2:$B$424,2,0)</f>
        <v>459999.75</v>
      </c>
      <c r="K224" s="196"/>
      <c r="L224" s="196"/>
      <c r="M224" s="196"/>
      <c r="N224" s="196">
        <f t="shared" si="51"/>
        <v>0.25</v>
      </c>
      <c r="O224" s="194"/>
      <c r="P224" s="195"/>
      <c r="Q224" s="125">
        <f>VLOOKUP(B224,[2]信息汇总表!$M$2:$T$816,8,0)</f>
        <v>460000</v>
      </c>
      <c r="R224" s="125">
        <f>VLOOKUP(B224,[1]sheet1!$J$4:$K$413,2,0)</f>
        <v>438095</v>
      </c>
      <c r="S224" s="125"/>
      <c r="T224" s="125">
        <f t="shared" si="57"/>
        <v>438095.238095238</v>
      </c>
      <c r="U224" s="125">
        <f t="shared" si="49"/>
        <v>21904.761904762</v>
      </c>
      <c r="V224" s="125">
        <f t="shared" si="52"/>
        <v>0.23809523798991</v>
      </c>
      <c r="W224" s="125">
        <f t="shared" si="53"/>
        <v>-0.238095238000824</v>
      </c>
      <c r="X224" s="125">
        <v>21905</v>
      </c>
      <c r="Y224" s="195" t="s">
        <v>42</v>
      </c>
      <c r="Z224" s="165">
        <f t="shared" si="55"/>
        <v>-1.09139919324264e-11</v>
      </c>
    </row>
    <row r="225" ht="21" customHeight="1" spans="1:26">
      <c r="A225" s="175">
        <v>222</v>
      </c>
      <c r="B225" s="187" t="s">
        <v>398</v>
      </c>
      <c r="C225" s="183">
        <v>152.44</v>
      </c>
      <c r="D225" s="179">
        <v>4108</v>
      </c>
      <c r="E225" s="179">
        <f t="shared" si="47"/>
        <v>626224</v>
      </c>
      <c r="F225" s="184" t="s">
        <v>399</v>
      </c>
      <c r="G225" s="182" t="s">
        <v>23</v>
      </c>
      <c r="H225" s="185">
        <v>2360</v>
      </c>
      <c r="I225" s="185">
        <v>360017.9</v>
      </c>
      <c r="J225" s="196">
        <f>VLOOKUP(B225,泰康小区账面房号及收款金额!$A$2:$B$424,2,0)</f>
        <v>360017.9</v>
      </c>
      <c r="K225" s="196"/>
      <c r="L225" s="196"/>
      <c r="M225" s="196"/>
      <c r="N225" s="196">
        <f t="shared" si="51"/>
        <v>0</v>
      </c>
      <c r="O225" s="194"/>
      <c r="P225" s="195"/>
      <c r="Q225" s="125">
        <f>VLOOKUP(B225,[2]信息汇总表!$M$2:$T$816,8,0)</f>
        <v>359758</v>
      </c>
      <c r="R225" s="125">
        <f>VLOOKUP(B225,[1]sheet1!$J$4:$K$413,2,0)</f>
        <v>360017.9</v>
      </c>
      <c r="S225" s="125"/>
      <c r="T225" s="125">
        <f t="shared" si="57"/>
        <v>342874.19047619</v>
      </c>
      <c r="U225" s="125">
        <f t="shared" si="49"/>
        <v>17143.70952381</v>
      </c>
      <c r="V225" s="203">
        <f t="shared" si="52"/>
        <v>-17143.70952381</v>
      </c>
      <c r="W225" s="203">
        <f t="shared" si="53"/>
        <v>17143.70952381</v>
      </c>
      <c r="X225" s="125"/>
      <c r="Y225" t="s">
        <v>77</v>
      </c>
      <c r="Z225" s="165">
        <f t="shared" si="55"/>
        <v>0</v>
      </c>
    </row>
    <row r="226" ht="19" hidden="1" customHeight="1" spans="1:26">
      <c r="A226" s="175">
        <v>223</v>
      </c>
      <c r="B226" s="187" t="s">
        <v>400</v>
      </c>
      <c r="C226" s="183">
        <v>148.39</v>
      </c>
      <c r="D226" s="179">
        <v>3200</v>
      </c>
      <c r="E226" s="179">
        <f t="shared" si="47"/>
        <v>474848</v>
      </c>
      <c r="F226" s="184" t="s">
        <v>401</v>
      </c>
      <c r="G226" s="182"/>
      <c r="H226" s="185">
        <v>3248</v>
      </c>
      <c r="I226" s="185">
        <v>481971</v>
      </c>
      <c r="J226" s="196">
        <f>VLOOKUP(B226,泰康小区账面房号及收款金额!$A$2:$B$424,2,0)</f>
        <v>481971</v>
      </c>
      <c r="K226" s="196"/>
      <c r="L226" s="196"/>
      <c r="M226" s="196"/>
      <c r="N226" s="196">
        <f t="shared" si="51"/>
        <v>0</v>
      </c>
      <c r="O226" s="194"/>
      <c r="P226" s="195"/>
      <c r="Q226" s="125">
        <f>VLOOKUP(B226,[2]信息汇总表!$M$2:$T$816,8,0)</f>
        <v>481971</v>
      </c>
      <c r="R226" s="125">
        <f>VLOOKUP(B226,[1]sheet1!$J$4:$K$413,2,0)</f>
        <v>459020</v>
      </c>
      <c r="S226" s="125"/>
      <c r="T226" s="125">
        <f t="shared" si="57"/>
        <v>459020</v>
      </c>
      <c r="U226" s="125">
        <f t="shared" si="49"/>
        <v>22951</v>
      </c>
      <c r="V226" s="125">
        <f t="shared" si="52"/>
        <v>0</v>
      </c>
      <c r="W226" s="125">
        <f t="shared" si="53"/>
        <v>0</v>
      </c>
      <c r="X226" s="125">
        <v>22951</v>
      </c>
      <c r="Y226" t="s">
        <v>42</v>
      </c>
      <c r="Z226" s="165">
        <f t="shared" si="55"/>
        <v>0</v>
      </c>
    </row>
    <row r="227" hidden="1" spans="1:26">
      <c r="A227" s="175">
        <v>224</v>
      </c>
      <c r="B227" s="187" t="s">
        <v>402</v>
      </c>
      <c r="C227" s="183">
        <v>152.44</v>
      </c>
      <c r="D227" s="179">
        <v>3098</v>
      </c>
      <c r="E227" s="179">
        <f t="shared" si="47"/>
        <v>472259</v>
      </c>
      <c r="F227" s="208" t="s">
        <v>403</v>
      </c>
      <c r="G227" s="182"/>
      <c r="H227" s="185">
        <v>3000</v>
      </c>
      <c r="I227" s="185">
        <v>457320</v>
      </c>
      <c r="J227" s="196">
        <f>VLOOKUP(B227,泰康小区账面房号及收款金额!$A$2:$B$424,2,0)</f>
        <v>457320.15</v>
      </c>
      <c r="K227" s="196"/>
      <c r="L227" s="196"/>
      <c r="M227" s="196"/>
      <c r="N227" s="196">
        <f t="shared" si="51"/>
        <v>-0.150000000023283</v>
      </c>
      <c r="O227" s="194"/>
      <c r="P227" s="195"/>
      <c r="Q227" s="125">
        <f>VLOOKUP(B227,[2]信息汇总表!$M$2:$T$816,8,0)</f>
        <v>457320</v>
      </c>
      <c r="R227" s="125">
        <f>VLOOKUP(B227,[1]sheet1!$J$4:$K$413,2,0)</f>
        <v>435543</v>
      </c>
      <c r="S227" s="125"/>
      <c r="T227" s="125">
        <f t="shared" si="57"/>
        <v>435542.857142857</v>
      </c>
      <c r="U227" s="125">
        <f t="shared" si="49"/>
        <v>21777.142857143</v>
      </c>
      <c r="V227" s="125">
        <f t="shared" si="52"/>
        <v>-0.142857143015135</v>
      </c>
      <c r="W227" s="125">
        <f t="shared" si="53"/>
        <v>0.142857143000583</v>
      </c>
      <c r="X227" s="125">
        <v>21777</v>
      </c>
      <c r="Y227" s="195" t="s">
        <v>42</v>
      </c>
      <c r="Z227" s="165">
        <f t="shared" si="55"/>
        <v>-1.45519984950937e-11</v>
      </c>
    </row>
    <row r="228" hidden="1" spans="1:26">
      <c r="A228" s="175">
        <v>225</v>
      </c>
      <c r="B228" s="187" t="s">
        <v>404</v>
      </c>
      <c r="C228" s="183">
        <v>148.39</v>
      </c>
      <c r="D228" s="179">
        <v>4048</v>
      </c>
      <c r="E228" s="179">
        <f t="shared" si="47"/>
        <v>600683</v>
      </c>
      <c r="F228" s="184" t="s">
        <v>405</v>
      </c>
      <c r="G228" s="182"/>
      <c r="H228" s="185">
        <v>3050</v>
      </c>
      <c r="I228" s="185">
        <v>452590</v>
      </c>
      <c r="J228" s="196">
        <f>VLOOKUP(B228,泰康小区账面房号及收款金额!$A$2:$B$424,2,0)</f>
        <v>452589.9</v>
      </c>
      <c r="K228" s="196"/>
      <c r="L228" s="196"/>
      <c r="M228" s="196"/>
      <c r="N228" s="196">
        <f t="shared" si="51"/>
        <v>0.0999999999767169</v>
      </c>
      <c r="O228" s="194"/>
      <c r="P228" s="195"/>
      <c r="Q228" s="125">
        <f>VLOOKUP(B228,[2]信息汇总表!$M$2:$T$816,8,0)</f>
        <v>452590</v>
      </c>
      <c r="R228" s="125">
        <f>VLOOKUP(B228,[1]sheet1!$J$4:$K$413,2,0)</f>
        <v>431038</v>
      </c>
      <c r="S228" s="125"/>
      <c r="T228" s="125">
        <f t="shared" si="57"/>
        <v>431038.095238095</v>
      </c>
      <c r="U228" s="125">
        <f t="shared" si="49"/>
        <v>21551.904761905</v>
      </c>
      <c r="V228" s="125">
        <f t="shared" si="52"/>
        <v>0.0952380949747749</v>
      </c>
      <c r="W228" s="125">
        <f t="shared" si="53"/>
        <v>0.00476190499830409</v>
      </c>
      <c r="X228" s="125">
        <v>21551.9</v>
      </c>
      <c r="Y228" s="195" t="s">
        <v>42</v>
      </c>
      <c r="Z228" s="165">
        <f t="shared" si="55"/>
        <v>0.099999999973079</v>
      </c>
    </row>
    <row r="229" hidden="1" spans="1:26">
      <c r="A229" s="175">
        <v>226</v>
      </c>
      <c r="B229" s="187" t="s">
        <v>406</v>
      </c>
      <c r="C229" s="183">
        <v>152.44</v>
      </c>
      <c r="D229" s="179">
        <v>3200</v>
      </c>
      <c r="E229" s="179">
        <f t="shared" si="47"/>
        <v>487808</v>
      </c>
      <c r="F229" s="184" t="s">
        <v>407</v>
      </c>
      <c r="G229" s="182"/>
      <c r="H229" s="185">
        <v>3248</v>
      </c>
      <c r="I229" s="185">
        <v>495125</v>
      </c>
      <c r="J229" s="196">
        <f>VLOOKUP(B229,泰康小区账面房号及收款金额!$A$2:$B$424,2,0)</f>
        <v>495125.4</v>
      </c>
      <c r="K229" s="196"/>
      <c r="L229" s="196"/>
      <c r="M229" s="196"/>
      <c r="N229" s="196">
        <f t="shared" si="51"/>
        <v>-0.400000000023283</v>
      </c>
      <c r="O229" s="194"/>
      <c r="P229" s="195"/>
      <c r="Q229" s="125">
        <f>VLOOKUP(B229,[2]信息汇总表!$M$2:$T$816,8,0)</f>
        <v>495125</v>
      </c>
      <c r="R229" s="125">
        <f>VLOOKUP(B229,[1]sheet1!$J$4:$K$413,2,0)</f>
        <v>471548</v>
      </c>
      <c r="S229" s="125"/>
      <c r="T229" s="125">
        <f t="shared" si="57"/>
        <v>471547.619047619</v>
      </c>
      <c r="U229" s="125">
        <f t="shared" si="49"/>
        <v>23577.380952381</v>
      </c>
      <c r="V229" s="125">
        <f t="shared" si="52"/>
        <v>-0.380952381005045</v>
      </c>
      <c r="W229" s="125">
        <f t="shared" si="53"/>
        <v>0.380952381001407</v>
      </c>
      <c r="X229" s="125">
        <v>23577</v>
      </c>
      <c r="Y229" s="195" t="s">
        <v>42</v>
      </c>
      <c r="Z229" s="165">
        <f t="shared" si="55"/>
        <v>-3.63803431824294e-12</v>
      </c>
    </row>
    <row r="230" ht="13.5" spans="1:26">
      <c r="A230" s="175">
        <v>227</v>
      </c>
      <c r="B230" s="187" t="s">
        <v>408</v>
      </c>
      <c r="C230" s="183">
        <v>125.41</v>
      </c>
      <c r="D230" s="179">
        <v>3588</v>
      </c>
      <c r="E230" s="179">
        <f t="shared" si="47"/>
        <v>449971</v>
      </c>
      <c r="F230" s="184" t="s">
        <v>409</v>
      </c>
      <c r="G230" s="182"/>
      <c r="H230" s="185">
        <v>3618</v>
      </c>
      <c r="I230" s="185">
        <v>453733</v>
      </c>
      <c r="J230" s="196">
        <f>VLOOKUP(B230,泰康小区账面房号及收款金额!$A$2:$B$424,2,0)</f>
        <v>453733</v>
      </c>
      <c r="K230" s="196"/>
      <c r="L230" s="196"/>
      <c r="M230" s="196"/>
      <c r="N230" s="196">
        <f t="shared" si="51"/>
        <v>0</v>
      </c>
      <c r="O230" s="194"/>
      <c r="P230" s="195"/>
      <c r="Q230" s="125">
        <f>VLOOKUP(B230,[2]信息汇总表!$M$2:$T$816,8,0)</f>
        <v>453733</v>
      </c>
      <c r="R230" s="125">
        <f>VLOOKUP(B230,[1]sheet1!$J$4:$K$413,2,0)</f>
        <v>453733</v>
      </c>
      <c r="S230" s="125"/>
      <c r="T230" s="125">
        <f t="shared" si="57"/>
        <v>432126.666666667</v>
      </c>
      <c r="U230" s="125">
        <f t="shared" si="49"/>
        <v>21606.333333333</v>
      </c>
      <c r="V230" s="203">
        <f t="shared" si="52"/>
        <v>-21606.333333333</v>
      </c>
      <c r="W230" s="203">
        <f t="shared" si="53"/>
        <v>21606.333333333</v>
      </c>
      <c r="X230" s="125"/>
      <c r="Y230" t="s">
        <v>77</v>
      </c>
      <c r="Z230" s="165">
        <f t="shared" si="55"/>
        <v>0</v>
      </c>
    </row>
    <row r="231" hidden="1" spans="1:26">
      <c r="A231" s="175">
        <v>228</v>
      </c>
      <c r="B231" s="187" t="s">
        <v>410</v>
      </c>
      <c r="C231" s="183">
        <v>50.71</v>
      </c>
      <c r="D231" s="179">
        <v>3588</v>
      </c>
      <c r="E231" s="179">
        <f t="shared" si="47"/>
        <v>181947</v>
      </c>
      <c r="F231" s="184" t="s">
        <v>411</v>
      </c>
      <c r="G231" s="182"/>
      <c r="H231" s="185">
        <v>2800</v>
      </c>
      <c r="I231" s="185">
        <v>141988</v>
      </c>
      <c r="J231" s="196">
        <f>VLOOKUP(B231,泰康小区账面房号及收款金额!$A$2:$B$424,2,0)</f>
        <v>141988</v>
      </c>
      <c r="K231" s="196"/>
      <c r="L231" s="196"/>
      <c r="M231" s="196"/>
      <c r="N231" s="196">
        <f t="shared" si="51"/>
        <v>0</v>
      </c>
      <c r="O231" s="194"/>
      <c r="P231" s="195"/>
      <c r="Q231" s="125">
        <f>VLOOKUP(B231,[2]信息汇总表!$M$2:$T$816,8,0)</f>
        <v>141988</v>
      </c>
      <c r="R231" s="125">
        <f>VLOOKUP(B231,[1]sheet1!$J$4:$K$413,2,0)</f>
        <v>135227</v>
      </c>
      <c r="S231" s="125"/>
      <c r="T231" s="125">
        <f t="shared" si="57"/>
        <v>135226.666666667</v>
      </c>
      <c r="U231" s="125">
        <f t="shared" si="49"/>
        <v>6761.33333333299</v>
      </c>
      <c r="V231" s="125">
        <f t="shared" si="52"/>
        <v>-0.333333332993789</v>
      </c>
      <c r="W231" s="125">
        <f t="shared" si="53"/>
        <v>-0.0166666670102131</v>
      </c>
      <c r="X231" s="125">
        <v>6761.35</v>
      </c>
      <c r="Y231" s="195" t="s">
        <v>42</v>
      </c>
      <c r="Z231" s="165">
        <f t="shared" si="55"/>
        <v>-0.350000000004002</v>
      </c>
    </row>
    <row r="232" hidden="1" spans="1:26">
      <c r="A232" s="175">
        <v>229</v>
      </c>
      <c r="B232" s="187" t="s">
        <v>412</v>
      </c>
      <c r="C232" s="183">
        <v>124.71</v>
      </c>
      <c r="D232" s="179">
        <v>3688</v>
      </c>
      <c r="E232" s="179">
        <f t="shared" si="47"/>
        <v>459930</v>
      </c>
      <c r="F232" s="184" t="s">
        <v>413</v>
      </c>
      <c r="G232" s="182"/>
      <c r="H232" s="185">
        <v>3208</v>
      </c>
      <c r="I232" s="185">
        <v>400070</v>
      </c>
      <c r="J232" s="196">
        <f>VLOOKUP(B232,泰康小区账面房号及收款金额!$A$2:$B$424,2,0)</f>
        <v>400069.95</v>
      </c>
      <c r="K232" s="196"/>
      <c r="L232" s="196"/>
      <c r="M232" s="196"/>
      <c r="N232" s="196">
        <f t="shared" si="51"/>
        <v>0.0499999999883585</v>
      </c>
      <c r="O232" s="194"/>
      <c r="P232" s="195"/>
      <c r="Q232" s="125"/>
      <c r="R232" s="125">
        <f>VLOOKUP(B232,[1]sheet1!$J$4:$K$413,2,0)</f>
        <v>381019</v>
      </c>
      <c r="S232" s="125"/>
      <c r="T232" s="125">
        <f t="shared" si="57"/>
        <v>381019.047619048</v>
      </c>
      <c r="U232" s="125">
        <f t="shared" si="49"/>
        <v>19050.952380952</v>
      </c>
      <c r="V232" s="125">
        <f t="shared" si="52"/>
        <v>0.0476190479821526</v>
      </c>
      <c r="W232" s="125">
        <f t="shared" si="53"/>
        <v>0.00238095199892996</v>
      </c>
      <c r="X232" s="125">
        <v>19050.95</v>
      </c>
      <c r="Y232" s="195" t="s">
        <v>42</v>
      </c>
      <c r="Z232" s="165">
        <f t="shared" si="55"/>
        <v>0.0499999999810826</v>
      </c>
    </row>
    <row r="233" ht="13.5" spans="1:26">
      <c r="A233" s="175">
        <v>230</v>
      </c>
      <c r="B233" s="187" t="s">
        <v>414</v>
      </c>
      <c r="C233" s="183">
        <v>125.41</v>
      </c>
      <c r="D233" s="179">
        <v>3358</v>
      </c>
      <c r="E233" s="179">
        <f t="shared" si="47"/>
        <v>421127</v>
      </c>
      <c r="F233" s="184" t="s">
        <v>415</v>
      </c>
      <c r="G233" s="182" t="s">
        <v>48</v>
      </c>
      <c r="H233" s="185">
        <f>I233/C233</f>
        <v>3003.2613029264</v>
      </c>
      <c r="I233" s="185">
        <v>376639</v>
      </c>
      <c r="J233" s="196">
        <f>VLOOKUP(B233,泰康小区账面房号及收款金额!$A$2:$B$424,2,0)</f>
        <v>376639</v>
      </c>
      <c r="K233" s="196"/>
      <c r="L233" s="196"/>
      <c r="M233" s="196"/>
      <c r="N233" s="196">
        <f t="shared" si="51"/>
        <v>0</v>
      </c>
      <c r="O233" s="194"/>
      <c r="P233" s="195"/>
      <c r="Q233" s="125">
        <f>VLOOKUP(B233,[2]信息汇总表!$M$2:$T$816,8,0)</f>
        <v>338607</v>
      </c>
      <c r="R233" s="125">
        <f>VLOOKUP(B233,[1]sheet1!$J$4:$K$413,2,0)</f>
        <v>376639</v>
      </c>
      <c r="S233" s="125"/>
      <c r="T233" s="125">
        <f t="shared" si="57"/>
        <v>358703.80952381</v>
      </c>
      <c r="U233" s="125">
        <f t="shared" si="49"/>
        <v>17935.19047619</v>
      </c>
      <c r="V233" s="203">
        <f t="shared" si="52"/>
        <v>-17935.19047619</v>
      </c>
      <c r="W233" s="203">
        <f t="shared" si="53"/>
        <v>17935.19047619</v>
      </c>
      <c r="X233" s="125"/>
      <c r="Y233" t="s">
        <v>77</v>
      </c>
      <c r="Z233" s="165">
        <f t="shared" si="55"/>
        <v>0</v>
      </c>
    </row>
    <row r="234" hidden="1" spans="1:26">
      <c r="A234" s="175">
        <v>231</v>
      </c>
      <c r="B234" s="187" t="s">
        <v>416</v>
      </c>
      <c r="C234" s="183">
        <v>50.71</v>
      </c>
      <c r="D234" s="179">
        <v>3358</v>
      </c>
      <c r="E234" s="179">
        <f t="shared" si="47"/>
        <v>170284</v>
      </c>
      <c r="F234" s="184" t="s">
        <v>417</v>
      </c>
      <c r="G234" s="182"/>
      <c r="H234" s="185">
        <v>2580</v>
      </c>
      <c r="I234" s="185">
        <v>130832</v>
      </c>
      <c r="J234" s="196">
        <f>VLOOKUP(B234,泰康小区账面房号及收款金额!$A$2:$B$424,2,0)</f>
        <v>130831.05</v>
      </c>
      <c r="K234" s="196"/>
      <c r="L234" s="196"/>
      <c r="M234" s="196"/>
      <c r="N234" s="196">
        <f t="shared" si="51"/>
        <v>0.94999999999709</v>
      </c>
      <c r="O234" s="194"/>
      <c r="P234" s="195"/>
      <c r="Q234" s="125">
        <f>VLOOKUP(B234,[2]信息汇总表!$M$2:$T$816,8,0)</f>
        <v>130831</v>
      </c>
      <c r="R234" s="125">
        <f>VLOOKUP(B234,[1]sheet1!$J$4:$K$413,2,0)</f>
        <v>124601</v>
      </c>
      <c r="S234" s="125"/>
      <c r="T234" s="125">
        <f t="shared" si="57"/>
        <v>124601.904761905</v>
      </c>
      <c r="U234" s="125">
        <f t="shared" si="49"/>
        <v>6230.095238095</v>
      </c>
      <c r="V234" s="125">
        <f t="shared" si="52"/>
        <v>0.904761904996121</v>
      </c>
      <c r="W234" s="125">
        <f t="shared" si="53"/>
        <v>0.0452380950000588</v>
      </c>
      <c r="X234" s="125">
        <v>6230.05</v>
      </c>
      <c r="Y234" s="195" t="s">
        <v>42</v>
      </c>
      <c r="Z234" s="165">
        <f t="shared" si="55"/>
        <v>0.94999999999618</v>
      </c>
    </row>
    <row r="235" ht="15" customHeight="1" spans="1:26">
      <c r="A235" s="175">
        <v>232</v>
      </c>
      <c r="B235" s="187" t="s">
        <v>418</v>
      </c>
      <c r="C235" s="183">
        <v>124.71</v>
      </c>
      <c r="D235" s="179">
        <v>3358</v>
      </c>
      <c r="E235" s="179">
        <f t="shared" si="47"/>
        <v>418776</v>
      </c>
      <c r="F235" s="184" t="s">
        <v>419</v>
      </c>
      <c r="G235" s="182"/>
      <c r="H235" s="185">
        <v>3328</v>
      </c>
      <c r="I235" s="185">
        <v>415035</v>
      </c>
      <c r="J235" s="196">
        <f>VLOOKUP(B235,泰康小区账面房号及收款金额!$A$2:$B$424,2,0)</f>
        <v>415035.5</v>
      </c>
      <c r="K235" s="196"/>
      <c r="L235" s="196"/>
      <c r="M235" s="196"/>
      <c r="N235" s="196">
        <f t="shared" si="51"/>
        <v>-0.5</v>
      </c>
      <c r="O235" s="194"/>
      <c r="P235" s="195"/>
      <c r="Q235" s="125"/>
      <c r="R235" s="125">
        <f>VLOOKUP(B235,[1]sheet1!$J$4:$K$413,2,0)</f>
        <v>415045</v>
      </c>
      <c r="S235" s="125"/>
      <c r="T235" s="125">
        <f t="shared" si="57"/>
        <v>395271.428571429</v>
      </c>
      <c r="U235" s="125">
        <f t="shared" si="49"/>
        <v>19763.571428571</v>
      </c>
      <c r="V235" s="203">
        <f t="shared" si="52"/>
        <v>-19773.571428571</v>
      </c>
      <c r="W235" s="203">
        <f t="shared" si="53"/>
        <v>19773.571428571</v>
      </c>
      <c r="X235" s="125">
        <v>-10</v>
      </c>
      <c r="Y235" t="s">
        <v>77</v>
      </c>
      <c r="Z235" s="165">
        <f t="shared" si="55"/>
        <v>0</v>
      </c>
    </row>
    <row r="236" ht="13.5" spans="1:26">
      <c r="A236" s="175">
        <v>233</v>
      </c>
      <c r="B236" s="187" t="s">
        <v>420</v>
      </c>
      <c r="C236" s="183">
        <v>116.64</v>
      </c>
      <c r="D236" s="179">
        <v>3318</v>
      </c>
      <c r="E236" s="179">
        <f t="shared" si="47"/>
        <v>387012</v>
      </c>
      <c r="F236" s="184" t="s">
        <v>421</v>
      </c>
      <c r="G236" s="182" t="s">
        <v>48</v>
      </c>
      <c r="H236" s="185">
        <f>I236/C236</f>
        <v>2604.68106995885</v>
      </c>
      <c r="I236" s="185">
        <v>303810</v>
      </c>
      <c r="J236" s="196">
        <f>VLOOKUP(B236,泰康小区账面房号及收款金额!$A$2:$B$424,2,0)</f>
        <v>303810</v>
      </c>
      <c r="K236" s="196"/>
      <c r="L236" s="196"/>
      <c r="M236" s="196"/>
      <c r="N236" s="196">
        <f t="shared" si="51"/>
        <v>0</v>
      </c>
      <c r="O236" s="194"/>
      <c r="P236" s="195"/>
      <c r="Q236" s="125">
        <f>VLOOKUP(B236,[2]信息汇总表!$M$2:$T$816,8,0)</f>
        <v>303264</v>
      </c>
      <c r="R236" s="125">
        <f>VLOOKUP(B236,[1]sheet1!$J$4:$K$413,2,0)</f>
        <v>303810</v>
      </c>
      <c r="S236" s="125"/>
      <c r="T236" s="125">
        <f t="shared" si="57"/>
        <v>289342.857142857</v>
      </c>
      <c r="U236" s="125">
        <f t="shared" si="49"/>
        <v>14467.142857143</v>
      </c>
      <c r="V236" s="203">
        <f t="shared" si="52"/>
        <v>-14467.142857143</v>
      </c>
      <c r="W236" s="203">
        <f t="shared" si="53"/>
        <v>14467.142857143</v>
      </c>
      <c r="X236" s="125"/>
      <c r="Y236" t="s">
        <v>77</v>
      </c>
      <c r="Z236" s="165">
        <f t="shared" si="55"/>
        <v>0</v>
      </c>
    </row>
    <row r="237" ht="13.5" spans="1:26">
      <c r="A237" s="175">
        <v>234</v>
      </c>
      <c r="B237" s="187" t="s">
        <v>422</v>
      </c>
      <c r="C237" s="183">
        <v>50.88</v>
      </c>
      <c r="D237" s="179">
        <v>3318</v>
      </c>
      <c r="E237" s="179">
        <f t="shared" si="47"/>
        <v>168820</v>
      </c>
      <c r="F237" s="184" t="s">
        <v>411</v>
      </c>
      <c r="G237" s="182"/>
      <c r="H237" s="185">
        <v>2250</v>
      </c>
      <c r="I237" s="185">
        <v>114480</v>
      </c>
      <c r="J237" s="196">
        <f>VLOOKUP(B237,泰康小区账面房号及收款金额!$A$2:$B$424,2,0)</f>
        <v>114479.74</v>
      </c>
      <c r="K237" s="196"/>
      <c r="L237" s="196"/>
      <c r="M237" s="196"/>
      <c r="N237" s="196">
        <f t="shared" si="51"/>
        <v>0.259999999994761</v>
      </c>
      <c r="O237" s="194"/>
      <c r="P237" s="195"/>
      <c r="Q237" s="125">
        <f>VLOOKUP(B237,[2]信息汇总表!$M$2:$T$816,8,0)</f>
        <v>114480</v>
      </c>
      <c r="R237" s="125">
        <f>VLOOKUP(B237,[1]sheet1!$J$4:$K$413,2,0)</f>
        <v>110137.74</v>
      </c>
      <c r="S237" s="125"/>
      <c r="T237" s="125">
        <f t="shared" si="57"/>
        <v>109028.571428571</v>
      </c>
      <c r="U237" s="125">
        <f t="shared" si="49"/>
        <v>5451.428571429</v>
      </c>
      <c r="V237" s="203">
        <f t="shared" si="52"/>
        <v>-1109.16857142901</v>
      </c>
      <c r="W237" s="203">
        <f t="shared" si="53"/>
        <v>1109.428571429</v>
      </c>
      <c r="X237" s="125">
        <v>4342</v>
      </c>
      <c r="Y237" t="s">
        <v>77</v>
      </c>
      <c r="Z237" s="165">
        <f t="shared" si="55"/>
        <v>0.259999999989986</v>
      </c>
    </row>
    <row r="238" ht="13.5" spans="1:26">
      <c r="A238" s="175">
        <v>235</v>
      </c>
      <c r="B238" s="187" t="s">
        <v>423</v>
      </c>
      <c r="C238" s="183">
        <v>115.94</v>
      </c>
      <c r="D238" s="179">
        <v>3318</v>
      </c>
      <c r="E238" s="179">
        <f t="shared" si="47"/>
        <v>384689</v>
      </c>
      <c r="F238" s="184" t="s">
        <v>424</v>
      </c>
      <c r="G238" s="182" t="s">
        <v>48</v>
      </c>
      <c r="H238" s="185">
        <v>2300</v>
      </c>
      <c r="I238" s="185">
        <v>266662</v>
      </c>
      <c r="J238" s="196">
        <f>VLOOKUP(B238,泰康小区账面房号及收款金额!$A$2:$B$424,2,0)</f>
        <v>266754</v>
      </c>
      <c r="K238" s="196"/>
      <c r="L238" s="196"/>
      <c r="M238" s="196"/>
      <c r="N238" s="196">
        <f t="shared" si="51"/>
        <v>-92</v>
      </c>
      <c r="O238" s="194"/>
      <c r="P238" s="195"/>
      <c r="Q238" s="125">
        <f>VLOOKUP(B238,[2]信息汇总表!$M$2:$T$816,8,0)</f>
        <v>266662</v>
      </c>
      <c r="R238" s="125">
        <f>VLOOKUP(B238,[1]sheet1!$J$4:$K$413,2,0)</f>
        <v>266754</v>
      </c>
      <c r="S238" s="125"/>
      <c r="T238" s="125">
        <f>J238/1.05</f>
        <v>254051.428571429</v>
      </c>
      <c r="U238" s="125">
        <f>T238*0.05</f>
        <v>12702.5714285714</v>
      </c>
      <c r="V238" s="203">
        <f t="shared" si="52"/>
        <v>-12702.5714285714</v>
      </c>
      <c r="W238" s="203">
        <f t="shared" si="53"/>
        <v>12702.5714285714</v>
      </c>
      <c r="X238" s="125"/>
      <c r="Y238" t="s">
        <v>77</v>
      </c>
      <c r="Z238" s="165">
        <f t="shared" si="55"/>
        <v>0</v>
      </c>
    </row>
    <row r="239" hidden="1" spans="1:26">
      <c r="A239" s="175">
        <v>236</v>
      </c>
      <c r="B239" s="187" t="s">
        <v>425</v>
      </c>
      <c r="C239" s="183">
        <v>97.45</v>
      </c>
      <c r="D239" s="179">
        <v>3708</v>
      </c>
      <c r="E239" s="179">
        <f t="shared" si="47"/>
        <v>361345</v>
      </c>
      <c r="F239" s="184" t="s">
        <v>426</v>
      </c>
      <c r="G239" s="182"/>
      <c r="H239" s="185">
        <v>3738</v>
      </c>
      <c r="I239" s="185">
        <v>364268</v>
      </c>
      <c r="J239" s="196">
        <f>VLOOKUP(B239,泰康小区账面房号及收款金额!$A$2:$B$424,2,0)</f>
        <v>364268.1</v>
      </c>
      <c r="K239" s="196"/>
      <c r="L239" s="196"/>
      <c r="M239" s="196"/>
      <c r="N239" s="196">
        <f t="shared" si="51"/>
        <v>-0.0999999999767169</v>
      </c>
      <c r="O239" s="194"/>
      <c r="P239" s="195"/>
      <c r="Q239" s="125">
        <f>VLOOKUP(B239,[2]信息汇总表!$M$2:$T$816,8,0)</f>
        <v>364268</v>
      </c>
      <c r="R239" s="125">
        <f>VLOOKUP(B239,[1]sheet1!$J$4:$K$413,2,0)</f>
        <v>346922</v>
      </c>
      <c r="S239" s="125"/>
      <c r="T239" s="125">
        <f t="shared" si="57"/>
        <v>346921.904761905</v>
      </c>
      <c r="U239" s="125">
        <f t="shared" si="49"/>
        <v>17346.095238095</v>
      </c>
      <c r="V239" s="125">
        <f t="shared" si="52"/>
        <v>-0.0952380949747749</v>
      </c>
      <c r="W239" s="125">
        <f t="shared" si="53"/>
        <v>0.0952380950002407</v>
      </c>
      <c r="X239" s="125">
        <v>17346</v>
      </c>
      <c r="Y239" s="195" t="s">
        <v>42</v>
      </c>
      <c r="Z239" s="165">
        <f t="shared" si="55"/>
        <v>2.54658100162786e-11</v>
      </c>
    </row>
    <row r="240" ht="13.5" spans="1:26">
      <c r="A240" s="175">
        <v>237</v>
      </c>
      <c r="B240" s="187" t="s">
        <v>427</v>
      </c>
      <c r="C240" s="183">
        <v>97.12</v>
      </c>
      <c r="D240" s="179">
        <v>4108</v>
      </c>
      <c r="E240" s="179">
        <f t="shared" si="47"/>
        <v>398969</v>
      </c>
      <c r="F240" s="184" t="s">
        <v>428</v>
      </c>
      <c r="G240" s="182" t="s">
        <v>48</v>
      </c>
      <c r="H240" s="185">
        <v>3100</v>
      </c>
      <c r="I240" s="185">
        <v>301072</v>
      </c>
      <c r="J240" s="196">
        <f>VLOOKUP(B240,泰康小区账面房号及收款金额!$A$2:$B$424,2,0)</f>
        <v>301072</v>
      </c>
      <c r="K240" s="196"/>
      <c r="L240" s="196"/>
      <c r="M240" s="196"/>
      <c r="N240" s="196">
        <f t="shared" si="51"/>
        <v>0</v>
      </c>
      <c r="O240" s="194"/>
      <c r="P240" s="195"/>
      <c r="Q240" s="125">
        <f>VLOOKUP(B240,[2]信息汇总表!$M$2:$T$816,8,0)</f>
        <v>301072</v>
      </c>
      <c r="R240" s="125">
        <f>VLOOKUP(B240,[1]sheet1!$J$4:$K$413,2,0)</f>
        <v>301072</v>
      </c>
      <c r="S240" s="125"/>
      <c r="T240" s="125">
        <f t="shared" si="57"/>
        <v>286735.238095238</v>
      </c>
      <c r="U240" s="125">
        <f t="shared" si="49"/>
        <v>14336.761904762</v>
      </c>
      <c r="V240" s="203">
        <f t="shared" si="52"/>
        <v>-14336.761904762</v>
      </c>
      <c r="W240" s="203">
        <f t="shared" si="53"/>
        <v>14336.761904762</v>
      </c>
      <c r="X240" s="125"/>
      <c r="Y240" t="s">
        <v>77</v>
      </c>
      <c r="Z240" s="165">
        <f t="shared" si="55"/>
        <v>0</v>
      </c>
    </row>
    <row r="241" hidden="1" spans="1:26">
      <c r="A241" s="175">
        <v>238</v>
      </c>
      <c r="B241" s="187" t="s">
        <v>429</v>
      </c>
      <c r="C241" s="183">
        <v>97.45</v>
      </c>
      <c r="D241" s="179">
        <v>4028</v>
      </c>
      <c r="E241" s="179">
        <f t="shared" si="47"/>
        <v>392529</v>
      </c>
      <c r="F241" s="184" t="s">
        <v>430</v>
      </c>
      <c r="G241" s="182"/>
      <c r="H241" s="185">
        <v>4028</v>
      </c>
      <c r="I241" s="185">
        <v>392529</v>
      </c>
      <c r="J241" s="196">
        <f>VLOOKUP(B241,泰康小区账面房号及收款金额!$A$2:$B$424,2,0)</f>
        <v>392528.85</v>
      </c>
      <c r="K241" s="196"/>
      <c r="L241" s="196"/>
      <c r="M241" s="196"/>
      <c r="N241" s="196">
        <f t="shared" si="51"/>
        <v>0.150000000023283</v>
      </c>
      <c r="O241" s="194"/>
      <c r="P241" s="195"/>
      <c r="Q241" s="125">
        <f>VLOOKUP(B241,[2]信息汇总表!$M$2:$T$816,8,0)</f>
        <v>392529</v>
      </c>
      <c r="R241" s="125">
        <f>VLOOKUP(B241,[1]sheet1!$J$4:$K$413,2,0)</f>
        <v>373837</v>
      </c>
      <c r="S241" s="125"/>
      <c r="T241" s="125">
        <f t="shared" si="57"/>
        <v>373837.142857143</v>
      </c>
      <c r="U241" s="125">
        <f t="shared" si="49"/>
        <v>18691.857142857</v>
      </c>
      <c r="V241" s="125">
        <f t="shared" si="52"/>
        <v>0.142857143015135</v>
      </c>
      <c r="W241" s="125">
        <f t="shared" si="53"/>
        <v>0.157142856998689</v>
      </c>
      <c r="X241" s="125">
        <v>18691.7</v>
      </c>
      <c r="Y241" s="195" t="s">
        <v>42</v>
      </c>
      <c r="Z241" s="165">
        <f t="shared" si="55"/>
        <v>0.300000000013824</v>
      </c>
    </row>
    <row r="242" spans="1:26">
      <c r="A242" s="175">
        <v>239</v>
      </c>
      <c r="B242" s="187" t="s">
        <v>431</v>
      </c>
      <c r="C242" s="183">
        <v>97.12</v>
      </c>
      <c r="D242" s="179">
        <v>4028</v>
      </c>
      <c r="E242" s="179">
        <f t="shared" si="47"/>
        <v>391199</v>
      </c>
      <c r="F242" s="184" t="s">
        <v>432</v>
      </c>
      <c r="G242" s="182"/>
      <c r="H242" s="185">
        <v>4028</v>
      </c>
      <c r="I242" s="185">
        <v>391199</v>
      </c>
      <c r="J242" s="196">
        <f>VLOOKUP(B242,泰康小区账面房号及收款金额!$A$2:$B$424,2,0)</f>
        <v>391183</v>
      </c>
      <c r="K242" s="196"/>
      <c r="L242" s="196"/>
      <c r="M242" s="196"/>
      <c r="N242" s="196">
        <f t="shared" si="51"/>
        <v>16</v>
      </c>
      <c r="O242" s="194"/>
      <c r="P242" s="195"/>
      <c r="Q242" s="125">
        <f>VLOOKUP(B242,[2]信息汇总表!$M$2:$T$816,8,0)</f>
        <v>391199</v>
      </c>
      <c r="R242" s="125">
        <f>VLOOKUP(B242,[1]sheet1!$J$4:$K$413,2,0)</f>
        <v>391209</v>
      </c>
      <c r="S242" s="125"/>
      <c r="T242" s="125">
        <f t="shared" si="57"/>
        <v>372570.476190476</v>
      </c>
      <c r="U242" s="125">
        <f t="shared" ref="U242:U246" si="58">T242*0.05</f>
        <v>18628.5238095238</v>
      </c>
      <c r="V242" s="203">
        <f t="shared" si="52"/>
        <v>-18638.523809524</v>
      </c>
      <c r="W242" s="203">
        <f t="shared" si="53"/>
        <v>18654.5238095238</v>
      </c>
      <c r="X242" s="125">
        <v>-26</v>
      </c>
      <c r="Y242" s="195"/>
      <c r="Z242" s="165">
        <f t="shared" si="55"/>
        <v>15.9999999997999</v>
      </c>
    </row>
    <row r="243" hidden="1" spans="1:26">
      <c r="A243" s="175">
        <v>240</v>
      </c>
      <c r="B243" s="187" t="s">
        <v>433</v>
      </c>
      <c r="C243" s="183">
        <v>97.45</v>
      </c>
      <c r="D243" s="179">
        <v>4048</v>
      </c>
      <c r="E243" s="179">
        <f t="shared" si="47"/>
        <v>394478</v>
      </c>
      <c r="F243" s="184" t="s">
        <v>434</v>
      </c>
      <c r="G243" s="182"/>
      <c r="H243" s="185">
        <v>4028</v>
      </c>
      <c r="I243" s="185">
        <v>392529</v>
      </c>
      <c r="J243" s="196">
        <f>VLOOKUP(B243,泰康小区账面房号及收款金额!$A$2:$B$424,2,0)</f>
        <v>392528.85</v>
      </c>
      <c r="K243" s="196"/>
      <c r="L243" s="196"/>
      <c r="M243" s="196"/>
      <c r="N243" s="196">
        <f t="shared" si="51"/>
        <v>0.150000000023283</v>
      </c>
      <c r="O243" s="194"/>
      <c r="P243" s="195"/>
      <c r="Q243" s="125">
        <f>VLOOKUP(B243,[2]信息汇总表!$M$2:$T$816,8,0)</f>
        <v>392529</v>
      </c>
      <c r="R243" s="125">
        <f>VLOOKUP(B243,[1]sheet1!$J$4:$K$413,2,0)</f>
        <v>373837</v>
      </c>
      <c r="S243" s="125"/>
      <c r="T243" s="125">
        <f t="shared" si="57"/>
        <v>373837.142857143</v>
      </c>
      <c r="U243" s="125">
        <f t="shared" si="49"/>
        <v>18691.857142857</v>
      </c>
      <c r="V243" s="125">
        <f t="shared" si="52"/>
        <v>0.142857143015135</v>
      </c>
      <c r="W243" s="125">
        <f t="shared" ref="W243:W287" si="59">U243-X243</f>
        <v>0.157142856998689</v>
      </c>
      <c r="X243" s="125">
        <v>18691.7</v>
      </c>
      <c r="Y243" s="195" t="s">
        <v>42</v>
      </c>
      <c r="Z243" s="165">
        <f t="shared" si="55"/>
        <v>0.300000000013824</v>
      </c>
    </row>
    <row r="244" hidden="1" spans="1:26">
      <c r="A244" s="175">
        <v>241</v>
      </c>
      <c r="B244" s="187" t="s">
        <v>435</v>
      </c>
      <c r="C244" s="183">
        <v>97.12</v>
      </c>
      <c r="D244" s="179">
        <v>4048</v>
      </c>
      <c r="E244" s="179">
        <f t="shared" si="47"/>
        <v>393142</v>
      </c>
      <c r="F244" s="184" t="s">
        <v>436</v>
      </c>
      <c r="G244" s="182"/>
      <c r="H244" s="185">
        <v>3558</v>
      </c>
      <c r="I244" s="185">
        <v>345553</v>
      </c>
      <c r="J244" s="196">
        <f>VLOOKUP(B244,泰康小区账面房号及收款金额!$A$2:$B$424,2,0)</f>
        <v>345552.9</v>
      </c>
      <c r="K244" s="196"/>
      <c r="L244" s="196"/>
      <c r="M244" s="196"/>
      <c r="N244" s="196">
        <f t="shared" si="51"/>
        <v>0.0999999999767169</v>
      </c>
      <c r="O244" s="194"/>
      <c r="P244" s="195"/>
      <c r="Q244" s="125">
        <f>VLOOKUP(B244,[2]信息汇总表!$M$2:$T$816,8,0)</f>
        <v>345553</v>
      </c>
      <c r="R244" s="125">
        <f>VLOOKUP(B244,[1]sheet1!$J$4:$K$413,2,0)</f>
        <v>329098</v>
      </c>
      <c r="S244" s="125"/>
      <c r="T244" s="125">
        <f t="shared" si="57"/>
        <v>329098.095238095</v>
      </c>
      <c r="U244" s="125">
        <f t="shared" si="49"/>
        <v>16454.904761905</v>
      </c>
      <c r="V244" s="125">
        <f t="shared" si="52"/>
        <v>0.0952380949747749</v>
      </c>
      <c r="W244" s="125">
        <f t="shared" si="59"/>
        <v>-0.0452380950009683</v>
      </c>
      <c r="X244" s="125">
        <v>16454.95</v>
      </c>
      <c r="Y244" s="195" t="s">
        <v>42</v>
      </c>
      <c r="Z244" s="165">
        <f t="shared" si="55"/>
        <v>0.0499999999738066</v>
      </c>
    </row>
    <row r="245" ht="13.5" spans="1:26">
      <c r="A245" s="175">
        <v>242</v>
      </c>
      <c r="B245" s="187" t="s">
        <v>437</v>
      </c>
      <c r="C245" s="183">
        <v>97.45</v>
      </c>
      <c r="D245" s="179">
        <v>3588</v>
      </c>
      <c r="E245" s="179">
        <f t="shared" si="47"/>
        <v>349651</v>
      </c>
      <c r="F245" s="184" t="s">
        <v>438</v>
      </c>
      <c r="G245" s="182"/>
      <c r="H245" s="185">
        <v>3618</v>
      </c>
      <c r="I245" s="185">
        <v>352574</v>
      </c>
      <c r="J245" s="196">
        <f>VLOOKUP(B245,泰康小区账面房号及收款金额!$A$2:$B$424,2,0)</f>
        <v>352575</v>
      </c>
      <c r="K245" s="196"/>
      <c r="L245" s="196"/>
      <c r="M245" s="196"/>
      <c r="N245" s="196">
        <f t="shared" si="51"/>
        <v>-1</v>
      </c>
      <c r="O245" s="194"/>
      <c r="P245" s="195"/>
      <c r="Q245" s="125">
        <f>VLOOKUP(B245,[2]信息汇总表!$M$2:$T$816,8,0)</f>
        <v>352574</v>
      </c>
      <c r="R245" s="125">
        <f>VLOOKUP(B245,[1]sheet1!$J$4:$K$413,2,0)</f>
        <v>352575</v>
      </c>
      <c r="S245" s="125"/>
      <c r="T245" s="125">
        <f>R245/1.05</f>
        <v>335785.714285714</v>
      </c>
      <c r="U245" s="125">
        <f t="shared" si="58"/>
        <v>16789.2857142857</v>
      </c>
      <c r="V245" s="203">
        <f t="shared" si="52"/>
        <v>-16789.2857142857</v>
      </c>
      <c r="W245" s="203">
        <f t="shared" si="59"/>
        <v>16789.2857142857</v>
      </c>
      <c r="X245" s="125"/>
      <c r="Y245" t="s">
        <v>77</v>
      </c>
      <c r="Z245" s="165">
        <f t="shared" si="55"/>
        <v>0</v>
      </c>
    </row>
    <row r="246" ht="13" customHeight="1" spans="1:26">
      <c r="A246" s="175">
        <v>243</v>
      </c>
      <c r="B246" s="187" t="s">
        <v>439</v>
      </c>
      <c r="C246" s="183">
        <v>97.12</v>
      </c>
      <c r="D246" s="179">
        <v>3588</v>
      </c>
      <c r="E246" s="179">
        <f t="shared" si="47"/>
        <v>348467</v>
      </c>
      <c r="F246" s="184" t="s">
        <v>440</v>
      </c>
      <c r="G246" s="182"/>
      <c r="H246" s="185">
        <v>3618</v>
      </c>
      <c r="I246" s="185">
        <v>351380</v>
      </c>
      <c r="J246" s="196">
        <f>VLOOKUP(B246,泰康小区账面房号及收款金额!$A$2:$B$424,2,0)</f>
        <v>351381</v>
      </c>
      <c r="K246" s="196"/>
      <c r="L246" s="196"/>
      <c r="M246" s="196"/>
      <c r="N246" s="196">
        <f t="shared" si="51"/>
        <v>-1</v>
      </c>
      <c r="O246" s="194"/>
      <c r="P246" s="195"/>
      <c r="Q246" s="125">
        <f>VLOOKUP(B246,[2]信息汇总表!$M$2:$T$816,8,0)</f>
        <v>351851</v>
      </c>
      <c r="R246" s="125">
        <f>VLOOKUP(B246,[1]sheet1!$J$4:$K$413,2,0)</f>
        <v>351381</v>
      </c>
      <c r="S246" s="125"/>
      <c r="T246" s="125">
        <f>J246/1.05</f>
        <v>334648.571428571</v>
      </c>
      <c r="U246" s="125">
        <f t="shared" si="58"/>
        <v>16732.4285714286</v>
      </c>
      <c r="V246" s="203">
        <f t="shared" si="52"/>
        <v>-16732.4285714286</v>
      </c>
      <c r="W246" s="203">
        <f t="shared" si="59"/>
        <v>16732.4285714286</v>
      </c>
      <c r="X246" s="125"/>
      <c r="Y246" t="s">
        <v>77</v>
      </c>
      <c r="Z246" s="165">
        <f t="shared" si="55"/>
        <v>0</v>
      </c>
    </row>
    <row r="247" ht="13.5" spans="1:26">
      <c r="A247" s="175">
        <v>244</v>
      </c>
      <c r="B247" s="187" t="s">
        <v>441</v>
      </c>
      <c r="C247" s="183">
        <v>97.45</v>
      </c>
      <c r="D247" s="179">
        <v>3358</v>
      </c>
      <c r="E247" s="179">
        <f t="shared" si="47"/>
        <v>327237</v>
      </c>
      <c r="F247" s="184" t="s">
        <v>442</v>
      </c>
      <c r="G247" s="182"/>
      <c r="H247" s="185">
        <v>3300</v>
      </c>
      <c r="I247" s="185">
        <v>321585</v>
      </c>
      <c r="J247" s="196">
        <f>VLOOKUP(B247,泰康小区账面房号及收款金额!$A$2:$B$424,2,0)</f>
        <v>321585</v>
      </c>
      <c r="K247" s="196"/>
      <c r="L247" s="196"/>
      <c r="M247" s="196"/>
      <c r="N247" s="196">
        <f t="shared" si="51"/>
        <v>0</v>
      </c>
      <c r="O247" s="194"/>
      <c r="P247" s="195"/>
      <c r="Q247" s="125">
        <f>VLOOKUP(B247,[2]信息汇总表!$M$2:$T$816,8,0)</f>
        <v>321585</v>
      </c>
      <c r="R247" s="125">
        <f>VLOOKUP(B247,[1]sheet1!$J$4:$K$413,2,0)</f>
        <v>321607</v>
      </c>
      <c r="S247" s="125"/>
      <c r="T247" s="125">
        <f t="shared" si="57"/>
        <v>306271.428571429</v>
      </c>
      <c r="U247" s="125">
        <f t="shared" si="49"/>
        <v>15313.571428571</v>
      </c>
      <c r="V247" s="203">
        <f t="shared" si="52"/>
        <v>-15335.571428571</v>
      </c>
      <c r="W247" s="203">
        <f t="shared" si="59"/>
        <v>15335.571428571</v>
      </c>
      <c r="X247" s="125">
        <v>-22</v>
      </c>
      <c r="Y247" t="s">
        <v>77</v>
      </c>
      <c r="Z247" s="165">
        <f t="shared" si="55"/>
        <v>0</v>
      </c>
    </row>
    <row r="248" hidden="1" spans="1:26">
      <c r="A248" s="175">
        <v>245</v>
      </c>
      <c r="B248" s="187" t="s">
        <v>443</v>
      </c>
      <c r="C248" s="183">
        <v>97.12</v>
      </c>
      <c r="D248" s="179">
        <v>3358</v>
      </c>
      <c r="E248" s="179">
        <f t="shared" si="47"/>
        <v>326129</v>
      </c>
      <c r="F248" s="184" t="s">
        <v>444</v>
      </c>
      <c r="G248" s="182"/>
      <c r="H248" s="185">
        <v>2674</v>
      </c>
      <c r="I248" s="185">
        <v>259699</v>
      </c>
      <c r="J248" s="196">
        <f>VLOOKUP(B248,泰康小区账面房号及收款金额!$A$2:$B$424,2,0)</f>
        <v>259699.65</v>
      </c>
      <c r="K248" s="196"/>
      <c r="L248" s="196"/>
      <c r="M248" s="196"/>
      <c r="N248" s="196">
        <f t="shared" si="51"/>
        <v>-0.649999999994179</v>
      </c>
      <c r="O248" s="194"/>
      <c r="P248" s="195"/>
      <c r="Q248" s="125">
        <f>VLOOKUP(B248,[2]信息汇总表!$M$2:$T$816,8,0)</f>
        <v>259699</v>
      </c>
      <c r="R248" s="125">
        <f>VLOOKUP(B248,[1]sheet1!$J$4:$K$413,2,0)</f>
        <v>247333</v>
      </c>
      <c r="S248" s="125"/>
      <c r="T248" s="125">
        <f t="shared" si="57"/>
        <v>247332.380952381</v>
      </c>
      <c r="U248" s="125">
        <f t="shared" si="49"/>
        <v>12366.619047619</v>
      </c>
      <c r="V248" s="125">
        <f t="shared" si="52"/>
        <v>-0.619047618994955</v>
      </c>
      <c r="W248" s="125">
        <f t="shared" si="59"/>
        <v>0.419047618999684</v>
      </c>
      <c r="X248" s="125">
        <v>12366.2</v>
      </c>
      <c r="Y248" s="195" t="s">
        <v>42</v>
      </c>
      <c r="Z248" s="165">
        <f t="shared" si="55"/>
        <v>-0.199999999995271</v>
      </c>
    </row>
    <row r="249" hidden="1" spans="1:26">
      <c r="A249" s="175">
        <v>246</v>
      </c>
      <c r="B249" s="187" t="s">
        <v>445</v>
      </c>
      <c r="C249" s="183">
        <v>90.33</v>
      </c>
      <c r="D249" s="179">
        <v>3318</v>
      </c>
      <c r="E249" s="179">
        <f t="shared" si="47"/>
        <v>299715</v>
      </c>
      <c r="F249" s="184" t="s">
        <v>446</v>
      </c>
      <c r="G249" s="182"/>
      <c r="H249" s="185">
        <v>2200</v>
      </c>
      <c r="I249" s="185">
        <v>198726</v>
      </c>
      <c r="J249" s="196">
        <f>VLOOKUP(B249,泰康小区账面房号及收款金额!$A$2:$B$424,2,0)</f>
        <v>198726.15</v>
      </c>
      <c r="K249" s="196"/>
      <c r="L249" s="196"/>
      <c r="M249" s="196"/>
      <c r="N249" s="196">
        <f t="shared" si="51"/>
        <v>-0.149999999994179</v>
      </c>
      <c r="O249" s="194"/>
      <c r="P249" s="195"/>
      <c r="Q249" s="125">
        <f>VLOOKUP(B249,[2]信息汇总表!$M$2:$T$816,8,0)</f>
        <v>198726</v>
      </c>
      <c r="R249" s="125">
        <f>VLOOKUP(B249,[1]sheet1!$J$4:$K$413,2,0)</f>
        <v>189263</v>
      </c>
      <c r="S249" s="125"/>
      <c r="T249" s="125">
        <f t="shared" si="57"/>
        <v>189262.857142857</v>
      </c>
      <c r="U249" s="125">
        <f t="shared" si="49"/>
        <v>9463.14285714299</v>
      </c>
      <c r="V249" s="125">
        <f t="shared" si="52"/>
        <v>-0.142857142986031</v>
      </c>
      <c r="W249" s="125">
        <f t="shared" si="59"/>
        <v>-0.00714285700996697</v>
      </c>
      <c r="X249" s="125">
        <v>9463.15</v>
      </c>
      <c r="Y249" s="195" t="s">
        <v>42</v>
      </c>
      <c r="Z249" s="165">
        <f t="shared" si="55"/>
        <v>-0.149999999995998</v>
      </c>
    </row>
    <row r="250" hidden="1" spans="1:26">
      <c r="A250" s="175">
        <v>247</v>
      </c>
      <c r="B250" s="187" t="s">
        <v>447</v>
      </c>
      <c r="C250" s="183">
        <v>89.99</v>
      </c>
      <c r="D250" s="179">
        <v>3318</v>
      </c>
      <c r="E250" s="179">
        <f t="shared" si="47"/>
        <v>298587</v>
      </c>
      <c r="F250" s="184" t="s">
        <v>448</v>
      </c>
      <c r="G250" s="182"/>
      <c r="H250" s="185">
        <v>2180</v>
      </c>
      <c r="I250" s="185">
        <v>196178</v>
      </c>
      <c r="J250" s="196">
        <f>VLOOKUP(B250,泰康小区账面房号及收款金额!$A$2:$B$424,2,0)</f>
        <v>196177.8</v>
      </c>
      <c r="K250" s="196"/>
      <c r="L250" s="196"/>
      <c r="M250" s="196"/>
      <c r="N250" s="196">
        <f t="shared" si="51"/>
        <v>0.200000000011642</v>
      </c>
      <c r="O250" s="194"/>
      <c r="P250" s="195"/>
      <c r="Q250" s="125">
        <f>VLOOKUP(B250,[2]信息汇总表!$M$2:$T$816,8,0)</f>
        <v>196178</v>
      </c>
      <c r="R250" s="125">
        <f>VLOOKUP(B250,[1]sheet1!$J$4:$K$413,2,0)</f>
        <v>186836</v>
      </c>
      <c r="S250" s="125"/>
      <c r="T250" s="125">
        <f t="shared" si="57"/>
        <v>186836.19047619</v>
      </c>
      <c r="U250" s="125">
        <f t="shared" si="49"/>
        <v>9341.80952380999</v>
      </c>
      <c r="V250" s="125">
        <f t="shared" si="52"/>
        <v>0.190476190007757</v>
      </c>
      <c r="W250" s="125">
        <f t="shared" si="59"/>
        <v>0.00952380999115121</v>
      </c>
      <c r="X250" s="125">
        <v>9341.8</v>
      </c>
      <c r="Y250" s="195" t="s">
        <v>42</v>
      </c>
      <c r="Z250" s="165">
        <f t="shared" si="55"/>
        <v>0.199999999998908</v>
      </c>
    </row>
    <row r="251" hidden="1" spans="1:26">
      <c r="A251" s="175">
        <v>248</v>
      </c>
      <c r="B251" s="187" t="s">
        <v>449</v>
      </c>
      <c r="C251" s="183">
        <v>97.12</v>
      </c>
      <c r="D251" s="179">
        <v>4108</v>
      </c>
      <c r="E251" s="179">
        <f t="shared" si="47"/>
        <v>398969</v>
      </c>
      <c r="F251" s="184" t="s">
        <v>450</v>
      </c>
      <c r="G251" s="182"/>
      <c r="H251" s="185">
        <v>3130</v>
      </c>
      <c r="I251" s="185">
        <v>303986</v>
      </c>
      <c r="J251" s="196">
        <f>VLOOKUP(B251,泰康小区账面房号及收款金额!$A$2:$B$424,2,0)</f>
        <v>303986.55</v>
      </c>
      <c r="K251" s="196"/>
      <c r="L251" s="196"/>
      <c r="M251" s="196"/>
      <c r="N251" s="196">
        <f t="shared" si="51"/>
        <v>-0.549999999988358</v>
      </c>
      <c r="O251" s="194"/>
      <c r="P251" s="195"/>
      <c r="Q251" s="125">
        <f>VLOOKUP(B251,[2]信息汇总表!$M$2:$T$816,8,0)</f>
        <v>303986</v>
      </c>
      <c r="R251" s="125">
        <f>VLOOKUP(B251,[1]sheet1!$J$4:$K$413,2,0)</f>
        <v>289511</v>
      </c>
      <c r="S251" s="125"/>
      <c r="T251" s="125">
        <f t="shared" si="57"/>
        <v>289510.476190476</v>
      </c>
      <c r="U251" s="125">
        <f t="shared" si="49"/>
        <v>14475.523809524</v>
      </c>
      <c r="V251" s="125">
        <f t="shared" si="52"/>
        <v>-0.52380952402018</v>
      </c>
      <c r="W251" s="125">
        <f t="shared" si="59"/>
        <v>0.323809523999444</v>
      </c>
      <c r="X251" s="125">
        <v>14475.2</v>
      </c>
      <c r="Y251" s="195" t="s">
        <v>42</v>
      </c>
      <c r="Z251" s="165">
        <f t="shared" si="55"/>
        <v>-0.200000000020736</v>
      </c>
    </row>
    <row r="252" ht="13.5" spans="1:26">
      <c r="A252" s="175">
        <v>249</v>
      </c>
      <c r="B252" s="187" t="s">
        <v>451</v>
      </c>
      <c r="C252" s="183">
        <v>97.12</v>
      </c>
      <c r="D252" s="179">
        <v>4108</v>
      </c>
      <c r="E252" s="179">
        <f t="shared" si="47"/>
        <v>398969</v>
      </c>
      <c r="F252" s="184" t="s">
        <v>452</v>
      </c>
      <c r="G252" s="182" t="s">
        <v>48</v>
      </c>
      <c r="H252" s="185">
        <v>3050</v>
      </c>
      <c r="I252" s="185">
        <v>296216</v>
      </c>
      <c r="J252" s="196">
        <f>VLOOKUP(B252,泰康小区账面房号及收款金额!$A$2:$B$424,2,0)</f>
        <v>296216</v>
      </c>
      <c r="K252" s="196"/>
      <c r="L252" s="196"/>
      <c r="M252" s="196"/>
      <c r="N252" s="196">
        <f t="shared" si="51"/>
        <v>0</v>
      </c>
      <c r="O252" s="194"/>
      <c r="P252" s="195"/>
      <c r="Q252" s="125">
        <f>VLOOKUP(B252,[2]信息汇总表!$M$2:$T$816,8,0)</f>
        <v>296216</v>
      </c>
      <c r="R252" s="125">
        <f>VLOOKUP(B252,[1]sheet1!$J$4:$K$413,2,0)</f>
        <v>296216</v>
      </c>
      <c r="S252" s="125"/>
      <c r="T252" s="125">
        <f t="shared" si="57"/>
        <v>282110.476190476</v>
      </c>
      <c r="U252" s="125">
        <f t="shared" si="49"/>
        <v>14105.523809524</v>
      </c>
      <c r="V252" s="203">
        <f t="shared" si="52"/>
        <v>-14105.523809524</v>
      </c>
      <c r="W252" s="203">
        <f t="shared" si="59"/>
        <v>14105.523809524</v>
      </c>
      <c r="X252" s="125"/>
      <c r="Y252" t="s">
        <v>77</v>
      </c>
      <c r="Z252" s="165">
        <f t="shared" si="55"/>
        <v>0</v>
      </c>
    </row>
    <row r="253" hidden="1" spans="1:26">
      <c r="A253" s="175">
        <v>250</v>
      </c>
      <c r="B253" s="187" t="s">
        <v>453</v>
      </c>
      <c r="C253" s="183">
        <v>97.12</v>
      </c>
      <c r="D253" s="179">
        <v>4028</v>
      </c>
      <c r="E253" s="179">
        <f t="shared" si="47"/>
        <v>391199</v>
      </c>
      <c r="F253" s="184" t="s">
        <v>454</v>
      </c>
      <c r="G253" s="182"/>
      <c r="H253" s="185">
        <v>3050</v>
      </c>
      <c r="I253" s="185">
        <v>296216</v>
      </c>
      <c r="J253" s="196">
        <f>VLOOKUP(B253,泰康小区账面房号及收款金额!$A$2:$B$424,2,0)</f>
        <v>296216.55</v>
      </c>
      <c r="K253" s="196"/>
      <c r="L253" s="196"/>
      <c r="M253" s="196"/>
      <c r="N253" s="196">
        <f t="shared" si="51"/>
        <v>-0.549999999988358</v>
      </c>
      <c r="O253" s="194"/>
      <c r="P253" s="195"/>
      <c r="Q253" s="125">
        <f>VLOOKUP(B253,[2]信息汇总表!$M$2:$T$816,8,0)</f>
        <v>296216</v>
      </c>
      <c r="R253" s="125">
        <f>VLOOKUP(B253,[1]sheet1!$J$4:$K$413,2,0)</f>
        <v>282111</v>
      </c>
      <c r="S253" s="125"/>
      <c r="T253" s="125">
        <f t="shared" si="57"/>
        <v>282110.476190476</v>
      </c>
      <c r="U253" s="125">
        <f t="shared" si="49"/>
        <v>14105.523809524</v>
      </c>
      <c r="V253" s="125">
        <f t="shared" si="52"/>
        <v>-0.52380952402018</v>
      </c>
      <c r="W253" s="125">
        <f t="shared" si="59"/>
        <v>-0.0261904759991012</v>
      </c>
      <c r="X253" s="125">
        <v>14105.55</v>
      </c>
      <c r="Y253" s="195" t="s">
        <v>42</v>
      </c>
      <c r="Z253" s="165">
        <f t="shared" si="55"/>
        <v>-0.550000000019281</v>
      </c>
    </row>
    <row r="254" hidden="1" spans="1:26">
      <c r="A254" s="175">
        <v>251</v>
      </c>
      <c r="B254" s="187" t="s">
        <v>455</v>
      </c>
      <c r="C254" s="183">
        <v>97.12</v>
      </c>
      <c r="D254" s="179">
        <v>4028</v>
      </c>
      <c r="E254" s="179">
        <f t="shared" si="47"/>
        <v>391199</v>
      </c>
      <c r="F254" s="184" t="s">
        <v>456</v>
      </c>
      <c r="G254" s="182"/>
      <c r="H254" s="185">
        <v>3200</v>
      </c>
      <c r="I254" s="185">
        <v>310784</v>
      </c>
      <c r="J254" s="196">
        <f>VLOOKUP(B254,泰康小区账面房号及收款金额!$A$2:$B$424,2,0)</f>
        <v>310784.25</v>
      </c>
      <c r="K254" s="196"/>
      <c r="L254" s="196"/>
      <c r="M254" s="196"/>
      <c r="N254" s="196">
        <f t="shared" si="51"/>
        <v>-0.25</v>
      </c>
      <c r="O254" s="194"/>
      <c r="P254" s="195"/>
      <c r="Q254" s="125">
        <f>VLOOKUP(B254,[2]信息汇总表!$M$2:$T$816,8,0)</f>
        <v>310784</v>
      </c>
      <c r="R254" s="125">
        <f>VLOOKUP(B254,[1]sheet1!$J$4:$K$413,2,0)</f>
        <v>295985</v>
      </c>
      <c r="S254" s="125"/>
      <c r="T254" s="125">
        <f t="shared" si="57"/>
        <v>295984.761904762</v>
      </c>
      <c r="U254" s="125">
        <f t="shared" si="49"/>
        <v>14799.238095238</v>
      </c>
      <c r="V254" s="125">
        <f t="shared" si="52"/>
        <v>-0.23809523798991</v>
      </c>
      <c r="W254" s="125">
        <f t="shared" si="59"/>
        <v>-0.0119047619991761</v>
      </c>
      <c r="X254" s="125">
        <v>14799.25</v>
      </c>
      <c r="Y254" s="195" t="s">
        <v>42</v>
      </c>
      <c r="Z254" s="165">
        <f t="shared" si="55"/>
        <v>-0.249999999989086</v>
      </c>
    </row>
    <row r="255" ht="13.5" spans="1:26">
      <c r="A255" s="175">
        <v>252</v>
      </c>
      <c r="B255" s="187" t="s">
        <v>457</v>
      </c>
      <c r="C255" s="183">
        <v>97.12</v>
      </c>
      <c r="D255" s="179">
        <v>4048</v>
      </c>
      <c r="E255" s="179">
        <f t="shared" si="47"/>
        <v>393142</v>
      </c>
      <c r="F255" s="184" t="s">
        <v>458</v>
      </c>
      <c r="G255" s="182"/>
      <c r="H255" s="185">
        <v>4048</v>
      </c>
      <c r="I255" s="185">
        <v>393142</v>
      </c>
      <c r="J255" s="196">
        <f>VLOOKUP(B255,泰康小区账面房号及收款金额!$A$2:$B$424,2,0)</f>
        <v>393142</v>
      </c>
      <c r="K255" s="196"/>
      <c r="L255" s="196"/>
      <c r="M255" s="196"/>
      <c r="N255" s="196">
        <f t="shared" si="51"/>
        <v>0</v>
      </c>
      <c r="O255" s="194"/>
      <c r="P255" s="195"/>
      <c r="Q255" s="125">
        <f>VLOOKUP(B255,[2]信息汇总表!$M$2:$T$816,8,0)</f>
        <v>393142</v>
      </c>
      <c r="R255" s="125">
        <f>VLOOKUP(B255,[1]sheet1!$J$4:$K$413,2,0)</f>
        <v>393167</v>
      </c>
      <c r="S255" s="125"/>
      <c r="T255" s="125">
        <f t="shared" si="57"/>
        <v>374420.952380952</v>
      </c>
      <c r="U255" s="125">
        <f t="shared" si="49"/>
        <v>18721.047619048</v>
      </c>
      <c r="V255" s="203">
        <f t="shared" si="52"/>
        <v>-18746.047619048</v>
      </c>
      <c r="W255" s="203">
        <f t="shared" si="59"/>
        <v>18746.047619048</v>
      </c>
      <c r="X255" s="125">
        <v>-25</v>
      </c>
      <c r="Y255" t="s">
        <v>77</v>
      </c>
      <c r="Z255" s="165">
        <f t="shared" si="55"/>
        <v>0</v>
      </c>
    </row>
    <row r="256" ht="13.5" spans="1:26">
      <c r="A256" s="175">
        <v>253</v>
      </c>
      <c r="B256" s="187" t="s">
        <v>459</v>
      </c>
      <c r="C256" s="183">
        <v>97.12</v>
      </c>
      <c r="D256" s="179">
        <v>4048</v>
      </c>
      <c r="E256" s="179">
        <f t="shared" si="47"/>
        <v>393142</v>
      </c>
      <c r="F256" s="184" t="s">
        <v>460</v>
      </c>
      <c r="G256" s="182"/>
      <c r="H256" s="185">
        <v>3558</v>
      </c>
      <c r="I256" s="185">
        <v>345553</v>
      </c>
      <c r="J256" s="196">
        <f>VLOOKUP(B256,泰康小区账面房号及收款金额!$A$2:$B$424,2,0)</f>
        <v>345553</v>
      </c>
      <c r="K256" s="196"/>
      <c r="L256" s="196"/>
      <c r="M256" s="196"/>
      <c r="N256" s="196">
        <f t="shared" si="51"/>
        <v>0</v>
      </c>
      <c r="O256" s="194"/>
      <c r="P256" s="195"/>
      <c r="Q256" s="125">
        <f>VLOOKUP(B256,[2]信息汇总表!$M$2:$T$816,8,0)</f>
        <v>345553</v>
      </c>
      <c r="R256" s="125">
        <f>VLOOKUP(B256,[1]sheet1!$J$4:$K$413,2,0)</f>
        <v>345553</v>
      </c>
      <c r="S256" s="125"/>
      <c r="T256" s="125">
        <f t="shared" si="57"/>
        <v>329098.095238095</v>
      </c>
      <c r="U256" s="125">
        <f t="shared" si="49"/>
        <v>16454.904761905</v>
      </c>
      <c r="V256" s="203">
        <f t="shared" si="52"/>
        <v>-16454.904761905</v>
      </c>
      <c r="W256" s="203">
        <f t="shared" si="59"/>
        <v>16454.904761905</v>
      </c>
      <c r="X256" s="125"/>
      <c r="Y256" t="s">
        <v>77</v>
      </c>
      <c r="Z256" s="165">
        <f t="shared" si="55"/>
        <v>0</v>
      </c>
    </row>
    <row r="257" ht="13.5" spans="1:26">
      <c r="A257" s="175">
        <v>254</v>
      </c>
      <c r="B257" s="187" t="s">
        <v>461</v>
      </c>
      <c r="C257" s="183">
        <v>97.12</v>
      </c>
      <c r="D257" s="179">
        <v>3588</v>
      </c>
      <c r="E257" s="179">
        <f t="shared" ref="E257:E320" si="60">ROUND(IF(F257&lt;&gt;0,C257*D257,0),0)</f>
        <v>348467</v>
      </c>
      <c r="F257" s="184" t="s">
        <v>462</v>
      </c>
      <c r="G257" s="182"/>
      <c r="H257" s="185">
        <v>3618</v>
      </c>
      <c r="I257" s="185">
        <v>351380</v>
      </c>
      <c r="J257" s="196">
        <f>VLOOKUP(B257,泰康小区账面房号及收款金额!$A$2:$B$424,2,0)</f>
        <v>351381</v>
      </c>
      <c r="K257" s="196"/>
      <c r="L257" s="196"/>
      <c r="M257" s="196"/>
      <c r="N257" s="196">
        <f t="shared" si="51"/>
        <v>-1</v>
      </c>
      <c r="O257" s="194"/>
      <c r="P257" s="195"/>
      <c r="Q257" s="125">
        <f>VLOOKUP(B257,[2]信息汇总表!$M$2:$T$816,8,0)</f>
        <v>351381</v>
      </c>
      <c r="R257" s="125">
        <f>VLOOKUP(B257,[1]sheet1!$J$4:$K$413,2,0)</f>
        <v>351381</v>
      </c>
      <c r="S257" s="125"/>
      <c r="T257" s="125">
        <f>J257/1.05</f>
        <v>334648.571428571</v>
      </c>
      <c r="U257" s="125">
        <f>T257*0.05</f>
        <v>16732.4285714286</v>
      </c>
      <c r="V257" s="203">
        <f t="shared" si="52"/>
        <v>-16732.4285714286</v>
      </c>
      <c r="W257" s="203">
        <f t="shared" si="59"/>
        <v>16732.4285714286</v>
      </c>
      <c r="X257" s="125"/>
      <c r="Y257" t="s">
        <v>77</v>
      </c>
      <c r="Z257" s="165">
        <f t="shared" si="55"/>
        <v>0</v>
      </c>
    </row>
    <row r="258" hidden="1" spans="1:26">
      <c r="A258" s="175">
        <v>255</v>
      </c>
      <c r="B258" s="187" t="s">
        <v>463</v>
      </c>
      <c r="C258" s="183">
        <v>97.12</v>
      </c>
      <c r="D258" s="179">
        <v>3588</v>
      </c>
      <c r="E258" s="179">
        <f t="shared" si="60"/>
        <v>348467</v>
      </c>
      <c r="F258" s="184" t="s">
        <v>464</v>
      </c>
      <c r="G258" s="182"/>
      <c r="H258" s="185">
        <v>3618</v>
      </c>
      <c r="I258" s="185">
        <v>351380</v>
      </c>
      <c r="J258" s="196">
        <f>VLOOKUP(B258,泰康小区账面房号及收款金额!$A$2:$B$424,2,0)</f>
        <v>351380.4</v>
      </c>
      <c r="K258" s="196"/>
      <c r="L258" s="196"/>
      <c r="M258" s="196"/>
      <c r="N258" s="196">
        <f t="shared" si="51"/>
        <v>-0.400000000023283</v>
      </c>
      <c r="O258" s="194"/>
      <c r="P258" s="195"/>
      <c r="Q258" s="125">
        <f>VLOOKUP(B258,[2]信息汇总表!$M$2:$T$816,8,0)</f>
        <v>351380</v>
      </c>
      <c r="R258" s="125">
        <f>VLOOKUP(B258,[1]sheet1!$J$4:$K$413,2,0)</f>
        <v>334648</v>
      </c>
      <c r="S258" s="125"/>
      <c r="T258" s="125">
        <f t="shared" si="57"/>
        <v>334647.619047619</v>
      </c>
      <c r="U258" s="125">
        <f t="shared" si="49"/>
        <v>16732.380952381</v>
      </c>
      <c r="V258" s="125">
        <f t="shared" si="52"/>
        <v>-0.380952381005045</v>
      </c>
      <c r="W258" s="125">
        <f t="shared" si="59"/>
        <v>-0.419047618997865</v>
      </c>
      <c r="X258" s="125">
        <v>16732.8</v>
      </c>
      <c r="Y258" s="195" t="s">
        <v>42</v>
      </c>
      <c r="Z258" s="165">
        <f t="shared" si="55"/>
        <v>-0.80000000000291</v>
      </c>
    </row>
    <row r="259" ht="13.5" spans="1:26">
      <c r="A259" s="175">
        <v>256</v>
      </c>
      <c r="B259" s="187" t="s">
        <v>465</v>
      </c>
      <c r="C259" s="183">
        <v>97.12</v>
      </c>
      <c r="D259" s="179">
        <v>3358</v>
      </c>
      <c r="E259" s="179">
        <f t="shared" si="60"/>
        <v>326129</v>
      </c>
      <c r="F259" s="184" t="s">
        <v>466</v>
      </c>
      <c r="G259" s="182"/>
      <c r="H259" s="185">
        <v>3300</v>
      </c>
      <c r="I259" s="185">
        <v>320496</v>
      </c>
      <c r="J259" s="196">
        <f>VLOOKUP(B259,泰康小区账面房号及收款金额!$A$2:$B$424,2,0)</f>
        <v>320497</v>
      </c>
      <c r="K259" s="196"/>
      <c r="L259" s="196"/>
      <c r="M259" s="196"/>
      <c r="N259" s="196">
        <f t="shared" si="51"/>
        <v>-1</v>
      </c>
      <c r="O259" s="194"/>
      <c r="P259" s="195"/>
      <c r="Q259" s="125">
        <f>VLOOKUP(B259,[2]信息汇总表!$M$2:$T$816,8,0)+[2]信息汇总表!$T$242</f>
        <v>320496</v>
      </c>
      <c r="R259" s="125">
        <f>VLOOKUP(B259,[1]sheet1!$J$4:$K$413,2,0)</f>
        <v>320497</v>
      </c>
      <c r="S259" s="125"/>
      <c r="T259" s="125">
        <f>J259/1.05</f>
        <v>305235.238095238</v>
      </c>
      <c r="U259" s="125">
        <f>T259*0.05</f>
        <v>15261.7619047619</v>
      </c>
      <c r="V259" s="203">
        <f t="shared" si="52"/>
        <v>-15261.7619047619</v>
      </c>
      <c r="W259" s="203">
        <f t="shared" si="59"/>
        <v>15261.7619047619</v>
      </c>
      <c r="X259" s="125"/>
      <c r="Y259" t="s">
        <v>77</v>
      </c>
      <c r="Z259" s="165">
        <f t="shared" si="55"/>
        <v>0</v>
      </c>
    </row>
    <row r="260" ht="13.5" spans="1:26">
      <c r="A260" s="175">
        <v>257</v>
      </c>
      <c r="B260" s="187" t="s">
        <v>467</v>
      </c>
      <c r="C260" s="183">
        <v>97.12</v>
      </c>
      <c r="D260" s="179">
        <v>3358</v>
      </c>
      <c r="E260" s="179">
        <f t="shared" si="60"/>
        <v>326129</v>
      </c>
      <c r="F260" s="184" t="s">
        <v>468</v>
      </c>
      <c r="G260" s="182"/>
      <c r="H260" s="185">
        <v>3328</v>
      </c>
      <c r="I260" s="185">
        <v>323215</v>
      </c>
      <c r="J260" s="196">
        <f>VLOOKUP(B260,泰康小区账面房号及收款金额!$A$2:$B$424,2,0)</f>
        <v>323215</v>
      </c>
      <c r="K260" s="196"/>
      <c r="L260" s="196"/>
      <c r="M260" s="196"/>
      <c r="N260" s="196">
        <f t="shared" si="51"/>
        <v>0</v>
      </c>
      <c r="O260" s="194"/>
      <c r="P260" s="195"/>
      <c r="Q260" s="125">
        <f>VLOOKUP(B260,[2]信息汇总表!$M$2:$T$816,8,0)</f>
        <v>323215</v>
      </c>
      <c r="R260" s="125">
        <f>VLOOKUP(B260,[1]sheet1!$J$4:$K$413,2,0)</f>
        <v>323215</v>
      </c>
      <c r="S260" s="125"/>
      <c r="T260" s="125">
        <f t="shared" si="57"/>
        <v>307823.80952381</v>
      </c>
      <c r="U260" s="125">
        <f t="shared" si="49"/>
        <v>15391.19047619</v>
      </c>
      <c r="V260" s="203">
        <f t="shared" si="52"/>
        <v>-15391.19047619</v>
      </c>
      <c r="W260" s="203">
        <f t="shared" si="59"/>
        <v>15391.19047619</v>
      </c>
      <c r="X260" s="125"/>
      <c r="Y260" t="s">
        <v>77</v>
      </c>
      <c r="Z260" s="165">
        <f t="shared" si="55"/>
        <v>0</v>
      </c>
    </row>
    <row r="261" spans="1:26">
      <c r="A261" s="175">
        <v>258</v>
      </c>
      <c r="B261" s="187" t="s">
        <v>469</v>
      </c>
      <c r="C261" s="183">
        <v>89.99</v>
      </c>
      <c r="D261" s="179">
        <v>3318</v>
      </c>
      <c r="E261" s="179">
        <f t="shared" si="60"/>
        <v>298587</v>
      </c>
      <c r="F261" s="184" t="s">
        <v>470</v>
      </c>
      <c r="G261" s="182"/>
      <c r="H261" s="185">
        <v>2218</v>
      </c>
      <c r="I261" s="185">
        <v>199598</v>
      </c>
      <c r="J261" s="196">
        <f>VLOOKUP(B261,泰康小区账面房号及收款金额!$A$2:$B$424,2,0)</f>
        <v>189598.5</v>
      </c>
      <c r="K261" s="196">
        <f>其他应付款!J608</f>
        <v>10000</v>
      </c>
      <c r="L261" s="196"/>
      <c r="M261" s="196"/>
      <c r="N261" s="196">
        <f>I261-J261-K261</f>
        <v>-0.5</v>
      </c>
      <c r="O261" s="194"/>
      <c r="P261" s="195"/>
      <c r="Q261" s="125">
        <f>VLOOKUP(B261,[2]信息汇总表!$M$2:$T$816,8,0)</f>
        <v>199598</v>
      </c>
      <c r="R261" s="125">
        <f>VLOOKUP(B261,[1]sheet1!$J$4:$K$413,2,0)</f>
        <v>180570</v>
      </c>
      <c r="S261" s="125"/>
      <c r="T261" s="125">
        <f t="shared" si="57"/>
        <v>190093.333333333</v>
      </c>
      <c r="U261" s="125">
        <f>T261*0.05</f>
        <v>9504.66666666665</v>
      </c>
      <c r="V261" s="203">
        <f t="shared" si="52"/>
        <v>9523.33333333299</v>
      </c>
      <c r="W261" s="203">
        <f t="shared" si="59"/>
        <v>476.66666666665</v>
      </c>
      <c r="X261" s="125">
        <v>9028</v>
      </c>
      <c r="Y261" s="195"/>
      <c r="Z261" s="165">
        <f t="shared" si="55"/>
        <v>9999.99999999964</v>
      </c>
    </row>
    <row r="262" hidden="1" spans="1:26">
      <c r="A262" s="175">
        <v>259</v>
      </c>
      <c r="B262" s="187" t="s">
        <v>471</v>
      </c>
      <c r="C262" s="183">
        <v>89.99</v>
      </c>
      <c r="D262" s="179">
        <v>3318</v>
      </c>
      <c r="E262" s="179">
        <f t="shared" si="60"/>
        <v>298587</v>
      </c>
      <c r="F262" s="184" t="s">
        <v>472</v>
      </c>
      <c r="G262" s="182"/>
      <c r="H262" s="185">
        <v>2180</v>
      </c>
      <c r="I262" s="185">
        <v>196178</v>
      </c>
      <c r="J262" s="196">
        <f>VLOOKUP(B262,泰康小区账面房号及收款金额!$A$2:$B$424,2,0)</f>
        <v>196177.8</v>
      </c>
      <c r="K262" s="196"/>
      <c r="L262" s="196"/>
      <c r="M262" s="196"/>
      <c r="N262" s="196">
        <f t="shared" si="51"/>
        <v>0.200000000011642</v>
      </c>
      <c r="O262" s="194"/>
      <c r="P262" s="195"/>
      <c r="Q262" s="125">
        <f>VLOOKUP(B262,[2]信息汇总表!$M$2:$T$816,8,0)</f>
        <v>196178</v>
      </c>
      <c r="R262" s="125">
        <f>VLOOKUP(B262,[1]sheet1!$J$4:$K$413,2,0)</f>
        <v>186836</v>
      </c>
      <c r="S262" s="125"/>
      <c r="T262" s="125">
        <f t="shared" si="57"/>
        <v>186836.19047619</v>
      </c>
      <c r="U262" s="125">
        <f t="shared" ref="U261:U324" si="61">I262-T262</f>
        <v>9341.80952380999</v>
      </c>
      <c r="V262" s="125">
        <f t="shared" si="52"/>
        <v>0.190476190007757</v>
      </c>
      <c r="W262" s="125">
        <f t="shared" si="59"/>
        <v>0.0095238099929702</v>
      </c>
      <c r="X262" s="125">
        <v>9341.8</v>
      </c>
      <c r="Y262" s="195" t="s">
        <v>42</v>
      </c>
      <c r="Z262" s="165">
        <f t="shared" si="55"/>
        <v>0.200000000000727</v>
      </c>
    </row>
    <row r="263" hidden="1" spans="1:26">
      <c r="A263" s="175">
        <v>260</v>
      </c>
      <c r="B263" s="187" t="s">
        <v>473</v>
      </c>
      <c r="C263" s="183">
        <v>97.12</v>
      </c>
      <c r="D263" s="179">
        <v>3098</v>
      </c>
      <c r="E263" s="179">
        <f t="shared" si="60"/>
        <v>300878</v>
      </c>
      <c r="F263" s="184" t="s">
        <v>474</v>
      </c>
      <c r="G263" s="182" t="s">
        <v>48</v>
      </c>
      <c r="H263" s="185">
        <v>3150</v>
      </c>
      <c r="I263" s="185">
        <v>305928</v>
      </c>
      <c r="J263" s="196">
        <f>VLOOKUP(B263,泰康小区账面房号及收款金额!$A$2:$B$424,2,0)</f>
        <v>305928</v>
      </c>
      <c r="K263" s="196"/>
      <c r="L263" s="196"/>
      <c r="M263" s="196"/>
      <c r="N263" s="196">
        <f t="shared" si="51"/>
        <v>0</v>
      </c>
      <c r="O263" s="194"/>
      <c r="P263" s="195"/>
      <c r="Q263" s="125">
        <f>VLOOKUP(B263,[2]信息汇总表!$M$2:$T$816,8,0)</f>
        <v>305928</v>
      </c>
      <c r="R263" s="125">
        <f>VLOOKUP(B263,[1]sheet1!$J$4:$K$413,2,0)</f>
        <v>291360</v>
      </c>
      <c r="S263" s="125"/>
      <c r="T263" s="125">
        <f t="shared" si="57"/>
        <v>291360</v>
      </c>
      <c r="U263" s="125">
        <f t="shared" si="61"/>
        <v>14568</v>
      </c>
      <c r="V263" s="125">
        <f t="shared" si="52"/>
        <v>0</v>
      </c>
      <c r="W263" s="125">
        <f t="shared" si="59"/>
        <v>0</v>
      </c>
      <c r="X263" s="125">
        <v>14568</v>
      </c>
      <c r="Y263" s="195" t="s">
        <v>42</v>
      </c>
      <c r="Z263" s="165">
        <f t="shared" si="55"/>
        <v>0</v>
      </c>
    </row>
    <row r="264" hidden="1" spans="1:26">
      <c r="A264" s="175">
        <v>261</v>
      </c>
      <c r="B264" s="187" t="s">
        <v>475</v>
      </c>
      <c r="C264" s="183">
        <v>97.12</v>
      </c>
      <c r="D264" s="179">
        <v>4108</v>
      </c>
      <c r="E264" s="179">
        <f t="shared" si="60"/>
        <v>398969</v>
      </c>
      <c r="F264" s="184" t="s">
        <v>476</v>
      </c>
      <c r="G264" s="182"/>
      <c r="H264" s="185">
        <v>3150</v>
      </c>
      <c r="I264" s="185">
        <v>305928</v>
      </c>
      <c r="J264" s="196">
        <f>VLOOKUP(B264,泰康小区账面房号及收款金额!$A$2:$B$424,2,0)</f>
        <v>305928</v>
      </c>
      <c r="K264" s="196"/>
      <c r="L264" s="196"/>
      <c r="M264" s="196"/>
      <c r="N264" s="196">
        <f t="shared" ref="N264:N327" si="62">I264-J264</f>
        <v>0</v>
      </c>
      <c r="O264" s="194"/>
      <c r="P264" s="195"/>
      <c r="Q264" s="125">
        <f>VLOOKUP(B264,[2]信息汇总表!$M$2:$T$816,8,0)</f>
        <v>305928</v>
      </c>
      <c r="R264" s="125">
        <f>VLOOKUP(B264,[1]sheet1!$J$4:$K$413,2,0)</f>
        <v>291360</v>
      </c>
      <c r="S264" s="125"/>
      <c r="T264" s="125">
        <f t="shared" si="57"/>
        <v>291360</v>
      </c>
      <c r="U264" s="125">
        <f t="shared" si="61"/>
        <v>14568</v>
      </c>
      <c r="V264" s="125">
        <f t="shared" si="52"/>
        <v>0</v>
      </c>
      <c r="W264" s="125">
        <f t="shared" si="59"/>
        <v>0</v>
      </c>
      <c r="X264" s="125">
        <v>14568</v>
      </c>
      <c r="Y264" s="195" t="s">
        <v>42</v>
      </c>
      <c r="Z264" s="165">
        <f t="shared" si="55"/>
        <v>0</v>
      </c>
    </row>
    <row r="265" ht="13.5" spans="1:26">
      <c r="A265" s="175">
        <v>262</v>
      </c>
      <c r="B265" s="187" t="s">
        <v>477</v>
      </c>
      <c r="C265" s="183">
        <v>97.12</v>
      </c>
      <c r="D265" s="179">
        <v>4028</v>
      </c>
      <c r="E265" s="179">
        <f t="shared" si="60"/>
        <v>391199</v>
      </c>
      <c r="F265" s="184" t="s">
        <v>478</v>
      </c>
      <c r="G265" s="182"/>
      <c r="H265" s="185">
        <v>4008</v>
      </c>
      <c r="I265" s="185">
        <v>389257</v>
      </c>
      <c r="J265" s="196">
        <f>VLOOKUP(B265,泰康小区账面房号及收款金额!$A$2:$B$424,2,0)</f>
        <v>389257</v>
      </c>
      <c r="K265" s="196"/>
      <c r="L265" s="196"/>
      <c r="M265" s="196"/>
      <c r="N265" s="196">
        <f t="shared" si="62"/>
        <v>0</v>
      </c>
      <c r="O265" s="194"/>
      <c r="P265" s="195"/>
      <c r="Q265" s="125">
        <f>VLOOKUP(B265,[2]信息汇总表!$M$2:$T$816,8,0)</f>
        <v>389257</v>
      </c>
      <c r="R265" s="125">
        <f>VLOOKUP(B265,[1]sheet1!$J$4:$K$413,2,0)</f>
        <v>389257</v>
      </c>
      <c r="S265" s="125"/>
      <c r="T265" s="125">
        <f t="shared" si="57"/>
        <v>370720.952380952</v>
      </c>
      <c r="U265" s="125">
        <f t="shared" si="61"/>
        <v>18536.047619048</v>
      </c>
      <c r="V265" s="203">
        <f t="shared" ref="V265:V287" si="63">T265-S265-R265</f>
        <v>-18536.047619048</v>
      </c>
      <c r="W265" s="203">
        <f t="shared" si="59"/>
        <v>18536.047619048</v>
      </c>
      <c r="X265" s="125"/>
      <c r="Y265" t="s">
        <v>77</v>
      </c>
      <c r="Z265" s="165">
        <f t="shared" si="55"/>
        <v>0</v>
      </c>
    </row>
    <row r="266" ht="13.5" spans="1:26">
      <c r="A266" s="175">
        <v>263</v>
      </c>
      <c r="B266" s="187" t="s">
        <v>479</v>
      </c>
      <c r="C266" s="183">
        <v>97.12</v>
      </c>
      <c r="D266" s="179">
        <v>4028</v>
      </c>
      <c r="E266" s="179">
        <f t="shared" si="60"/>
        <v>391199</v>
      </c>
      <c r="F266" s="184" t="s">
        <v>480</v>
      </c>
      <c r="G266" s="182" t="s">
        <v>48</v>
      </c>
      <c r="H266" s="185">
        <v>3100</v>
      </c>
      <c r="I266" s="185">
        <v>301072</v>
      </c>
      <c r="J266" s="196">
        <f>VLOOKUP(B266,泰康小区账面房号及收款金额!$A$2:$B$424,2,0)</f>
        <v>301072</v>
      </c>
      <c r="K266" s="196"/>
      <c r="L266" s="196"/>
      <c r="M266" s="196"/>
      <c r="N266" s="196">
        <f t="shared" si="62"/>
        <v>0</v>
      </c>
      <c r="O266" s="194"/>
      <c r="P266" s="195"/>
      <c r="Q266" s="125">
        <f>VLOOKUP(B266,[2]信息汇总表!$M$2:$T$816,8,0)</f>
        <v>301072</v>
      </c>
      <c r="R266" s="125">
        <f>VLOOKUP(B266,[1]sheet1!$J$4:$K$413,2,0)</f>
        <v>301091</v>
      </c>
      <c r="S266" s="125"/>
      <c r="T266" s="125">
        <f t="shared" si="57"/>
        <v>286735.238095238</v>
      </c>
      <c r="U266" s="125">
        <f t="shared" si="61"/>
        <v>14336.761904762</v>
      </c>
      <c r="V266" s="203">
        <f t="shared" si="63"/>
        <v>-14355.761904762</v>
      </c>
      <c r="W266" s="203">
        <f t="shared" si="59"/>
        <v>14355.761904762</v>
      </c>
      <c r="X266" s="125">
        <v>-19</v>
      </c>
      <c r="Y266" t="s">
        <v>77</v>
      </c>
      <c r="Z266" s="165">
        <f t="shared" si="55"/>
        <v>0</v>
      </c>
    </row>
    <row r="267" ht="13.5" spans="1:26">
      <c r="A267" s="175">
        <v>264</v>
      </c>
      <c r="B267" s="187" t="s">
        <v>481</v>
      </c>
      <c r="C267" s="183">
        <v>97.12</v>
      </c>
      <c r="D267" s="179">
        <v>4048</v>
      </c>
      <c r="E267" s="179">
        <f t="shared" si="60"/>
        <v>393142</v>
      </c>
      <c r="F267" s="184" t="s">
        <v>482</v>
      </c>
      <c r="G267" s="182"/>
      <c r="H267" s="185">
        <v>4048</v>
      </c>
      <c r="I267" s="185">
        <v>393142</v>
      </c>
      <c r="J267" s="196">
        <f>VLOOKUP(B267,泰康小区账面房号及收款金额!$A$2:$B$424,2,0)</f>
        <v>393142</v>
      </c>
      <c r="K267" s="196"/>
      <c r="L267" s="196"/>
      <c r="M267" s="196"/>
      <c r="N267" s="196">
        <f t="shared" si="62"/>
        <v>0</v>
      </c>
      <c r="O267" s="194"/>
      <c r="P267" s="195"/>
      <c r="Q267" s="125">
        <f>VLOOKUP(B267,[2]信息汇总表!$M$2:$T$816,8,0)</f>
        <v>393142</v>
      </c>
      <c r="R267" s="125">
        <f>VLOOKUP(B267,[1]sheet1!$J$4:$K$413,2,0)</f>
        <v>393142</v>
      </c>
      <c r="S267" s="125"/>
      <c r="T267" s="125">
        <f t="shared" si="57"/>
        <v>374420.952380952</v>
      </c>
      <c r="U267" s="125">
        <f t="shared" si="61"/>
        <v>18721.047619048</v>
      </c>
      <c r="V267" s="203">
        <f t="shared" si="63"/>
        <v>-18721.047619048</v>
      </c>
      <c r="W267" s="203">
        <f t="shared" si="59"/>
        <v>18721.047619048</v>
      </c>
      <c r="X267" s="125"/>
      <c r="Y267" t="s">
        <v>77</v>
      </c>
      <c r="Z267" s="165">
        <f t="shared" si="55"/>
        <v>0</v>
      </c>
    </row>
    <row r="268" ht="13.5" spans="1:26">
      <c r="A268" s="175">
        <v>265</v>
      </c>
      <c r="B268" s="187" t="s">
        <v>483</v>
      </c>
      <c r="C268" s="183">
        <v>97.12</v>
      </c>
      <c r="D268" s="179">
        <v>3528</v>
      </c>
      <c r="E268" s="179">
        <f t="shared" si="60"/>
        <v>342639</v>
      </c>
      <c r="F268" s="184" t="s">
        <v>484</v>
      </c>
      <c r="G268" s="182"/>
      <c r="H268" s="185">
        <v>3558</v>
      </c>
      <c r="I268" s="185">
        <v>345553</v>
      </c>
      <c r="J268" s="196">
        <f>VLOOKUP(B268,泰康小区账面房号及收款金额!$A$2:$B$424,2,0)</f>
        <v>345529.85</v>
      </c>
      <c r="K268" s="196"/>
      <c r="L268" s="196"/>
      <c r="M268" s="196"/>
      <c r="N268" s="196">
        <f t="shared" si="62"/>
        <v>23.1500000000233</v>
      </c>
      <c r="O268" s="194"/>
      <c r="P268" s="195"/>
      <c r="Q268" s="125">
        <f>VLOOKUP(B268,[2]信息汇总表!$M$2:$T$816,8,0)</f>
        <v>346016</v>
      </c>
      <c r="R268" s="125">
        <f>VLOOKUP(B268,[1]sheet1!$J$4:$K$413,2,0)</f>
        <v>345553</v>
      </c>
      <c r="S268" s="125"/>
      <c r="T268" s="125">
        <f t="shared" si="57"/>
        <v>329098.095238095</v>
      </c>
      <c r="U268" s="125">
        <f t="shared" si="61"/>
        <v>16454.904761905</v>
      </c>
      <c r="V268" s="203">
        <f t="shared" si="63"/>
        <v>-16454.904761905</v>
      </c>
      <c r="W268" s="203">
        <f t="shared" si="59"/>
        <v>16454.904761905</v>
      </c>
      <c r="X268" s="125"/>
      <c r="Y268" t="s">
        <v>77</v>
      </c>
      <c r="Z268" s="165">
        <f t="shared" si="55"/>
        <v>0</v>
      </c>
    </row>
    <row r="269" ht="13.5" spans="1:26">
      <c r="A269" s="175">
        <v>266</v>
      </c>
      <c r="B269" s="187" t="s">
        <v>485</v>
      </c>
      <c r="C269" s="183">
        <v>97.12</v>
      </c>
      <c r="D269" s="179">
        <v>3588</v>
      </c>
      <c r="E269" s="179">
        <f t="shared" si="60"/>
        <v>348467</v>
      </c>
      <c r="F269" s="184" t="s">
        <v>486</v>
      </c>
      <c r="G269" s="182"/>
      <c r="H269" s="185">
        <v>3618</v>
      </c>
      <c r="I269" s="185">
        <v>351380</v>
      </c>
      <c r="J269" s="196">
        <f>VLOOKUP(B269,泰康小区账面房号及收款金额!$A$2:$B$424,2,0)</f>
        <v>351356.45</v>
      </c>
      <c r="K269" s="196"/>
      <c r="L269" s="196"/>
      <c r="M269" s="196"/>
      <c r="N269" s="196">
        <f t="shared" si="62"/>
        <v>23.5499999999884</v>
      </c>
      <c r="O269" s="194"/>
      <c r="P269" s="195"/>
      <c r="Q269" s="125">
        <f>VLOOKUP(B269,[2]信息汇总表!$M$2:$T$816,8,0)</f>
        <v>351380</v>
      </c>
      <c r="R269" s="125">
        <f>VLOOKUP(B269,[1]sheet1!$J$4:$K$413,2,0)</f>
        <v>351380</v>
      </c>
      <c r="S269" s="125"/>
      <c r="T269" s="125">
        <f t="shared" si="57"/>
        <v>334647.619047619</v>
      </c>
      <c r="U269" s="125">
        <f t="shared" si="61"/>
        <v>16732.380952381</v>
      </c>
      <c r="V269" s="203">
        <f t="shared" si="63"/>
        <v>-16732.380952381</v>
      </c>
      <c r="W269" s="203">
        <f t="shared" si="59"/>
        <v>16732.380952381</v>
      </c>
      <c r="X269" s="125"/>
      <c r="Y269" t="s">
        <v>77</v>
      </c>
      <c r="Z269" s="165">
        <f t="shared" si="55"/>
        <v>0</v>
      </c>
    </row>
    <row r="270" ht="13.5" spans="1:26">
      <c r="A270" s="175">
        <v>267</v>
      </c>
      <c r="B270" s="187" t="s">
        <v>487</v>
      </c>
      <c r="C270" s="183">
        <v>97.12</v>
      </c>
      <c r="D270" s="179">
        <v>3598</v>
      </c>
      <c r="E270" s="179">
        <f t="shared" si="60"/>
        <v>349438</v>
      </c>
      <c r="F270" s="184" t="s">
        <v>488</v>
      </c>
      <c r="G270" s="182"/>
      <c r="H270" s="185">
        <v>3618</v>
      </c>
      <c r="I270" s="185">
        <v>351380</v>
      </c>
      <c r="J270" s="196">
        <f>VLOOKUP(B270,泰康小区账面房号及收款金额!$A$2:$B$424,2,0)</f>
        <v>351356.45</v>
      </c>
      <c r="K270" s="196"/>
      <c r="L270" s="196"/>
      <c r="M270" s="196"/>
      <c r="N270" s="196">
        <f t="shared" si="62"/>
        <v>23.5499999999884</v>
      </c>
      <c r="O270" s="194"/>
      <c r="P270" s="195"/>
      <c r="Q270" s="125">
        <f>VLOOKUP(B270,[2]信息汇总表!$M$2:$T$816,8,0)</f>
        <v>351380</v>
      </c>
      <c r="R270" s="125">
        <f>VLOOKUP(B270,[1]sheet1!$J$4:$K$413,2,0)</f>
        <v>351380</v>
      </c>
      <c r="S270" s="125"/>
      <c r="T270" s="125">
        <f t="shared" si="57"/>
        <v>334647.619047619</v>
      </c>
      <c r="U270" s="125">
        <f t="shared" si="61"/>
        <v>16732.380952381</v>
      </c>
      <c r="V270" s="203">
        <f t="shared" si="63"/>
        <v>-16732.380952381</v>
      </c>
      <c r="W270" s="203">
        <f t="shared" si="59"/>
        <v>16732.380952381</v>
      </c>
      <c r="X270" s="125"/>
      <c r="Y270" t="s">
        <v>77</v>
      </c>
      <c r="Z270" s="165">
        <f t="shared" si="55"/>
        <v>0</v>
      </c>
    </row>
    <row r="271" ht="13.5" spans="1:26">
      <c r="A271" s="175">
        <v>268</v>
      </c>
      <c r="B271" s="187" t="s">
        <v>489</v>
      </c>
      <c r="C271" s="183">
        <v>97.12</v>
      </c>
      <c r="D271" s="179">
        <v>3258</v>
      </c>
      <c r="E271" s="179">
        <f t="shared" si="60"/>
        <v>316417</v>
      </c>
      <c r="F271" s="184" t="s">
        <v>490</v>
      </c>
      <c r="G271" s="182"/>
      <c r="H271" s="185">
        <v>3288</v>
      </c>
      <c r="I271" s="185">
        <v>319331</v>
      </c>
      <c r="J271" s="196">
        <f>VLOOKUP(B271,泰康小区账面房号及收款金额!$A$2:$B$424,2,0)</f>
        <v>319331</v>
      </c>
      <c r="K271" s="196"/>
      <c r="L271" s="196"/>
      <c r="M271" s="196"/>
      <c r="N271" s="196">
        <f t="shared" si="62"/>
        <v>0</v>
      </c>
      <c r="O271" s="194"/>
      <c r="P271" s="195"/>
      <c r="Q271" s="125">
        <f>VLOOKUP(B271,[2]信息汇总表!$M$2:$T$816,8,0)</f>
        <v>319330.56</v>
      </c>
      <c r="R271" s="125">
        <f>VLOOKUP(B271,[1]sheet1!$J$4:$K$413,2,0)</f>
        <v>319331</v>
      </c>
      <c r="S271" s="125"/>
      <c r="T271" s="125">
        <f t="shared" si="57"/>
        <v>304124.761904762</v>
      </c>
      <c r="U271" s="125">
        <f t="shared" si="61"/>
        <v>15206.238095238</v>
      </c>
      <c r="V271" s="203">
        <f t="shared" si="63"/>
        <v>-15206.238095238</v>
      </c>
      <c r="W271" s="203">
        <f t="shared" si="59"/>
        <v>15206.238095238</v>
      </c>
      <c r="X271" s="125"/>
      <c r="Y271" t="s">
        <v>77</v>
      </c>
      <c r="Z271" s="165">
        <f t="shared" si="55"/>
        <v>0</v>
      </c>
    </row>
    <row r="272" ht="13.5" spans="1:26">
      <c r="A272" s="175">
        <v>269</v>
      </c>
      <c r="B272" s="187" t="s">
        <v>491</v>
      </c>
      <c r="C272" s="183">
        <v>97.12</v>
      </c>
      <c r="D272" s="179">
        <v>3268</v>
      </c>
      <c r="E272" s="179">
        <f t="shared" si="60"/>
        <v>317388</v>
      </c>
      <c r="F272" s="184" t="s">
        <v>492</v>
      </c>
      <c r="G272" s="182"/>
      <c r="H272" s="185">
        <v>3288</v>
      </c>
      <c r="I272" s="185">
        <v>319331</v>
      </c>
      <c r="J272" s="196">
        <f>VLOOKUP(B272,泰康小区账面房号及收款金额!$A$2:$B$424,2,0)</f>
        <v>319331</v>
      </c>
      <c r="K272" s="196"/>
      <c r="L272" s="196"/>
      <c r="M272" s="196"/>
      <c r="N272" s="196">
        <f t="shared" si="62"/>
        <v>0</v>
      </c>
      <c r="O272" s="194"/>
      <c r="P272" s="195"/>
      <c r="Q272" s="125">
        <f>VLOOKUP(B272,[2]信息汇总表!$M$2:$T$816,8,0)</f>
        <v>319330</v>
      </c>
      <c r="R272" s="125">
        <f>VLOOKUP(B272,[1]sheet1!$J$4:$K$413,2,0)</f>
        <v>319351</v>
      </c>
      <c r="S272" s="125"/>
      <c r="T272" s="125">
        <f t="shared" si="57"/>
        <v>304124.761904762</v>
      </c>
      <c r="U272" s="125">
        <f t="shared" si="61"/>
        <v>15206.238095238</v>
      </c>
      <c r="V272" s="203">
        <f t="shared" si="63"/>
        <v>-15226.238095238</v>
      </c>
      <c r="W272" s="203">
        <f t="shared" si="59"/>
        <v>15226.238095238</v>
      </c>
      <c r="X272" s="125">
        <v>-20</v>
      </c>
      <c r="Y272" t="s">
        <v>77</v>
      </c>
      <c r="Z272" s="165">
        <f t="shared" si="55"/>
        <v>0</v>
      </c>
    </row>
    <row r="273" ht="13.5" spans="1:26">
      <c r="A273" s="175">
        <v>270</v>
      </c>
      <c r="B273" s="187" t="s">
        <v>493</v>
      </c>
      <c r="C273" s="183">
        <v>89.99</v>
      </c>
      <c r="D273" s="179">
        <v>3318</v>
      </c>
      <c r="E273" s="179">
        <f t="shared" si="60"/>
        <v>298587</v>
      </c>
      <c r="F273" s="184" t="s">
        <v>494</v>
      </c>
      <c r="G273" s="182"/>
      <c r="H273" s="185">
        <v>3318</v>
      </c>
      <c r="I273" s="185">
        <v>298587</v>
      </c>
      <c r="J273" s="196">
        <f>VLOOKUP(B273,泰康小区账面房号及收款金额!$A$2:$B$424,2,0)</f>
        <v>298567.1</v>
      </c>
      <c r="K273" s="196"/>
      <c r="L273" s="196"/>
      <c r="M273" s="196"/>
      <c r="N273" s="196">
        <f t="shared" si="62"/>
        <v>19.9000000000233</v>
      </c>
      <c r="O273" s="194"/>
      <c r="P273" s="195"/>
      <c r="Q273" s="125">
        <f>VLOOKUP(B273,[2]信息汇总表!$M$2:$T$816,8,0)</f>
        <v>298587</v>
      </c>
      <c r="R273" s="125">
        <f>VLOOKUP(B273,[1]sheet1!$J$4:$K$413,2,0)</f>
        <v>298587</v>
      </c>
      <c r="S273" s="125"/>
      <c r="T273" s="125">
        <f t="shared" si="57"/>
        <v>284368.571428571</v>
      </c>
      <c r="U273" s="125">
        <f t="shared" si="61"/>
        <v>14218.428571429</v>
      </c>
      <c r="V273" s="203">
        <f t="shared" si="63"/>
        <v>-14218.428571429</v>
      </c>
      <c r="W273" s="203">
        <f t="shared" si="59"/>
        <v>14218.428571429</v>
      </c>
      <c r="X273" s="125"/>
      <c r="Y273" t="s">
        <v>77</v>
      </c>
      <c r="Z273" s="165">
        <f t="shared" si="55"/>
        <v>0</v>
      </c>
    </row>
    <row r="274" ht="13.5" spans="1:26">
      <c r="A274" s="175">
        <v>271</v>
      </c>
      <c r="B274" s="187" t="s">
        <v>495</v>
      </c>
      <c r="C274" s="183">
        <v>89.99</v>
      </c>
      <c r="D274" s="179">
        <v>3318</v>
      </c>
      <c r="E274" s="179">
        <f t="shared" si="60"/>
        <v>298587</v>
      </c>
      <c r="F274" s="184" t="s">
        <v>496</v>
      </c>
      <c r="G274" s="182"/>
      <c r="H274" s="185">
        <v>3248</v>
      </c>
      <c r="I274" s="185">
        <v>292288</v>
      </c>
      <c r="J274" s="196">
        <f>VLOOKUP(B274,泰康小区账面房号及收款金额!$A$2:$B$424,2,0)</f>
        <v>292289</v>
      </c>
      <c r="K274" s="196"/>
      <c r="L274" s="196"/>
      <c r="M274" s="196"/>
      <c r="N274" s="196">
        <f t="shared" si="62"/>
        <v>-1</v>
      </c>
      <c r="O274" s="194"/>
      <c r="P274" s="195"/>
      <c r="Q274" s="125">
        <f>VLOOKUP(B274,[2]信息汇总表!$M$2:$T$816,8,0)</f>
        <v>292288</v>
      </c>
      <c r="R274" s="125">
        <f>VLOOKUP(B274,[1]sheet1!$J$4:$K$413,2,0)</f>
        <v>292289</v>
      </c>
      <c r="S274" s="125"/>
      <c r="T274" s="125">
        <f>J274/1.05</f>
        <v>278370.476190476</v>
      </c>
      <c r="U274" s="125">
        <f>T274*0.05</f>
        <v>13918.5238095238</v>
      </c>
      <c r="V274" s="203">
        <f t="shared" si="63"/>
        <v>-13918.5238095238</v>
      </c>
      <c r="W274" s="203">
        <f t="shared" si="59"/>
        <v>13918.5238095238</v>
      </c>
      <c r="X274" s="125"/>
      <c r="Y274" t="s">
        <v>77</v>
      </c>
      <c r="Z274" s="165">
        <f t="shared" si="55"/>
        <v>0</v>
      </c>
    </row>
    <row r="275" hidden="1" spans="1:26">
      <c r="A275" s="175">
        <v>272</v>
      </c>
      <c r="B275" s="187" t="s">
        <v>497</v>
      </c>
      <c r="C275" s="183">
        <v>97.12</v>
      </c>
      <c r="D275" s="179">
        <v>4108</v>
      </c>
      <c r="E275" s="179">
        <f t="shared" si="60"/>
        <v>398969</v>
      </c>
      <c r="F275" s="184" t="s">
        <v>498</v>
      </c>
      <c r="G275" s="182"/>
      <c r="H275" s="185">
        <v>3168</v>
      </c>
      <c r="I275" s="185">
        <v>307676</v>
      </c>
      <c r="J275" s="196">
        <f>VLOOKUP(B275,泰康小区账面房号及收款金额!$A$2:$B$424,2,0)</f>
        <v>307676.25</v>
      </c>
      <c r="K275" s="196"/>
      <c r="L275" s="196"/>
      <c r="M275" s="196"/>
      <c r="N275" s="196">
        <f t="shared" si="62"/>
        <v>-0.25</v>
      </c>
      <c r="O275" s="194"/>
      <c r="P275" s="195"/>
      <c r="Q275" s="125">
        <f>VLOOKUP(B275,[2]信息汇总表!$M$2:$T$816,8,0)</f>
        <v>307676</v>
      </c>
      <c r="R275" s="125">
        <f>VLOOKUP(B275,[1]sheet1!$J$4:$K$413,2,0)</f>
        <v>293025</v>
      </c>
      <c r="S275" s="125"/>
      <c r="T275" s="125">
        <f t="shared" si="57"/>
        <v>293024.761904762</v>
      </c>
      <c r="U275" s="125">
        <f t="shared" si="61"/>
        <v>14651.238095238</v>
      </c>
      <c r="V275" s="125">
        <f t="shared" si="63"/>
        <v>-0.23809523798991</v>
      </c>
      <c r="W275" s="125">
        <f t="shared" si="59"/>
        <v>-0.0119047620100901</v>
      </c>
      <c r="X275" s="125">
        <v>14651.25</v>
      </c>
      <c r="Y275" s="195" t="s">
        <v>42</v>
      </c>
      <c r="Z275" s="165">
        <f t="shared" si="55"/>
        <v>-0.25</v>
      </c>
    </row>
    <row r="276" hidden="1" spans="1:26">
      <c r="A276" s="175">
        <v>273</v>
      </c>
      <c r="B276" s="187" t="s">
        <v>499</v>
      </c>
      <c r="C276" s="183">
        <v>97.45</v>
      </c>
      <c r="D276" s="179">
        <v>4108</v>
      </c>
      <c r="E276" s="179">
        <f t="shared" si="60"/>
        <v>400325</v>
      </c>
      <c r="F276" s="184" t="s">
        <v>500</v>
      </c>
      <c r="G276" s="182"/>
      <c r="H276" s="185">
        <v>3150</v>
      </c>
      <c r="I276" s="185">
        <v>306968</v>
      </c>
      <c r="J276" s="196">
        <f>VLOOKUP(B276,泰康小区账面房号及收款金额!$A$2:$B$424,2,0)</f>
        <v>306967.5</v>
      </c>
      <c r="K276" s="196"/>
      <c r="L276" s="196"/>
      <c r="M276" s="196"/>
      <c r="N276" s="196">
        <f t="shared" si="62"/>
        <v>0.5</v>
      </c>
      <c r="O276" s="194"/>
      <c r="P276" s="195"/>
      <c r="Q276" s="125">
        <f>VLOOKUP(B276,[2]信息汇总表!$M$2:$T$816,8,0)</f>
        <v>306967</v>
      </c>
      <c r="R276" s="125">
        <f>VLOOKUP(B276,[1]sheet1!$J$4:$K$413,2,0)</f>
        <v>292350</v>
      </c>
      <c r="S276" s="125"/>
      <c r="T276" s="125">
        <f t="shared" si="57"/>
        <v>292350.476190476</v>
      </c>
      <c r="U276" s="125">
        <f t="shared" si="61"/>
        <v>14617.523809524</v>
      </c>
      <c r="V276" s="125">
        <f t="shared" si="63"/>
        <v>0.47619047597982</v>
      </c>
      <c r="W276" s="125">
        <f t="shared" si="59"/>
        <v>0.0238095240201801</v>
      </c>
      <c r="X276" s="125">
        <v>14617.5</v>
      </c>
      <c r="Y276" s="195" t="s">
        <v>42</v>
      </c>
      <c r="Z276" s="165">
        <f t="shared" si="55"/>
        <v>0.5</v>
      </c>
    </row>
    <row r="277" ht="13.5" spans="1:26">
      <c r="A277" s="175">
        <v>274</v>
      </c>
      <c r="B277" s="187" t="s">
        <v>501</v>
      </c>
      <c r="C277" s="183">
        <v>97.12</v>
      </c>
      <c r="D277" s="179">
        <v>4028</v>
      </c>
      <c r="E277" s="179">
        <f t="shared" si="60"/>
        <v>391199</v>
      </c>
      <c r="F277" s="184" t="s">
        <v>502</v>
      </c>
      <c r="G277" s="182"/>
      <c r="H277" s="185">
        <v>4028</v>
      </c>
      <c r="I277" s="185">
        <v>391199</v>
      </c>
      <c r="J277" s="196">
        <f>VLOOKUP(B277,泰康小区账面房号及收款金额!$A$2:$B$424,2,0)</f>
        <v>391172.8</v>
      </c>
      <c r="K277" s="196"/>
      <c r="L277" s="196"/>
      <c r="M277" s="196"/>
      <c r="N277" s="196">
        <f t="shared" si="62"/>
        <v>26.2000000000116</v>
      </c>
      <c r="O277" s="194"/>
      <c r="P277" s="195"/>
      <c r="Q277" s="125">
        <f>VLOOKUP(B277,[2]信息汇总表!$M$2:$T$816,8,0)</f>
        <v>391199</v>
      </c>
      <c r="R277" s="125">
        <f>VLOOKUP(B277,[1]sheet1!$J$4:$K$413,2,0)</f>
        <v>391199</v>
      </c>
      <c r="S277" s="125"/>
      <c r="T277" s="125">
        <f t="shared" si="57"/>
        <v>372570.476190476</v>
      </c>
      <c r="U277" s="125">
        <f t="shared" si="61"/>
        <v>18628.523809524</v>
      </c>
      <c r="V277" s="203">
        <f t="shared" si="63"/>
        <v>-18628.523809524</v>
      </c>
      <c r="W277" s="203">
        <f t="shared" si="59"/>
        <v>18628.523809524</v>
      </c>
      <c r="X277" s="125"/>
      <c r="Y277" t="s">
        <v>77</v>
      </c>
      <c r="Z277" s="165">
        <f t="shared" si="55"/>
        <v>0</v>
      </c>
    </row>
    <row r="278" ht="13.5" spans="1:26">
      <c r="A278" s="175">
        <v>275</v>
      </c>
      <c r="B278" s="187" t="s">
        <v>503</v>
      </c>
      <c r="C278" s="183">
        <v>97.45</v>
      </c>
      <c r="D278" s="179">
        <v>4028</v>
      </c>
      <c r="E278" s="179">
        <f t="shared" si="60"/>
        <v>392529</v>
      </c>
      <c r="F278" s="184" t="s">
        <v>504</v>
      </c>
      <c r="G278" s="182"/>
      <c r="H278" s="185">
        <v>4028</v>
      </c>
      <c r="I278" s="185">
        <v>392529</v>
      </c>
      <c r="J278" s="196">
        <f>VLOOKUP(B278,泰康小区账面房号及收款金额!$A$2:$B$424,2,0)</f>
        <v>392500.8</v>
      </c>
      <c r="K278" s="196"/>
      <c r="L278" s="196"/>
      <c r="M278" s="196"/>
      <c r="N278" s="196">
        <f t="shared" si="62"/>
        <v>28.2000000000116</v>
      </c>
      <c r="O278" s="194"/>
      <c r="P278" s="195"/>
      <c r="Q278" s="125">
        <f>VLOOKUP(B278,[2]信息汇总表!$M$2:$T$816,8,0)</f>
        <v>392529</v>
      </c>
      <c r="R278" s="125">
        <f>VLOOKUP(B278,[1]sheet1!$J$4:$K$413,2,0)</f>
        <v>392529</v>
      </c>
      <c r="S278" s="125"/>
      <c r="T278" s="125">
        <f t="shared" si="57"/>
        <v>373837.142857143</v>
      </c>
      <c r="U278" s="125">
        <f t="shared" si="61"/>
        <v>18691.857142857</v>
      </c>
      <c r="V278" s="203">
        <f t="shared" si="63"/>
        <v>-18691.857142857</v>
      </c>
      <c r="W278" s="203">
        <f t="shared" si="59"/>
        <v>18691.857142857</v>
      </c>
      <c r="X278" s="125"/>
      <c r="Y278" t="s">
        <v>77</v>
      </c>
      <c r="Z278" s="165">
        <f t="shared" si="55"/>
        <v>0</v>
      </c>
    </row>
    <row r="279" hidden="1" spans="1:26">
      <c r="A279" s="175">
        <v>276</v>
      </c>
      <c r="B279" s="187" t="s">
        <v>505</v>
      </c>
      <c r="C279" s="183">
        <v>97.12</v>
      </c>
      <c r="D279" s="179">
        <v>4048</v>
      </c>
      <c r="E279" s="179">
        <f t="shared" si="60"/>
        <v>393142</v>
      </c>
      <c r="F279" s="184" t="s">
        <v>506</v>
      </c>
      <c r="G279" s="182" t="s">
        <v>48</v>
      </c>
      <c r="H279" s="185">
        <v>3938</v>
      </c>
      <c r="I279" s="185">
        <v>382459</v>
      </c>
      <c r="J279" s="196">
        <f>VLOOKUP(B279,泰康小区账面房号及收款金额!$A$2:$B$424,2,0)</f>
        <v>382459.35</v>
      </c>
      <c r="K279" s="196"/>
      <c r="L279" s="196"/>
      <c r="M279" s="196"/>
      <c r="N279" s="196">
        <f t="shared" si="62"/>
        <v>-0.349999999976717</v>
      </c>
      <c r="O279" s="194"/>
      <c r="P279" s="195"/>
      <c r="Q279" s="125">
        <f>VLOOKUP(B279,[2]信息汇总表!$M$2:$T$816,8,0)</f>
        <v>291360</v>
      </c>
      <c r="R279" s="125">
        <f>VLOOKUP(B279,[1]sheet1!$J$4:$K$413,2,0)</f>
        <v>364247</v>
      </c>
      <c r="S279" s="125"/>
      <c r="T279" s="125">
        <f t="shared" si="57"/>
        <v>364246.666666667</v>
      </c>
      <c r="U279" s="125">
        <f t="shared" si="61"/>
        <v>18212.333333333</v>
      </c>
      <c r="V279" s="125">
        <f t="shared" si="63"/>
        <v>-0.333333333022892</v>
      </c>
      <c r="W279" s="125">
        <f t="shared" si="59"/>
        <v>-0.0166666669756523</v>
      </c>
      <c r="X279" s="125">
        <v>18212.35</v>
      </c>
      <c r="Y279" s="195" t="s">
        <v>42</v>
      </c>
      <c r="Z279" s="165">
        <f t="shared" ref="Z279:Z342" si="64">V279+W279</f>
        <v>-0.349999999998544</v>
      </c>
    </row>
    <row r="280" ht="13.5" spans="1:26">
      <c r="A280" s="175">
        <v>277</v>
      </c>
      <c r="B280" s="187" t="s">
        <v>507</v>
      </c>
      <c r="C280" s="183">
        <v>97.45</v>
      </c>
      <c r="D280" s="179">
        <v>4048</v>
      </c>
      <c r="E280" s="179">
        <f t="shared" si="60"/>
        <v>394478</v>
      </c>
      <c r="F280" s="184" t="s">
        <v>508</v>
      </c>
      <c r="G280" s="182"/>
      <c r="H280" s="185">
        <v>4048</v>
      </c>
      <c r="I280" s="185">
        <v>394478</v>
      </c>
      <c r="J280" s="196">
        <f>VLOOKUP(B280,泰康小区账面房号及收款金额!$A$2:$B$424,2,0)</f>
        <v>394477</v>
      </c>
      <c r="K280" s="196"/>
      <c r="L280" s="196"/>
      <c r="M280" s="196"/>
      <c r="N280" s="196">
        <f t="shared" si="62"/>
        <v>1</v>
      </c>
      <c r="O280" s="194"/>
      <c r="P280" s="195"/>
      <c r="Q280" s="125">
        <f>VLOOKUP(B280,[2]信息汇总表!$M$2:$T$816,8,0)</f>
        <v>394478</v>
      </c>
      <c r="R280" s="125">
        <f>VLOOKUP(B280,[1]sheet1!$J$4:$K$413,2,0)</f>
        <v>394477</v>
      </c>
      <c r="S280" s="125"/>
      <c r="T280" s="125">
        <f>J280/1.05</f>
        <v>375692.380952381</v>
      </c>
      <c r="U280" s="125">
        <f>T280*0.05</f>
        <v>18784.619047619</v>
      </c>
      <c r="V280" s="203">
        <f t="shared" si="63"/>
        <v>-18784.6190476191</v>
      </c>
      <c r="W280" s="203">
        <f t="shared" si="59"/>
        <v>18784.619047619</v>
      </c>
      <c r="X280" s="125"/>
      <c r="Y280" t="s">
        <v>77</v>
      </c>
      <c r="Z280" s="165">
        <f t="shared" si="64"/>
        <v>-1.01863406598568e-10</v>
      </c>
    </row>
    <row r="281" hidden="1" spans="1:26">
      <c r="A281" s="175">
        <v>278</v>
      </c>
      <c r="B281" s="187" t="s">
        <v>509</v>
      </c>
      <c r="C281" s="183">
        <v>97.12</v>
      </c>
      <c r="D281" s="179">
        <v>3688</v>
      </c>
      <c r="E281" s="179">
        <f t="shared" si="60"/>
        <v>358179</v>
      </c>
      <c r="F281" s="184" t="s">
        <v>510</v>
      </c>
      <c r="G281" s="182"/>
      <c r="H281" s="185">
        <v>3080</v>
      </c>
      <c r="I281" s="185">
        <v>299130</v>
      </c>
      <c r="J281" s="196">
        <f>VLOOKUP(B281,泰康小区账面房号及收款金额!$A$2:$B$424,2,0)</f>
        <v>299130.3</v>
      </c>
      <c r="K281" s="196"/>
      <c r="L281" s="196"/>
      <c r="M281" s="196"/>
      <c r="N281" s="196">
        <f t="shared" si="62"/>
        <v>-0.299999999988358</v>
      </c>
      <c r="O281" s="194"/>
      <c r="P281" s="195"/>
      <c r="Q281" s="125">
        <f>VLOOKUP(B281,[2]信息汇总表!$M$2:$T$816,8,0)</f>
        <v>299130</v>
      </c>
      <c r="R281" s="125">
        <f>VLOOKUP(B281,[1]sheet1!$J$4:$K$413,2,0)</f>
        <v>284886</v>
      </c>
      <c r="S281" s="125"/>
      <c r="T281" s="125">
        <f t="shared" si="57"/>
        <v>284885.714285714</v>
      </c>
      <c r="U281" s="125">
        <f t="shared" si="61"/>
        <v>14244.285714286</v>
      </c>
      <c r="V281" s="125">
        <f t="shared" si="63"/>
        <v>-0.285714285972062</v>
      </c>
      <c r="W281" s="125">
        <f t="shared" si="59"/>
        <v>0.285714285972062</v>
      </c>
      <c r="X281" s="125">
        <v>14244</v>
      </c>
      <c r="Y281" s="195" t="s">
        <v>42</v>
      </c>
      <c r="Z281" s="165">
        <f t="shared" si="64"/>
        <v>4.9960036108132e-16</v>
      </c>
    </row>
    <row r="282" ht="13.5" spans="1:26">
      <c r="A282" s="175">
        <v>279</v>
      </c>
      <c r="B282" s="187" t="s">
        <v>511</v>
      </c>
      <c r="C282" s="183">
        <v>97.45</v>
      </c>
      <c r="D282" s="179">
        <v>3588</v>
      </c>
      <c r="E282" s="179">
        <f t="shared" si="60"/>
        <v>349651</v>
      </c>
      <c r="F282" s="184" t="s">
        <v>512</v>
      </c>
      <c r="G282" s="182"/>
      <c r="H282" s="185">
        <v>3618</v>
      </c>
      <c r="I282" s="185">
        <v>352574</v>
      </c>
      <c r="J282" s="196">
        <f>VLOOKUP(B282,泰康小区账面房号及收款金额!$A$2:$B$424,2,0)</f>
        <v>352548.65</v>
      </c>
      <c r="K282" s="196"/>
      <c r="L282" s="196"/>
      <c r="M282" s="196"/>
      <c r="N282" s="196">
        <f t="shared" si="62"/>
        <v>25.3499999999767</v>
      </c>
      <c r="O282" s="194"/>
      <c r="P282" s="195"/>
      <c r="Q282" s="125">
        <f>VLOOKUP(B282,[2]信息汇总表!$M$2:$T$816,8,0)</f>
        <v>352574</v>
      </c>
      <c r="R282" s="125">
        <f>VLOOKUP(B282,[1]sheet1!$J$4:$K$413,2,0)</f>
        <v>352574</v>
      </c>
      <c r="S282" s="125"/>
      <c r="T282" s="125">
        <f t="shared" si="57"/>
        <v>335784.761904762</v>
      </c>
      <c r="U282" s="125">
        <f t="shared" si="61"/>
        <v>16789.238095238</v>
      </c>
      <c r="V282" s="203">
        <f t="shared" si="63"/>
        <v>-16789.238095238</v>
      </c>
      <c r="W282" s="203">
        <f t="shared" si="59"/>
        <v>16789.238095238</v>
      </c>
      <c r="X282" s="125"/>
      <c r="Y282" t="s">
        <v>77</v>
      </c>
      <c r="Z282" s="165">
        <f t="shared" si="64"/>
        <v>0</v>
      </c>
    </row>
    <row r="283" ht="13.5" spans="1:26">
      <c r="A283" s="175">
        <v>280</v>
      </c>
      <c r="B283" s="187" t="s">
        <v>513</v>
      </c>
      <c r="C283" s="183">
        <v>97.12</v>
      </c>
      <c r="D283" s="179">
        <v>3358</v>
      </c>
      <c r="E283" s="179">
        <f t="shared" si="60"/>
        <v>326129</v>
      </c>
      <c r="F283" s="184" t="s">
        <v>514</v>
      </c>
      <c r="G283" s="182"/>
      <c r="H283" s="185">
        <v>3300</v>
      </c>
      <c r="I283" s="185">
        <v>320496</v>
      </c>
      <c r="J283" s="196">
        <f>VLOOKUP(B283,泰康小区账面房号及收款金额!$A$2:$B$424,2,0)</f>
        <v>320474.55</v>
      </c>
      <c r="K283" s="196"/>
      <c r="L283" s="196"/>
      <c r="M283" s="196"/>
      <c r="N283" s="196">
        <f t="shared" si="62"/>
        <v>21.4500000000116</v>
      </c>
      <c r="O283" s="194"/>
      <c r="P283" s="195"/>
      <c r="Q283" s="125">
        <f>VLOOKUP(B283,[2]信息汇总表!$M$2:$T$816,8,0)</f>
        <v>320496</v>
      </c>
      <c r="R283" s="125">
        <f>VLOOKUP(B283,[1]sheet1!$J$4:$K$413,2,0)</f>
        <v>320496</v>
      </c>
      <c r="S283" s="125"/>
      <c r="T283" s="125">
        <f t="shared" si="57"/>
        <v>305234.285714286</v>
      </c>
      <c r="U283" s="125">
        <f t="shared" si="61"/>
        <v>15261.714285714</v>
      </c>
      <c r="V283" s="203">
        <f t="shared" si="63"/>
        <v>-15261.714285714</v>
      </c>
      <c r="W283" s="203">
        <f t="shared" si="59"/>
        <v>15261.714285714</v>
      </c>
      <c r="X283" s="125"/>
      <c r="Y283" t="s">
        <v>77</v>
      </c>
      <c r="Z283" s="165">
        <f t="shared" si="64"/>
        <v>2.72848410531878e-11</v>
      </c>
    </row>
    <row r="284" hidden="1" spans="1:26">
      <c r="A284" s="175">
        <v>281</v>
      </c>
      <c r="B284" s="187" t="s">
        <v>515</v>
      </c>
      <c r="C284" s="183">
        <v>97.45</v>
      </c>
      <c r="D284" s="179">
        <v>3358</v>
      </c>
      <c r="E284" s="179">
        <f t="shared" si="60"/>
        <v>327237</v>
      </c>
      <c r="F284" s="184" t="s">
        <v>516</v>
      </c>
      <c r="G284" s="182"/>
      <c r="H284" s="185">
        <v>3250</v>
      </c>
      <c r="I284" s="185">
        <v>316713</v>
      </c>
      <c r="J284" s="196">
        <f>VLOOKUP(B284,泰康小区账面房号及收款金额!$A$2:$B$424,2,0)</f>
        <v>316713.6</v>
      </c>
      <c r="K284" s="196"/>
      <c r="L284" s="196"/>
      <c r="M284" s="196"/>
      <c r="N284" s="196">
        <f t="shared" si="62"/>
        <v>-0.599999999976717</v>
      </c>
      <c r="O284" s="194"/>
      <c r="P284" s="195"/>
      <c r="Q284" s="125">
        <f>VLOOKUP(B284,[2]信息汇总表!$M$2:$T$816,8,0)</f>
        <v>316713</v>
      </c>
      <c r="R284" s="125">
        <f>VLOOKUP(B284,[1]sheet1!$J$4:$K$413,2,0)</f>
        <v>301632</v>
      </c>
      <c r="S284" s="125"/>
      <c r="T284" s="125">
        <f t="shared" si="57"/>
        <v>301631.428571429</v>
      </c>
      <c r="U284" s="125">
        <f t="shared" si="61"/>
        <v>15081.571428571</v>
      </c>
      <c r="V284" s="125">
        <f t="shared" si="63"/>
        <v>-0.571428571012802</v>
      </c>
      <c r="W284" s="125">
        <f t="shared" si="59"/>
        <v>0.321428571012802</v>
      </c>
      <c r="X284" s="125">
        <v>15081.25</v>
      </c>
      <c r="Y284" s="195" t="s">
        <v>42</v>
      </c>
      <c r="Z284" s="165">
        <f t="shared" si="64"/>
        <v>-0.25</v>
      </c>
    </row>
    <row r="285" hidden="1" spans="1:26">
      <c r="A285" s="175">
        <v>282</v>
      </c>
      <c r="B285" s="187" t="s">
        <v>517</v>
      </c>
      <c r="C285" s="183">
        <v>89.99</v>
      </c>
      <c r="D285" s="179">
        <v>2096</v>
      </c>
      <c r="E285" s="179">
        <f t="shared" si="60"/>
        <v>188619</v>
      </c>
      <c r="F285" s="184" t="s">
        <v>518</v>
      </c>
      <c r="G285" s="182"/>
      <c r="H285" s="185">
        <v>2400</v>
      </c>
      <c r="I285" s="185">
        <v>215976</v>
      </c>
      <c r="J285" s="196">
        <f>VLOOKUP(B285,泰康小区账面房号及收款金额!$A$2:$B$424,2,0)</f>
        <v>215976.6</v>
      </c>
      <c r="K285" s="196"/>
      <c r="L285" s="196"/>
      <c r="M285" s="196"/>
      <c r="N285" s="196">
        <f t="shared" si="62"/>
        <v>-0.600000000005821</v>
      </c>
      <c r="O285" s="194"/>
      <c r="P285" s="195"/>
      <c r="Q285" s="125">
        <f>VLOOKUP(B285,[2]信息汇总表!$M$2:$T$816,8,0)</f>
        <v>215976</v>
      </c>
      <c r="R285" s="125">
        <f>VLOOKUP(B285,[1]sheet1!$J$4:$K$413,2,0)</f>
        <v>205692</v>
      </c>
      <c r="S285" s="125"/>
      <c r="T285" s="125">
        <f t="shared" si="57"/>
        <v>205691.428571429</v>
      </c>
      <c r="U285" s="125">
        <f t="shared" si="61"/>
        <v>10284.571428571</v>
      </c>
      <c r="V285" s="125">
        <f t="shared" si="63"/>
        <v>-0.571428571012802</v>
      </c>
      <c r="W285" s="125">
        <f t="shared" si="59"/>
        <v>0.571428571012802</v>
      </c>
      <c r="X285" s="125">
        <v>10284</v>
      </c>
      <c r="Y285" s="195" t="s">
        <v>42</v>
      </c>
      <c r="Z285" s="165">
        <f t="shared" si="64"/>
        <v>0</v>
      </c>
    </row>
    <row r="286" hidden="1" spans="1:26">
      <c r="A286" s="175">
        <v>283</v>
      </c>
      <c r="B286" s="187" t="s">
        <v>519</v>
      </c>
      <c r="C286" s="183">
        <v>90.33</v>
      </c>
      <c r="D286" s="179">
        <v>3318</v>
      </c>
      <c r="E286" s="179">
        <f t="shared" si="60"/>
        <v>299715</v>
      </c>
      <c r="F286" s="184" t="s">
        <v>520</v>
      </c>
      <c r="G286" s="182"/>
      <c r="H286" s="185">
        <v>3046</v>
      </c>
      <c r="I286" s="185">
        <v>275145</v>
      </c>
      <c r="J286" s="196">
        <f>VLOOKUP(B286,泰康小区账面房号及收款金额!$A$2:$B$424,2,0)</f>
        <v>275144.1</v>
      </c>
      <c r="K286" s="196"/>
      <c r="L286" s="196"/>
      <c r="M286" s="196"/>
      <c r="N286" s="196">
        <f t="shared" si="62"/>
        <v>0.900000000023283</v>
      </c>
      <c r="O286" s="194"/>
      <c r="P286" s="195"/>
      <c r="Q286" s="125">
        <f>VLOOKUP(B286,[2]信息汇总表!$M$2:$T$816,8,0)</f>
        <v>275145</v>
      </c>
      <c r="R286" s="125">
        <f>VLOOKUP(B286,[1]sheet1!$J$4:$K$413,2,0)</f>
        <v>262042</v>
      </c>
      <c r="S286" s="125"/>
      <c r="T286" s="125">
        <f t="shared" si="57"/>
        <v>262042.857142857</v>
      </c>
      <c r="U286" s="125">
        <f t="shared" si="61"/>
        <v>13102.142857143</v>
      </c>
      <c r="V286" s="125">
        <f t="shared" si="63"/>
        <v>0.857142857013969</v>
      </c>
      <c r="W286" s="125">
        <f t="shared" si="59"/>
        <v>-0.407142857013241</v>
      </c>
      <c r="X286" s="125">
        <v>13102.55</v>
      </c>
      <c r="Y286" s="195" t="s">
        <v>42</v>
      </c>
      <c r="Z286" s="165">
        <f t="shared" si="64"/>
        <v>0.450000000000728</v>
      </c>
    </row>
    <row r="287" spans="1:26">
      <c r="A287" s="175">
        <v>284</v>
      </c>
      <c r="B287" s="187"/>
      <c r="C287" s="183"/>
      <c r="D287" s="179"/>
      <c r="E287" s="179">
        <f t="shared" si="60"/>
        <v>0</v>
      </c>
      <c r="F287" s="207"/>
      <c r="G287" s="182"/>
      <c r="H287" s="185"/>
      <c r="I287" s="185">
        <v>0</v>
      </c>
      <c r="J287" s="196"/>
      <c r="K287" s="196"/>
      <c r="L287" s="196"/>
      <c r="M287" s="196"/>
      <c r="N287" s="196">
        <f t="shared" si="62"/>
        <v>0</v>
      </c>
      <c r="O287" s="194"/>
      <c r="P287" s="195"/>
      <c r="Q287" s="125"/>
      <c r="R287" s="125"/>
      <c r="S287" s="125"/>
      <c r="T287" s="125">
        <f t="shared" ref="T287:T350" si="65">I287/1.05</f>
        <v>0</v>
      </c>
      <c r="U287" s="125">
        <f t="shared" si="61"/>
        <v>0</v>
      </c>
      <c r="V287" s="125"/>
      <c r="W287" s="125"/>
      <c r="X287" s="125"/>
      <c r="Y287" s="195"/>
      <c r="Z287" s="165">
        <f t="shared" si="64"/>
        <v>0</v>
      </c>
    </row>
    <row r="288" spans="1:26">
      <c r="A288" s="175">
        <v>285</v>
      </c>
      <c r="B288" s="187" t="s">
        <v>521</v>
      </c>
      <c r="C288" s="183"/>
      <c r="D288" s="179"/>
      <c r="E288" s="179">
        <f t="shared" si="60"/>
        <v>0</v>
      </c>
      <c r="F288" s="207"/>
      <c r="G288" s="182"/>
      <c r="H288" s="185"/>
      <c r="I288" s="185">
        <v>0</v>
      </c>
      <c r="J288" s="196"/>
      <c r="K288" s="196"/>
      <c r="L288" s="196"/>
      <c r="M288" s="196"/>
      <c r="N288" s="196">
        <f t="shared" si="62"/>
        <v>0</v>
      </c>
      <c r="O288" s="194" t="s">
        <v>35</v>
      </c>
      <c r="P288" s="195"/>
      <c r="Q288" s="125"/>
      <c r="R288" s="125"/>
      <c r="S288" s="125"/>
      <c r="T288" s="125">
        <f t="shared" si="65"/>
        <v>0</v>
      </c>
      <c r="U288" s="125">
        <f t="shared" si="61"/>
        <v>0</v>
      </c>
      <c r="V288" s="125"/>
      <c r="W288" s="125"/>
      <c r="X288" s="125"/>
      <c r="Y288" s="195"/>
      <c r="Z288" s="165">
        <f t="shared" si="64"/>
        <v>0</v>
      </c>
    </row>
    <row r="289" spans="1:26">
      <c r="A289" s="175">
        <v>286</v>
      </c>
      <c r="B289" s="187" t="s">
        <v>522</v>
      </c>
      <c r="C289" s="183"/>
      <c r="D289" s="179"/>
      <c r="E289" s="179">
        <f t="shared" si="60"/>
        <v>0</v>
      </c>
      <c r="F289" s="207"/>
      <c r="G289" s="182"/>
      <c r="H289" s="185"/>
      <c r="I289" s="185">
        <v>0</v>
      </c>
      <c r="J289" s="196"/>
      <c r="K289" s="196"/>
      <c r="L289" s="196"/>
      <c r="M289" s="196"/>
      <c r="N289" s="196">
        <f t="shared" si="62"/>
        <v>0</v>
      </c>
      <c r="O289" s="194" t="s">
        <v>35</v>
      </c>
      <c r="P289" s="195"/>
      <c r="Q289" s="125"/>
      <c r="R289" s="125"/>
      <c r="S289" s="125"/>
      <c r="T289" s="125">
        <f t="shared" si="65"/>
        <v>0</v>
      </c>
      <c r="U289" s="125">
        <f t="shared" si="61"/>
        <v>0</v>
      </c>
      <c r="V289" s="125"/>
      <c r="W289" s="125"/>
      <c r="X289" s="125"/>
      <c r="Y289" s="195"/>
      <c r="Z289" s="165">
        <f t="shared" si="64"/>
        <v>0</v>
      </c>
    </row>
    <row r="290" hidden="1" spans="1:26">
      <c r="A290" s="175">
        <v>287</v>
      </c>
      <c r="B290" s="187" t="s">
        <v>523</v>
      </c>
      <c r="C290" s="183">
        <v>100.45</v>
      </c>
      <c r="D290" s="179">
        <v>3388</v>
      </c>
      <c r="E290" s="179">
        <f t="shared" si="60"/>
        <v>340325</v>
      </c>
      <c r="F290" s="184" t="s">
        <v>524</v>
      </c>
      <c r="G290" s="182"/>
      <c r="H290" s="185">
        <v>3358</v>
      </c>
      <c r="I290" s="185">
        <v>337311</v>
      </c>
      <c r="J290" s="196">
        <f>VLOOKUP(B290,泰康小区账面房号及收款金额!$A$2:$B$424,2,0)</f>
        <v>337311.45</v>
      </c>
      <c r="K290" s="196"/>
      <c r="L290" s="196"/>
      <c r="M290" s="196"/>
      <c r="N290" s="196">
        <f t="shared" si="62"/>
        <v>-0.450000000011642</v>
      </c>
      <c r="O290" s="194"/>
      <c r="P290" s="195"/>
      <c r="Q290" s="125">
        <f>VLOOKUP(B290,[2]信息汇总表!$M$2:$T$816,8,0)</f>
        <v>337311</v>
      </c>
      <c r="R290" s="125">
        <f>VLOOKUP(B290,[1]sheet1!$J$4:$K$413,2,0)</f>
        <v>321249</v>
      </c>
      <c r="S290" s="125"/>
      <c r="T290" s="125">
        <f t="shared" si="65"/>
        <v>321248.571428571</v>
      </c>
      <c r="U290" s="125">
        <f t="shared" si="61"/>
        <v>16062.4285714286</v>
      </c>
      <c r="V290" s="125">
        <f t="shared" ref="V290:V306" si="66">T290-S290-R290</f>
        <v>-0.428571428579744</v>
      </c>
      <c r="W290" s="125">
        <f t="shared" ref="W290:W306" si="67">U290-X290</f>
        <v>0.128571428580472</v>
      </c>
      <c r="X290" s="125">
        <v>16062.3</v>
      </c>
      <c r="Y290" s="195" t="s">
        <v>42</v>
      </c>
      <c r="Z290" s="165">
        <f t="shared" si="64"/>
        <v>-0.299999999999272</v>
      </c>
    </row>
    <row r="291" ht="13.5" spans="1:26">
      <c r="A291" s="175">
        <v>288</v>
      </c>
      <c r="B291" s="187" t="s">
        <v>525</v>
      </c>
      <c r="C291" s="183">
        <v>100.08</v>
      </c>
      <c r="D291" s="179">
        <v>3388</v>
      </c>
      <c r="E291" s="179">
        <f t="shared" si="60"/>
        <v>339071</v>
      </c>
      <c r="F291" s="184" t="s">
        <v>526</v>
      </c>
      <c r="G291" s="182" t="s">
        <v>23</v>
      </c>
      <c r="H291" s="185">
        <v>2680</v>
      </c>
      <c r="I291" s="185">
        <v>268214</v>
      </c>
      <c r="J291" s="196">
        <f>VLOOKUP(B291,泰康小区账面房号及收款金额!$A$2:$B$424,2,0)</f>
        <v>268214</v>
      </c>
      <c r="K291" s="196"/>
      <c r="L291" s="196"/>
      <c r="M291" s="196"/>
      <c r="N291" s="196">
        <f t="shared" si="62"/>
        <v>0</v>
      </c>
      <c r="O291" s="194"/>
      <c r="P291" s="195"/>
      <c r="Q291" s="125">
        <f>VLOOKUP(B291,[2]信息汇总表!$M$2:$T$816,8,0)</f>
        <v>268214</v>
      </c>
      <c r="R291" s="125">
        <f>VLOOKUP(B291,[1]sheet1!$J$4:$K$413,2,0)</f>
        <v>268214</v>
      </c>
      <c r="S291" s="125"/>
      <c r="T291" s="125">
        <f t="shared" si="65"/>
        <v>255441.904761905</v>
      </c>
      <c r="U291" s="125">
        <f t="shared" si="61"/>
        <v>12772.0952380952</v>
      </c>
      <c r="V291" s="203">
        <f t="shared" si="66"/>
        <v>-12772.0952380952</v>
      </c>
      <c r="W291" s="203">
        <f t="shared" si="67"/>
        <v>12772.0952380952</v>
      </c>
      <c r="X291" s="125"/>
      <c r="Y291" t="s">
        <v>77</v>
      </c>
      <c r="Z291" s="165">
        <f t="shared" si="64"/>
        <v>0</v>
      </c>
    </row>
    <row r="292" ht="13.5" spans="1:29">
      <c r="A292" s="175">
        <v>289</v>
      </c>
      <c r="B292" s="187" t="s">
        <v>527</v>
      </c>
      <c r="C292" s="183">
        <v>100.45</v>
      </c>
      <c r="D292" s="179">
        <v>3428</v>
      </c>
      <c r="E292" s="179">
        <f t="shared" si="60"/>
        <v>344343</v>
      </c>
      <c r="F292" s="184" t="s">
        <v>528</v>
      </c>
      <c r="G292" s="182"/>
      <c r="H292" s="185">
        <v>3378</v>
      </c>
      <c r="I292" s="185">
        <v>339320</v>
      </c>
      <c r="J292" s="196">
        <f>VLOOKUP(B292,泰康小区账面房号及收款金额!$A$2:$B$424,2,0)</f>
        <v>339320</v>
      </c>
      <c r="K292" s="196"/>
      <c r="L292" s="196"/>
      <c r="M292" s="196"/>
      <c r="N292" s="196">
        <f t="shared" si="62"/>
        <v>0</v>
      </c>
      <c r="O292" s="194"/>
      <c r="P292" s="195"/>
      <c r="Q292" s="125">
        <f>VLOOKUP(B292,[2]信息汇总表!$M$2:$T$816,8,0)</f>
        <v>339320</v>
      </c>
      <c r="R292" s="125">
        <f>VLOOKUP(B292,[1]sheet1!$J$4:$K$413,2,0)</f>
        <v>321257</v>
      </c>
      <c r="S292" s="125"/>
      <c r="T292" s="125">
        <f t="shared" si="65"/>
        <v>323161.904761905</v>
      </c>
      <c r="U292" s="125">
        <f t="shared" si="61"/>
        <v>16158.0952380953</v>
      </c>
      <c r="V292" s="203">
        <f t="shared" si="66"/>
        <v>1904.90476190473</v>
      </c>
      <c r="W292" s="203">
        <f t="shared" si="67"/>
        <v>-1904.90476190473</v>
      </c>
      <c r="X292" s="125">
        <v>18063</v>
      </c>
      <c r="Y292" t="s">
        <v>77</v>
      </c>
      <c r="Z292" s="165">
        <f t="shared" si="64"/>
        <v>0</v>
      </c>
      <c r="AC292" s="170">
        <v>100000</v>
      </c>
    </row>
    <row r="293" spans="1:26">
      <c r="A293" s="175">
        <v>290</v>
      </c>
      <c r="B293" s="187" t="s">
        <v>529</v>
      </c>
      <c r="C293" s="183">
        <v>100.08</v>
      </c>
      <c r="D293" s="179">
        <v>3428</v>
      </c>
      <c r="E293" s="179">
        <f t="shared" si="60"/>
        <v>343074</v>
      </c>
      <c r="F293" s="184" t="s">
        <v>530</v>
      </c>
      <c r="G293" s="182" t="s">
        <v>48</v>
      </c>
      <c r="H293" s="185">
        <v>2700</v>
      </c>
      <c r="I293" s="185">
        <v>270216</v>
      </c>
      <c r="J293" s="196">
        <f>VLOOKUP(B293,泰康小区账面房号及收款金额!$A$2:$B$424,2,0)</f>
        <v>270216</v>
      </c>
      <c r="K293" s="196"/>
      <c r="L293" s="196"/>
      <c r="M293" s="196"/>
      <c r="N293" s="196">
        <f t="shared" si="62"/>
        <v>0</v>
      </c>
      <c r="O293" s="194"/>
      <c r="P293" s="195"/>
      <c r="Q293" s="125">
        <f>[2]信息汇总表!$T$706</f>
        <v>270216</v>
      </c>
      <c r="R293" s="125">
        <f>VLOOKUP(B293,[1]sheet1!$J$4:$K$413,2,0)</f>
        <v>269082</v>
      </c>
      <c r="S293" s="125">
        <v>257348.57</v>
      </c>
      <c r="T293" s="125">
        <f t="shared" si="65"/>
        <v>257348.571428571</v>
      </c>
      <c r="U293" s="125">
        <f t="shared" si="61"/>
        <v>12867.4285714286</v>
      </c>
      <c r="V293" s="203">
        <f t="shared" si="66"/>
        <v>-269081.998571429</v>
      </c>
      <c r="W293" s="203">
        <f t="shared" si="67"/>
        <v>-0.00142857142054709</v>
      </c>
      <c r="X293" s="125">
        <v>12867.43</v>
      </c>
      <c r="Y293" s="195"/>
      <c r="Z293" s="165">
        <f t="shared" si="64"/>
        <v>-269082</v>
      </c>
    </row>
    <row r="294" ht="13" hidden="1" customHeight="1" spans="1:26">
      <c r="A294" s="175">
        <v>291</v>
      </c>
      <c r="B294" s="187" t="s">
        <v>531</v>
      </c>
      <c r="C294" s="183">
        <v>100.45</v>
      </c>
      <c r="D294" s="179">
        <v>3468</v>
      </c>
      <c r="E294" s="179">
        <f t="shared" si="60"/>
        <v>348361</v>
      </c>
      <c r="F294" s="184" t="s">
        <v>532</v>
      </c>
      <c r="G294" s="182" t="s">
        <v>48</v>
      </c>
      <c r="H294" s="185">
        <v>3070</v>
      </c>
      <c r="I294" s="185">
        <v>308382</v>
      </c>
      <c r="J294" s="196">
        <f>VLOOKUP(B294,泰康小区账面房号及收款金额!$A$2:$B$424,2,0)</f>
        <v>308382.8475</v>
      </c>
      <c r="K294" s="196"/>
      <c r="L294" s="196"/>
      <c r="M294" s="196"/>
      <c r="N294" s="196">
        <f t="shared" si="62"/>
        <v>-0.847499999974389</v>
      </c>
      <c r="O294" s="194"/>
      <c r="P294" s="195"/>
      <c r="Q294" s="125">
        <f>VLOOKUP(B294,[2]信息汇总表!$M$2:$T$816,8,0)</f>
        <v>308382</v>
      </c>
      <c r="R294" s="125">
        <f>VLOOKUP(B294,[1]sheet1!$J$4:$K$413,2,0)</f>
        <v>293697.95</v>
      </c>
      <c r="S294" s="125"/>
      <c r="T294" s="125">
        <f t="shared" si="65"/>
        <v>293697.142857143</v>
      </c>
      <c r="U294" s="125">
        <f t="shared" si="61"/>
        <v>14684.8571428572</v>
      </c>
      <c r="V294" s="125">
        <f t="shared" si="66"/>
        <v>-0.807142857171129</v>
      </c>
      <c r="W294" s="125">
        <f t="shared" si="67"/>
        <v>0.357142857159488</v>
      </c>
      <c r="X294" s="125">
        <v>14684.5</v>
      </c>
      <c r="Y294" s="195" t="s">
        <v>42</v>
      </c>
      <c r="Z294" s="165">
        <f t="shared" si="64"/>
        <v>-0.450000000011642</v>
      </c>
    </row>
    <row r="295" hidden="1" spans="1:26">
      <c r="A295" s="175">
        <v>292</v>
      </c>
      <c r="B295" s="187" t="s">
        <v>533</v>
      </c>
      <c r="C295" s="183">
        <v>100.08</v>
      </c>
      <c r="D295" s="179">
        <v>2566</v>
      </c>
      <c r="E295" s="179">
        <f t="shared" si="60"/>
        <v>256805</v>
      </c>
      <c r="F295" s="184" t="s">
        <v>534</v>
      </c>
      <c r="G295" s="182"/>
      <c r="H295" s="185">
        <v>2500</v>
      </c>
      <c r="I295" s="185">
        <v>250200</v>
      </c>
      <c r="J295" s="196">
        <f>VLOOKUP(B295,泰康小区账面房号及收款金额!$A$2:$B$424,2,0)</f>
        <v>250200.3</v>
      </c>
      <c r="K295" s="196"/>
      <c r="L295" s="196"/>
      <c r="M295" s="196"/>
      <c r="N295" s="196">
        <f t="shared" si="62"/>
        <v>-0.299999999988358</v>
      </c>
      <c r="O295" s="194"/>
      <c r="P295" s="195"/>
      <c r="Q295" s="125"/>
      <c r="R295" s="125">
        <f>VLOOKUP(B295,[1]sheet1!$J$4:$K$413,2,0)</f>
        <v>238286</v>
      </c>
      <c r="S295" s="125"/>
      <c r="T295" s="125">
        <f t="shared" si="65"/>
        <v>238285.714285714</v>
      </c>
      <c r="U295" s="125">
        <f t="shared" si="61"/>
        <v>11914.2857142857</v>
      </c>
      <c r="V295" s="125">
        <f t="shared" si="66"/>
        <v>-0.285714285710128</v>
      </c>
      <c r="W295" s="125">
        <f t="shared" si="67"/>
        <v>0.235714285710856</v>
      </c>
      <c r="X295" s="125">
        <v>11914.05</v>
      </c>
      <c r="Y295" s="195" t="s">
        <v>42</v>
      </c>
      <c r="Z295" s="165">
        <f t="shared" si="64"/>
        <v>-0.0499999999992724</v>
      </c>
    </row>
    <row r="296" ht="13.5" spans="1:26">
      <c r="A296" s="175">
        <v>293</v>
      </c>
      <c r="B296" s="187" t="s">
        <v>535</v>
      </c>
      <c r="C296" s="183">
        <v>100.45</v>
      </c>
      <c r="D296" s="179">
        <v>3508</v>
      </c>
      <c r="E296" s="179">
        <f t="shared" si="60"/>
        <v>352379</v>
      </c>
      <c r="F296" s="184" t="s">
        <v>536</v>
      </c>
      <c r="G296" s="182" t="s">
        <v>48</v>
      </c>
      <c r="H296" s="185">
        <v>2800</v>
      </c>
      <c r="I296" s="185">
        <v>281260</v>
      </c>
      <c r="J296" s="196">
        <f>VLOOKUP(B296,泰康小区账面房号及收款金额!$A$2:$B$424,2,0)</f>
        <v>281260</v>
      </c>
      <c r="K296" s="196"/>
      <c r="L296" s="196"/>
      <c r="M296" s="196"/>
      <c r="N296" s="196">
        <f t="shared" si="62"/>
        <v>0</v>
      </c>
      <c r="O296" s="194"/>
      <c r="P296" s="195"/>
      <c r="Q296" s="125">
        <f>VLOOKUP(B296,[2]信息汇总表!$M$2:$T$816,8,0)</f>
        <v>281260</v>
      </c>
      <c r="R296" s="125">
        <f>VLOOKUP(B296,[1]sheet1!$J$4:$K$413,2,0)</f>
        <v>281260</v>
      </c>
      <c r="S296" s="125"/>
      <c r="T296" s="125">
        <f t="shared" si="65"/>
        <v>267866.666666667</v>
      </c>
      <c r="U296" s="125">
        <f t="shared" si="61"/>
        <v>13393.3333333334</v>
      </c>
      <c r="V296" s="203">
        <f t="shared" si="66"/>
        <v>-13393.3333333334</v>
      </c>
      <c r="W296" s="203">
        <f t="shared" si="67"/>
        <v>13393.3333333334</v>
      </c>
      <c r="X296" s="125"/>
      <c r="Y296" t="s">
        <v>77</v>
      </c>
      <c r="Z296" s="165">
        <f t="shared" si="64"/>
        <v>0</v>
      </c>
    </row>
    <row r="297" ht="13.5" spans="1:26">
      <c r="A297" s="175">
        <v>294</v>
      </c>
      <c r="B297" s="187" t="s">
        <v>537</v>
      </c>
      <c r="C297" s="183">
        <v>100.08</v>
      </c>
      <c r="D297" s="179">
        <v>3508</v>
      </c>
      <c r="E297" s="179">
        <f t="shared" si="60"/>
        <v>351081</v>
      </c>
      <c r="F297" s="184" t="s">
        <v>538</v>
      </c>
      <c r="G297" s="182" t="s">
        <v>23</v>
      </c>
      <c r="H297" s="185">
        <v>2810</v>
      </c>
      <c r="I297" s="185">
        <v>281225</v>
      </c>
      <c r="J297" s="196">
        <f>VLOOKUP(B297,泰康小区账面房号及收款金额!$A$2:$B$424,2,0)</f>
        <v>281225.2</v>
      </c>
      <c r="K297" s="196"/>
      <c r="L297" s="196"/>
      <c r="M297" s="196"/>
      <c r="N297" s="196">
        <f t="shared" si="62"/>
        <v>-0.200000000011642</v>
      </c>
      <c r="O297" s="194"/>
      <c r="P297" s="195"/>
      <c r="Q297" s="125">
        <f>VLOOKUP(B297,[2]信息汇总表!$M$2:$T$816,8,0)</f>
        <v>281225</v>
      </c>
      <c r="R297" s="125">
        <f>VLOOKUP(B297,[1]sheet1!$J$4:$K$413,2,0)</f>
        <v>281169</v>
      </c>
      <c r="S297" s="125"/>
      <c r="T297" s="125">
        <f t="shared" si="65"/>
        <v>267833.333333333</v>
      </c>
      <c r="U297" s="125">
        <f t="shared" si="61"/>
        <v>13391.6666666667</v>
      </c>
      <c r="V297" s="203">
        <f t="shared" si="66"/>
        <v>-13335.6666666667</v>
      </c>
      <c r="W297" s="203">
        <f t="shared" si="67"/>
        <v>13335.6666666667</v>
      </c>
      <c r="X297" s="125">
        <v>56</v>
      </c>
      <c r="Y297" t="s">
        <v>77</v>
      </c>
      <c r="Z297" s="165">
        <f t="shared" si="64"/>
        <v>0</v>
      </c>
    </row>
    <row r="298" hidden="1" spans="1:26">
      <c r="A298" s="175">
        <v>295</v>
      </c>
      <c r="B298" s="187" t="s">
        <v>539</v>
      </c>
      <c r="C298" s="183">
        <v>100.45</v>
      </c>
      <c r="D298" s="179">
        <v>3548</v>
      </c>
      <c r="E298" s="179">
        <f t="shared" si="60"/>
        <v>356397</v>
      </c>
      <c r="F298" s="184" t="s">
        <v>540</v>
      </c>
      <c r="G298" s="182"/>
      <c r="H298" s="185">
        <v>3438</v>
      </c>
      <c r="I298" s="185">
        <v>345347</v>
      </c>
      <c r="J298" s="196">
        <f>VLOOKUP(B298,泰康小区账面房号及收款金额!$A$2:$B$424,2,0)</f>
        <v>345347.1</v>
      </c>
      <c r="K298" s="196"/>
      <c r="L298" s="196"/>
      <c r="M298" s="196"/>
      <c r="N298" s="196">
        <f t="shared" si="62"/>
        <v>-0.0999999999767169</v>
      </c>
      <c r="O298" s="194"/>
      <c r="P298" s="195"/>
      <c r="Q298" s="125">
        <f>VLOOKUP(B298,[2]信息汇总表!$M$2:$T$816,8,0)</f>
        <v>345347</v>
      </c>
      <c r="R298" s="125">
        <f>VLOOKUP(B298,[1]sheet1!$J$4:$K$413,2,0)</f>
        <v>328902</v>
      </c>
      <c r="S298" s="125"/>
      <c r="T298" s="125">
        <f t="shared" si="65"/>
        <v>328901.904761905</v>
      </c>
      <c r="U298" s="125">
        <f t="shared" si="61"/>
        <v>16445.0952380953</v>
      </c>
      <c r="V298" s="125">
        <f t="shared" si="66"/>
        <v>-0.0952380952658132</v>
      </c>
      <c r="W298" s="125">
        <f t="shared" si="67"/>
        <v>-0.254761904732732</v>
      </c>
      <c r="X298" s="125">
        <v>16445.35</v>
      </c>
      <c r="Y298" s="195" t="s">
        <v>42</v>
      </c>
      <c r="Z298" s="165">
        <f t="shared" si="64"/>
        <v>-0.349999999998545</v>
      </c>
    </row>
    <row r="299" hidden="1" spans="1:26">
      <c r="A299" s="175">
        <v>296</v>
      </c>
      <c r="B299" s="187" t="s">
        <v>541</v>
      </c>
      <c r="C299" s="183">
        <v>100.08</v>
      </c>
      <c r="D299" s="179">
        <v>3548</v>
      </c>
      <c r="E299" s="179">
        <f t="shared" si="60"/>
        <v>355084</v>
      </c>
      <c r="F299" s="184" t="s">
        <v>542</v>
      </c>
      <c r="G299" s="182"/>
      <c r="H299" s="185">
        <v>2728</v>
      </c>
      <c r="I299" s="185">
        <v>273018</v>
      </c>
      <c r="J299" s="196">
        <f>VLOOKUP(B299,泰康小区账面房号及收款金额!$A$2:$B$424,2,0)</f>
        <v>273017.85</v>
      </c>
      <c r="K299" s="196"/>
      <c r="L299" s="196"/>
      <c r="M299" s="196"/>
      <c r="N299" s="196">
        <f t="shared" si="62"/>
        <v>0.150000000023283</v>
      </c>
      <c r="O299" s="194"/>
      <c r="P299" s="195"/>
      <c r="Q299" s="125">
        <f>VLOOKUP(B299,[2]信息汇总表!$M$2:$T$816,8,0)</f>
        <v>273018</v>
      </c>
      <c r="R299" s="125">
        <f>VLOOKUP(B299,[1]sheet1!$J$4:$K$413,2,0)</f>
        <v>260017</v>
      </c>
      <c r="S299" s="125"/>
      <c r="T299" s="125">
        <f t="shared" si="65"/>
        <v>260017.142857143</v>
      </c>
      <c r="U299" s="125">
        <f t="shared" si="61"/>
        <v>13000.8571428572</v>
      </c>
      <c r="V299" s="125">
        <f t="shared" si="66"/>
        <v>0.142857142840512</v>
      </c>
      <c r="W299" s="125">
        <f t="shared" si="67"/>
        <v>-0.392857142840512</v>
      </c>
      <c r="X299" s="125">
        <v>13001.25</v>
      </c>
      <c r="Y299" s="195" t="s">
        <v>42</v>
      </c>
      <c r="Z299" s="165">
        <f t="shared" si="64"/>
        <v>-0.25</v>
      </c>
    </row>
    <row r="300" hidden="1" spans="1:26">
      <c r="A300" s="175">
        <v>297</v>
      </c>
      <c r="B300" s="187" t="s">
        <v>543</v>
      </c>
      <c r="C300" s="183">
        <v>100.45</v>
      </c>
      <c r="D300" s="179">
        <v>3588</v>
      </c>
      <c r="E300" s="179">
        <f t="shared" si="60"/>
        <v>360415</v>
      </c>
      <c r="F300" s="184" t="s">
        <v>544</v>
      </c>
      <c r="G300" s="182"/>
      <c r="H300" s="185">
        <v>3538</v>
      </c>
      <c r="I300" s="185">
        <v>355392</v>
      </c>
      <c r="J300" s="196">
        <f>VLOOKUP(B300,泰康小区账面房号及收款金额!$A$2:$B$424,2,0)</f>
        <v>355391.4</v>
      </c>
      <c r="K300" s="196"/>
      <c r="L300" s="196"/>
      <c r="M300" s="196"/>
      <c r="N300" s="196">
        <f t="shared" si="62"/>
        <v>0.599999999976717</v>
      </c>
      <c r="O300" s="194"/>
      <c r="P300" s="195"/>
      <c r="Q300" s="125">
        <f>VLOOKUP(B300,[2]信息汇总表!$M$2:$T$816,8,0)</f>
        <v>355392</v>
      </c>
      <c r="R300" s="125">
        <f>VLOOKUP(B300,[1]sheet1!$J$4:$K$413,2,0)</f>
        <v>338468</v>
      </c>
      <c r="S300" s="125"/>
      <c r="T300" s="125">
        <f t="shared" si="65"/>
        <v>338468.571428571</v>
      </c>
      <c r="U300" s="125">
        <f t="shared" si="61"/>
        <v>16923.4285714286</v>
      </c>
      <c r="V300" s="125">
        <f t="shared" si="66"/>
        <v>0.571428571420256</v>
      </c>
      <c r="W300" s="125">
        <f t="shared" si="67"/>
        <v>-0.221428571421711</v>
      </c>
      <c r="X300" s="125">
        <v>16923.65</v>
      </c>
      <c r="Y300" s="195" t="s">
        <v>42</v>
      </c>
      <c r="Z300" s="165">
        <f t="shared" si="64"/>
        <v>0.349999999998545</v>
      </c>
    </row>
    <row r="301" hidden="1" spans="1:26">
      <c r="A301" s="175">
        <v>298</v>
      </c>
      <c r="B301" s="187" t="s">
        <v>545</v>
      </c>
      <c r="C301" s="183">
        <v>100.08</v>
      </c>
      <c r="D301" s="179">
        <v>3588</v>
      </c>
      <c r="E301" s="179">
        <f t="shared" si="60"/>
        <v>359087</v>
      </c>
      <c r="F301" s="184" t="s">
        <v>546</v>
      </c>
      <c r="G301" s="182"/>
      <c r="H301" s="185">
        <v>2800</v>
      </c>
      <c r="I301" s="185">
        <v>280224</v>
      </c>
      <c r="J301" s="196">
        <f>VLOOKUP(B301,泰康小区账面房号及收款金额!$A$2:$B$424,2,0)</f>
        <v>280224</v>
      </c>
      <c r="K301" s="196"/>
      <c r="L301" s="196"/>
      <c r="M301" s="196"/>
      <c r="N301" s="196">
        <f t="shared" si="62"/>
        <v>0</v>
      </c>
      <c r="O301" s="194"/>
      <c r="P301" s="195"/>
      <c r="Q301" s="125">
        <f>VLOOKUP(B301,[2]信息汇总表!$M$2:$T$816,8,0)</f>
        <v>280224</v>
      </c>
      <c r="R301" s="125">
        <f>VLOOKUP(B301,[1]sheet1!$J$4:$K$413,2,0)</f>
        <v>266880</v>
      </c>
      <c r="S301" s="125"/>
      <c r="T301" s="125">
        <f t="shared" si="65"/>
        <v>266880</v>
      </c>
      <c r="U301" s="125">
        <f t="shared" si="61"/>
        <v>13344</v>
      </c>
      <c r="V301" s="125">
        <f t="shared" si="66"/>
        <v>0</v>
      </c>
      <c r="W301" s="125">
        <f t="shared" si="67"/>
        <v>0.350000000000364</v>
      </c>
      <c r="X301" s="125">
        <v>13343.65</v>
      </c>
      <c r="Y301" s="195" t="s">
        <v>42</v>
      </c>
      <c r="Z301" s="165">
        <f t="shared" si="64"/>
        <v>0.350000000000364</v>
      </c>
    </row>
    <row r="302" hidden="1" spans="1:26">
      <c r="A302" s="175">
        <v>299</v>
      </c>
      <c r="B302" s="187" t="s">
        <v>547</v>
      </c>
      <c r="C302" s="183">
        <v>100.45</v>
      </c>
      <c r="D302" s="179">
        <v>3608</v>
      </c>
      <c r="E302" s="179">
        <f t="shared" si="60"/>
        <v>362424</v>
      </c>
      <c r="F302" s="184" t="s">
        <v>548</v>
      </c>
      <c r="G302" s="182"/>
      <c r="H302" s="185">
        <v>3040</v>
      </c>
      <c r="I302" s="185">
        <v>305368</v>
      </c>
      <c r="J302" s="196">
        <f>VLOOKUP(B302,泰康小区账面房号及收款金额!$A$2:$B$424,2,0)</f>
        <v>305368.35</v>
      </c>
      <c r="K302" s="196"/>
      <c r="L302" s="196"/>
      <c r="M302" s="196"/>
      <c r="N302" s="196">
        <f t="shared" si="62"/>
        <v>-0.349999999976717</v>
      </c>
      <c r="O302" s="194"/>
      <c r="P302" s="195"/>
      <c r="Q302" s="125">
        <f>VLOOKUP(B302,[2]信息汇总表!$M$2:$T$816,8,0)</f>
        <v>305368</v>
      </c>
      <c r="R302" s="125">
        <f>VLOOKUP(B302,[1]sheet1!$J$4:$K$413,2,0)</f>
        <v>290827</v>
      </c>
      <c r="S302" s="125"/>
      <c r="T302" s="125">
        <f t="shared" si="65"/>
        <v>290826.666666667</v>
      </c>
      <c r="U302" s="125">
        <f t="shared" si="61"/>
        <v>14541.3333333334</v>
      </c>
      <c r="V302" s="125">
        <f t="shared" si="66"/>
        <v>-0.333333333372138</v>
      </c>
      <c r="W302" s="125">
        <f t="shared" si="67"/>
        <v>-0.216666666627134</v>
      </c>
      <c r="X302" s="125">
        <v>14541.55</v>
      </c>
      <c r="Y302" s="195" t="s">
        <v>42</v>
      </c>
      <c r="Z302" s="165">
        <f t="shared" si="64"/>
        <v>-0.549999999999272</v>
      </c>
    </row>
    <row r="303" ht="13.5" spans="1:26">
      <c r="A303" s="175">
        <v>300</v>
      </c>
      <c r="B303" s="187" t="s">
        <v>549</v>
      </c>
      <c r="C303" s="183">
        <v>100.08</v>
      </c>
      <c r="D303" s="179">
        <v>3608</v>
      </c>
      <c r="E303" s="179">
        <f t="shared" si="60"/>
        <v>361089</v>
      </c>
      <c r="F303" s="184" t="s">
        <v>550</v>
      </c>
      <c r="G303" s="182" t="s">
        <v>48</v>
      </c>
      <c r="H303" s="185">
        <v>2750</v>
      </c>
      <c r="I303" s="185">
        <v>275220</v>
      </c>
      <c r="J303" s="196">
        <f>VLOOKUP(B303,泰康小区账面房号及收款金额!$A$2:$B$424,2,0)</f>
        <v>275220</v>
      </c>
      <c r="K303" s="196"/>
      <c r="L303" s="196"/>
      <c r="M303" s="196"/>
      <c r="N303" s="196">
        <f t="shared" si="62"/>
        <v>0</v>
      </c>
      <c r="O303" s="194"/>
      <c r="P303" s="195"/>
      <c r="Q303" s="125">
        <f>VLOOKUP(B303,[2]信息汇总表!$M$2:$T$816,8,0)</f>
        <v>275220</v>
      </c>
      <c r="R303" s="125">
        <f>VLOOKUP(B303,[1]sheet1!$J$4:$K$413,2,0)</f>
        <v>275165</v>
      </c>
      <c r="S303" s="125"/>
      <c r="T303" s="125">
        <f t="shared" si="65"/>
        <v>262114.285714286</v>
      </c>
      <c r="U303" s="125">
        <f t="shared" si="61"/>
        <v>13105.7142857143</v>
      </c>
      <c r="V303" s="203">
        <f t="shared" si="66"/>
        <v>-13050.7142857143</v>
      </c>
      <c r="W303" s="203">
        <f t="shared" si="67"/>
        <v>13050.7142857143</v>
      </c>
      <c r="X303" s="125">
        <v>55</v>
      </c>
      <c r="Y303" t="s">
        <v>77</v>
      </c>
      <c r="Z303" s="165">
        <f t="shared" si="64"/>
        <v>0</v>
      </c>
    </row>
    <row r="304" hidden="1" spans="1:26">
      <c r="A304" s="175">
        <v>301</v>
      </c>
      <c r="B304" s="187" t="s">
        <v>551</v>
      </c>
      <c r="C304" s="183">
        <v>92.93</v>
      </c>
      <c r="D304" s="179">
        <v>3638</v>
      </c>
      <c r="E304" s="179">
        <f t="shared" si="60"/>
        <v>338079</v>
      </c>
      <c r="F304" s="184" t="s">
        <v>552</v>
      </c>
      <c r="G304" s="182"/>
      <c r="H304" s="185">
        <v>2980</v>
      </c>
      <c r="I304" s="185">
        <v>276931</v>
      </c>
      <c r="J304" s="196">
        <f>VLOOKUP(B304,泰康小区账面房号及收款金额!$A$2:$B$424,2,0)</f>
        <v>276931.2</v>
      </c>
      <c r="K304" s="196"/>
      <c r="L304" s="196"/>
      <c r="M304" s="196"/>
      <c r="N304" s="196">
        <f t="shared" si="62"/>
        <v>-0.200000000011642</v>
      </c>
      <c r="O304" s="194"/>
      <c r="P304" s="195"/>
      <c r="Q304" s="125">
        <f>VLOOKUP(B304,[2]信息汇总表!$M$2:$T$816,8,0)</f>
        <v>276931</v>
      </c>
      <c r="R304" s="125">
        <f>VLOOKUP(B304,[1]sheet1!$J$4:$K$413,2,0)</f>
        <v>263744</v>
      </c>
      <c r="S304" s="125"/>
      <c r="T304" s="125">
        <f t="shared" si="65"/>
        <v>263743.80952381</v>
      </c>
      <c r="U304" s="125">
        <f t="shared" si="61"/>
        <v>13187.1904761905</v>
      </c>
      <c r="V304" s="125">
        <f t="shared" si="66"/>
        <v>-0.190476190473419</v>
      </c>
      <c r="W304" s="125">
        <f t="shared" si="67"/>
        <v>0.340476190473055</v>
      </c>
      <c r="X304" s="125">
        <v>13186.85</v>
      </c>
      <c r="Y304" s="195" t="s">
        <v>42</v>
      </c>
      <c r="Z304" s="165">
        <f t="shared" si="64"/>
        <v>0.149999999999636</v>
      </c>
    </row>
    <row r="305" spans="1:26">
      <c r="A305" s="175">
        <v>302</v>
      </c>
      <c r="B305" s="187" t="s">
        <v>553</v>
      </c>
      <c r="C305" s="183">
        <v>92.56</v>
      </c>
      <c r="D305" s="179">
        <v>3638</v>
      </c>
      <c r="E305" s="179">
        <f t="shared" si="60"/>
        <v>336733</v>
      </c>
      <c r="F305" s="184" t="s">
        <v>554</v>
      </c>
      <c r="G305" s="182"/>
      <c r="H305" s="185">
        <f>I305/C305</f>
        <v>2611.94900605013</v>
      </c>
      <c r="I305" s="185">
        <v>241762</v>
      </c>
      <c r="J305" s="196">
        <f>VLOOKUP(B305,泰康小区账面房号及收款金额!$A$2:$B$424,2,0)</f>
        <v>241762</v>
      </c>
      <c r="K305" s="196"/>
      <c r="L305" s="196"/>
      <c r="M305" s="196"/>
      <c r="N305" s="196">
        <f t="shared" si="62"/>
        <v>0</v>
      </c>
      <c r="O305" s="194"/>
      <c r="P305" s="195"/>
      <c r="Q305" s="125">
        <f>VLOOKUP(B305,[2]信息汇总表!$M$2:$T$816,8,0)</f>
        <v>259168</v>
      </c>
      <c r="R305" s="125">
        <f>VLOOKUP(B305,[1]sheet1!$J$4:$K$413,2,0)</f>
        <v>241762</v>
      </c>
      <c r="S305" s="125"/>
      <c r="T305" s="125">
        <f t="shared" si="65"/>
        <v>230249.523809524</v>
      </c>
      <c r="U305" s="125">
        <f t="shared" si="61"/>
        <v>11512.4761904762</v>
      </c>
      <c r="V305" s="203">
        <f t="shared" si="66"/>
        <v>-11512.4761904762</v>
      </c>
      <c r="W305" s="203">
        <f t="shared" si="67"/>
        <v>11512.4761904762</v>
      </c>
      <c r="X305" s="125"/>
      <c r="Y305" s="195"/>
      <c r="Z305" s="165">
        <f t="shared" si="64"/>
        <v>0</v>
      </c>
    </row>
    <row r="306" spans="1:26">
      <c r="A306" s="175">
        <v>303</v>
      </c>
      <c r="B306" s="187" t="s">
        <v>555</v>
      </c>
      <c r="C306" s="183"/>
      <c r="D306" s="179"/>
      <c r="E306" s="179">
        <f t="shared" si="60"/>
        <v>0</v>
      </c>
      <c r="F306" s="207"/>
      <c r="G306" s="182"/>
      <c r="H306" s="185"/>
      <c r="I306" s="185">
        <v>0</v>
      </c>
      <c r="J306" s="196"/>
      <c r="K306" s="196"/>
      <c r="L306" s="196"/>
      <c r="M306" s="196"/>
      <c r="N306" s="196">
        <f t="shared" si="62"/>
        <v>0</v>
      </c>
      <c r="O306" s="194" t="s">
        <v>35</v>
      </c>
      <c r="P306" s="195"/>
      <c r="Q306" s="125"/>
      <c r="R306" s="125"/>
      <c r="S306" s="125"/>
      <c r="T306" s="125">
        <f t="shared" si="65"/>
        <v>0</v>
      </c>
      <c r="U306" s="125">
        <f t="shared" si="61"/>
        <v>0</v>
      </c>
      <c r="V306" s="125"/>
      <c r="W306" s="125"/>
      <c r="X306" s="125"/>
      <c r="Y306" s="195"/>
      <c r="Z306" s="165">
        <f t="shared" si="64"/>
        <v>0</v>
      </c>
    </row>
    <row r="307" spans="1:26">
      <c r="A307" s="175">
        <v>304</v>
      </c>
      <c r="B307" s="187" t="s">
        <v>556</v>
      </c>
      <c r="C307" s="183"/>
      <c r="D307" s="179"/>
      <c r="E307" s="179">
        <f t="shared" si="60"/>
        <v>0</v>
      </c>
      <c r="F307" s="207"/>
      <c r="G307" s="182"/>
      <c r="H307" s="185"/>
      <c r="I307" s="185">
        <v>0</v>
      </c>
      <c r="J307" s="196"/>
      <c r="K307" s="196"/>
      <c r="L307" s="196"/>
      <c r="M307" s="196"/>
      <c r="N307" s="196">
        <f t="shared" si="62"/>
        <v>0</v>
      </c>
      <c r="O307" s="194" t="s">
        <v>35</v>
      </c>
      <c r="P307" s="195"/>
      <c r="Q307" s="125"/>
      <c r="R307" s="125"/>
      <c r="S307" s="125"/>
      <c r="T307" s="125">
        <f t="shared" si="65"/>
        <v>0</v>
      </c>
      <c r="U307" s="125">
        <f t="shared" si="61"/>
        <v>0</v>
      </c>
      <c r="V307" s="125"/>
      <c r="W307" s="125"/>
      <c r="X307" s="125"/>
      <c r="Y307" s="195"/>
      <c r="Z307" s="165">
        <f t="shared" si="64"/>
        <v>0</v>
      </c>
    </row>
    <row r="308" ht="13.5" spans="1:26">
      <c r="A308" s="175">
        <v>305</v>
      </c>
      <c r="B308" s="187" t="s">
        <v>557</v>
      </c>
      <c r="C308" s="183">
        <v>100.08</v>
      </c>
      <c r="D308" s="179">
        <v>3388</v>
      </c>
      <c r="E308" s="179">
        <f t="shared" si="60"/>
        <v>339071</v>
      </c>
      <c r="F308" s="184" t="s">
        <v>558</v>
      </c>
      <c r="G308" s="182" t="s">
        <v>48</v>
      </c>
      <c r="H308" s="185">
        <v>3040</v>
      </c>
      <c r="I308" s="185">
        <v>304243</v>
      </c>
      <c r="J308" s="196">
        <v>304243.4</v>
      </c>
      <c r="K308" s="196"/>
      <c r="L308" s="196"/>
      <c r="M308" s="196"/>
      <c r="N308" s="196">
        <f t="shared" si="62"/>
        <v>-0.400000000023283</v>
      </c>
      <c r="O308" s="194"/>
      <c r="P308" s="195"/>
      <c r="Q308" s="125">
        <f>VLOOKUP(B308,[2]信息汇总表!$M$2:$T$816,8,0)</f>
        <v>304243</v>
      </c>
      <c r="R308" s="125">
        <f>VLOOKUP(B308,[1]sheet1!$J$4:$K$413,2,0)</f>
        <v>304182.4</v>
      </c>
      <c r="S308" s="125"/>
      <c r="T308" s="125">
        <f>J308/1.05</f>
        <v>289755.619047619</v>
      </c>
      <c r="U308" s="125">
        <f>T308*0.05</f>
        <v>14487.780952381</v>
      </c>
      <c r="V308" s="203">
        <f t="shared" ref="V308:V323" si="68">T308-S308-R308</f>
        <v>-14426.780952381</v>
      </c>
      <c r="W308" s="203">
        <f t="shared" ref="W308:W316" si="69">U308-X308</f>
        <v>14426.780952381</v>
      </c>
      <c r="X308" s="204">
        <v>61</v>
      </c>
      <c r="Y308" t="s">
        <v>77</v>
      </c>
      <c r="Z308" s="165">
        <f t="shared" si="64"/>
        <v>0</v>
      </c>
    </row>
    <row r="309" hidden="1" spans="1:26">
      <c r="A309" s="175">
        <v>306</v>
      </c>
      <c r="B309" s="187" t="s">
        <v>559</v>
      </c>
      <c r="C309" s="183">
        <v>100.08</v>
      </c>
      <c r="D309" s="179">
        <v>3388</v>
      </c>
      <c r="E309" s="179">
        <f t="shared" si="60"/>
        <v>339071</v>
      </c>
      <c r="F309" s="184" t="s">
        <v>560</v>
      </c>
      <c r="G309" s="182"/>
      <c r="H309" s="185">
        <v>3000</v>
      </c>
      <c r="I309" s="185">
        <v>300240</v>
      </c>
      <c r="J309" s="196">
        <f>VLOOKUP(B309,泰康小区账面房号及收款金额!$A$2:$B$424,2,0)</f>
        <v>300202.15</v>
      </c>
      <c r="K309" s="196"/>
      <c r="L309" s="196"/>
      <c r="M309" s="196"/>
      <c r="N309" s="196">
        <f t="shared" si="62"/>
        <v>37.8499999999767</v>
      </c>
      <c r="O309" s="194"/>
      <c r="P309" s="195"/>
      <c r="Q309" s="125">
        <f>VLOOKUP(B309,[2]信息汇总表!$M$2:$T$816,8,0)</f>
        <v>300240</v>
      </c>
      <c r="R309" s="125">
        <f>VLOOKUP(B309,[1]sheet1!$J$4:$K$413,2,0)</f>
        <v>285905</v>
      </c>
      <c r="S309" s="125"/>
      <c r="T309" s="125">
        <f t="shared" si="65"/>
        <v>285942.857142857</v>
      </c>
      <c r="U309" s="125">
        <f t="shared" si="61"/>
        <v>14297.1428571428</v>
      </c>
      <c r="V309" s="125">
        <f t="shared" si="68"/>
        <v>37.8571428571595</v>
      </c>
      <c r="W309" s="125">
        <f t="shared" si="69"/>
        <v>-0.00714285715912411</v>
      </c>
      <c r="X309" s="125">
        <v>14297.15</v>
      </c>
      <c r="Y309" s="195" t="s">
        <v>42</v>
      </c>
      <c r="Z309" s="165">
        <f t="shared" si="64"/>
        <v>37.8500000000004</v>
      </c>
    </row>
    <row r="310" ht="24" hidden="1" spans="1:26">
      <c r="A310" s="175">
        <v>307</v>
      </c>
      <c r="B310" s="187" t="s">
        <v>561</v>
      </c>
      <c r="C310" s="183">
        <v>100.08</v>
      </c>
      <c r="D310" s="179">
        <v>2696</v>
      </c>
      <c r="E310" s="179">
        <f t="shared" si="60"/>
        <v>269816</v>
      </c>
      <c r="F310" s="184" t="s">
        <v>562</v>
      </c>
      <c r="G310" s="182" t="s">
        <v>48</v>
      </c>
      <c r="H310" s="185">
        <v>2600</v>
      </c>
      <c r="I310" s="185">
        <v>260208</v>
      </c>
      <c r="J310" s="196">
        <f>VLOOKUP(B310,泰康小区账面房号及收款金额!$A$2:$B$424,2,0)</f>
        <v>0</v>
      </c>
      <c r="K310" s="196"/>
      <c r="L310" s="196"/>
      <c r="M310" s="196"/>
      <c r="N310" s="196">
        <f t="shared" si="62"/>
        <v>260208</v>
      </c>
      <c r="O310" s="194" t="s">
        <v>563</v>
      </c>
      <c r="P310" s="195"/>
      <c r="Q310" s="125">
        <f>VLOOKUP(B310,[2]信息汇总表!$M$2:$T$816,8,0)</f>
        <v>260208</v>
      </c>
      <c r="R310" s="125"/>
      <c r="S310" s="125"/>
      <c r="T310" s="125">
        <f t="shared" si="65"/>
        <v>247817.142857143</v>
      </c>
      <c r="U310" s="125">
        <f t="shared" si="61"/>
        <v>12390.8571428572</v>
      </c>
      <c r="V310" s="125">
        <f t="shared" si="68"/>
        <v>247817.142857143</v>
      </c>
      <c r="W310" s="125">
        <f t="shared" si="69"/>
        <v>12390.8571428572</v>
      </c>
      <c r="X310" s="125"/>
      <c r="Y310" t="s">
        <v>564</v>
      </c>
      <c r="Z310" s="165">
        <f t="shared" si="64"/>
        <v>260208</v>
      </c>
    </row>
    <row r="311" hidden="1" spans="1:26">
      <c r="A311" s="175">
        <v>308</v>
      </c>
      <c r="B311" s="187" t="s">
        <v>565</v>
      </c>
      <c r="C311" s="183">
        <v>100.08</v>
      </c>
      <c r="D311" s="179">
        <v>2696</v>
      </c>
      <c r="E311" s="179">
        <f t="shared" si="60"/>
        <v>269816</v>
      </c>
      <c r="F311" s="184" t="s">
        <v>566</v>
      </c>
      <c r="G311" s="182" t="s">
        <v>48</v>
      </c>
      <c r="H311" s="185">
        <v>2600</v>
      </c>
      <c r="I311" s="185">
        <v>260208</v>
      </c>
      <c r="J311" s="196">
        <f>VLOOKUP(B311,泰康小区账面房号及收款金额!$A$2:$B$424,2,0)</f>
        <v>259115.85</v>
      </c>
      <c r="K311" s="196"/>
      <c r="L311" s="196"/>
      <c r="M311" s="196"/>
      <c r="N311" s="196">
        <f t="shared" si="62"/>
        <v>1092.14999999999</v>
      </c>
      <c r="O311" s="194"/>
      <c r="P311" s="195"/>
      <c r="Q311" s="125">
        <f>VLOOKUP(B311,[2]信息汇总表!$M$2:$T$816,8,0)</f>
        <v>260208</v>
      </c>
      <c r="R311" s="125">
        <f>VLOOKUP(B311,[1]sheet1!$J$4:$K$413,2,0)</f>
        <v>246777</v>
      </c>
      <c r="S311" s="125"/>
      <c r="T311" s="125">
        <f t="shared" si="65"/>
        <v>247817.142857143</v>
      </c>
      <c r="U311" s="125">
        <f t="shared" si="61"/>
        <v>12390.8571428572</v>
      </c>
      <c r="V311" s="125">
        <f t="shared" si="68"/>
        <v>1040.14285714284</v>
      </c>
      <c r="W311" s="125">
        <f t="shared" si="69"/>
        <v>52.0071428571591</v>
      </c>
      <c r="X311" s="125">
        <v>12338.85</v>
      </c>
      <c r="Y311" s="195">
        <v>246777</v>
      </c>
      <c r="Z311" s="165">
        <f t="shared" si="64"/>
        <v>1092.15</v>
      </c>
    </row>
    <row r="312" hidden="1" spans="1:26">
      <c r="A312" s="175">
        <v>309</v>
      </c>
      <c r="B312" s="187" t="s">
        <v>567</v>
      </c>
      <c r="C312" s="183">
        <v>100.08</v>
      </c>
      <c r="D312" s="179">
        <v>2566</v>
      </c>
      <c r="E312" s="179">
        <f t="shared" si="60"/>
        <v>256805</v>
      </c>
      <c r="F312" s="210" t="s">
        <v>568</v>
      </c>
      <c r="G312" s="182" t="s">
        <v>48</v>
      </c>
      <c r="H312" s="185">
        <v>2498</v>
      </c>
      <c r="I312" s="185">
        <v>250000</v>
      </c>
      <c r="J312" s="196">
        <f>VLOOKUP(B312,泰康小区账面房号及收款金额!$A$2:$B$424,2,0)</f>
        <v>249999.75</v>
      </c>
      <c r="K312" s="196"/>
      <c r="L312" s="196"/>
      <c r="M312" s="196"/>
      <c r="N312" s="196">
        <f t="shared" si="62"/>
        <v>0.25</v>
      </c>
      <c r="O312" s="194"/>
      <c r="P312" s="195"/>
      <c r="Q312" s="125">
        <f>VLOOKUP(B312,[2]信息汇总表!$M$2:$T$816,8,0)</f>
        <v>250000</v>
      </c>
      <c r="R312" s="125">
        <f>VLOOKUP(B312,[1]sheet1!$J$4:$K$413,2,0)</f>
        <v>238095</v>
      </c>
      <c r="S312" s="125"/>
      <c r="T312" s="125">
        <f t="shared" si="65"/>
        <v>238095.238095238</v>
      </c>
      <c r="U312" s="125">
        <f t="shared" si="61"/>
        <v>11904.7619047619</v>
      </c>
      <c r="V312" s="125">
        <f t="shared" si="68"/>
        <v>0.238095238077221</v>
      </c>
      <c r="W312" s="125">
        <f t="shared" si="69"/>
        <v>-0.238095238077221</v>
      </c>
      <c r="X312" s="125">
        <v>11905</v>
      </c>
      <c r="Y312" s="195" t="s">
        <v>42</v>
      </c>
      <c r="Z312" s="165">
        <f t="shared" si="64"/>
        <v>0</v>
      </c>
    </row>
    <row r="313" hidden="1" spans="1:26">
      <c r="A313" s="175">
        <v>310</v>
      </c>
      <c r="B313" s="187" t="s">
        <v>569</v>
      </c>
      <c r="C313" s="183">
        <v>100.08</v>
      </c>
      <c r="D313" s="179">
        <v>2566</v>
      </c>
      <c r="E313" s="179">
        <f t="shared" si="60"/>
        <v>256805</v>
      </c>
      <c r="F313" s="184" t="s">
        <v>570</v>
      </c>
      <c r="G313" s="182" t="s">
        <v>48</v>
      </c>
      <c r="H313" s="185">
        <v>2500</v>
      </c>
      <c r="I313" s="185">
        <v>250200</v>
      </c>
      <c r="J313" s="196">
        <f>VLOOKUP(B313,泰康小区账面房号及收款金额!$A$2:$B$424,2,0)</f>
        <v>250200.3</v>
      </c>
      <c r="K313" s="196"/>
      <c r="L313" s="196"/>
      <c r="M313" s="196"/>
      <c r="N313" s="196">
        <f t="shared" si="62"/>
        <v>-0.299999999988358</v>
      </c>
      <c r="O313" s="194"/>
      <c r="P313" s="195"/>
      <c r="Q313" s="125">
        <f>VLOOKUP(B313,[2]信息汇总表!$M$2:$T$816,8,0)</f>
        <v>250200</v>
      </c>
      <c r="R313" s="125">
        <f>VLOOKUP(B313,[1]sheet1!$J$4:$K$413,2,0)</f>
        <v>238286</v>
      </c>
      <c r="S313" s="125"/>
      <c r="T313" s="125">
        <f t="shared" si="65"/>
        <v>238285.714285714</v>
      </c>
      <c r="U313" s="125">
        <f t="shared" si="61"/>
        <v>11914.2857142857</v>
      </c>
      <c r="V313" s="125">
        <f t="shared" si="68"/>
        <v>-0.285714285710128</v>
      </c>
      <c r="W313" s="125">
        <f t="shared" si="69"/>
        <v>0.285714285710128</v>
      </c>
      <c r="X313" s="125">
        <v>11914</v>
      </c>
      <c r="Y313" s="195" t="s">
        <v>42</v>
      </c>
      <c r="Z313" s="165">
        <f t="shared" si="64"/>
        <v>0</v>
      </c>
    </row>
    <row r="314" hidden="1" spans="1:26">
      <c r="A314" s="175">
        <v>311</v>
      </c>
      <c r="B314" s="187" t="s">
        <v>571</v>
      </c>
      <c r="C314" s="183">
        <v>100.08</v>
      </c>
      <c r="D314" s="179">
        <v>2696</v>
      </c>
      <c r="E314" s="179">
        <f t="shared" si="60"/>
        <v>269816</v>
      </c>
      <c r="F314" s="184" t="s">
        <v>572</v>
      </c>
      <c r="G314" s="182" t="s">
        <v>48</v>
      </c>
      <c r="H314" s="185">
        <v>2720</v>
      </c>
      <c r="I314" s="185">
        <v>272218</v>
      </c>
      <c r="J314" s="196">
        <f>VLOOKUP(B314,泰康小区账面房号及收款金额!$A$2:$B$424,2,0)</f>
        <v>272217.75</v>
      </c>
      <c r="K314" s="196"/>
      <c r="L314" s="196"/>
      <c r="M314" s="196"/>
      <c r="N314" s="196">
        <f t="shared" si="62"/>
        <v>0.25</v>
      </c>
      <c r="O314" s="194"/>
      <c r="P314" s="195"/>
      <c r="Q314" s="125">
        <f>VLOOKUP(B314,[2]信息汇总表!$M$2:$T$816,8,0)</f>
        <v>272218</v>
      </c>
      <c r="R314" s="125">
        <f>VLOOKUP(B314,[1]sheet1!$J$4:$K$413,2,0)</f>
        <v>259255</v>
      </c>
      <c r="S314" s="125"/>
      <c r="T314" s="125">
        <f t="shared" si="65"/>
        <v>259255.238095238</v>
      </c>
      <c r="U314" s="125">
        <f t="shared" si="61"/>
        <v>12962.7619047619</v>
      </c>
      <c r="V314" s="125">
        <f t="shared" si="68"/>
        <v>0.238095238077221</v>
      </c>
      <c r="W314" s="125">
        <f t="shared" si="69"/>
        <v>0.0119047619227786</v>
      </c>
      <c r="X314" s="125">
        <v>12962.75</v>
      </c>
      <c r="Y314" s="195" t="s">
        <v>42</v>
      </c>
      <c r="Z314" s="165">
        <f t="shared" si="64"/>
        <v>0.25</v>
      </c>
    </row>
    <row r="315" hidden="1" spans="1:26">
      <c r="A315" s="175">
        <v>312</v>
      </c>
      <c r="B315" s="187" t="s">
        <v>573</v>
      </c>
      <c r="C315" s="183">
        <v>100.08</v>
      </c>
      <c r="D315" s="179">
        <v>2696</v>
      </c>
      <c r="E315" s="179">
        <f t="shared" si="60"/>
        <v>269816</v>
      </c>
      <c r="F315" s="184" t="s">
        <v>574</v>
      </c>
      <c r="G315" s="182"/>
      <c r="H315" s="185">
        <v>2730</v>
      </c>
      <c r="I315" s="185">
        <v>273218</v>
      </c>
      <c r="J315" s="196">
        <f>VLOOKUP(B315,泰康小区账面房号及收款金额!$A$2:$B$424,2,0)</f>
        <v>273217.35</v>
      </c>
      <c r="K315" s="196"/>
      <c r="L315" s="196"/>
      <c r="M315" s="196"/>
      <c r="N315" s="196">
        <f t="shared" si="62"/>
        <v>0.650000000023283</v>
      </c>
      <c r="O315" s="194"/>
      <c r="P315" s="195"/>
      <c r="Q315" s="125">
        <f>VLOOKUP(B315,[2]信息汇总表!$M$2:$T$816,8,0)</f>
        <v>273218</v>
      </c>
      <c r="R315" s="125">
        <f>VLOOKUP(B315,[1]sheet1!$J$4:$K$413,2,0)</f>
        <v>260207</v>
      </c>
      <c r="S315" s="125"/>
      <c r="T315" s="125">
        <f t="shared" si="65"/>
        <v>260207.619047619</v>
      </c>
      <c r="U315" s="125">
        <f t="shared" si="61"/>
        <v>13010.380952381</v>
      </c>
      <c r="V315" s="125">
        <f t="shared" si="68"/>
        <v>0.619047619024059</v>
      </c>
      <c r="W315" s="125">
        <f t="shared" si="69"/>
        <v>-0.369047619024059</v>
      </c>
      <c r="X315" s="125">
        <v>13010.75</v>
      </c>
      <c r="Y315" s="195" t="s">
        <v>42</v>
      </c>
      <c r="Z315" s="165">
        <f t="shared" si="64"/>
        <v>0.25</v>
      </c>
    </row>
    <row r="316" ht="13.5" hidden="1" spans="1:26">
      <c r="A316" s="175">
        <v>313</v>
      </c>
      <c r="B316" s="187" t="s">
        <v>575</v>
      </c>
      <c r="C316" s="183">
        <v>100.08</v>
      </c>
      <c r="D316" s="179">
        <v>3548</v>
      </c>
      <c r="E316" s="179">
        <f t="shared" si="60"/>
        <v>355084</v>
      </c>
      <c r="F316" s="184" t="s">
        <v>576</v>
      </c>
      <c r="G316" s="182" t="s">
        <v>48</v>
      </c>
      <c r="H316" s="185">
        <v>2650</v>
      </c>
      <c r="I316" s="185">
        <v>265212</v>
      </c>
      <c r="J316" s="196">
        <f>VLOOKUP(B316,泰康小区账面房号及收款金额!$A$2:$B$424,2,0)</f>
        <v>265211.6</v>
      </c>
      <c r="K316" s="196"/>
      <c r="L316" s="196"/>
      <c r="M316" s="196"/>
      <c r="N316" s="196">
        <f t="shared" si="62"/>
        <v>0.400000000023283</v>
      </c>
      <c r="O316" s="194"/>
      <c r="P316" s="195"/>
      <c r="Q316" s="125">
        <f>VLOOKUP(B316,[2]信息汇总表!$M$2:$T$816,8,0)</f>
        <v>265212</v>
      </c>
      <c r="R316" s="125">
        <f>VLOOKUP(B316,[1]sheet1!$J$4:$K$413,2,0)</f>
        <v>265211.6</v>
      </c>
      <c r="S316" s="125"/>
      <c r="T316" s="125">
        <f>J316/1.05</f>
        <v>252582.476190476</v>
      </c>
      <c r="U316" s="125">
        <f>T316*0.05</f>
        <v>12629.1238095238</v>
      </c>
      <c r="V316" s="125">
        <f t="shared" si="68"/>
        <v>-12629.1238095238</v>
      </c>
      <c r="W316" s="125">
        <f>-V316</f>
        <v>12629.1238095238</v>
      </c>
      <c r="X316" s="125">
        <v>-1987.4</v>
      </c>
      <c r="Y316" t="s">
        <v>77</v>
      </c>
      <c r="Z316" s="165">
        <f t="shared" si="64"/>
        <v>0</v>
      </c>
    </row>
    <row r="317" ht="13.5" hidden="1" spans="1:26">
      <c r="A317" s="175">
        <v>314</v>
      </c>
      <c r="B317" s="187" t="s">
        <v>577</v>
      </c>
      <c r="C317" s="183">
        <v>100.08</v>
      </c>
      <c r="D317" s="179">
        <v>3548</v>
      </c>
      <c r="E317" s="179">
        <f t="shared" si="60"/>
        <v>355084</v>
      </c>
      <c r="F317" s="184" t="s">
        <v>578</v>
      </c>
      <c r="G317" s="182" t="s">
        <v>48</v>
      </c>
      <c r="H317" s="185">
        <v>2650</v>
      </c>
      <c r="I317" s="185">
        <v>265212</v>
      </c>
      <c r="J317" s="196">
        <f>VLOOKUP(B317,泰康小区账面房号及收款金额!$A$2:$B$424,2,0)</f>
        <v>265211.6</v>
      </c>
      <c r="K317" s="196"/>
      <c r="L317" s="196"/>
      <c r="M317" s="196"/>
      <c r="N317" s="196">
        <f t="shared" si="62"/>
        <v>0.400000000023283</v>
      </c>
      <c r="O317" s="194"/>
      <c r="P317" s="195"/>
      <c r="Q317" s="125">
        <f>VLOOKUP(B317,[2]信息汇总表!$M$2:$T$816,8,0)</f>
        <v>265212</v>
      </c>
      <c r="R317" s="125">
        <f>VLOOKUP(B317,[1]sheet1!$J$4:$K$413,2,0)</f>
        <v>265211.6</v>
      </c>
      <c r="S317" s="125"/>
      <c r="T317" s="125">
        <f t="shared" si="65"/>
        <v>252582.857142857</v>
      </c>
      <c r="U317" s="125">
        <f t="shared" si="61"/>
        <v>12629.1428571429</v>
      </c>
      <c r="V317" s="125">
        <f t="shared" si="68"/>
        <v>-12628.7428571428</v>
      </c>
      <c r="W317" s="125">
        <f>-V317</f>
        <v>12628.7428571428</v>
      </c>
      <c r="X317" s="125"/>
      <c r="Y317" t="s">
        <v>77</v>
      </c>
      <c r="Z317" s="165">
        <f t="shared" si="64"/>
        <v>0</v>
      </c>
    </row>
    <row r="318" ht="13.5" hidden="1" spans="1:26">
      <c r="A318" s="175">
        <v>315</v>
      </c>
      <c r="B318" s="187" t="s">
        <v>579</v>
      </c>
      <c r="C318" s="183">
        <v>100.08</v>
      </c>
      <c r="D318" s="179">
        <v>3588</v>
      </c>
      <c r="E318" s="179">
        <f t="shared" si="60"/>
        <v>359087</v>
      </c>
      <c r="F318" s="184" t="s">
        <v>580</v>
      </c>
      <c r="G318" s="182" t="s">
        <v>48</v>
      </c>
      <c r="H318" s="185">
        <v>2960</v>
      </c>
      <c r="I318" s="185">
        <v>296237</v>
      </c>
      <c r="J318" s="196">
        <f>VLOOKUP(B318,泰康小区账面房号及收款金额!$A$2:$B$424,2,0)</f>
        <v>296237</v>
      </c>
      <c r="K318" s="196"/>
      <c r="L318" s="196"/>
      <c r="M318" s="196"/>
      <c r="N318" s="196">
        <f t="shared" si="62"/>
        <v>0</v>
      </c>
      <c r="O318" s="194"/>
      <c r="P318" s="195"/>
      <c r="Q318" s="125">
        <f>VLOOKUP(B318,[2]信息汇总表!$M$2:$T$816,8,0)</f>
        <v>296237</v>
      </c>
      <c r="R318" s="125">
        <f>VLOOKUP(B318,[1]sheet1!$J$4:$K$413,2,0)</f>
        <v>296237</v>
      </c>
      <c r="S318" s="125"/>
      <c r="T318" s="125">
        <f t="shared" si="65"/>
        <v>282130.476190476</v>
      </c>
      <c r="U318" s="125">
        <f t="shared" si="61"/>
        <v>14106.5238095238</v>
      </c>
      <c r="V318" s="125">
        <f t="shared" si="68"/>
        <v>-14106.5238095238</v>
      </c>
      <c r="W318" s="125">
        <f t="shared" ref="W318:W323" si="70">U318-X318</f>
        <v>14106.5238095238</v>
      </c>
      <c r="X318" s="125"/>
      <c r="Y318" t="s">
        <v>77</v>
      </c>
      <c r="Z318" s="165">
        <f t="shared" si="64"/>
        <v>0</v>
      </c>
    </row>
    <row r="319" ht="13.5" hidden="1" spans="1:26">
      <c r="A319" s="175">
        <v>316</v>
      </c>
      <c r="B319" s="187" t="s">
        <v>581</v>
      </c>
      <c r="C319" s="183">
        <v>100.08</v>
      </c>
      <c r="D319" s="179">
        <v>2756</v>
      </c>
      <c r="E319" s="179">
        <f t="shared" si="60"/>
        <v>275820</v>
      </c>
      <c r="F319" s="184" t="s">
        <v>582</v>
      </c>
      <c r="G319" s="182"/>
      <c r="H319" s="185">
        <f>I319/C319</f>
        <v>2520.00399680256</v>
      </c>
      <c r="I319" s="185">
        <v>252202</v>
      </c>
      <c r="J319" s="196"/>
      <c r="K319" s="196"/>
      <c r="L319" s="196"/>
      <c r="M319" s="196"/>
      <c r="N319" s="196">
        <f t="shared" si="62"/>
        <v>252202</v>
      </c>
      <c r="O319" s="194"/>
      <c r="P319" s="195"/>
      <c r="Q319" s="125">
        <f>VLOOKUP(B319,[2]信息汇总表!$M$2:$T$816,8,0)</f>
        <v>252202</v>
      </c>
      <c r="R319" s="125"/>
      <c r="S319" s="125"/>
      <c r="T319" s="125">
        <f t="shared" si="65"/>
        <v>240192.380952381</v>
      </c>
      <c r="U319" s="125">
        <f t="shared" si="61"/>
        <v>12009.6190476191</v>
      </c>
      <c r="V319" s="125">
        <f t="shared" si="68"/>
        <v>240192.380952381</v>
      </c>
      <c r="W319" s="125">
        <f t="shared" si="70"/>
        <v>12009.6190476191</v>
      </c>
      <c r="X319" s="125"/>
      <c r="Y319" t="s">
        <v>564</v>
      </c>
      <c r="Z319" s="165">
        <f t="shared" si="64"/>
        <v>252202</v>
      </c>
    </row>
    <row r="320" hidden="1" spans="1:26">
      <c r="A320" s="175">
        <v>317</v>
      </c>
      <c r="B320" s="187" t="s">
        <v>583</v>
      </c>
      <c r="C320" s="183">
        <v>100.08</v>
      </c>
      <c r="D320" s="179">
        <v>2716</v>
      </c>
      <c r="E320" s="179">
        <f t="shared" si="60"/>
        <v>271817</v>
      </c>
      <c r="F320" s="184" t="s">
        <v>584</v>
      </c>
      <c r="G320" s="182" t="s">
        <v>48</v>
      </c>
      <c r="H320" s="185">
        <v>2800</v>
      </c>
      <c r="I320" s="185">
        <v>280224</v>
      </c>
      <c r="J320" s="196">
        <f>VLOOKUP(B320,泰康小区账面房号及收款金额!$A$2:$B$424,2,0)</f>
        <v>280224</v>
      </c>
      <c r="K320" s="196"/>
      <c r="L320" s="196"/>
      <c r="M320" s="196"/>
      <c r="N320" s="196">
        <f t="shared" si="62"/>
        <v>0</v>
      </c>
      <c r="O320" s="194"/>
      <c r="P320" s="195"/>
      <c r="Q320" s="125">
        <f>VLOOKUP(B320,[2]信息汇总表!$M$2:$T$816,8,0)</f>
        <v>280224</v>
      </c>
      <c r="R320" s="125">
        <f>VLOOKUP(B320,[1]sheet1!$J$4:$K$413,2,0)</f>
        <v>266880</v>
      </c>
      <c r="S320" s="125"/>
      <c r="T320" s="125">
        <f t="shared" si="65"/>
        <v>266880</v>
      </c>
      <c r="U320" s="125">
        <f t="shared" si="61"/>
        <v>13344</v>
      </c>
      <c r="V320" s="125">
        <f t="shared" si="68"/>
        <v>0</v>
      </c>
      <c r="W320" s="125">
        <f t="shared" si="70"/>
        <v>0.25</v>
      </c>
      <c r="X320" s="125">
        <v>13343.75</v>
      </c>
      <c r="Y320" s="195" t="s">
        <v>42</v>
      </c>
      <c r="Z320" s="165">
        <f t="shared" si="64"/>
        <v>0.25</v>
      </c>
    </row>
    <row r="321" hidden="1" spans="1:26">
      <c r="A321" s="175">
        <v>318</v>
      </c>
      <c r="B321" s="187" t="s">
        <v>585</v>
      </c>
      <c r="C321" s="183">
        <v>100.08</v>
      </c>
      <c r="D321" s="179">
        <v>2716</v>
      </c>
      <c r="E321" s="179">
        <f t="shared" ref="E321:E369" si="71">ROUND(IF(F321&lt;&gt;0,C321*D321,0),0)</f>
        <v>271817</v>
      </c>
      <c r="F321" s="184" t="s">
        <v>586</v>
      </c>
      <c r="G321" s="182" t="s">
        <v>48</v>
      </c>
      <c r="H321" s="185">
        <v>2700</v>
      </c>
      <c r="I321" s="185">
        <v>270216</v>
      </c>
      <c r="J321" s="196">
        <f>VLOOKUP(B321,泰康小区账面房号及收款金额!$A$2:$B$424,2,0)</f>
        <v>270216.45</v>
      </c>
      <c r="K321" s="196"/>
      <c r="L321" s="196"/>
      <c r="M321" s="196"/>
      <c r="N321" s="196">
        <f t="shared" si="62"/>
        <v>-0.450000000011642</v>
      </c>
      <c r="O321" s="194"/>
      <c r="P321" s="195"/>
      <c r="Q321" s="125">
        <f>VLOOKUP(B321,[2]信息汇总表!$M$2:$T$816,8,0)</f>
        <v>270216</v>
      </c>
      <c r="R321" s="125">
        <f>VLOOKUP(B321,[1]sheet1!$J$4:$K$413,2,0)</f>
        <v>257349</v>
      </c>
      <c r="S321" s="125"/>
      <c r="T321" s="125">
        <f t="shared" si="65"/>
        <v>257348.571428571</v>
      </c>
      <c r="U321" s="125">
        <f t="shared" si="61"/>
        <v>12867.4285714286</v>
      </c>
      <c r="V321" s="125">
        <f t="shared" si="68"/>
        <v>-0.428571428579744</v>
      </c>
      <c r="W321" s="125">
        <f t="shared" si="70"/>
        <v>-0.0214285714209836</v>
      </c>
      <c r="X321" s="125">
        <v>12867.45</v>
      </c>
      <c r="Y321" s="195" t="s">
        <v>42</v>
      </c>
      <c r="Z321" s="165">
        <f t="shared" si="64"/>
        <v>-0.450000000000728</v>
      </c>
    </row>
    <row r="322" ht="13.5" hidden="1" spans="1:26">
      <c r="A322" s="175">
        <v>319</v>
      </c>
      <c r="B322" s="187" t="s">
        <v>587</v>
      </c>
      <c r="C322" s="183">
        <v>92.56</v>
      </c>
      <c r="D322" s="179">
        <v>3638</v>
      </c>
      <c r="E322" s="179">
        <f t="shared" si="71"/>
        <v>336733</v>
      </c>
      <c r="F322" s="184" t="s">
        <v>588</v>
      </c>
      <c r="G322" s="182" t="s">
        <v>48</v>
      </c>
      <c r="H322" s="185">
        <v>3708</v>
      </c>
      <c r="I322" s="185">
        <v>343212</v>
      </c>
      <c r="J322" s="196">
        <f>VLOOKUP(B322,泰康小区账面房号及收款金额!$A$2:$B$424,2,0)</f>
        <v>343212</v>
      </c>
      <c r="K322" s="196"/>
      <c r="L322" s="196"/>
      <c r="M322" s="196"/>
      <c r="N322" s="196">
        <f t="shared" si="62"/>
        <v>0</v>
      </c>
      <c r="O322" s="194"/>
      <c r="P322" s="195"/>
      <c r="Q322" s="125">
        <f>VLOOKUP(B322,[2]信息汇总表!$M$2:$T$816,8,0)</f>
        <v>343212</v>
      </c>
      <c r="R322" s="125">
        <f>VLOOKUP(B322,[1]sheet1!$J$4:$K$413,2,0)</f>
        <v>343143</v>
      </c>
      <c r="S322" s="125"/>
      <c r="T322" s="125">
        <f t="shared" si="65"/>
        <v>326868.571428571</v>
      </c>
      <c r="U322" s="125">
        <f t="shared" si="61"/>
        <v>16343.4285714286</v>
      </c>
      <c r="V322" s="125">
        <f t="shared" si="68"/>
        <v>-16274.4285714286</v>
      </c>
      <c r="W322" s="125">
        <f t="shared" si="70"/>
        <v>16274.4285714286</v>
      </c>
      <c r="X322" s="125">
        <v>69</v>
      </c>
      <c r="Y322" t="s">
        <v>77</v>
      </c>
      <c r="Z322" s="165">
        <f t="shared" si="64"/>
        <v>0</v>
      </c>
    </row>
    <row r="323" ht="13.5" hidden="1" spans="1:26">
      <c r="A323" s="175">
        <v>320</v>
      </c>
      <c r="B323" s="187" t="s">
        <v>589</v>
      </c>
      <c r="C323" s="183">
        <v>92.56</v>
      </c>
      <c r="D323" s="179">
        <v>3638</v>
      </c>
      <c r="E323" s="179">
        <f t="shared" si="71"/>
        <v>336733</v>
      </c>
      <c r="F323" s="184" t="s">
        <v>590</v>
      </c>
      <c r="G323" s="182" t="s">
        <v>48</v>
      </c>
      <c r="H323" s="185">
        <v>3708</v>
      </c>
      <c r="I323" s="185">
        <v>343212</v>
      </c>
      <c r="J323" s="196">
        <f>VLOOKUP(B323,泰康小区账面房号及收款金额!$A$2:$B$424,2,0)</f>
        <v>343212</v>
      </c>
      <c r="K323" s="196"/>
      <c r="L323" s="196"/>
      <c r="M323" s="196"/>
      <c r="N323" s="196">
        <f t="shared" si="62"/>
        <v>0</v>
      </c>
      <c r="O323" s="194"/>
      <c r="P323" s="195"/>
      <c r="Q323" s="125">
        <f>VLOOKUP(B323,[2]信息汇总表!$M$2:$T$816,8,0)</f>
        <v>343212</v>
      </c>
      <c r="R323" s="125">
        <f>VLOOKUP(B323,[1]sheet1!$J$4:$K$413,2,0)</f>
        <v>343143</v>
      </c>
      <c r="S323" s="125"/>
      <c r="T323" s="125">
        <f t="shared" si="65"/>
        <v>326868.571428571</v>
      </c>
      <c r="U323" s="125">
        <f t="shared" si="61"/>
        <v>16343.4285714286</v>
      </c>
      <c r="V323" s="125">
        <f t="shared" si="68"/>
        <v>-16274.4285714286</v>
      </c>
      <c r="W323" s="125">
        <f t="shared" si="70"/>
        <v>16274.4285714286</v>
      </c>
      <c r="X323" s="125">
        <v>69</v>
      </c>
      <c r="Y323" t="s">
        <v>77</v>
      </c>
      <c r="Z323" s="165">
        <f t="shared" si="64"/>
        <v>0</v>
      </c>
    </row>
    <row r="324" hidden="1" spans="1:26">
      <c r="A324" s="175">
        <v>321</v>
      </c>
      <c r="B324" s="187" t="s">
        <v>591</v>
      </c>
      <c r="C324" s="183"/>
      <c r="D324" s="179"/>
      <c r="E324" s="179">
        <f t="shared" si="71"/>
        <v>0</v>
      </c>
      <c r="F324" s="207"/>
      <c r="G324" s="182"/>
      <c r="H324" s="185"/>
      <c r="I324" s="185">
        <v>0</v>
      </c>
      <c r="J324" s="196"/>
      <c r="K324" s="196"/>
      <c r="L324" s="196"/>
      <c r="M324" s="196"/>
      <c r="N324" s="196">
        <f t="shared" si="62"/>
        <v>0</v>
      </c>
      <c r="O324" s="194" t="s">
        <v>35</v>
      </c>
      <c r="P324" s="195"/>
      <c r="Q324" s="125"/>
      <c r="R324" s="125"/>
      <c r="S324" s="125"/>
      <c r="T324" s="125">
        <f t="shared" si="65"/>
        <v>0</v>
      </c>
      <c r="U324" s="125">
        <f t="shared" si="61"/>
        <v>0</v>
      </c>
      <c r="V324" s="125"/>
      <c r="W324" s="125"/>
      <c r="X324" s="125"/>
      <c r="Y324" s="195"/>
      <c r="Z324" s="165">
        <f t="shared" si="64"/>
        <v>0</v>
      </c>
    </row>
    <row r="325" hidden="1" spans="1:26">
      <c r="A325" s="175">
        <v>322</v>
      </c>
      <c r="B325" s="187" t="s">
        <v>592</v>
      </c>
      <c r="C325" s="183"/>
      <c r="D325" s="179"/>
      <c r="E325" s="179">
        <f t="shared" si="71"/>
        <v>0</v>
      </c>
      <c r="F325" s="207"/>
      <c r="G325" s="182"/>
      <c r="H325" s="185"/>
      <c r="I325" s="185">
        <v>0</v>
      </c>
      <c r="J325" s="196"/>
      <c r="K325" s="196"/>
      <c r="L325" s="196"/>
      <c r="M325" s="196"/>
      <c r="N325" s="196">
        <f t="shared" si="62"/>
        <v>0</v>
      </c>
      <c r="O325" s="194" t="s">
        <v>35</v>
      </c>
      <c r="P325" s="195"/>
      <c r="Q325" s="125"/>
      <c r="R325" s="125"/>
      <c r="S325" s="125"/>
      <c r="T325" s="125">
        <f t="shared" si="65"/>
        <v>0</v>
      </c>
      <c r="U325" s="125">
        <f t="shared" ref="U325:U388" si="72">I325-T325</f>
        <v>0</v>
      </c>
      <c r="V325" s="125"/>
      <c r="W325" s="125"/>
      <c r="X325" s="125"/>
      <c r="Y325" s="195"/>
      <c r="Z325" s="165">
        <f t="shared" si="64"/>
        <v>0</v>
      </c>
    </row>
    <row r="326" hidden="1" spans="1:26">
      <c r="A326" s="175">
        <v>323</v>
      </c>
      <c r="B326" s="187" t="s">
        <v>593</v>
      </c>
      <c r="C326" s="183">
        <v>100.08</v>
      </c>
      <c r="D326" s="179">
        <v>3388</v>
      </c>
      <c r="E326" s="179">
        <f t="shared" si="71"/>
        <v>339071</v>
      </c>
      <c r="F326" s="184" t="s">
        <v>594</v>
      </c>
      <c r="G326" s="182"/>
      <c r="H326" s="185">
        <v>3030</v>
      </c>
      <c r="I326" s="185">
        <v>303242</v>
      </c>
      <c r="J326" s="196">
        <f>VLOOKUP(B326,泰康小区账面房号及收款金额!$A$2:$B$424,2,0)</f>
        <v>303243.15</v>
      </c>
      <c r="K326" s="196"/>
      <c r="L326" s="196"/>
      <c r="M326" s="196"/>
      <c r="N326" s="196">
        <f t="shared" si="62"/>
        <v>-1.15000000002328</v>
      </c>
      <c r="O326" s="194"/>
      <c r="P326" s="195"/>
      <c r="Q326" s="125">
        <f>VLOOKUP(B326,[2]信息汇总表!$M$2:$T$816,8,0)</f>
        <v>303242</v>
      </c>
      <c r="R326" s="125">
        <f>VLOOKUP(B326,[1]sheet1!$J$4:$K$413,2,0)</f>
        <v>288803</v>
      </c>
      <c r="S326" s="125"/>
      <c r="T326" s="125">
        <f t="shared" si="65"/>
        <v>288801.904761905</v>
      </c>
      <c r="U326" s="125">
        <f t="shared" si="72"/>
        <v>14440.0952380953</v>
      </c>
      <c r="V326" s="125">
        <f t="shared" ref="V326:V360" si="73">T326-S326-R326</f>
        <v>-1.09523809526581</v>
      </c>
      <c r="W326" s="125">
        <f t="shared" ref="W326:W350" si="74">U326-X326</f>
        <v>-0.454761904733459</v>
      </c>
      <c r="X326" s="125">
        <v>14440.55</v>
      </c>
      <c r="Y326" s="195" t="s">
        <v>42</v>
      </c>
      <c r="Z326" s="165">
        <f t="shared" si="64"/>
        <v>-1.54999999999927</v>
      </c>
    </row>
    <row r="327" hidden="1" spans="1:26">
      <c r="A327" s="175">
        <v>324</v>
      </c>
      <c r="B327" s="187" t="s">
        <v>595</v>
      </c>
      <c r="C327" s="183">
        <v>100.08</v>
      </c>
      <c r="D327" s="179">
        <v>3388</v>
      </c>
      <c r="E327" s="179">
        <f t="shared" si="71"/>
        <v>339071</v>
      </c>
      <c r="F327" s="184" t="s">
        <v>596</v>
      </c>
      <c r="G327" s="182"/>
      <c r="H327" s="185">
        <v>3030</v>
      </c>
      <c r="I327" s="185">
        <v>303242</v>
      </c>
      <c r="J327" s="196">
        <f>VLOOKUP(B327,泰康小区账面房号及收款金额!$A$2:$B$424,2,0)</f>
        <v>303243.15</v>
      </c>
      <c r="K327" s="196"/>
      <c r="L327" s="196"/>
      <c r="M327" s="196"/>
      <c r="N327" s="196">
        <f t="shared" si="62"/>
        <v>-1.15000000002328</v>
      </c>
      <c r="O327" s="194"/>
      <c r="P327" s="195"/>
      <c r="Q327" s="125">
        <f>VLOOKUP(B327,[2]信息汇总表!$M$2:$T$816,8,0)</f>
        <v>303242</v>
      </c>
      <c r="R327" s="125">
        <f>VLOOKUP(B327,[1]sheet1!$J$4:$K$413,2,0)</f>
        <v>288803</v>
      </c>
      <c r="S327" s="125"/>
      <c r="T327" s="125">
        <f t="shared" si="65"/>
        <v>288801.904761905</v>
      </c>
      <c r="U327" s="125">
        <f t="shared" si="72"/>
        <v>14440.0952380953</v>
      </c>
      <c r="V327" s="125">
        <f t="shared" si="73"/>
        <v>-1.09523809526581</v>
      </c>
      <c r="W327" s="125">
        <f t="shared" si="74"/>
        <v>-0.454761904733459</v>
      </c>
      <c r="X327" s="125">
        <v>14440.55</v>
      </c>
      <c r="Y327" s="195" t="s">
        <v>42</v>
      </c>
      <c r="Z327" s="165">
        <f t="shared" si="64"/>
        <v>-1.54999999999927</v>
      </c>
    </row>
    <row r="328" hidden="1" spans="1:26">
      <c r="A328" s="175">
        <v>325</v>
      </c>
      <c r="B328" s="187" t="s">
        <v>597</v>
      </c>
      <c r="C328" s="183">
        <v>100.08</v>
      </c>
      <c r="D328" s="179">
        <v>2696</v>
      </c>
      <c r="E328" s="179">
        <f t="shared" si="71"/>
        <v>269816</v>
      </c>
      <c r="F328" s="184" t="s">
        <v>598</v>
      </c>
      <c r="G328" s="182"/>
      <c r="H328" s="185">
        <v>2670</v>
      </c>
      <c r="I328" s="185">
        <v>267214</v>
      </c>
      <c r="J328" s="196">
        <f>VLOOKUP(B328,泰康小区账面房号及收款金额!$A$2:$B$424,2,0)</f>
        <v>267231.3</v>
      </c>
      <c r="K328" s="196"/>
      <c r="L328" s="196"/>
      <c r="M328" s="196"/>
      <c r="N328" s="196">
        <f t="shared" ref="N328:N391" si="75">I328-J328</f>
        <v>-17.2999999999884</v>
      </c>
      <c r="O328" s="194"/>
      <c r="P328" s="195"/>
      <c r="Q328" s="125">
        <f>VLOOKUP(B328,[2]信息汇总表!$M$2:$T$816,8,0)</f>
        <v>267213</v>
      </c>
      <c r="R328" s="125">
        <f>VLOOKUP(B328,[1]sheet1!$J$4:$K$413,2,0)</f>
        <v>254506</v>
      </c>
      <c r="S328" s="125"/>
      <c r="T328" s="125">
        <f t="shared" si="65"/>
        <v>254489.523809524</v>
      </c>
      <c r="U328" s="125">
        <f t="shared" si="72"/>
        <v>12724.4761904762</v>
      </c>
      <c r="V328" s="125">
        <f t="shared" si="73"/>
        <v>-16.4761904762127</v>
      </c>
      <c r="W328" s="125">
        <f t="shared" si="74"/>
        <v>-1.07380952378662</v>
      </c>
      <c r="X328" s="125">
        <v>12725.55</v>
      </c>
      <c r="Y328" s="195">
        <v>76411</v>
      </c>
      <c r="Z328" s="165">
        <f t="shared" si="64"/>
        <v>-17.5499999999993</v>
      </c>
    </row>
    <row r="329" ht="13.5" hidden="1" spans="1:26">
      <c r="A329" s="175">
        <v>326</v>
      </c>
      <c r="B329" s="187" t="s">
        <v>599</v>
      </c>
      <c r="C329" s="183">
        <v>100.08</v>
      </c>
      <c r="D329" s="179">
        <v>3428</v>
      </c>
      <c r="E329" s="179">
        <f t="shared" si="71"/>
        <v>343074</v>
      </c>
      <c r="F329" s="184" t="s">
        <v>600</v>
      </c>
      <c r="G329" s="182" t="s">
        <v>48</v>
      </c>
      <c r="H329" s="185">
        <v>2680</v>
      </c>
      <c r="I329" s="185">
        <v>268214</v>
      </c>
      <c r="J329" s="196">
        <f>VLOOKUP(B329,泰康小区账面房号及收款金额!$A$2:$B$424,2,0)</f>
        <v>268215</v>
      </c>
      <c r="K329" s="196"/>
      <c r="L329" s="196"/>
      <c r="M329" s="196"/>
      <c r="N329" s="196">
        <f t="shared" si="75"/>
        <v>-1</v>
      </c>
      <c r="O329" s="194"/>
      <c r="P329" s="195"/>
      <c r="Q329" s="125">
        <f>VLOOKUP(B329,[2]信息汇总表!$M$2:$T$816,8,0)</f>
        <v>268214</v>
      </c>
      <c r="R329" s="125">
        <f>VLOOKUP(B329,[1]sheet1!$J$4:$K$413,2,0)</f>
        <v>268161</v>
      </c>
      <c r="S329" s="125"/>
      <c r="T329" s="125">
        <f>J329/1.05</f>
        <v>255442.857142857</v>
      </c>
      <c r="U329" s="125">
        <f>T329*0.05</f>
        <v>12772.1428571429</v>
      </c>
      <c r="V329" s="125">
        <f t="shared" si="73"/>
        <v>-12718.1428571429</v>
      </c>
      <c r="W329" s="125">
        <f t="shared" si="74"/>
        <v>12718.1428571429</v>
      </c>
      <c r="X329" s="125">
        <v>54</v>
      </c>
      <c r="Y329" t="s">
        <v>77</v>
      </c>
      <c r="Z329" s="165">
        <f t="shared" si="64"/>
        <v>0</v>
      </c>
    </row>
    <row r="330" hidden="1" spans="1:26">
      <c r="A330" s="175">
        <v>327</v>
      </c>
      <c r="B330" s="187" t="s">
        <v>601</v>
      </c>
      <c r="C330" s="183">
        <v>100.08</v>
      </c>
      <c r="D330" s="179">
        <v>3468</v>
      </c>
      <c r="E330" s="179">
        <f t="shared" si="71"/>
        <v>347077</v>
      </c>
      <c r="F330" s="184" t="s">
        <v>602</v>
      </c>
      <c r="G330" s="182" t="s">
        <v>48</v>
      </c>
      <c r="H330" s="185">
        <v>2690</v>
      </c>
      <c r="I330" s="185">
        <v>269215</v>
      </c>
      <c r="J330" s="196">
        <f>VLOOKUP(B330,泰康小区账面房号及收款金额!$A$2:$B$424,2,0)</f>
        <v>269215.8</v>
      </c>
      <c r="K330" s="196"/>
      <c r="L330" s="196"/>
      <c r="M330" s="196"/>
      <c r="N330" s="196">
        <f t="shared" si="75"/>
        <v>-0.799999999988358</v>
      </c>
      <c r="O330" s="194"/>
      <c r="P330" s="195"/>
      <c r="Q330" s="125">
        <f>VLOOKUP(B330,[2]信息汇总表!$M$2:$T$816,8,0)</f>
        <v>269215</v>
      </c>
      <c r="R330" s="125">
        <f>VLOOKUP(B330,[1]sheet1!$J$4:$K$413,2,0)</f>
        <v>256396</v>
      </c>
      <c r="S330" s="125"/>
      <c r="T330" s="125">
        <f t="shared" si="65"/>
        <v>256395.238095238</v>
      </c>
      <c r="U330" s="125">
        <f t="shared" si="72"/>
        <v>12819.7619047619</v>
      </c>
      <c r="V330" s="125">
        <f t="shared" si="73"/>
        <v>-0.761904761922779</v>
      </c>
      <c r="W330" s="125">
        <f t="shared" si="74"/>
        <v>0.0119047619227786</v>
      </c>
      <c r="X330" s="125">
        <v>12819.75</v>
      </c>
      <c r="Y330" s="195" t="s">
        <v>42</v>
      </c>
      <c r="Z330" s="165">
        <f t="shared" si="64"/>
        <v>-0.75</v>
      </c>
    </row>
    <row r="331" hidden="1" spans="1:26">
      <c r="A331" s="175">
        <v>328</v>
      </c>
      <c r="B331" s="187" t="s">
        <v>603</v>
      </c>
      <c r="C331" s="183">
        <v>100.08</v>
      </c>
      <c r="D331" s="179">
        <v>2566</v>
      </c>
      <c r="E331" s="179">
        <f t="shared" si="71"/>
        <v>256805</v>
      </c>
      <c r="F331" s="184" t="s">
        <v>604</v>
      </c>
      <c r="G331" s="182" t="s">
        <v>48</v>
      </c>
      <c r="H331" s="185">
        <v>2500</v>
      </c>
      <c r="I331" s="185">
        <v>250200</v>
      </c>
      <c r="J331" s="196">
        <f>VLOOKUP(B331,泰康小区账面房号及收款金额!$A$2:$B$424,2,0)</f>
        <v>250200.3</v>
      </c>
      <c r="K331" s="196"/>
      <c r="L331" s="196"/>
      <c r="M331" s="196"/>
      <c r="N331" s="196">
        <f t="shared" si="75"/>
        <v>-0.299999999988358</v>
      </c>
      <c r="O331" s="194"/>
      <c r="P331" s="195"/>
      <c r="Q331" s="125">
        <f>VLOOKUP(B331,[2]信息汇总表!$M$2:$T$816,8,0)</f>
        <v>250200</v>
      </c>
      <c r="R331" s="125">
        <f>VLOOKUP(B331,[1]sheet1!$J$4:$K$413,2,0)</f>
        <v>238286</v>
      </c>
      <c r="S331" s="125"/>
      <c r="T331" s="125">
        <f t="shared" si="65"/>
        <v>238285.714285714</v>
      </c>
      <c r="U331" s="125">
        <f t="shared" si="72"/>
        <v>11914.2857142857</v>
      </c>
      <c r="V331" s="125">
        <f t="shared" si="73"/>
        <v>-0.285714285710128</v>
      </c>
      <c r="W331" s="125">
        <f t="shared" si="74"/>
        <v>0.285714285710128</v>
      </c>
      <c r="X331" s="125">
        <v>11914</v>
      </c>
      <c r="Y331" s="195" t="s">
        <v>42</v>
      </c>
      <c r="Z331" s="165">
        <f t="shared" si="64"/>
        <v>0</v>
      </c>
    </row>
    <row r="332" hidden="1" spans="1:26">
      <c r="A332" s="175">
        <v>329</v>
      </c>
      <c r="B332" s="187" t="s">
        <v>605</v>
      </c>
      <c r="C332" s="183">
        <v>100.08</v>
      </c>
      <c r="D332" s="179">
        <v>3508</v>
      </c>
      <c r="E332" s="179">
        <f t="shared" si="71"/>
        <v>351081</v>
      </c>
      <c r="F332" s="184" t="s">
        <v>606</v>
      </c>
      <c r="G332" s="182" t="s">
        <v>48</v>
      </c>
      <c r="H332" s="185">
        <v>2498</v>
      </c>
      <c r="I332" s="185">
        <v>250000</v>
      </c>
      <c r="J332" s="196">
        <f>VLOOKUP(B332,泰康小区账面房号及收款金额!$A$2:$B$424,2,0)</f>
        <v>249999.75</v>
      </c>
      <c r="K332" s="196"/>
      <c r="L332" s="196"/>
      <c r="M332" s="196"/>
      <c r="N332" s="196">
        <f t="shared" si="75"/>
        <v>0.25</v>
      </c>
      <c r="O332" s="194"/>
      <c r="P332" s="195"/>
      <c r="Q332" s="125">
        <f>VLOOKUP(B332,[2]信息汇总表!$M$2:$T$816,8,0)</f>
        <v>250000</v>
      </c>
      <c r="R332" s="125">
        <f>VLOOKUP(B332,[1]sheet1!$J$4:$K$413,2,0)</f>
        <v>238095</v>
      </c>
      <c r="S332" s="125"/>
      <c r="T332" s="125">
        <f t="shared" si="65"/>
        <v>238095.238095238</v>
      </c>
      <c r="U332" s="125">
        <f t="shared" si="72"/>
        <v>11904.7619047619</v>
      </c>
      <c r="V332" s="125">
        <f t="shared" si="73"/>
        <v>0.238095238077221</v>
      </c>
      <c r="W332" s="125">
        <f t="shared" si="74"/>
        <v>-0.238095238077221</v>
      </c>
      <c r="X332" s="125">
        <v>11905</v>
      </c>
      <c r="Y332" s="195" t="s">
        <v>42</v>
      </c>
      <c r="Z332" s="165">
        <f t="shared" si="64"/>
        <v>0</v>
      </c>
    </row>
    <row r="333" ht="13.5" hidden="1" spans="1:26">
      <c r="A333" s="175">
        <v>330</v>
      </c>
      <c r="B333" s="187" t="s">
        <v>607</v>
      </c>
      <c r="C333" s="183">
        <v>100.08</v>
      </c>
      <c r="D333" s="179">
        <v>3508</v>
      </c>
      <c r="E333" s="179">
        <f t="shared" si="71"/>
        <v>351081</v>
      </c>
      <c r="F333" s="184" t="s">
        <v>608</v>
      </c>
      <c r="G333" s="182" t="s">
        <v>48</v>
      </c>
      <c r="H333" s="185">
        <v>2890</v>
      </c>
      <c r="I333" s="185">
        <v>289231</v>
      </c>
      <c r="J333" s="196">
        <f>VLOOKUP(B333,泰康小区账面房号及收款金额!$A$2:$B$424,2,0)</f>
        <v>289230.6</v>
      </c>
      <c r="K333" s="196"/>
      <c r="L333" s="196"/>
      <c r="M333" s="196"/>
      <c r="N333" s="196">
        <f t="shared" si="75"/>
        <v>0.400000000023283</v>
      </c>
      <c r="O333" s="194"/>
      <c r="P333" s="195"/>
      <c r="Q333" s="125"/>
      <c r="R333" s="125">
        <f>VLOOKUP(B333,[1]sheet1!$J$4:$K$413,2,0)</f>
        <v>289230.6</v>
      </c>
      <c r="S333" s="125"/>
      <c r="T333" s="125">
        <f>J333/1.05</f>
        <v>275457.714285714</v>
      </c>
      <c r="U333" s="125">
        <f>T333*0.05</f>
        <v>13772.8857142857</v>
      </c>
      <c r="V333" s="125">
        <f t="shared" si="73"/>
        <v>-13772.8857142857</v>
      </c>
      <c r="W333" s="125">
        <f t="shared" si="74"/>
        <v>13772.8857142857</v>
      </c>
      <c r="X333" s="125">
        <v>0</v>
      </c>
      <c r="Y333" t="s">
        <v>77</v>
      </c>
      <c r="Z333" s="165">
        <f t="shared" si="64"/>
        <v>0</v>
      </c>
    </row>
    <row r="334" hidden="1" spans="1:26">
      <c r="A334" s="175">
        <v>331</v>
      </c>
      <c r="B334" s="187" t="s">
        <v>609</v>
      </c>
      <c r="C334" s="183">
        <v>100.08</v>
      </c>
      <c r="D334" s="179">
        <v>3548</v>
      </c>
      <c r="E334" s="179">
        <f t="shared" si="71"/>
        <v>355084</v>
      </c>
      <c r="F334" s="184" t="s">
        <v>610</v>
      </c>
      <c r="G334" s="182"/>
      <c r="H334" s="185">
        <v>2700</v>
      </c>
      <c r="I334" s="185">
        <v>270216</v>
      </c>
      <c r="J334" s="196">
        <f>VLOOKUP(B334,泰康小区账面房号及收款金额!$A$2:$B$424,2,0)</f>
        <v>270216.45</v>
      </c>
      <c r="K334" s="196"/>
      <c r="L334" s="196"/>
      <c r="M334" s="196"/>
      <c r="N334" s="196">
        <f t="shared" si="75"/>
        <v>-0.450000000011642</v>
      </c>
      <c r="O334" s="194"/>
      <c r="P334" s="195"/>
      <c r="Q334" s="125">
        <f>VLOOKUP(B334,[2]信息汇总表!$M$2:$T$816,8,0)</f>
        <v>270216</v>
      </c>
      <c r="R334" s="125">
        <f>VLOOKUP(B334,[1]sheet1!$J$4:$K$413,2,0)</f>
        <v>257349</v>
      </c>
      <c r="S334" s="125"/>
      <c r="T334" s="125">
        <f t="shared" si="65"/>
        <v>257348.571428571</v>
      </c>
      <c r="U334" s="125">
        <f t="shared" si="72"/>
        <v>12867.4285714286</v>
      </c>
      <c r="V334" s="125">
        <f t="shared" si="73"/>
        <v>-0.428571428579744</v>
      </c>
      <c r="W334" s="125">
        <f t="shared" si="74"/>
        <v>0.228571428579016</v>
      </c>
      <c r="X334" s="125">
        <v>12867.2</v>
      </c>
      <c r="Y334" s="195" t="s">
        <v>42</v>
      </c>
      <c r="Z334" s="165">
        <f t="shared" si="64"/>
        <v>-0.200000000000728</v>
      </c>
    </row>
    <row r="335" ht="13.5" hidden="1" spans="1:26">
      <c r="A335" s="175">
        <v>332</v>
      </c>
      <c r="B335" s="187" t="s">
        <v>611</v>
      </c>
      <c r="C335" s="183">
        <v>100.45</v>
      </c>
      <c r="D335" s="179">
        <v>3548</v>
      </c>
      <c r="E335" s="179">
        <f t="shared" si="71"/>
        <v>356397</v>
      </c>
      <c r="F335" s="184" t="s">
        <v>612</v>
      </c>
      <c r="G335" s="182" t="s">
        <v>48</v>
      </c>
      <c r="H335" s="185">
        <f>I335/C335</f>
        <v>2688.71080139373</v>
      </c>
      <c r="I335" s="185">
        <v>270081</v>
      </c>
      <c r="J335" s="196">
        <f>VLOOKUP(B335,泰康小区账面房号及收款金额!$A$2:$B$424,2,0)</f>
        <v>270081</v>
      </c>
      <c r="K335" s="196"/>
      <c r="L335" s="196"/>
      <c r="M335" s="196"/>
      <c r="N335" s="196">
        <f t="shared" si="75"/>
        <v>0</v>
      </c>
      <c r="O335" s="194"/>
      <c r="P335" s="195"/>
      <c r="Q335" s="125"/>
      <c r="R335" s="125">
        <f>VLOOKUP(B335,[1]sheet1!$J$4:$K$413,2,0)</f>
        <v>270081</v>
      </c>
      <c r="S335" s="125"/>
      <c r="T335" s="125">
        <f t="shared" si="65"/>
        <v>257220</v>
      </c>
      <c r="U335" s="125">
        <f t="shared" si="72"/>
        <v>12861</v>
      </c>
      <c r="V335" s="125">
        <f t="shared" si="73"/>
        <v>-12861</v>
      </c>
      <c r="W335" s="125">
        <f t="shared" si="74"/>
        <v>12861</v>
      </c>
      <c r="X335" s="125"/>
      <c r="Y335" t="s">
        <v>77</v>
      </c>
      <c r="Z335" s="165">
        <f t="shared" si="64"/>
        <v>0</v>
      </c>
    </row>
    <row r="336" ht="13.5" hidden="1" spans="1:26">
      <c r="A336" s="175">
        <v>333</v>
      </c>
      <c r="B336" s="187" t="s">
        <v>613</v>
      </c>
      <c r="C336" s="183">
        <v>100.08</v>
      </c>
      <c r="D336" s="179">
        <v>3588</v>
      </c>
      <c r="E336" s="179">
        <f t="shared" si="71"/>
        <v>359087</v>
      </c>
      <c r="F336" s="184" t="s">
        <v>614</v>
      </c>
      <c r="G336" s="182" t="s">
        <v>48</v>
      </c>
      <c r="H336" s="185">
        <v>2700</v>
      </c>
      <c r="I336" s="185">
        <v>270216</v>
      </c>
      <c r="J336" s="196">
        <f>VLOOKUP(B336,泰康小区账面房号及收款金额!$A$2:$B$424,2,0)</f>
        <v>270216</v>
      </c>
      <c r="K336" s="196"/>
      <c r="L336" s="196"/>
      <c r="M336" s="196"/>
      <c r="N336" s="196">
        <f t="shared" si="75"/>
        <v>0</v>
      </c>
      <c r="O336" s="194"/>
      <c r="P336" s="195"/>
      <c r="Q336" s="125"/>
      <c r="R336" s="125">
        <f>VLOOKUP(B336,[1]sheet1!$J$4:$K$413,2,0)</f>
        <v>270162</v>
      </c>
      <c r="S336" s="125"/>
      <c r="T336" s="125">
        <f t="shared" si="65"/>
        <v>257348.571428571</v>
      </c>
      <c r="U336" s="125">
        <f t="shared" si="72"/>
        <v>12867.4285714286</v>
      </c>
      <c r="V336" s="125">
        <f t="shared" si="73"/>
        <v>-12813.4285714286</v>
      </c>
      <c r="W336" s="125">
        <f t="shared" si="74"/>
        <v>12813.4285714286</v>
      </c>
      <c r="X336" s="125">
        <v>54</v>
      </c>
      <c r="Y336" t="s">
        <v>77</v>
      </c>
      <c r="Z336" s="165">
        <f t="shared" si="64"/>
        <v>0</v>
      </c>
    </row>
    <row r="337" hidden="1" spans="1:26">
      <c r="A337" s="175">
        <v>334</v>
      </c>
      <c r="B337" s="187" t="s">
        <v>615</v>
      </c>
      <c r="C337" s="183">
        <v>100.45</v>
      </c>
      <c r="D337" s="179">
        <v>3588</v>
      </c>
      <c r="E337" s="179">
        <f t="shared" si="71"/>
        <v>360415</v>
      </c>
      <c r="F337" s="184" t="s">
        <v>616</v>
      </c>
      <c r="G337" s="182"/>
      <c r="H337" s="185">
        <v>3090</v>
      </c>
      <c r="I337" s="185">
        <v>310391</v>
      </c>
      <c r="J337" s="196">
        <f>VLOOKUP(B337,泰康小区账面房号及收款金额!$A$2:$B$424,2,0)</f>
        <v>310390.5</v>
      </c>
      <c r="K337" s="196"/>
      <c r="L337" s="196"/>
      <c r="M337" s="196"/>
      <c r="N337" s="196">
        <f t="shared" si="75"/>
        <v>0.5</v>
      </c>
      <c r="O337" s="194"/>
      <c r="P337" s="195"/>
      <c r="Q337" s="125">
        <f>VLOOKUP(B337,[2]信息汇总表!$M$2:$T$816,8,0)</f>
        <v>310391</v>
      </c>
      <c r="R337" s="125">
        <f>VLOOKUP(B337,[1]sheet1!$J$4:$K$413,2,0)</f>
        <v>295610</v>
      </c>
      <c r="S337" s="125"/>
      <c r="T337" s="125">
        <f t="shared" si="65"/>
        <v>295610.476190476</v>
      </c>
      <c r="U337" s="125">
        <f t="shared" si="72"/>
        <v>14780.5238095238</v>
      </c>
      <c r="V337" s="125">
        <f t="shared" si="73"/>
        <v>0.476190476154443</v>
      </c>
      <c r="W337" s="125">
        <f t="shared" si="74"/>
        <v>-0.17619047615517</v>
      </c>
      <c r="X337" s="125">
        <v>14780.7</v>
      </c>
      <c r="Y337" s="195" t="s">
        <v>42</v>
      </c>
      <c r="Z337" s="165">
        <f t="shared" si="64"/>
        <v>0.299999999999272</v>
      </c>
    </row>
    <row r="338" hidden="1" spans="1:26">
      <c r="A338" s="175">
        <v>335</v>
      </c>
      <c r="B338" s="187" t="s">
        <v>617</v>
      </c>
      <c r="C338" s="183">
        <v>100.08</v>
      </c>
      <c r="D338" s="179">
        <v>3608</v>
      </c>
      <c r="E338" s="179">
        <f t="shared" si="71"/>
        <v>361089</v>
      </c>
      <c r="F338" s="184" t="s">
        <v>618</v>
      </c>
      <c r="G338" s="182" t="s">
        <v>48</v>
      </c>
      <c r="H338" s="185">
        <v>2597.92</v>
      </c>
      <c r="I338" s="185">
        <v>260000</v>
      </c>
      <c r="J338" s="196">
        <f>VLOOKUP(B338,泰康小区账面房号及收款金额!$A$2:$B$424,2,0)</f>
        <v>216352.5</v>
      </c>
      <c r="K338" s="196"/>
      <c r="L338" s="196"/>
      <c r="M338" s="196"/>
      <c r="N338" s="196">
        <f t="shared" si="75"/>
        <v>43647.5</v>
      </c>
      <c r="O338" s="194"/>
      <c r="P338" s="195"/>
      <c r="Q338" s="125">
        <f>VLOOKUP(B338,[2]信息汇总表!$M$2:$T$816,8,0)</f>
        <v>260000</v>
      </c>
      <c r="R338" s="125">
        <f>VLOOKUP(B338,[1]sheet1!$J$4:$K$413,2,0)</f>
        <v>206050</v>
      </c>
      <c r="S338" s="125"/>
      <c r="T338" s="125">
        <f t="shared" si="65"/>
        <v>247619.047619048</v>
      </c>
      <c r="U338" s="125">
        <f t="shared" si="72"/>
        <v>12380.9523809524</v>
      </c>
      <c r="V338" s="125">
        <f t="shared" si="73"/>
        <v>41569.0476190476</v>
      </c>
      <c r="W338" s="125">
        <f t="shared" si="74"/>
        <v>2078.4523809524</v>
      </c>
      <c r="X338" s="125">
        <v>10302.5</v>
      </c>
      <c r="Y338" s="195"/>
      <c r="Z338" s="165">
        <f t="shared" si="64"/>
        <v>43647.5</v>
      </c>
    </row>
    <row r="339" ht="13.5" hidden="1" spans="1:26">
      <c r="A339" s="175">
        <v>336</v>
      </c>
      <c r="B339" s="187" t="s">
        <v>619</v>
      </c>
      <c r="C339" s="183">
        <v>100.45</v>
      </c>
      <c r="D339" s="179">
        <v>3608</v>
      </c>
      <c r="E339" s="179">
        <f t="shared" si="71"/>
        <v>362424</v>
      </c>
      <c r="F339" s="184" t="s">
        <v>620</v>
      </c>
      <c r="G339" s="182" t="s">
        <v>23</v>
      </c>
      <c r="H339" s="185">
        <v>2800</v>
      </c>
      <c r="I339" s="185">
        <v>281260</v>
      </c>
      <c r="J339" s="196">
        <f>VLOOKUP(B339,泰康小区账面房号及收款金额!$A$2:$B$424,2,0)</f>
        <v>281260</v>
      </c>
      <c r="K339" s="196"/>
      <c r="L339" s="196"/>
      <c r="M339" s="196"/>
      <c r="N339" s="196">
        <f t="shared" si="75"/>
        <v>0</v>
      </c>
      <c r="O339" s="194"/>
      <c r="P339" s="195"/>
      <c r="Q339" s="125">
        <f>VLOOKUP(B339,[2]信息汇总表!$M$2:$T$816,8,0)</f>
        <v>281260</v>
      </c>
      <c r="R339" s="125">
        <f>VLOOKUP(B339,[1]sheet1!$J$4:$K$413,2,0)</f>
        <v>281260</v>
      </c>
      <c r="S339" s="125"/>
      <c r="T339" s="125">
        <f t="shared" si="65"/>
        <v>267866.666666667</v>
      </c>
      <c r="U339" s="125">
        <f t="shared" si="72"/>
        <v>13393.3333333334</v>
      </c>
      <c r="V339" s="125">
        <f t="shared" si="73"/>
        <v>-13393.3333333334</v>
      </c>
      <c r="W339" s="125">
        <f t="shared" si="74"/>
        <v>13393.3333333334</v>
      </c>
      <c r="X339" s="125"/>
      <c r="Y339" t="s">
        <v>77</v>
      </c>
      <c r="Z339" s="165">
        <f t="shared" si="64"/>
        <v>0</v>
      </c>
    </row>
    <row r="340" ht="13.5" hidden="1" spans="1:26">
      <c r="A340" s="175">
        <v>337</v>
      </c>
      <c r="B340" s="187" t="s">
        <v>621</v>
      </c>
      <c r="C340" s="183">
        <v>92.56</v>
      </c>
      <c r="D340" s="179">
        <v>3638</v>
      </c>
      <c r="E340" s="179">
        <f t="shared" si="71"/>
        <v>336733</v>
      </c>
      <c r="F340" s="184" t="s">
        <v>620</v>
      </c>
      <c r="G340" s="182" t="s">
        <v>23</v>
      </c>
      <c r="H340" s="185">
        <v>2600</v>
      </c>
      <c r="I340" s="185">
        <v>240656</v>
      </c>
      <c r="J340" s="196">
        <f>VLOOKUP(B340,泰康小区账面房号及收款金额!$A$2:$B$424,2,0)</f>
        <v>240656</v>
      </c>
      <c r="K340" s="196"/>
      <c r="L340" s="196"/>
      <c r="M340" s="196"/>
      <c r="N340" s="196">
        <f t="shared" si="75"/>
        <v>0</v>
      </c>
      <c r="O340" s="194"/>
      <c r="P340" s="195"/>
      <c r="Q340" s="125">
        <f>VLOOKUP(B340,[2]信息汇总表!$M$2:$T$816,8,0)</f>
        <v>240656</v>
      </c>
      <c r="R340" s="125">
        <f>VLOOKUP(B340,[1]sheet1!$J$4:$K$413,2,0)</f>
        <v>240656</v>
      </c>
      <c r="S340" s="125"/>
      <c r="T340" s="125">
        <f t="shared" si="65"/>
        <v>229196.19047619</v>
      </c>
      <c r="U340" s="125">
        <f t="shared" si="72"/>
        <v>11459.8095238095</v>
      </c>
      <c r="V340" s="125">
        <f t="shared" si="73"/>
        <v>-11459.8095238095</v>
      </c>
      <c r="W340" s="125">
        <f t="shared" si="74"/>
        <v>11459.8095238095</v>
      </c>
      <c r="X340" s="125"/>
      <c r="Y340" t="s">
        <v>77</v>
      </c>
      <c r="Z340" s="165">
        <f t="shared" si="64"/>
        <v>0</v>
      </c>
    </row>
    <row r="341" ht="13.5" hidden="1" spans="1:26">
      <c r="A341" s="175">
        <v>338</v>
      </c>
      <c r="B341" s="187" t="s">
        <v>622</v>
      </c>
      <c r="C341" s="183">
        <v>92.93</v>
      </c>
      <c r="D341" s="179">
        <v>3638</v>
      </c>
      <c r="E341" s="179">
        <f t="shared" si="71"/>
        <v>338079</v>
      </c>
      <c r="F341" s="184" t="s">
        <v>623</v>
      </c>
      <c r="G341" s="182" t="s">
        <v>23</v>
      </c>
      <c r="H341" s="185">
        <v>2582.59</v>
      </c>
      <c r="I341" s="185">
        <v>240038</v>
      </c>
      <c r="J341" s="196">
        <f>VLOOKUP(B341,泰康小区账面房号及收款金额!$A$2:$B$424,2,0)</f>
        <v>240038</v>
      </c>
      <c r="K341" s="196"/>
      <c r="L341" s="196"/>
      <c r="M341" s="196"/>
      <c r="N341" s="196">
        <f t="shared" si="75"/>
        <v>0</v>
      </c>
      <c r="O341" s="194"/>
      <c r="P341" s="195"/>
      <c r="Q341" s="125">
        <f>VLOOKUP(B341,[2]信息汇总表!$M$2:$T$816,8,0)</f>
        <v>240038</v>
      </c>
      <c r="R341" s="125">
        <f>VLOOKUP(B341,[1]sheet1!$J$4:$K$413,2,0)</f>
        <v>240038</v>
      </c>
      <c r="S341" s="125"/>
      <c r="T341" s="125">
        <f t="shared" si="65"/>
        <v>228607.619047619</v>
      </c>
      <c r="U341" s="125">
        <f t="shared" si="72"/>
        <v>11430.380952381</v>
      </c>
      <c r="V341" s="125">
        <f t="shared" si="73"/>
        <v>-11430.380952381</v>
      </c>
      <c r="W341" s="125">
        <f t="shared" si="74"/>
        <v>11430.380952381</v>
      </c>
      <c r="X341" s="125"/>
      <c r="Y341" t="s">
        <v>77</v>
      </c>
      <c r="Z341" s="165">
        <f t="shared" si="64"/>
        <v>0</v>
      </c>
    </row>
    <row r="342" hidden="1" spans="1:26">
      <c r="A342" s="175">
        <v>339</v>
      </c>
      <c r="B342" s="187" t="s">
        <v>624</v>
      </c>
      <c r="C342" s="183">
        <v>97.74</v>
      </c>
      <c r="D342" s="179">
        <v>3748</v>
      </c>
      <c r="E342" s="179">
        <f t="shared" si="71"/>
        <v>366330</v>
      </c>
      <c r="F342" s="184" t="s">
        <v>625</v>
      </c>
      <c r="G342" s="182"/>
      <c r="H342" s="185">
        <v>3728</v>
      </c>
      <c r="I342" s="185">
        <v>364375</v>
      </c>
      <c r="J342" s="196">
        <f>VLOOKUP(B342,泰康小区账面房号及收款金额!$A$2:$B$424,2,0)</f>
        <v>364337.95</v>
      </c>
      <c r="K342" s="196"/>
      <c r="L342" s="196"/>
      <c r="M342" s="196"/>
      <c r="N342" s="196">
        <f t="shared" si="75"/>
        <v>37.0499999999884</v>
      </c>
      <c r="O342" s="194"/>
      <c r="P342" s="195"/>
      <c r="Q342" s="125">
        <f>VLOOKUP(B342,[2]信息汇总表!$M$2:$T$816,8,0)</f>
        <v>364375</v>
      </c>
      <c r="R342" s="125">
        <f>VLOOKUP(B342,[1]sheet1!$J$4:$K$413,2,0)</f>
        <v>346989</v>
      </c>
      <c r="S342" s="125"/>
      <c r="T342" s="125">
        <f t="shared" si="65"/>
        <v>347023.80952381</v>
      </c>
      <c r="U342" s="125">
        <f t="shared" si="72"/>
        <v>17351.1904761905</v>
      </c>
      <c r="V342" s="125">
        <f t="shared" si="73"/>
        <v>34.8095238095266</v>
      </c>
      <c r="W342" s="125">
        <f t="shared" si="74"/>
        <v>2.24047619047269</v>
      </c>
      <c r="X342" s="125">
        <v>17348.95</v>
      </c>
      <c r="Y342" s="195"/>
      <c r="Z342" s="165">
        <f t="shared" si="64"/>
        <v>37.0499999999993</v>
      </c>
    </row>
    <row r="343" hidden="1" spans="1:26">
      <c r="A343" s="175">
        <v>340</v>
      </c>
      <c r="B343" s="187" t="s">
        <v>626</v>
      </c>
      <c r="C343" s="183">
        <v>97.74</v>
      </c>
      <c r="D343" s="179">
        <v>3748</v>
      </c>
      <c r="E343" s="179">
        <f t="shared" si="71"/>
        <v>366330</v>
      </c>
      <c r="F343" s="184" t="s">
        <v>627</v>
      </c>
      <c r="G343" s="182"/>
      <c r="H343" s="185">
        <v>3100</v>
      </c>
      <c r="I343" s="185">
        <v>302994</v>
      </c>
      <c r="J343" s="196">
        <f>VLOOKUP(B343,泰康小区账面房号及收款金额!$A$2:$B$424,2,0)</f>
        <v>302994.3</v>
      </c>
      <c r="K343" s="196"/>
      <c r="L343" s="196"/>
      <c r="M343" s="196"/>
      <c r="N343" s="196">
        <f t="shared" si="75"/>
        <v>-0.299999999988358</v>
      </c>
      <c r="O343" s="194"/>
      <c r="P343" s="195"/>
      <c r="Q343" s="125">
        <f>VLOOKUP(B343,[2]信息汇总表!$M$2:$T$816,8,0)</f>
        <v>302994</v>
      </c>
      <c r="R343" s="125">
        <f>VLOOKUP(B343,[1]sheet1!$J$4:$K$413,2,0)</f>
        <v>288566</v>
      </c>
      <c r="S343" s="125"/>
      <c r="T343" s="125">
        <f t="shared" si="65"/>
        <v>288565.714285714</v>
      </c>
      <c r="U343" s="125">
        <f t="shared" si="72"/>
        <v>14428.2857142857</v>
      </c>
      <c r="V343" s="125">
        <f t="shared" si="73"/>
        <v>-0.285714285739232</v>
      </c>
      <c r="W343" s="125">
        <f t="shared" si="74"/>
        <v>-0.0142857142600405</v>
      </c>
      <c r="X343" s="125">
        <v>14428.3</v>
      </c>
      <c r="Y343" s="195" t="s">
        <v>42</v>
      </c>
      <c r="Z343" s="165">
        <f t="shared" ref="Z343:Z406" si="76">V343+W343</f>
        <v>-0.299999999999272</v>
      </c>
    </row>
    <row r="344" hidden="1" spans="1:26">
      <c r="A344" s="175">
        <v>341</v>
      </c>
      <c r="B344" s="187" t="s">
        <v>628</v>
      </c>
      <c r="C344" s="183">
        <v>97.74</v>
      </c>
      <c r="D344" s="179">
        <v>3778</v>
      </c>
      <c r="E344" s="179">
        <f t="shared" si="71"/>
        <v>369262</v>
      </c>
      <c r="F344" s="184" t="s">
        <v>629</v>
      </c>
      <c r="G344" s="182" t="s">
        <v>48</v>
      </c>
      <c r="H344" s="185">
        <v>2960</v>
      </c>
      <c r="I344" s="185">
        <v>289310</v>
      </c>
      <c r="J344" s="196">
        <f>VLOOKUP(B344,泰康小区账面房号及收款金额!$A$2:$B$424,2,0)</f>
        <v>289309.65</v>
      </c>
      <c r="K344" s="196"/>
      <c r="L344" s="196"/>
      <c r="M344" s="196"/>
      <c r="N344" s="196">
        <f t="shared" si="75"/>
        <v>0.349999999976717</v>
      </c>
      <c r="O344" s="194"/>
      <c r="P344" s="195"/>
      <c r="Q344" s="125">
        <f>VLOOKUP(B344,[2]信息汇总表!$M$2:$T$816,8,0)</f>
        <v>289310</v>
      </c>
      <c r="R344" s="125">
        <f>VLOOKUP(B344,[1]sheet1!$J$4:$K$413,2,0)</f>
        <v>275533</v>
      </c>
      <c r="S344" s="125"/>
      <c r="T344" s="125">
        <f t="shared" si="65"/>
        <v>275533.333333333</v>
      </c>
      <c r="U344" s="125">
        <f t="shared" si="72"/>
        <v>13776.6666666667</v>
      </c>
      <c r="V344" s="125">
        <f t="shared" si="73"/>
        <v>0.333333333313931</v>
      </c>
      <c r="W344" s="125">
        <f t="shared" si="74"/>
        <v>-1.45519152283669e-11</v>
      </c>
      <c r="X344" s="125">
        <v>13776.6666666667</v>
      </c>
      <c r="Y344" s="195" t="s">
        <v>42</v>
      </c>
      <c r="Z344" s="165">
        <f t="shared" si="76"/>
        <v>0.333333333299379</v>
      </c>
    </row>
    <row r="345" hidden="1" spans="1:26">
      <c r="A345" s="175">
        <v>342</v>
      </c>
      <c r="B345" s="187" t="s">
        <v>630</v>
      </c>
      <c r="C345" s="183">
        <v>97.74</v>
      </c>
      <c r="D345" s="179">
        <v>3778</v>
      </c>
      <c r="E345" s="179">
        <f t="shared" si="71"/>
        <v>369262</v>
      </c>
      <c r="F345" s="184" t="s">
        <v>631</v>
      </c>
      <c r="G345" s="182"/>
      <c r="H345" s="185">
        <v>3068</v>
      </c>
      <c r="I345" s="185">
        <v>299866</v>
      </c>
      <c r="J345" s="196">
        <f>VLOOKUP(B345,泰康小区账面房号及收款金额!$A$2:$B$424,2,0)</f>
        <v>299866.35</v>
      </c>
      <c r="K345" s="196"/>
      <c r="L345" s="196"/>
      <c r="M345" s="196"/>
      <c r="N345" s="196">
        <f t="shared" si="75"/>
        <v>-0.349999999976717</v>
      </c>
      <c r="O345" s="194"/>
      <c r="P345" s="195"/>
      <c r="Q345" s="125">
        <f>VLOOKUP(B345,[2]信息汇总表!$M$2:$T$816,8,0)</f>
        <v>299866</v>
      </c>
      <c r="R345" s="125">
        <f>VLOOKUP(B345,[1]sheet1!$J$4:$K$413,2,0)</f>
        <v>285587</v>
      </c>
      <c r="S345" s="125"/>
      <c r="T345" s="125">
        <f t="shared" si="65"/>
        <v>285586.666666667</v>
      </c>
      <c r="U345" s="125">
        <f t="shared" si="72"/>
        <v>14279.3333333334</v>
      </c>
      <c r="V345" s="125">
        <f t="shared" si="73"/>
        <v>-0.333333333372138</v>
      </c>
      <c r="W345" s="125">
        <f t="shared" si="74"/>
        <v>-0.216666666627134</v>
      </c>
      <c r="X345" s="125">
        <v>14279.55</v>
      </c>
      <c r="Y345" s="195" t="s">
        <v>42</v>
      </c>
      <c r="Z345" s="165">
        <f t="shared" si="76"/>
        <v>-0.549999999999272</v>
      </c>
    </row>
    <row r="346" ht="13.5" hidden="1" customHeight="1" spans="1:26">
      <c r="A346" s="175">
        <v>343</v>
      </c>
      <c r="B346" s="187" t="s">
        <v>632</v>
      </c>
      <c r="C346" s="183">
        <v>97.74</v>
      </c>
      <c r="D346" s="179">
        <v>3738</v>
      </c>
      <c r="E346" s="179">
        <f t="shared" si="71"/>
        <v>365352</v>
      </c>
      <c r="F346" s="184" t="s">
        <v>633</v>
      </c>
      <c r="G346" s="182"/>
      <c r="H346" s="185">
        <v>3738</v>
      </c>
      <c r="I346" s="185">
        <v>365352</v>
      </c>
      <c r="J346" s="196">
        <f>VLOOKUP(B346,泰康小区账面房号及收款金额!$A$2:$B$424,2,0)</f>
        <v>365353.8</v>
      </c>
      <c r="K346" s="196"/>
      <c r="L346" s="196"/>
      <c r="M346" s="196"/>
      <c r="N346" s="196">
        <f t="shared" si="75"/>
        <v>-1.79999999998836</v>
      </c>
      <c r="O346" s="194"/>
      <c r="P346" s="195"/>
      <c r="Q346" s="125">
        <f>VLOOKUP(B346,[2]信息汇总表!$M$2:$T$816,8,0)</f>
        <v>365352</v>
      </c>
      <c r="R346" s="125">
        <f>VLOOKUP(B346,[1]sheet1!$J$4:$K$413,2,0)</f>
        <v>347956</v>
      </c>
      <c r="S346" s="125"/>
      <c r="T346" s="125">
        <f t="shared" si="65"/>
        <v>347954.285714286</v>
      </c>
      <c r="U346" s="125">
        <f t="shared" si="72"/>
        <v>17397.7142857143</v>
      </c>
      <c r="V346" s="125">
        <f t="shared" si="73"/>
        <v>-1.71428571431898</v>
      </c>
      <c r="W346" s="125">
        <f t="shared" si="74"/>
        <v>0.164285714319703</v>
      </c>
      <c r="X346" s="125">
        <v>17397.55</v>
      </c>
      <c r="Y346" s="195" t="s">
        <v>42</v>
      </c>
      <c r="Z346" s="165">
        <f t="shared" si="76"/>
        <v>-1.54999999999927</v>
      </c>
    </row>
    <row r="347" ht="13.5" hidden="1" spans="1:26">
      <c r="A347" s="175">
        <v>344</v>
      </c>
      <c r="B347" s="187" t="s">
        <v>634</v>
      </c>
      <c r="C347" s="183">
        <v>97.74</v>
      </c>
      <c r="D347" s="179">
        <v>3738</v>
      </c>
      <c r="E347" s="179">
        <f t="shared" si="71"/>
        <v>365352</v>
      </c>
      <c r="F347" s="184" t="s">
        <v>635</v>
      </c>
      <c r="G347" s="182" t="s">
        <v>48</v>
      </c>
      <c r="H347" s="185">
        <v>3000</v>
      </c>
      <c r="I347" s="185">
        <v>293220</v>
      </c>
      <c r="J347" s="196">
        <f>VLOOKUP(B347,泰康小区账面房号及收款金额!$A$2:$B$424,2,0)</f>
        <v>293221</v>
      </c>
      <c r="K347" s="196"/>
      <c r="L347" s="196"/>
      <c r="M347" s="196"/>
      <c r="N347" s="196">
        <f t="shared" si="75"/>
        <v>-1</v>
      </c>
      <c r="O347" s="194"/>
      <c r="P347" s="195"/>
      <c r="Q347" s="125">
        <f>VLOOKUP(B347,[2]信息汇总表!$M$2:$T$816,8,0)</f>
        <v>293220</v>
      </c>
      <c r="R347" s="125">
        <f>VLOOKUP(B347,[1]sheet1!$J$4:$K$413,2,0)</f>
        <v>293221</v>
      </c>
      <c r="S347" s="125"/>
      <c r="T347" s="125">
        <f>J347/1.05</f>
        <v>279258.095238095</v>
      </c>
      <c r="U347" s="125">
        <f>T347*0.05</f>
        <v>13962.9047619048</v>
      </c>
      <c r="V347" s="125">
        <f t="shared" si="73"/>
        <v>-13962.9047619048</v>
      </c>
      <c r="W347" s="125">
        <f t="shared" si="74"/>
        <v>13962.9047619048</v>
      </c>
      <c r="X347" s="125"/>
      <c r="Y347" t="s">
        <v>77</v>
      </c>
      <c r="Z347" s="165">
        <f t="shared" si="76"/>
        <v>0</v>
      </c>
    </row>
    <row r="348" hidden="1" spans="1:26">
      <c r="A348" s="175">
        <v>345</v>
      </c>
      <c r="B348" s="187" t="s">
        <v>636</v>
      </c>
      <c r="C348" s="183">
        <v>97.74</v>
      </c>
      <c r="D348" s="179">
        <v>3668</v>
      </c>
      <c r="E348" s="179">
        <f t="shared" si="71"/>
        <v>358510</v>
      </c>
      <c r="F348" s="184" t="s">
        <v>637</v>
      </c>
      <c r="G348" s="182" t="s">
        <v>48</v>
      </c>
      <c r="H348" s="185">
        <v>3558</v>
      </c>
      <c r="I348" s="185">
        <v>347759</v>
      </c>
      <c r="J348" s="196">
        <f>VLOOKUP(B348,泰康小区账面房号及收款金额!$A$2:$B$424,2,0)</f>
        <v>347758.95</v>
      </c>
      <c r="K348" s="196"/>
      <c r="L348" s="196"/>
      <c r="M348" s="196"/>
      <c r="N348" s="196">
        <f t="shared" si="75"/>
        <v>0.0499999999883585</v>
      </c>
      <c r="O348" s="194"/>
      <c r="P348" s="195"/>
      <c r="Q348" s="125">
        <f>VLOOKUP(B348,[2]信息汇总表!$M$2:$T$816,8,0)</f>
        <v>347759</v>
      </c>
      <c r="R348" s="125">
        <f>VLOOKUP(B348,[1]sheet1!$J$4:$K$413,2,0)</f>
        <v>331199</v>
      </c>
      <c r="S348" s="125"/>
      <c r="T348" s="125">
        <f t="shared" si="65"/>
        <v>331199.047619048</v>
      </c>
      <c r="U348" s="125">
        <f t="shared" si="72"/>
        <v>16559.9523809524</v>
      </c>
      <c r="V348" s="125">
        <f t="shared" si="73"/>
        <v>0.0476190476329066</v>
      </c>
      <c r="W348" s="125">
        <f t="shared" si="74"/>
        <v>0.302380952365638</v>
      </c>
      <c r="X348" s="125">
        <v>16559.65</v>
      </c>
      <c r="Y348" s="195" t="s">
        <v>42</v>
      </c>
      <c r="Z348" s="165">
        <f t="shared" si="76"/>
        <v>0.349999999998545</v>
      </c>
    </row>
    <row r="349" hidden="1" spans="1:26">
      <c r="A349" s="175">
        <v>346</v>
      </c>
      <c r="B349" s="187" t="s">
        <v>638</v>
      </c>
      <c r="C349" s="183">
        <v>97.74</v>
      </c>
      <c r="D349" s="179">
        <v>3668</v>
      </c>
      <c r="E349" s="179">
        <f t="shared" si="71"/>
        <v>358510</v>
      </c>
      <c r="F349" s="184" t="s">
        <v>639</v>
      </c>
      <c r="G349" s="182"/>
      <c r="H349" s="185">
        <v>3558</v>
      </c>
      <c r="I349" s="185">
        <v>347759</v>
      </c>
      <c r="J349" s="196">
        <f>VLOOKUP(B349,泰康小区账面房号及收款金额!$A$2:$B$424,2,0)</f>
        <v>347794.65</v>
      </c>
      <c r="K349" s="196"/>
      <c r="L349" s="196"/>
      <c r="M349" s="196"/>
      <c r="N349" s="196">
        <f t="shared" si="75"/>
        <v>-35.6500000000233</v>
      </c>
      <c r="O349" s="194"/>
      <c r="P349" s="195"/>
      <c r="Q349" s="125">
        <f>VLOOKUP(B349,[2]信息汇总表!$M$2:$T$816,8,0)</f>
        <v>347759</v>
      </c>
      <c r="R349" s="125">
        <f>VLOOKUP(B349,[1]sheet1!$J$4:$K$413,2,0)</f>
        <v>331233</v>
      </c>
      <c r="S349" s="125"/>
      <c r="T349" s="125">
        <f>J349/1.05</f>
        <v>331233</v>
      </c>
      <c r="U349" s="125">
        <f>T349*0.05</f>
        <v>16561.65</v>
      </c>
      <c r="V349" s="125">
        <f t="shared" si="73"/>
        <v>0</v>
      </c>
      <c r="W349" s="125">
        <f t="shared" si="74"/>
        <v>0</v>
      </c>
      <c r="X349" s="125">
        <v>16561.65</v>
      </c>
      <c r="Y349" s="195" t="s">
        <v>42</v>
      </c>
      <c r="Z349" s="165">
        <f t="shared" si="76"/>
        <v>0</v>
      </c>
    </row>
    <row r="350" ht="13.5" hidden="1" spans="1:26">
      <c r="A350" s="175">
        <v>347</v>
      </c>
      <c r="B350" s="187" t="s">
        <v>640</v>
      </c>
      <c r="C350" s="183">
        <v>90.57</v>
      </c>
      <c r="D350" s="179">
        <v>3278</v>
      </c>
      <c r="E350" s="179">
        <f t="shared" si="71"/>
        <v>296888</v>
      </c>
      <c r="F350" s="184" t="s">
        <v>641</v>
      </c>
      <c r="G350" s="182"/>
      <c r="H350" s="185">
        <v>3468</v>
      </c>
      <c r="I350" s="185">
        <v>314097</v>
      </c>
      <c r="J350" s="196">
        <f>VLOOKUP(B350,泰康小区账面房号及收款金额!$A$2:$B$424,2,0)</f>
        <v>314096.35</v>
      </c>
      <c r="K350" s="196"/>
      <c r="L350" s="196"/>
      <c r="M350" s="196"/>
      <c r="N350" s="196">
        <f t="shared" si="75"/>
        <v>0.650000000023283</v>
      </c>
      <c r="O350" s="194"/>
      <c r="P350" s="195"/>
      <c r="Q350" s="125">
        <f>VLOOKUP(B350,[2]信息汇总表!$M$2:$T$816,8,0)</f>
        <v>314097</v>
      </c>
      <c r="R350" s="125">
        <f>VLOOKUP(B350,[1]sheet1!$J$4:$K$413,2,0)</f>
        <v>314098</v>
      </c>
      <c r="S350" s="125"/>
      <c r="T350" s="125">
        <f t="shared" si="65"/>
        <v>299140</v>
      </c>
      <c r="U350" s="125">
        <f>T350*0.05</f>
        <v>14957</v>
      </c>
      <c r="V350" s="125">
        <f t="shared" si="73"/>
        <v>-14958</v>
      </c>
      <c r="W350" s="125">
        <f>-V350</f>
        <v>14958</v>
      </c>
      <c r="X350" s="125">
        <v>-2</v>
      </c>
      <c r="Y350" t="s">
        <v>77</v>
      </c>
      <c r="Z350" s="165">
        <f t="shared" si="76"/>
        <v>0</v>
      </c>
    </row>
    <row r="351" ht="13.5" hidden="1" spans="1:26">
      <c r="A351" s="175">
        <v>348</v>
      </c>
      <c r="B351" s="187" t="s">
        <v>642</v>
      </c>
      <c r="C351" s="183">
        <v>90.9</v>
      </c>
      <c r="D351" s="179">
        <v>3278</v>
      </c>
      <c r="E351" s="179">
        <f t="shared" si="71"/>
        <v>297970</v>
      </c>
      <c r="F351" s="184" t="s">
        <v>643</v>
      </c>
      <c r="G351" s="182"/>
      <c r="H351" s="185">
        <v>3278</v>
      </c>
      <c r="I351" s="185">
        <v>297970</v>
      </c>
      <c r="J351" s="196">
        <f>VLOOKUP(B351,泰康小区账面房号及收款金额!$A$2:$B$424,2,0)</f>
        <v>297970</v>
      </c>
      <c r="K351" s="196"/>
      <c r="L351" s="196"/>
      <c r="M351" s="196"/>
      <c r="N351" s="196">
        <f t="shared" si="75"/>
        <v>0</v>
      </c>
      <c r="O351" s="194"/>
      <c r="P351" s="195"/>
      <c r="Q351" s="125">
        <f>VLOOKUP(B351,[2]信息汇总表!$M$2:$T$816,8,0)</f>
        <v>297970</v>
      </c>
      <c r="R351" s="125">
        <f>VLOOKUP(B351,[1]sheet1!$J$4:$K$413,2,0)</f>
        <v>297972</v>
      </c>
      <c r="S351" s="125"/>
      <c r="T351" s="125">
        <f t="shared" ref="T351:T414" si="77">I351/1.05</f>
        <v>283780.952380952</v>
      </c>
      <c r="U351" s="125">
        <f t="shared" si="72"/>
        <v>14189.0476190476</v>
      </c>
      <c r="V351" s="125">
        <f t="shared" si="73"/>
        <v>-14191.047619048</v>
      </c>
      <c r="W351" s="125">
        <f t="shared" ref="W351:W360" si="78">U351-X351</f>
        <v>14191.0476190476</v>
      </c>
      <c r="X351" s="125">
        <v>-2</v>
      </c>
      <c r="Y351" t="s">
        <v>77</v>
      </c>
      <c r="Z351" s="165">
        <f t="shared" si="76"/>
        <v>-4.00177668780088e-10</v>
      </c>
    </row>
    <row r="352" hidden="1" spans="1:26">
      <c r="A352" s="175">
        <v>349</v>
      </c>
      <c r="B352" s="187" t="s">
        <v>644</v>
      </c>
      <c r="C352" s="183">
        <v>97.74</v>
      </c>
      <c r="D352" s="179">
        <v>3748</v>
      </c>
      <c r="E352" s="179">
        <f t="shared" si="71"/>
        <v>366330</v>
      </c>
      <c r="F352" s="184" t="s">
        <v>645</v>
      </c>
      <c r="G352" s="182"/>
      <c r="H352" s="185">
        <v>3098</v>
      </c>
      <c r="I352" s="185">
        <v>302799</v>
      </c>
      <c r="J352" s="196">
        <f>VLOOKUP(B352,泰康小区账面房号及收款金额!$A$2:$B$424,2,0)</f>
        <v>302800.05</v>
      </c>
      <c r="K352" s="196"/>
      <c r="L352" s="196"/>
      <c r="M352" s="196"/>
      <c r="N352" s="196">
        <f t="shared" si="75"/>
        <v>-1.04999999998836</v>
      </c>
      <c r="O352" s="194"/>
      <c r="P352" s="195"/>
      <c r="Q352" s="125">
        <f>VLOOKUP(B352,[2]信息汇总表!$M$2:$T$816,8,0)</f>
        <v>302799</v>
      </c>
      <c r="R352" s="125">
        <f>VLOOKUP(B352,[1]sheet1!$J$4:$K$413,2,0)</f>
        <v>288381</v>
      </c>
      <c r="S352" s="125"/>
      <c r="T352" s="125">
        <f>J352/1.05</f>
        <v>288381</v>
      </c>
      <c r="U352" s="125">
        <f>T352*0.05</f>
        <v>14419.05</v>
      </c>
      <c r="V352" s="125">
        <f t="shared" si="73"/>
        <v>0</v>
      </c>
      <c r="W352" s="125">
        <f t="shared" si="78"/>
        <v>0</v>
      </c>
      <c r="X352" s="125">
        <v>14419.05</v>
      </c>
      <c r="Y352" s="195" t="s">
        <v>42</v>
      </c>
      <c r="Z352" s="165">
        <f t="shared" si="76"/>
        <v>0</v>
      </c>
    </row>
    <row r="353" hidden="1" spans="1:26">
      <c r="A353" s="175">
        <v>350</v>
      </c>
      <c r="B353" s="187" t="s">
        <v>646</v>
      </c>
      <c r="C353" s="183">
        <v>98.08</v>
      </c>
      <c r="D353" s="179">
        <v>3748</v>
      </c>
      <c r="E353" s="179">
        <f t="shared" si="71"/>
        <v>367604</v>
      </c>
      <c r="F353" s="184" t="s">
        <v>647</v>
      </c>
      <c r="G353" s="182"/>
      <c r="H353" s="185">
        <v>3098</v>
      </c>
      <c r="I353" s="185">
        <v>303852</v>
      </c>
      <c r="J353" s="196">
        <f>VLOOKUP(B353,泰康小区账面房号及收款金额!$A$2:$B$424,2,0)</f>
        <v>303852.15</v>
      </c>
      <c r="K353" s="196"/>
      <c r="L353" s="196"/>
      <c r="M353" s="196"/>
      <c r="N353" s="196">
        <f t="shared" si="75"/>
        <v>-0.150000000023283</v>
      </c>
      <c r="O353" s="194"/>
      <c r="P353" s="195"/>
      <c r="Q353" s="125">
        <f>VLOOKUP(B353,[2]信息汇总表!$M$2:$T$816,8,0)</f>
        <v>303852</v>
      </c>
      <c r="R353" s="125">
        <f>VLOOKUP(B353,[1]sheet1!$J$4:$K$413,2,0)</f>
        <v>289383</v>
      </c>
      <c r="S353" s="125"/>
      <c r="T353" s="125">
        <f t="shared" si="77"/>
        <v>289382.857142857</v>
      </c>
      <c r="U353" s="125">
        <f t="shared" si="72"/>
        <v>14469.1428571428</v>
      </c>
      <c r="V353" s="125">
        <f t="shared" si="73"/>
        <v>-0.142857143015135</v>
      </c>
      <c r="W353" s="125">
        <f t="shared" si="78"/>
        <v>-0.207142857199869</v>
      </c>
      <c r="X353" s="125">
        <v>14469.35</v>
      </c>
      <c r="Y353" s="195" t="s">
        <v>42</v>
      </c>
      <c r="Z353" s="165">
        <f t="shared" si="76"/>
        <v>-0.350000000215004</v>
      </c>
    </row>
    <row r="354" hidden="1" spans="1:26">
      <c r="A354" s="175">
        <v>351</v>
      </c>
      <c r="B354" s="187" t="s">
        <v>648</v>
      </c>
      <c r="C354" s="183">
        <v>97.74</v>
      </c>
      <c r="D354" s="179">
        <v>3778</v>
      </c>
      <c r="E354" s="179">
        <f t="shared" si="71"/>
        <v>369262</v>
      </c>
      <c r="F354" s="184" t="s">
        <v>649</v>
      </c>
      <c r="G354" s="182"/>
      <c r="H354" s="185">
        <v>3068</v>
      </c>
      <c r="I354" s="185">
        <v>299866</v>
      </c>
      <c r="J354" s="196">
        <f>VLOOKUP(B354,泰康小区账面房号及收款金额!$A$2:$B$424,2,0)</f>
        <v>299866.35</v>
      </c>
      <c r="K354" s="196"/>
      <c r="L354" s="196"/>
      <c r="M354" s="196"/>
      <c r="N354" s="196">
        <f t="shared" si="75"/>
        <v>-0.349999999976717</v>
      </c>
      <c r="O354" s="194"/>
      <c r="P354" s="195"/>
      <c r="Q354" s="125">
        <f>VLOOKUP(B354,[2]信息汇总表!$M$2:$T$816,8,0)</f>
        <v>299866</v>
      </c>
      <c r="R354" s="125">
        <f>VLOOKUP(B354,[1]sheet1!$J$4:$K$413,2,0)</f>
        <v>285587</v>
      </c>
      <c r="S354" s="125"/>
      <c r="T354" s="125">
        <f t="shared" si="77"/>
        <v>285586.666666667</v>
      </c>
      <c r="U354" s="125">
        <f t="shared" si="72"/>
        <v>14279.3333333334</v>
      </c>
      <c r="V354" s="125">
        <f t="shared" si="73"/>
        <v>-0.333333333022892</v>
      </c>
      <c r="W354" s="125">
        <f t="shared" si="78"/>
        <v>-0.216666666599849</v>
      </c>
      <c r="X354" s="125">
        <v>14279.55</v>
      </c>
      <c r="Y354" s="195" t="s">
        <v>42</v>
      </c>
      <c r="Z354" s="165">
        <f t="shared" si="76"/>
        <v>-0.549999999622741</v>
      </c>
    </row>
    <row r="355" ht="13.5" hidden="1" spans="1:26">
      <c r="A355" s="175">
        <v>352</v>
      </c>
      <c r="B355" s="187" t="s">
        <v>650</v>
      </c>
      <c r="C355" s="183">
        <v>98.08</v>
      </c>
      <c r="D355" s="179">
        <v>3778</v>
      </c>
      <c r="E355" s="179">
        <f t="shared" si="71"/>
        <v>370546</v>
      </c>
      <c r="F355" s="184" t="s">
        <v>651</v>
      </c>
      <c r="G355" s="182"/>
      <c r="H355" s="185">
        <v>3778</v>
      </c>
      <c r="I355" s="185">
        <v>370546</v>
      </c>
      <c r="J355" s="196">
        <f>VLOOKUP(B355,泰康小区账面房号及收款金额!$A$2:$B$424,2,0)</f>
        <v>370584</v>
      </c>
      <c r="K355" s="196"/>
      <c r="L355" s="196"/>
      <c r="M355" s="196"/>
      <c r="N355" s="196">
        <f t="shared" si="75"/>
        <v>-38</v>
      </c>
      <c r="O355" s="194"/>
      <c r="P355" s="195"/>
      <c r="Q355" s="125">
        <f>VLOOKUP(B355,[2]信息汇总表!$M$2:$T$816,8,0)</f>
        <v>370546</v>
      </c>
      <c r="R355" s="125"/>
      <c r="S355" s="125">
        <v>352900.95</v>
      </c>
      <c r="T355" s="125">
        <f t="shared" si="77"/>
        <v>352900.952380952</v>
      </c>
      <c r="U355" s="125">
        <f t="shared" si="72"/>
        <v>17645.0476190476</v>
      </c>
      <c r="V355" s="125">
        <f t="shared" si="73"/>
        <v>0.00238095235545188</v>
      </c>
      <c r="W355" s="125">
        <f t="shared" si="78"/>
        <v>-0.00238095239910763</v>
      </c>
      <c r="X355" s="125">
        <v>17645.05</v>
      </c>
      <c r="Y355" t="s">
        <v>42</v>
      </c>
      <c r="Z355" s="165">
        <f t="shared" si="76"/>
        <v>-4.36557500219092e-11</v>
      </c>
    </row>
    <row r="356" hidden="1" spans="1:26">
      <c r="A356" s="175">
        <v>353</v>
      </c>
      <c r="B356" s="187" t="s">
        <v>652</v>
      </c>
      <c r="C356" s="183">
        <v>97.74</v>
      </c>
      <c r="D356" s="179">
        <v>3738</v>
      </c>
      <c r="E356" s="179">
        <f t="shared" si="71"/>
        <v>365352</v>
      </c>
      <c r="F356" s="184" t="s">
        <v>653</v>
      </c>
      <c r="G356" s="182"/>
      <c r="H356" s="185">
        <v>3738</v>
      </c>
      <c r="I356" s="185">
        <v>365352</v>
      </c>
      <c r="J356" s="196">
        <f>VLOOKUP(B356,泰康小区账面房号及收款金额!$A$2:$B$424,2,0)</f>
        <v>365352.75</v>
      </c>
      <c r="K356" s="196"/>
      <c r="L356" s="196"/>
      <c r="M356" s="196"/>
      <c r="N356" s="196">
        <f t="shared" si="75"/>
        <v>-0.75</v>
      </c>
      <c r="O356" s="194"/>
      <c r="P356" s="195"/>
      <c r="Q356" s="125">
        <f>VLOOKUP(B356,[2]信息汇总表!$M$2:$T$816,8,0)</f>
        <v>365353</v>
      </c>
      <c r="R356" s="125">
        <f>VLOOKUP(B356,[1]sheet1!$J$4:$K$413,2,0)</f>
        <v>347955</v>
      </c>
      <c r="S356" s="125"/>
      <c r="T356" s="125">
        <f t="shared" si="77"/>
        <v>347954.285714286</v>
      </c>
      <c r="U356" s="125">
        <f t="shared" si="72"/>
        <v>17397.7142857143</v>
      </c>
      <c r="V356" s="125">
        <f t="shared" si="73"/>
        <v>-0.714285714027938</v>
      </c>
      <c r="W356" s="125">
        <f t="shared" si="78"/>
        <v>0.214285714300786</v>
      </c>
      <c r="X356" s="125">
        <v>17397.5</v>
      </c>
      <c r="Y356" s="195" t="s">
        <v>42</v>
      </c>
      <c r="Z356" s="165">
        <f t="shared" si="76"/>
        <v>-0.499999999727152</v>
      </c>
    </row>
    <row r="357" ht="13.5" hidden="1" spans="1:26">
      <c r="A357" s="175">
        <v>354</v>
      </c>
      <c r="B357" s="187" t="s">
        <v>654</v>
      </c>
      <c r="C357" s="183">
        <v>98.08</v>
      </c>
      <c r="D357" s="179">
        <v>3738</v>
      </c>
      <c r="E357" s="179">
        <f t="shared" si="71"/>
        <v>366623</v>
      </c>
      <c r="F357" s="184" t="s">
        <v>655</v>
      </c>
      <c r="G357" s="182"/>
      <c r="H357" s="185">
        <v>3738</v>
      </c>
      <c r="I357" s="185">
        <v>366623</v>
      </c>
      <c r="J357" s="196">
        <f>VLOOKUP(B357,泰康小区账面房号及收款金额!$A$2:$B$424,2,0)</f>
        <v>366623.25</v>
      </c>
      <c r="K357" s="196"/>
      <c r="L357" s="196"/>
      <c r="M357" s="196"/>
      <c r="N357" s="196">
        <f t="shared" si="75"/>
        <v>-0.25</v>
      </c>
      <c r="O357" s="194"/>
      <c r="P357" s="195"/>
      <c r="Q357" s="125">
        <f>VLOOKUP(B357,[2]信息汇总表!$M$2:$T$816,8,0)</f>
        <v>366623</v>
      </c>
      <c r="R357" s="125">
        <f>VLOOKUP(B357,[1]sheet1!$J$4:$K$413,2,0)</f>
        <v>366625</v>
      </c>
      <c r="S357" s="125"/>
      <c r="T357" s="125">
        <f t="shared" si="77"/>
        <v>349164.761904762</v>
      </c>
      <c r="U357" s="125">
        <f t="shared" si="72"/>
        <v>17458.2380952381</v>
      </c>
      <c r="V357" s="125">
        <f t="shared" si="73"/>
        <v>-17460.238095238</v>
      </c>
      <c r="W357" s="125">
        <f t="shared" si="78"/>
        <v>17460.2380952381</v>
      </c>
      <c r="X357" s="125">
        <v>-2</v>
      </c>
      <c r="Y357" t="s">
        <v>77</v>
      </c>
      <c r="Z357" s="165">
        <f t="shared" si="76"/>
        <v>9.82254277914762e-11</v>
      </c>
    </row>
    <row r="358" hidden="1" spans="1:26">
      <c r="A358" s="175">
        <v>355</v>
      </c>
      <c r="B358" s="187" t="s">
        <v>656</v>
      </c>
      <c r="C358" s="183">
        <v>90.57</v>
      </c>
      <c r="D358" s="179">
        <v>3668</v>
      </c>
      <c r="E358" s="179">
        <f t="shared" si="71"/>
        <v>332211</v>
      </c>
      <c r="F358" s="184" t="s">
        <v>657</v>
      </c>
      <c r="G358" s="182"/>
      <c r="H358" s="185">
        <v>3638</v>
      </c>
      <c r="I358" s="185">
        <v>329494</v>
      </c>
      <c r="J358" s="196">
        <f>VLOOKUP(B358,泰康小区账面房号及收款金额!$A$2:$B$424,2,0)</f>
        <v>329494.2</v>
      </c>
      <c r="K358" s="196"/>
      <c r="L358" s="196"/>
      <c r="M358" s="196"/>
      <c r="N358" s="196">
        <f t="shared" si="75"/>
        <v>-0.200000000011642</v>
      </c>
      <c r="O358" s="194"/>
      <c r="P358" s="195"/>
      <c r="Q358" s="125">
        <f>VLOOKUP(B358,[2]信息汇总表!$M$2:$T$816,8,0)</f>
        <v>329530</v>
      </c>
      <c r="R358" s="125">
        <f>VLOOKUP(B358,[1]sheet1!$J$4:$K$413,2,0)</f>
        <v>313804</v>
      </c>
      <c r="S358" s="125"/>
      <c r="T358" s="125">
        <f t="shared" si="77"/>
        <v>313803.80952381</v>
      </c>
      <c r="U358" s="125">
        <f t="shared" si="72"/>
        <v>15690.1904761905</v>
      </c>
      <c r="V358" s="125">
        <f t="shared" si="73"/>
        <v>-0.190476190007757</v>
      </c>
      <c r="W358" s="125">
        <f t="shared" si="78"/>
        <v>0.290476190501067</v>
      </c>
      <c r="X358" s="125">
        <v>15689.9</v>
      </c>
      <c r="Y358" s="195" t="s">
        <v>42</v>
      </c>
      <c r="Z358" s="165">
        <f t="shared" si="76"/>
        <v>0.10000000049331</v>
      </c>
    </row>
    <row r="359" ht="13.5" hidden="1" spans="1:26">
      <c r="A359" s="175">
        <v>356</v>
      </c>
      <c r="B359" s="187" t="s">
        <v>658</v>
      </c>
      <c r="C359" s="183">
        <v>90.9</v>
      </c>
      <c r="D359" s="179">
        <v>3668</v>
      </c>
      <c r="E359" s="179">
        <f t="shared" si="71"/>
        <v>333421</v>
      </c>
      <c r="F359" s="184" t="s">
        <v>659</v>
      </c>
      <c r="G359" s="182"/>
      <c r="H359" s="185">
        <v>3668</v>
      </c>
      <c r="I359" s="185">
        <v>333421</v>
      </c>
      <c r="J359" s="196">
        <f>VLOOKUP(B359,泰康小区账面房号及收款金额!$A$2:$B$424,2,0)</f>
        <v>333421.25</v>
      </c>
      <c r="K359" s="196"/>
      <c r="L359" s="196"/>
      <c r="M359" s="196"/>
      <c r="N359" s="196">
        <f t="shared" si="75"/>
        <v>-0.25</v>
      </c>
      <c r="O359" s="194"/>
      <c r="P359" s="195"/>
      <c r="Q359" s="125">
        <f>VLOOKUP(B359,[2]信息汇总表!$M$2:$T$816,8,0)</f>
        <v>333421</v>
      </c>
      <c r="R359" s="125">
        <f>VLOOKUP(B359,[1]sheet1!$J$4:$K$413,2,0)</f>
        <v>333423</v>
      </c>
      <c r="S359" s="125"/>
      <c r="T359" s="125">
        <f t="shared" si="77"/>
        <v>317543.80952381</v>
      </c>
      <c r="U359" s="125">
        <f t="shared" si="72"/>
        <v>15877.1904761905</v>
      </c>
      <c r="V359" s="125">
        <f t="shared" si="73"/>
        <v>-15879.19047619</v>
      </c>
      <c r="W359" s="125">
        <f t="shared" si="78"/>
        <v>15879.1904761905</v>
      </c>
      <c r="X359" s="125">
        <v>-2</v>
      </c>
      <c r="Y359" t="s">
        <v>77</v>
      </c>
      <c r="Z359" s="165">
        <f t="shared" si="76"/>
        <v>5.00222085975111e-10</v>
      </c>
    </row>
    <row r="360" hidden="1" spans="1:26">
      <c r="A360" s="175">
        <v>357</v>
      </c>
      <c r="B360" s="211"/>
      <c r="C360" s="183"/>
      <c r="D360" s="179"/>
      <c r="E360" s="179">
        <f t="shared" si="71"/>
        <v>0</v>
      </c>
      <c r="F360" s="212"/>
      <c r="G360" s="213"/>
      <c r="H360" s="214"/>
      <c r="I360" s="214"/>
      <c r="J360" s="196"/>
      <c r="K360" s="196"/>
      <c r="L360" s="196"/>
      <c r="M360" s="196"/>
      <c r="N360" s="196">
        <f t="shared" si="75"/>
        <v>0</v>
      </c>
      <c r="O360" s="194"/>
      <c r="P360" s="195"/>
      <c r="Q360" s="125"/>
      <c r="R360" s="125"/>
      <c r="S360" s="125"/>
      <c r="T360" s="125">
        <f t="shared" si="77"/>
        <v>0</v>
      </c>
      <c r="U360" s="125">
        <f t="shared" si="72"/>
        <v>0</v>
      </c>
      <c r="V360" s="125"/>
      <c r="W360" s="125"/>
      <c r="X360" s="125"/>
      <c r="Y360" s="195"/>
      <c r="Z360" s="165">
        <f t="shared" si="76"/>
        <v>0</v>
      </c>
    </row>
    <row r="361" ht="36" hidden="1" spans="1:26">
      <c r="A361" s="175">
        <v>358</v>
      </c>
      <c r="B361" s="211" t="s">
        <v>660</v>
      </c>
      <c r="C361" s="183">
        <v>58.97</v>
      </c>
      <c r="D361" s="179">
        <v>19000</v>
      </c>
      <c r="E361" s="179">
        <f t="shared" si="71"/>
        <v>1120430</v>
      </c>
      <c r="F361" s="212" t="s">
        <v>286</v>
      </c>
      <c r="G361" s="213"/>
      <c r="H361" s="214">
        <v>19000</v>
      </c>
      <c r="I361" s="214">
        <v>1120430</v>
      </c>
      <c r="J361" s="196">
        <f>VLOOKUP(B361,泰康小区账面房号及收款金额!$A$2:$B$424,2,0)</f>
        <v>1207989.3</v>
      </c>
      <c r="K361" s="196"/>
      <c r="L361" s="196"/>
      <c r="M361" s="196"/>
      <c r="N361" s="196">
        <f t="shared" si="75"/>
        <v>-87559.3</v>
      </c>
      <c r="O361" s="194" t="s">
        <v>661</v>
      </c>
      <c r="P361" s="195"/>
      <c r="Q361" s="125">
        <f>VLOOKUP(B361,[2]信息汇总表!$M$2:$T$816,8,0)+[2]信息汇总表!$T$429</f>
        <v>1120430</v>
      </c>
      <c r="R361" s="125">
        <f>[1]sheet1!$K$342</f>
        <v>1150466</v>
      </c>
      <c r="S361" s="125"/>
      <c r="T361" s="125">
        <f t="shared" si="77"/>
        <v>1067076.19047619</v>
      </c>
      <c r="U361" s="125">
        <f t="shared" si="72"/>
        <v>53353.8095238095</v>
      </c>
      <c r="V361" s="125">
        <f t="shared" ref="V361:V364" si="79">T361-S361-R361</f>
        <v>-83389.8095238099</v>
      </c>
      <c r="W361" s="125">
        <f t="shared" ref="W361:W364" si="80">U361-X361</f>
        <v>-4170.1904761905</v>
      </c>
      <c r="X361" s="125">
        <v>57524</v>
      </c>
      <c r="Y361" s="170" t="s">
        <v>42</v>
      </c>
      <c r="Z361" s="165">
        <f t="shared" si="76"/>
        <v>-87560.0000000004</v>
      </c>
    </row>
    <row r="362" ht="36" spans="1:26">
      <c r="A362" s="175">
        <v>359</v>
      </c>
      <c r="B362" s="211" t="s">
        <v>662</v>
      </c>
      <c r="C362" s="183">
        <v>58.97</v>
      </c>
      <c r="D362" s="179">
        <v>14700</v>
      </c>
      <c r="E362" s="179">
        <f t="shared" si="71"/>
        <v>866859</v>
      </c>
      <c r="F362" s="212" t="s">
        <v>663</v>
      </c>
      <c r="G362" s="213"/>
      <c r="H362" s="214">
        <f>I362/C362</f>
        <v>14700</v>
      </c>
      <c r="I362" s="214">
        <v>866859</v>
      </c>
      <c r="J362" s="196">
        <f>VLOOKUP(B362,泰康小区账面房号及收款金额!$A$2:$B$424,2,0)+'2023年8-11月预收账款'!K8-50000</f>
        <v>266859</v>
      </c>
      <c r="K362" s="196"/>
      <c r="L362" s="196"/>
      <c r="M362" s="196"/>
      <c r="N362" s="217">
        <f t="shared" si="75"/>
        <v>600000</v>
      </c>
      <c r="O362" s="194" t="s">
        <v>664</v>
      </c>
      <c r="P362" s="195"/>
      <c r="Q362" s="125"/>
      <c r="R362" s="125"/>
      <c r="S362" s="125"/>
      <c r="T362" s="125">
        <f t="shared" si="77"/>
        <v>825580</v>
      </c>
      <c r="U362" s="125">
        <f t="shared" si="72"/>
        <v>41279</v>
      </c>
      <c r="V362" s="203">
        <f t="shared" si="79"/>
        <v>825580</v>
      </c>
      <c r="W362" s="203">
        <f t="shared" si="80"/>
        <v>41279</v>
      </c>
      <c r="X362" s="125"/>
      <c r="Y362" s="195"/>
      <c r="Z362" s="165">
        <f t="shared" si="76"/>
        <v>866859</v>
      </c>
    </row>
    <row r="363" hidden="1" spans="1:26">
      <c r="A363" s="175">
        <v>360</v>
      </c>
      <c r="B363" s="211" t="s">
        <v>665</v>
      </c>
      <c r="C363" s="183">
        <v>58.97</v>
      </c>
      <c r="D363" s="179">
        <v>20000</v>
      </c>
      <c r="E363" s="179">
        <f t="shared" si="71"/>
        <v>1179400</v>
      </c>
      <c r="F363" s="212" t="s">
        <v>36</v>
      </c>
      <c r="G363" s="213"/>
      <c r="H363" s="214">
        <v>20118</v>
      </c>
      <c r="I363" s="214">
        <v>1186358</v>
      </c>
      <c r="J363" s="196">
        <v>1186358</v>
      </c>
      <c r="K363" s="196"/>
      <c r="L363" s="196"/>
      <c r="M363" s="196"/>
      <c r="N363" s="196">
        <f t="shared" si="75"/>
        <v>0</v>
      </c>
      <c r="O363" s="194"/>
      <c r="P363" s="195"/>
      <c r="Q363" s="125">
        <f>VLOOKUP(B363,[2]信息汇总表!$M$2:$T$816,8,0)+[2]信息汇总表!$T$321</f>
        <v>1186358</v>
      </c>
      <c r="R363" s="125">
        <f>VLOOKUP(B363,[1]sheet1!$J$4:$K$413,2,0)</f>
        <v>1129865</v>
      </c>
      <c r="S363" s="125"/>
      <c r="T363" s="125">
        <f t="shared" si="77"/>
        <v>1129864.76190476</v>
      </c>
      <c r="U363" s="125">
        <f t="shared" si="72"/>
        <v>56493.2380952381</v>
      </c>
      <c r="V363" s="125">
        <f t="shared" si="79"/>
        <v>-0.23809523996897</v>
      </c>
      <c r="W363" s="125">
        <f t="shared" si="80"/>
        <v>0.338095238097594</v>
      </c>
      <c r="X363" s="125">
        <v>56492.9</v>
      </c>
      <c r="Y363" s="195" t="s">
        <v>42</v>
      </c>
      <c r="Z363" s="165">
        <f t="shared" si="76"/>
        <v>0.099999998128624</v>
      </c>
    </row>
    <row r="364" hidden="1" spans="1:26">
      <c r="A364" s="175">
        <v>361</v>
      </c>
      <c r="B364" s="211" t="s">
        <v>666</v>
      </c>
      <c r="C364" s="183">
        <v>30.04</v>
      </c>
      <c r="D364" s="179">
        <v>17800</v>
      </c>
      <c r="E364" s="179">
        <f t="shared" si="71"/>
        <v>534712</v>
      </c>
      <c r="F364" s="212" t="s">
        <v>667</v>
      </c>
      <c r="G364" s="213"/>
      <c r="H364" s="214">
        <v>17800</v>
      </c>
      <c r="I364" s="214">
        <v>534712</v>
      </c>
      <c r="J364" s="196">
        <f>VLOOKUP(B364,泰康小区账面房号及收款金额!$A$2:$B$424,2,0)</f>
        <v>534712.15</v>
      </c>
      <c r="K364" s="196"/>
      <c r="L364" s="196"/>
      <c r="M364" s="196"/>
      <c r="N364" s="196">
        <f t="shared" si="75"/>
        <v>-0.150000000023283</v>
      </c>
      <c r="O364" s="194"/>
      <c r="P364" s="195"/>
      <c r="Q364" s="125">
        <f>VLOOKUP(B364,[2]信息汇总表!$M$2:$T$816,8,0)</f>
        <v>534712</v>
      </c>
      <c r="R364" s="125">
        <f>VLOOKUP(B364,[1]sheet1!$J$4:$K$413,2,0)</f>
        <v>442583</v>
      </c>
      <c r="S364" s="125">
        <v>66666.67</v>
      </c>
      <c r="T364" s="125">
        <f t="shared" si="77"/>
        <v>509249.523809524</v>
      </c>
      <c r="U364" s="125">
        <f t="shared" si="72"/>
        <v>25462.4761904762</v>
      </c>
      <c r="V364" s="125">
        <f t="shared" si="79"/>
        <v>-0.146190475963522</v>
      </c>
      <c r="W364" s="125">
        <f t="shared" si="80"/>
        <v>0.142690476201096</v>
      </c>
      <c r="X364" s="125">
        <v>25462.3335</v>
      </c>
      <c r="Y364" s="195" t="s">
        <v>42</v>
      </c>
      <c r="Z364" s="165">
        <f t="shared" si="76"/>
        <v>-0.00349999976242599</v>
      </c>
    </row>
    <row r="365" spans="1:26">
      <c r="A365" s="175">
        <v>362</v>
      </c>
      <c r="B365" s="211" t="s">
        <v>668</v>
      </c>
      <c r="C365" s="183">
        <v>50.97</v>
      </c>
      <c r="D365" s="179"/>
      <c r="E365" s="179">
        <f t="shared" si="71"/>
        <v>0</v>
      </c>
      <c r="F365" s="212"/>
      <c r="G365" s="213"/>
      <c r="H365" s="214"/>
      <c r="I365" s="214">
        <v>0</v>
      </c>
      <c r="J365" s="196"/>
      <c r="K365" s="196"/>
      <c r="L365" s="196"/>
      <c r="M365" s="196"/>
      <c r="N365" s="196">
        <f t="shared" si="75"/>
        <v>0</v>
      </c>
      <c r="O365" s="194"/>
      <c r="P365" s="195"/>
      <c r="Q365" s="125"/>
      <c r="R365" s="125"/>
      <c r="S365" s="125"/>
      <c r="T365" s="125">
        <f t="shared" si="77"/>
        <v>0</v>
      </c>
      <c r="U365" s="125">
        <f t="shared" si="72"/>
        <v>0</v>
      </c>
      <c r="V365" s="125"/>
      <c r="W365" s="125"/>
      <c r="X365" s="125"/>
      <c r="Y365" s="195"/>
      <c r="Z365" s="165">
        <f t="shared" si="76"/>
        <v>0</v>
      </c>
    </row>
    <row r="366" ht="13.5" spans="1:26">
      <c r="A366" s="175">
        <v>363</v>
      </c>
      <c r="B366" s="211" t="s">
        <v>669</v>
      </c>
      <c r="C366" s="183">
        <v>40.29</v>
      </c>
      <c r="D366" s="179"/>
      <c r="E366" s="179">
        <f t="shared" si="71"/>
        <v>0</v>
      </c>
      <c r="F366" s="212"/>
      <c r="G366" s="213"/>
      <c r="H366" s="214"/>
      <c r="I366" s="214">
        <v>0</v>
      </c>
      <c r="J366" s="196"/>
      <c r="K366" s="196"/>
      <c r="L366" s="196"/>
      <c r="M366" s="196"/>
      <c r="N366" s="196">
        <f t="shared" si="75"/>
        <v>0</v>
      </c>
      <c r="O366" s="194"/>
      <c r="P366" s="199" t="s">
        <v>39</v>
      </c>
      <c r="Q366" s="125"/>
      <c r="R366" s="125"/>
      <c r="S366" s="125">
        <f>R368*0.05+S368*0.05</f>
        <v>76893.662</v>
      </c>
      <c r="T366" s="125">
        <f t="shared" si="77"/>
        <v>0</v>
      </c>
      <c r="U366" s="125">
        <f t="shared" si="72"/>
        <v>0</v>
      </c>
      <c r="V366" s="125"/>
      <c r="W366" s="125"/>
      <c r="X366" s="125"/>
      <c r="Y366" s="195"/>
      <c r="Z366" s="165">
        <f t="shared" si="76"/>
        <v>0</v>
      </c>
    </row>
    <row r="367" hidden="1" spans="1:26">
      <c r="A367" s="175">
        <v>364</v>
      </c>
      <c r="B367" s="211" t="s">
        <v>670</v>
      </c>
      <c r="C367" s="183">
        <v>55.66</v>
      </c>
      <c r="D367" s="179">
        <v>14013.65</v>
      </c>
      <c r="E367" s="179">
        <v>779999.759</v>
      </c>
      <c r="F367" s="212" t="s">
        <v>671</v>
      </c>
      <c r="G367" s="213"/>
      <c r="H367" s="214">
        <f>I367/C367</f>
        <v>14013.6543298599</v>
      </c>
      <c r="I367" s="214">
        <v>780000</v>
      </c>
      <c r="J367" s="196">
        <f>VLOOKUP(B367,泰康小区账面房号及收款金额!$A$2:$B$424,2,0)+'2023年8-11月预收账款'!K5</f>
        <v>780000</v>
      </c>
      <c r="K367" s="196"/>
      <c r="L367" s="196"/>
      <c r="M367" s="196"/>
      <c r="N367" s="196">
        <f t="shared" si="75"/>
        <v>0</v>
      </c>
      <c r="O367" s="194"/>
      <c r="P367" s="195"/>
      <c r="Q367" s="125">
        <f>VLOOKUP(B367,[2]信息汇总表!$M$2:$T$816,8,0)</f>
        <v>780000</v>
      </c>
      <c r="R367" s="125"/>
      <c r="S367" s="125">
        <v>742857.14</v>
      </c>
      <c r="T367" s="125">
        <f t="shared" si="77"/>
        <v>742857.142857143</v>
      </c>
      <c r="U367" s="125">
        <f t="shared" si="72"/>
        <v>37142.8571428572</v>
      </c>
      <c r="V367" s="125">
        <f>T367-S367-R367</f>
        <v>0.00285714282654226</v>
      </c>
      <c r="W367" s="125">
        <f t="shared" ref="W367:W370" si="81">U367-X367</f>
        <v>-0.00285714279743843</v>
      </c>
      <c r="X367" s="125">
        <v>37142.86</v>
      </c>
      <c r="Y367" s="195" t="s">
        <v>42</v>
      </c>
      <c r="Z367" s="165">
        <f t="shared" si="76"/>
        <v>2.91038300230528e-11</v>
      </c>
    </row>
    <row r="368" ht="13" customHeight="1" spans="1:26">
      <c r="A368" s="175">
        <v>365</v>
      </c>
      <c r="B368" s="211" t="s">
        <v>672</v>
      </c>
      <c r="C368" s="183">
        <v>81.01</v>
      </c>
      <c r="D368" s="179"/>
      <c r="E368" s="179">
        <f t="shared" si="71"/>
        <v>0</v>
      </c>
      <c r="F368" s="212" t="s">
        <v>673</v>
      </c>
      <c r="G368" s="213"/>
      <c r="H368" s="214">
        <v>16600</v>
      </c>
      <c r="I368" s="214">
        <v>1344766</v>
      </c>
      <c r="J368" s="196">
        <f>VLOOKUP(B368,泰康小区账面房号及收款金额!$A$2:$B$424,2,0)</f>
        <v>1714766</v>
      </c>
      <c r="K368" s="196"/>
      <c r="L368" s="196"/>
      <c r="M368" s="196"/>
      <c r="N368" s="197">
        <f t="shared" si="75"/>
        <v>-370000</v>
      </c>
      <c r="O368" s="194"/>
      <c r="P368" s="195"/>
      <c r="Q368" s="125">
        <f>VLOOKUP(B368,[2]信息汇总表!$M$2:$T$816,8,0)+[2]信息汇总表!$T$537</f>
        <v>1344766</v>
      </c>
      <c r="R368" s="125">
        <f>VLOOKUP(B368,[1]sheet1!$J$4:$K$413,2,0)</f>
        <v>899778</v>
      </c>
      <c r="S368" s="125">
        <v>638095.24</v>
      </c>
      <c r="T368" s="125">
        <f>J368/1.05</f>
        <v>1633110.47619048</v>
      </c>
      <c r="U368" s="125">
        <f t="shared" ref="U368:U370" si="82">T368*0.05</f>
        <v>81655.5238095238</v>
      </c>
      <c r="V368" s="203">
        <f>T368-S368-R368</f>
        <v>95237.2361904762</v>
      </c>
      <c r="W368" s="203">
        <f t="shared" si="81"/>
        <v>4762.76180952381</v>
      </c>
      <c r="X368" s="125">
        <f>44988+S368*0.05</f>
        <v>76892.762</v>
      </c>
      <c r="Y368" s="195"/>
      <c r="Z368" s="165">
        <f t="shared" si="76"/>
        <v>99999.998</v>
      </c>
    </row>
    <row r="369" spans="1:26">
      <c r="A369" s="175">
        <v>366</v>
      </c>
      <c r="B369" s="211" t="s">
        <v>674</v>
      </c>
      <c r="C369" s="183">
        <v>81.01</v>
      </c>
      <c r="D369" s="179">
        <v>13578.57</v>
      </c>
      <c r="E369" s="179">
        <f t="shared" si="71"/>
        <v>1100000</v>
      </c>
      <c r="F369" s="212" t="s">
        <v>675</v>
      </c>
      <c r="G369" s="213"/>
      <c r="H369" s="214">
        <v>13578.57</v>
      </c>
      <c r="I369" s="214">
        <v>1100000</v>
      </c>
      <c r="J369" s="196">
        <f>VLOOKUP(B369,泰康小区账面房号及收款金额!$A$2:$B$424,2,0)+'2023年8-11月预收账款'!K39</f>
        <v>1000000</v>
      </c>
      <c r="K369" s="196"/>
      <c r="L369" s="196"/>
      <c r="M369" s="196"/>
      <c r="N369" s="217">
        <f t="shared" si="75"/>
        <v>100000</v>
      </c>
      <c r="O369" s="194"/>
      <c r="P369" s="195"/>
      <c r="Q369" s="125"/>
      <c r="R369" s="125"/>
      <c r="S369" s="125">
        <f>1000000/1.05</f>
        <v>952380.952380952</v>
      </c>
      <c r="T369" s="125">
        <f t="shared" si="77"/>
        <v>1047619.04761905</v>
      </c>
      <c r="U369" s="125">
        <f t="shared" si="82"/>
        <v>52380.9523809524</v>
      </c>
      <c r="V369" s="203">
        <f t="shared" ref="V369:V372" si="83">T369-R369-S369</f>
        <v>95238.0952380956</v>
      </c>
      <c r="W369" s="203">
        <f t="shared" si="81"/>
        <v>4761.90476190481</v>
      </c>
      <c r="X369" s="125">
        <v>47619.0476190476</v>
      </c>
      <c r="Y369" s="195"/>
      <c r="Z369" s="165">
        <f t="shared" si="76"/>
        <v>100000</v>
      </c>
    </row>
    <row r="370" spans="1:26">
      <c r="A370" s="175">
        <v>367</v>
      </c>
      <c r="B370" s="211" t="s">
        <v>676</v>
      </c>
      <c r="C370" s="183">
        <v>58.97</v>
      </c>
      <c r="D370" s="179"/>
      <c r="E370" s="179">
        <f>ROUND(IF(F369&lt;&gt;0,C370*D370,0),0)</f>
        <v>0</v>
      </c>
      <c r="F370" s="212" t="s">
        <v>675</v>
      </c>
      <c r="G370" s="171"/>
      <c r="H370" s="215"/>
      <c r="I370" s="215">
        <v>1121548</v>
      </c>
      <c r="J370" s="196">
        <f>VLOOKUP(B370,泰康小区账面房号及收款金额!$A$2:$B$424,2,0)-50000+泰康小区账面房号及收款金额!B12</f>
        <v>859999.35</v>
      </c>
      <c r="K370" s="196"/>
      <c r="L370" s="196"/>
      <c r="M370" s="196"/>
      <c r="N370" s="198">
        <f t="shared" si="75"/>
        <v>261548.65</v>
      </c>
      <c r="O370" s="194"/>
      <c r="P370" s="195"/>
      <c r="Q370" s="125">
        <f>VLOOKUP(B370,[2]信息汇总表!$M$2:$T$816,8,0)+[2]信息汇总表!$T$477</f>
        <v>1121548</v>
      </c>
      <c r="R370" s="125">
        <f>VLOOKUP(B370,[1]sheet1!$J$4:$K$413,2,0)</f>
        <v>809523</v>
      </c>
      <c r="S370" s="125"/>
      <c r="T370" s="125">
        <f t="shared" si="77"/>
        <v>1068140.95238095</v>
      </c>
      <c r="U370" s="125">
        <f t="shared" si="82"/>
        <v>53407.0476190476</v>
      </c>
      <c r="V370" s="203">
        <f t="shared" si="83"/>
        <v>258617.95238095</v>
      </c>
      <c r="W370" s="203">
        <f t="shared" si="81"/>
        <v>12930.0476190476</v>
      </c>
      <c r="X370" s="125">
        <v>40477</v>
      </c>
      <c r="Y370" s="125" t="s">
        <v>677</v>
      </c>
      <c r="Z370" s="165">
        <f t="shared" si="76"/>
        <v>271547.999999998</v>
      </c>
    </row>
    <row r="371" ht="13.5" spans="1:26">
      <c r="A371" s="175">
        <v>368</v>
      </c>
      <c r="B371" s="211" t="s">
        <v>678</v>
      </c>
      <c r="C371" s="183">
        <v>91.51</v>
      </c>
      <c r="D371" s="179"/>
      <c r="E371" s="179">
        <f t="shared" ref="E371:E434" si="84">ROUND(IF(F371&lt;&gt;0,C371*D371,0),0)</f>
        <v>0</v>
      </c>
      <c r="F371" s="184"/>
      <c r="G371" s="184"/>
      <c r="H371" s="216"/>
      <c r="I371" s="216">
        <v>0</v>
      </c>
      <c r="J371" s="196"/>
      <c r="K371" s="196"/>
      <c r="L371" s="196"/>
      <c r="M371" s="196"/>
      <c r="N371" s="196">
        <f t="shared" si="75"/>
        <v>0</v>
      </c>
      <c r="O371" s="194"/>
      <c r="P371" s="199" t="s">
        <v>39</v>
      </c>
      <c r="Q371" s="125"/>
      <c r="R371" s="125"/>
      <c r="S371" s="125"/>
      <c r="T371" s="125">
        <f t="shared" si="77"/>
        <v>0</v>
      </c>
      <c r="U371" s="125">
        <f t="shared" si="72"/>
        <v>0</v>
      </c>
      <c r="V371" s="125"/>
      <c r="W371" s="125"/>
      <c r="X371" s="125"/>
      <c r="Y371" s="195"/>
      <c r="Z371" s="165">
        <f t="shared" si="76"/>
        <v>0</v>
      </c>
    </row>
    <row r="372" hidden="1" spans="1:26">
      <c r="A372" s="175">
        <v>369</v>
      </c>
      <c r="B372" s="211" t="s">
        <v>679</v>
      </c>
      <c r="C372" s="183">
        <v>62.96</v>
      </c>
      <c r="D372" s="179">
        <v>13099</v>
      </c>
      <c r="E372" s="179">
        <v>824713.04</v>
      </c>
      <c r="F372" s="212" t="s">
        <v>680</v>
      </c>
      <c r="G372" s="213"/>
      <c r="H372" s="214">
        <v>13099</v>
      </c>
      <c r="I372" s="214">
        <v>824713.04</v>
      </c>
      <c r="J372" s="196">
        <f>VLOOKUP(B372,泰康小区账面房号及收款金额!$A$2:$B$424,2,0)</f>
        <v>824713</v>
      </c>
      <c r="K372" s="196"/>
      <c r="L372" s="196"/>
      <c r="M372" s="196"/>
      <c r="N372" s="198">
        <f t="shared" si="75"/>
        <v>0.0400000000372529</v>
      </c>
      <c r="O372" s="194"/>
      <c r="P372" s="195"/>
      <c r="Q372" s="125">
        <f>VLOOKUP(B372,[2]信息汇总表!$M$2:$T$816,8,0)</f>
        <v>824713</v>
      </c>
      <c r="R372" s="125"/>
      <c r="S372" s="125">
        <v>785440.95</v>
      </c>
      <c r="T372" s="125">
        <f t="shared" si="77"/>
        <v>785440.99047619</v>
      </c>
      <c r="U372" s="125">
        <f t="shared" si="72"/>
        <v>39272.0495238096</v>
      </c>
      <c r="V372" s="125">
        <f>T372-R372-S372</f>
        <v>0.0404761905083433</v>
      </c>
      <c r="W372" s="125">
        <f>U372-X372</f>
        <v>0.00202380959672155</v>
      </c>
      <c r="X372" s="125">
        <v>39272.0475</v>
      </c>
      <c r="Y372" s="195" t="s">
        <v>42</v>
      </c>
      <c r="Z372" s="165">
        <f t="shared" si="76"/>
        <v>0.0425000001050648</v>
      </c>
    </row>
    <row r="373" spans="1:26">
      <c r="A373" s="175">
        <v>370</v>
      </c>
      <c r="B373" s="211" t="s">
        <v>681</v>
      </c>
      <c r="C373" s="183">
        <v>31.99</v>
      </c>
      <c r="D373" s="179">
        <v>17000</v>
      </c>
      <c r="E373" s="179">
        <f t="shared" si="84"/>
        <v>0</v>
      </c>
      <c r="F373" s="212"/>
      <c r="G373" s="213"/>
      <c r="H373" s="214"/>
      <c r="I373" s="214">
        <v>0</v>
      </c>
      <c r="J373" s="196">
        <f>VLOOKUP(B373,泰康小区账面房号及收款金额!$A$2:$B$424,2,0)</f>
        <v>83829.9</v>
      </c>
      <c r="K373" s="196"/>
      <c r="L373" s="196"/>
      <c r="M373" s="196"/>
      <c r="N373" s="197">
        <f t="shared" si="75"/>
        <v>-83829.9</v>
      </c>
      <c r="O373" s="194" t="s">
        <v>682</v>
      </c>
      <c r="P373" s="195"/>
      <c r="Q373" s="125">
        <f>VLOOKUP(B373,[2]信息汇总表!$M$2:$T$816,8,0)</f>
        <v>543830</v>
      </c>
      <c r="R373" s="125">
        <f>VLOOKUP(B373,[1]sheet1!$J$4:$K$413,2,0)</f>
        <v>79838</v>
      </c>
      <c r="S373" s="125"/>
      <c r="T373" s="125">
        <f t="shared" si="77"/>
        <v>0</v>
      </c>
      <c r="U373" s="125">
        <f t="shared" si="72"/>
        <v>0</v>
      </c>
      <c r="V373" s="125"/>
      <c r="W373" s="125"/>
      <c r="X373" s="125"/>
      <c r="Y373" s="195"/>
      <c r="Z373" s="165">
        <f t="shared" si="76"/>
        <v>0</v>
      </c>
    </row>
    <row r="374" ht="13.5" spans="1:26">
      <c r="A374" s="175">
        <v>371</v>
      </c>
      <c r="B374" s="211" t="s">
        <v>683</v>
      </c>
      <c r="C374" s="183">
        <v>33.37</v>
      </c>
      <c r="D374" s="179"/>
      <c r="E374" s="179">
        <f t="shared" si="84"/>
        <v>0</v>
      </c>
      <c r="F374" s="212"/>
      <c r="G374" s="213"/>
      <c r="H374" s="214"/>
      <c r="I374" s="214">
        <v>0</v>
      </c>
      <c r="J374" s="196"/>
      <c r="K374" s="196"/>
      <c r="L374" s="196"/>
      <c r="M374" s="196"/>
      <c r="N374" s="196">
        <f t="shared" si="75"/>
        <v>0</v>
      </c>
      <c r="O374" s="194"/>
      <c r="P374" s="199" t="s">
        <v>39</v>
      </c>
      <c r="Q374" s="125"/>
      <c r="R374" s="125"/>
      <c r="S374" s="125"/>
      <c r="T374" s="125">
        <f t="shared" si="77"/>
        <v>0</v>
      </c>
      <c r="U374" s="125">
        <f t="shared" si="72"/>
        <v>0</v>
      </c>
      <c r="V374" s="125"/>
      <c r="W374" s="125"/>
      <c r="X374" s="125"/>
      <c r="Y374" s="195"/>
      <c r="Z374" s="165">
        <f t="shared" si="76"/>
        <v>0</v>
      </c>
    </row>
    <row r="375" ht="13.5" spans="1:26">
      <c r="A375" s="175">
        <v>372</v>
      </c>
      <c r="B375" s="211" t="s">
        <v>684</v>
      </c>
      <c r="C375" s="183">
        <v>37.24</v>
      </c>
      <c r="D375" s="179"/>
      <c r="E375" s="179">
        <f t="shared" si="84"/>
        <v>0</v>
      </c>
      <c r="F375" s="212"/>
      <c r="G375" s="213"/>
      <c r="H375" s="214"/>
      <c r="I375" s="214">
        <v>0</v>
      </c>
      <c r="J375" s="196"/>
      <c r="K375" s="196"/>
      <c r="L375" s="196"/>
      <c r="M375" s="196"/>
      <c r="N375" s="196">
        <f t="shared" si="75"/>
        <v>0</v>
      </c>
      <c r="O375" s="194"/>
      <c r="P375" s="199" t="s">
        <v>39</v>
      </c>
      <c r="Q375" s="125"/>
      <c r="R375" s="125"/>
      <c r="S375" s="125"/>
      <c r="T375" s="125">
        <f t="shared" si="77"/>
        <v>0</v>
      </c>
      <c r="U375" s="125">
        <f t="shared" si="72"/>
        <v>0</v>
      </c>
      <c r="V375" s="125"/>
      <c r="W375" s="125"/>
      <c r="X375" s="125"/>
      <c r="Y375" s="195"/>
      <c r="Z375" s="165">
        <f t="shared" si="76"/>
        <v>0</v>
      </c>
    </row>
    <row r="376" ht="13.5" spans="1:26">
      <c r="A376" s="175">
        <v>373</v>
      </c>
      <c r="B376" s="211" t="s">
        <v>685</v>
      </c>
      <c r="C376" s="183">
        <v>41.86</v>
      </c>
      <c r="D376" s="179"/>
      <c r="E376" s="179">
        <f t="shared" si="84"/>
        <v>0</v>
      </c>
      <c r="F376" s="212" t="s">
        <v>686</v>
      </c>
      <c r="G376" s="213"/>
      <c r="H376" s="214"/>
      <c r="I376" s="214">
        <v>0</v>
      </c>
      <c r="J376" s="196"/>
      <c r="K376" s="196"/>
      <c r="L376" s="196"/>
      <c r="M376" s="196"/>
      <c r="N376" s="196">
        <f t="shared" si="75"/>
        <v>0</v>
      </c>
      <c r="O376" s="194" t="s">
        <v>35</v>
      </c>
      <c r="P376" s="199" t="s">
        <v>39</v>
      </c>
      <c r="Q376" s="125"/>
      <c r="R376" s="125"/>
      <c r="S376" s="125"/>
      <c r="T376" s="125">
        <f t="shared" si="77"/>
        <v>0</v>
      </c>
      <c r="U376" s="125">
        <f t="shared" si="72"/>
        <v>0</v>
      </c>
      <c r="V376" s="125"/>
      <c r="W376" s="125"/>
      <c r="X376" s="125"/>
      <c r="Y376" s="195"/>
      <c r="Z376" s="165">
        <f t="shared" si="76"/>
        <v>0</v>
      </c>
    </row>
    <row r="377" hidden="1" spans="1:26">
      <c r="A377" s="175">
        <v>374</v>
      </c>
      <c r="B377" s="187" t="s">
        <v>687</v>
      </c>
      <c r="C377" s="183">
        <v>68.91</v>
      </c>
      <c r="D377" s="179">
        <v>2826</v>
      </c>
      <c r="E377" s="179">
        <f t="shared" si="84"/>
        <v>194740</v>
      </c>
      <c r="F377" s="212" t="s">
        <v>688</v>
      </c>
      <c r="G377" s="213" t="s">
        <v>48</v>
      </c>
      <c r="H377" s="214">
        <v>3000</v>
      </c>
      <c r="I377" s="214">
        <v>206730</v>
      </c>
      <c r="J377" s="196">
        <f>VLOOKUP(B377,泰康小区账面房号及收款金额!$A$2:$B$424,2,0)</f>
        <v>206730.3</v>
      </c>
      <c r="K377" s="196"/>
      <c r="L377" s="196"/>
      <c r="M377" s="196"/>
      <c r="N377" s="196">
        <f t="shared" si="75"/>
        <v>-0.299999999988358</v>
      </c>
      <c r="O377" s="194"/>
      <c r="P377" s="195"/>
      <c r="Q377" s="125">
        <f>VLOOKUP(B377,[2]信息汇总表!$M$2:$T$816,8,0)</f>
        <v>206730</v>
      </c>
      <c r="R377" s="125">
        <f>VLOOKUP(B377,[1]sheet1!$J$4:$K$413,2,0)</f>
        <v>196886</v>
      </c>
      <c r="S377" s="125"/>
      <c r="T377" s="125">
        <f t="shared" si="77"/>
        <v>196885.714285714</v>
      </c>
      <c r="U377" s="125">
        <f t="shared" si="72"/>
        <v>9844.28571428571</v>
      </c>
      <c r="V377" s="125">
        <f t="shared" ref="V377:V390" si="85">T377-R377-S377</f>
        <v>-0.285714286001166</v>
      </c>
      <c r="W377" s="125">
        <f t="shared" ref="W377:W391" si="86">U377-X377</f>
        <v>0.285714285710128</v>
      </c>
      <c r="X377" s="125">
        <v>9844</v>
      </c>
      <c r="Y377" s="195" t="s">
        <v>42</v>
      </c>
      <c r="Z377" s="165">
        <f t="shared" si="76"/>
        <v>-2.9103797150043e-10</v>
      </c>
    </row>
    <row r="378" hidden="1" spans="1:26">
      <c r="A378" s="175">
        <v>375</v>
      </c>
      <c r="B378" s="187" t="s">
        <v>689</v>
      </c>
      <c r="C378" s="183">
        <v>74.86</v>
      </c>
      <c r="D378" s="179">
        <v>2676</v>
      </c>
      <c r="E378" s="179">
        <f t="shared" si="84"/>
        <v>200325</v>
      </c>
      <c r="F378" s="212" t="s">
        <v>690</v>
      </c>
      <c r="G378" s="213"/>
      <c r="H378" s="214">
        <v>2758</v>
      </c>
      <c r="I378" s="214">
        <v>206464</v>
      </c>
      <c r="J378" s="196">
        <f>VLOOKUP(B378,泰康小区账面房号及收款金额!$A$2:$B$424,2,0)</f>
        <v>206464.65</v>
      </c>
      <c r="K378" s="196"/>
      <c r="L378" s="196"/>
      <c r="M378" s="196"/>
      <c r="N378" s="196">
        <f t="shared" si="75"/>
        <v>-0.649999999994179</v>
      </c>
      <c r="O378" s="194"/>
      <c r="P378" s="195"/>
      <c r="Q378" s="125">
        <f>VLOOKUP(B378,[2]信息汇总表!$M$2:$T$816,8,0)</f>
        <v>206464</v>
      </c>
      <c r="R378" s="125">
        <f>VLOOKUP(B378,[1]sheet1!$J$4:$K$413,2,0)</f>
        <v>196633</v>
      </c>
      <c r="S378" s="125"/>
      <c r="T378" s="125">
        <f t="shared" si="77"/>
        <v>196632.380952381</v>
      </c>
      <c r="U378" s="125">
        <f t="shared" si="72"/>
        <v>9831.61904761905</v>
      </c>
      <c r="V378" s="125">
        <f t="shared" si="85"/>
        <v>-0.619047618994955</v>
      </c>
      <c r="W378" s="125">
        <f t="shared" si="86"/>
        <v>0.419047619048797</v>
      </c>
      <c r="X378" s="125">
        <v>9831.2</v>
      </c>
      <c r="Y378" s="195" t="s">
        <v>42</v>
      </c>
      <c r="Z378" s="165">
        <f t="shared" si="76"/>
        <v>-0.199999999946158</v>
      </c>
    </row>
    <row r="379" hidden="1" spans="1:26">
      <c r="A379" s="175">
        <v>376</v>
      </c>
      <c r="B379" s="187" t="s">
        <v>691</v>
      </c>
      <c r="C379" s="183">
        <v>75.04</v>
      </c>
      <c r="D379" s="179">
        <v>2776</v>
      </c>
      <c r="E379" s="179">
        <f t="shared" si="84"/>
        <v>208311</v>
      </c>
      <c r="F379" s="212" t="s">
        <v>692</v>
      </c>
      <c r="G379" s="213"/>
      <c r="H379" s="214">
        <v>2758</v>
      </c>
      <c r="I379" s="214">
        <v>206960</v>
      </c>
      <c r="J379" s="196">
        <f>VLOOKUP(B379,泰康小区账面房号及收款金额!$A$2:$B$424,2,0)</f>
        <v>206959.2</v>
      </c>
      <c r="K379" s="196"/>
      <c r="L379" s="196"/>
      <c r="M379" s="196"/>
      <c r="N379" s="196">
        <f t="shared" si="75"/>
        <v>0.799999999988358</v>
      </c>
      <c r="O379" s="194"/>
      <c r="P379" s="195"/>
      <c r="Q379" s="125">
        <f>VLOOKUP(B379,[2]信息汇总表!$M$2:$T$816,8,0)</f>
        <v>206960</v>
      </c>
      <c r="R379" s="125">
        <f>VLOOKUP(B379,[1]sheet1!$J$4:$K$413,2,0)</f>
        <v>197104</v>
      </c>
      <c r="S379" s="125"/>
      <c r="T379" s="125">
        <f t="shared" si="77"/>
        <v>197104.761904762</v>
      </c>
      <c r="U379" s="125">
        <f t="shared" si="72"/>
        <v>9855.23809523811</v>
      </c>
      <c r="V379" s="125">
        <f t="shared" si="85"/>
        <v>0.76190476201009</v>
      </c>
      <c r="W379" s="125">
        <f t="shared" si="86"/>
        <v>-0.761904761890037</v>
      </c>
      <c r="X379" s="125">
        <v>9856</v>
      </c>
      <c r="Y379" s="195" t="s">
        <v>42</v>
      </c>
      <c r="Z379" s="165">
        <f t="shared" si="76"/>
        <v>1.20053078589422e-10</v>
      </c>
    </row>
    <row r="380" hidden="1" spans="1:26">
      <c r="A380" s="175">
        <v>377</v>
      </c>
      <c r="B380" s="187" t="s">
        <v>693</v>
      </c>
      <c r="C380" s="183">
        <v>64.27</v>
      </c>
      <c r="D380" s="179">
        <v>2826</v>
      </c>
      <c r="E380" s="179">
        <f t="shared" si="84"/>
        <v>181627</v>
      </c>
      <c r="F380" s="212" t="s">
        <v>694</v>
      </c>
      <c r="G380" s="213"/>
      <c r="H380" s="214">
        <v>2880</v>
      </c>
      <c r="I380" s="214">
        <v>185098</v>
      </c>
      <c r="J380" s="196">
        <f>VLOOKUP(B380,泰康小区账面房号及收款金额!$A$2:$B$424,2,0)</f>
        <v>185098.2</v>
      </c>
      <c r="K380" s="196"/>
      <c r="L380" s="196"/>
      <c r="M380" s="196"/>
      <c r="N380" s="196">
        <f t="shared" si="75"/>
        <v>-0.200000000011642</v>
      </c>
      <c r="O380" s="194"/>
      <c r="P380" s="195"/>
      <c r="Q380" s="125">
        <f>VLOOKUP(B380,[2]信息汇总表!$M$2:$T$816,8,0)</f>
        <v>185098</v>
      </c>
      <c r="R380" s="125">
        <f>VLOOKUP(B380,[1]sheet1!$J$4:$K$413,2,0)</f>
        <v>176284</v>
      </c>
      <c r="S380" s="125"/>
      <c r="T380" s="125">
        <f t="shared" si="77"/>
        <v>176283.80952381</v>
      </c>
      <c r="U380" s="125">
        <f t="shared" si="72"/>
        <v>8814.19047619047</v>
      </c>
      <c r="V380" s="125">
        <f t="shared" si="85"/>
        <v>-0.190476190007757</v>
      </c>
      <c r="W380" s="125">
        <f t="shared" si="86"/>
        <v>0.190476190469781</v>
      </c>
      <c r="X380" s="125">
        <v>8814</v>
      </c>
      <c r="Y380" s="195" t="s">
        <v>42</v>
      </c>
      <c r="Z380" s="165">
        <f t="shared" si="76"/>
        <v>4.62024002390038e-10</v>
      </c>
    </row>
    <row r="381" hidden="1" spans="1:26">
      <c r="A381" s="175">
        <v>378</v>
      </c>
      <c r="B381" s="187" t="s">
        <v>695</v>
      </c>
      <c r="C381" s="183">
        <v>68.91</v>
      </c>
      <c r="D381" s="179">
        <v>2696</v>
      </c>
      <c r="E381" s="179">
        <f t="shared" si="84"/>
        <v>185781</v>
      </c>
      <c r="F381" s="212" t="s">
        <v>696</v>
      </c>
      <c r="G381" s="213"/>
      <c r="H381" s="214">
        <v>2730</v>
      </c>
      <c r="I381" s="214">
        <v>188124</v>
      </c>
      <c r="J381" s="196">
        <f>VLOOKUP(B381,泰康小区账面房号及收款金额!$A$2:$B$424,2,0)</f>
        <v>188124.3</v>
      </c>
      <c r="K381" s="196"/>
      <c r="L381" s="196"/>
      <c r="M381" s="196"/>
      <c r="N381" s="196">
        <f t="shared" si="75"/>
        <v>-0.299999999988358</v>
      </c>
      <c r="O381" s="194"/>
      <c r="P381" s="195"/>
      <c r="Q381" s="125">
        <f>VLOOKUP(B381,[2]信息汇总表!$M$2:$T$816,8,0)</f>
        <v>188124</v>
      </c>
      <c r="R381" s="125">
        <f>VLOOKUP(B381,[1]sheet1!$J$4:$K$413,2,0)</f>
        <v>179166</v>
      </c>
      <c r="S381" s="125"/>
      <c r="T381" s="125">
        <f t="shared" si="77"/>
        <v>179165.714285714</v>
      </c>
      <c r="U381" s="125">
        <f t="shared" si="72"/>
        <v>8958.28571428571</v>
      </c>
      <c r="V381" s="125">
        <f t="shared" si="85"/>
        <v>-0.285714286001166</v>
      </c>
      <c r="W381" s="125">
        <f t="shared" si="86"/>
        <v>0.285714285710128</v>
      </c>
      <c r="X381" s="204">
        <v>8958</v>
      </c>
      <c r="Y381" s="195" t="s">
        <v>42</v>
      </c>
      <c r="Z381" s="165">
        <f t="shared" si="76"/>
        <v>-2.9103797150043e-10</v>
      </c>
    </row>
    <row r="382" hidden="1" spans="1:26">
      <c r="A382" s="175">
        <v>379</v>
      </c>
      <c r="B382" s="187" t="s">
        <v>697</v>
      </c>
      <c r="C382" s="183">
        <v>74.86</v>
      </c>
      <c r="D382" s="179">
        <v>2696</v>
      </c>
      <c r="E382" s="179">
        <f t="shared" si="84"/>
        <v>201823</v>
      </c>
      <c r="F382" s="212" t="s">
        <v>698</v>
      </c>
      <c r="G382" s="213"/>
      <c r="H382" s="214">
        <v>2900</v>
      </c>
      <c r="I382" s="214">
        <v>217094</v>
      </c>
      <c r="J382" s="196">
        <f>VLOOKUP(B382,泰康小区账面房号及收款金额!$A$2:$B$424,2,0)</f>
        <v>217094.85</v>
      </c>
      <c r="K382" s="196"/>
      <c r="L382" s="196"/>
      <c r="M382" s="196"/>
      <c r="N382" s="196">
        <f t="shared" si="75"/>
        <v>-0.850000000005821</v>
      </c>
      <c r="O382" s="194"/>
      <c r="P382" s="195"/>
      <c r="Q382" s="125">
        <f>VLOOKUP(B382,[2]信息汇总表!$M$2:$T$816,8,0)</f>
        <v>217094</v>
      </c>
      <c r="R382" s="125">
        <f>VLOOKUP(B382,[1]sheet1!$J$4:$K$413,2,0)</f>
        <v>206757</v>
      </c>
      <c r="S382" s="125"/>
      <c r="T382" s="125">
        <f t="shared" si="77"/>
        <v>206756.19047619</v>
      </c>
      <c r="U382" s="125">
        <f t="shared" si="72"/>
        <v>10337.8095238095</v>
      </c>
      <c r="V382" s="125">
        <f t="shared" si="85"/>
        <v>-0.809523809992243</v>
      </c>
      <c r="W382" s="125">
        <f t="shared" si="86"/>
        <v>0.809523809499296</v>
      </c>
      <c r="X382" s="125">
        <v>10337</v>
      </c>
      <c r="Y382" s="195" t="s">
        <v>42</v>
      </c>
      <c r="Z382" s="165">
        <f t="shared" si="76"/>
        <v>-4.92947016539347e-10</v>
      </c>
    </row>
    <row r="383" ht="14.25" hidden="1" spans="1:28">
      <c r="A383" s="175">
        <v>380</v>
      </c>
      <c r="B383" s="187" t="s">
        <v>699</v>
      </c>
      <c r="C383" s="183">
        <v>75.04</v>
      </c>
      <c r="D383" s="179">
        <v>2696</v>
      </c>
      <c r="E383" s="179">
        <f t="shared" si="84"/>
        <v>202308</v>
      </c>
      <c r="F383" s="212" t="s">
        <v>700</v>
      </c>
      <c r="G383" s="213"/>
      <c r="H383" s="214">
        <v>2696</v>
      </c>
      <c r="I383" s="214">
        <v>202308</v>
      </c>
      <c r="J383" s="196">
        <f>VLOOKUP(B383,泰康小区账面房号及收款金额!$A$2:$B$424,2,0)</f>
        <v>202308.6975</v>
      </c>
      <c r="K383" s="196"/>
      <c r="L383" s="196"/>
      <c r="M383" s="196"/>
      <c r="N383" s="196">
        <f t="shared" si="75"/>
        <v>-0.697500000009313</v>
      </c>
      <c r="O383" s="194"/>
      <c r="P383" s="195"/>
      <c r="Q383" s="125">
        <f>VLOOKUP(B383,[2]信息汇总表!$M$2:$T$816,8,0)</f>
        <v>202308</v>
      </c>
      <c r="R383" s="125">
        <f>VLOOKUP(B383,[1]sheet1!$J$4:$K$413,2,0)</f>
        <v>192674.95</v>
      </c>
      <c r="S383" s="125"/>
      <c r="T383" s="125">
        <f t="shared" si="77"/>
        <v>192674.285714286</v>
      </c>
      <c r="U383" s="125">
        <f t="shared" si="72"/>
        <v>9633.71428571429</v>
      </c>
      <c r="V383" s="125">
        <f t="shared" si="85"/>
        <v>-0.664285714010475</v>
      </c>
      <c r="W383" s="125">
        <f t="shared" si="86"/>
        <v>0.6642857142906</v>
      </c>
      <c r="X383" s="125">
        <v>9633.05</v>
      </c>
      <c r="Y383" s="195" t="s">
        <v>42</v>
      </c>
      <c r="Z383" s="165">
        <f t="shared" si="76"/>
        <v>2.80125034279877e-10</v>
      </c>
      <c r="AB383" s="218">
        <v>112896</v>
      </c>
    </row>
    <row r="384" hidden="1" spans="1:28">
      <c r="A384" s="175">
        <v>381</v>
      </c>
      <c r="B384" s="187" t="s">
        <v>701</v>
      </c>
      <c r="C384" s="183">
        <v>64.27</v>
      </c>
      <c r="D384" s="179">
        <v>2696</v>
      </c>
      <c r="E384" s="179">
        <f t="shared" si="84"/>
        <v>173272</v>
      </c>
      <c r="F384" s="212" t="s">
        <v>702</v>
      </c>
      <c r="G384" s="213"/>
      <c r="H384" s="214">
        <v>2668</v>
      </c>
      <c r="I384" s="214">
        <v>171472</v>
      </c>
      <c r="J384" s="196">
        <f>VLOOKUP(B384,泰康小区账面房号及收款金额!$A$2:$B$424,2,0)</f>
        <v>171472.35</v>
      </c>
      <c r="K384" s="196"/>
      <c r="L384" s="196"/>
      <c r="M384" s="196"/>
      <c r="N384" s="196">
        <f t="shared" si="75"/>
        <v>-0.350000000005821</v>
      </c>
      <c r="O384" s="194"/>
      <c r="P384" s="195"/>
      <c r="Q384" s="125">
        <f>VLOOKUP(B384,[2]信息汇总表!$M$2:$T$816,8,0)</f>
        <v>171472</v>
      </c>
      <c r="R384" s="125">
        <f>VLOOKUP(B384,[1]sheet1!$J$4:$K$413,2,0)</f>
        <v>163307</v>
      </c>
      <c r="S384" s="125"/>
      <c r="T384" s="125">
        <f t="shared" si="77"/>
        <v>163306.666666667</v>
      </c>
      <c r="U384" s="125">
        <f t="shared" si="72"/>
        <v>8165.33333333334</v>
      </c>
      <c r="V384" s="125">
        <f t="shared" si="85"/>
        <v>-0.333333332993789</v>
      </c>
      <c r="W384" s="125">
        <f t="shared" si="86"/>
        <v>0.333333333340306</v>
      </c>
      <c r="X384" s="125">
        <v>8165</v>
      </c>
      <c r="Y384" s="195" t="s">
        <v>42</v>
      </c>
      <c r="Z384" s="165">
        <f t="shared" si="76"/>
        <v>3.46517037286276e-10</v>
      </c>
      <c r="AB384" s="219">
        <v>5000</v>
      </c>
    </row>
    <row r="385" hidden="1" spans="1:28">
      <c r="A385" s="175">
        <v>382</v>
      </c>
      <c r="B385" s="187" t="s">
        <v>703</v>
      </c>
      <c r="C385" s="183">
        <v>68.91</v>
      </c>
      <c r="D385" s="179">
        <v>2716</v>
      </c>
      <c r="E385" s="179">
        <f t="shared" si="84"/>
        <v>187160</v>
      </c>
      <c r="F385" s="212" t="s">
        <v>704</v>
      </c>
      <c r="G385" s="213"/>
      <c r="H385" s="214">
        <v>2900</v>
      </c>
      <c r="I385" s="214">
        <v>199839</v>
      </c>
      <c r="J385" s="196">
        <f>VLOOKUP(B385,泰康小区账面房号及收款金额!$A$2:$B$424,2,0)</f>
        <v>199839.15</v>
      </c>
      <c r="K385" s="196"/>
      <c r="L385" s="196"/>
      <c r="M385" s="196"/>
      <c r="N385" s="196">
        <f t="shared" si="75"/>
        <v>-0.149999999994179</v>
      </c>
      <c r="O385" s="194"/>
      <c r="P385" s="195"/>
      <c r="Q385" s="125">
        <f>VLOOKUP(B385,[2]信息汇总表!$M$2:$T$816,8,0)</f>
        <v>199839</v>
      </c>
      <c r="R385" s="125">
        <f>VLOOKUP(B385,[1]sheet1!$J$4:$K$413,2,0)</f>
        <v>190323</v>
      </c>
      <c r="S385" s="125"/>
      <c r="T385" s="125">
        <f t="shared" si="77"/>
        <v>190322.857142857</v>
      </c>
      <c r="U385" s="125">
        <f t="shared" si="72"/>
        <v>9516.14285714287</v>
      </c>
      <c r="V385" s="125">
        <f t="shared" si="85"/>
        <v>-0.142857142986031</v>
      </c>
      <c r="W385" s="125">
        <f t="shared" si="86"/>
        <v>0.142857142869616</v>
      </c>
      <c r="X385" s="125">
        <v>9516</v>
      </c>
      <c r="Y385" s="195" t="s">
        <v>42</v>
      </c>
      <c r="Z385" s="165">
        <f t="shared" si="76"/>
        <v>-1.16414988760027e-10</v>
      </c>
      <c r="AB385" s="219">
        <v>10000</v>
      </c>
    </row>
    <row r="386" hidden="1" spans="1:28">
      <c r="A386" s="175">
        <v>383</v>
      </c>
      <c r="B386" s="187" t="s">
        <v>705</v>
      </c>
      <c r="C386" s="183">
        <v>74.86</v>
      </c>
      <c r="D386" s="179">
        <v>2566</v>
      </c>
      <c r="E386" s="179">
        <f t="shared" si="84"/>
        <v>192091</v>
      </c>
      <c r="F386" s="212" t="s">
        <v>706</v>
      </c>
      <c r="G386" s="213"/>
      <c r="H386" s="214">
        <v>2566</v>
      </c>
      <c r="I386" s="214">
        <v>192091</v>
      </c>
      <c r="J386" s="196">
        <f>VLOOKUP(B386,泰康小区账面房号及收款金额!$A$2:$B$424,2,0)</f>
        <v>192091.2</v>
      </c>
      <c r="K386" s="196"/>
      <c r="L386" s="196"/>
      <c r="M386" s="196"/>
      <c r="N386" s="196">
        <f t="shared" si="75"/>
        <v>-0.200000000011642</v>
      </c>
      <c r="O386" s="194"/>
      <c r="P386" s="195"/>
      <c r="Q386" s="125">
        <f>VLOOKUP(B386,[2]信息汇总表!$M$2:$T$816,8,0)</f>
        <v>192090</v>
      </c>
      <c r="R386" s="125">
        <f>VLOOKUP(B386,[1]sheet1!$J$4:$K$413,2,0)</f>
        <v>182944</v>
      </c>
      <c r="S386" s="125"/>
      <c r="T386" s="125">
        <f t="shared" si="77"/>
        <v>182943.80952381</v>
      </c>
      <c r="U386" s="125">
        <f t="shared" si="72"/>
        <v>9147.19047619047</v>
      </c>
      <c r="V386" s="125">
        <f t="shared" si="85"/>
        <v>-0.190476190007757</v>
      </c>
      <c r="W386" s="125">
        <f t="shared" si="86"/>
        <v>1.19047619046978</v>
      </c>
      <c r="X386" s="125">
        <v>9146</v>
      </c>
      <c r="Y386" s="195" t="s">
        <v>42</v>
      </c>
      <c r="Z386" s="165">
        <f t="shared" si="76"/>
        <v>1.00000000046202</v>
      </c>
      <c r="AB386" s="219">
        <v>129640</v>
      </c>
    </row>
    <row r="387" ht="13" hidden="1" customHeight="1" spans="1:28">
      <c r="A387" s="175">
        <v>384</v>
      </c>
      <c r="B387" s="187" t="s">
        <v>707</v>
      </c>
      <c r="C387" s="183">
        <v>75.04</v>
      </c>
      <c r="D387" s="179">
        <v>2566</v>
      </c>
      <c r="E387" s="179">
        <f t="shared" si="84"/>
        <v>192553</v>
      </c>
      <c r="F387" s="212" t="s">
        <v>708</v>
      </c>
      <c r="G387" s="213"/>
      <c r="H387" s="214">
        <v>2670</v>
      </c>
      <c r="I387" s="214">
        <v>200357</v>
      </c>
      <c r="J387" s="196">
        <f>VLOOKUP(B387,泰康小区账面房号及收款金额!$A$2:$B$424,2,0)</f>
        <v>200356.8</v>
      </c>
      <c r="K387" s="196"/>
      <c r="L387" s="196"/>
      <c r="M387" s="196"/>
      <c r="N387" s="196">
        <f t="shared" si="75"/>
        <v>0.200000000011642</v>
      </c>
      <c r="O387" s="194"/>
      <c r="P387" s="195"/>
      <c r="Q387" s="125">
        <f>VLOOKUP(B387,[2]信息汇总表!$M$2:$T$816,8,0)</f>
        <v>200357</v>
      </c>
      <c r="R387" s="125">
        <f>VLOOKUP(B387,[1]sheet1!$J$4:$K$413,2,0)</f>
        <v>190816</v>
      </c>
      <c r="S387" s="125"/>
      <c r="T387" s="125">
        <f t="shared" si="77"/>
        <v>190816.19047619</v>
      </c>
      <c r="U387" s="125">
        <f t="shared" si="72"/>
        <v>9540.80952380953</v>
      </c>
      <c r="V387" s="125">
        <f t="shared" si="85"/>
        <v>0.190476190007757</v>
      </c>
      <c r="W387" s="125">
        <f t="shared" si="86"/>
        <v>-0.190476190469781</v>
      </c>
      <c r="X387" s="125">
        <v>9541</v>
      </c>
      <c r="Y387" s="195" t="s">
        <v>42</v>
      </c>
      <c r="Z387" s="165">
        <f t="shared" si="76"/>
        <v>-4.62024002390038e-10</v>
      </c>
      <c r="AB387" s="219">
        <v>125678</v>
      </c>
    </row>
    <row r="388" hidden="1" spans="1:28">
      <c r="A388" s="175">
        <v>385</v>
      </c>
      <c r="B388" s="187" t="s">
        <v>709</v>
      </c>
      <c r="C388" s="183">
        <v>64.27</v>
      </c>
      <c r="D388" s="179">
        <v>2566</v>
      </c>
      <c r="E388" s="179">
        <f t="shared" si="84"/>
        <v>164917</v>
      </c>
      <c r="F388" s="212" t="s">
        <v>710</v>
      </c>
      <c r="G388" s="213"/>
      <c r="H388" s="214">
        <v>2730</v>
      </c>
      <c r="I388" s="214">
        <v>175457</v>
      </c>
      <c r="J388" s="196">
        <f>VLOOKUP(B388,泰康小区账面房号及收款金额!$A$2:$B$424,2,0)</f>
        <v>175457.1</v>
      </c>
      <c r="K388" s="196"/>
      <c r="L388" s="196"/>
      <c r="M388" s="196"/>
      <c r="N388" s="196">
        <f t="shared" si="75"/>
        <v>-0.100000000005821</v>
      </c>
      <c r="O388" s="194"/>
      <c r="P388" s="195"/>
      <c r="Q388" s="125">
        <f>VLOOKUP(B388,[2]信息汇总表!$M$2:$T$816,8,0)</f>
        <v>175457</v>
      </c>
      <c r="R388" s="125">
        <f>VLOOKUP(B388,[1]sheet1!$J$4:$K$413,2,0)</f>
        <v>167102</v>
      </c>
      <c r="S388" s="125"/>
      <c r="T388" s="125">
        <f t="shared" si="77"/>
        <v>167101.904761905</v>
      </c>
      <c r="U388" s="125">
        <f t="shared" si="72"/>
        <v>8355.09523809524</v>
      </c>
      <c r="V388" s="125">
        <f t="shared" si="85"/>
        <v>-0.0952380950038787</v>
      </c>
      <c r="W388" s="125">
        <f t="shared" si="86"/>
        <v>0.0952380952403473</v>
      </c>
      <c r="X388" s="125">
        <v>8355</v>
      </c>
      <c r="Y388" s="195" t="s">
        <v>42</v>
      </c>
      <c r="Z388" s="165">
        <f t="shared" si="76"/>
        <v>2.36468608583174e-10</v>
      </c>
      <c r="AB388" s="170">
        <v>90000</v>
      </c>
    </row>
    <row r="389" hidden="1" spans="1:28">
      <c r="A389" s="175">
        <v>386</v>
      </c>
      <c r="B389" s="187" t="s">
        <v>711</v>
      </c>
      <c r="C389" s="183">
        <v>68.91</v>
      </c>
      <c r="D389" s="179">
        <v>2796</v>
      </c>
      <c r="E389" s="179">
        <f t="shared" si="84"/>
        <v>192672</v>
      </c>
      <c r="F389" s="212" t="s">
        <v>712</v>
      </c>
      <c r="G389" s="213"/>
      <c r="H389" s="214">
        <v>2928</v>
      </c>
      <c r="I389" s="214">
        <v>201768</v>
      </c>
      <c r="J389" s="196">
        <f>VLOOKUP(B389,泰康小区账面房号及收款金额!$A$2:$B$424,2,0)</f>
        <v>201768</v>
      </c>
      <c r="K389" s="196"/>
      <c r="L389" s="196"/>
      <c r="M389" s="196"/>
      <c r="N389" s="196">
        <f t="shared" si="75"/>
        <v>0</v>
      </c>
      <c r="O389" s="194"/>
      <c r="P389" s="195"/>
      <c r="Q389" s="125">
        <f>VLOOKUP(B389,[2]信息汇总表!$M$2:$T$816,8,0)</f>
        <v>201768</v>
      </c>
      <c r="R389" s="125">
        <f>VLOOKUP(B389,[1]sheet1!$J$4:$K$413,2,0)</f>
        <v>192160</v>
      </c>
      <c r="S389" s="125"/>
      <c r="T389" s="125">
        <f t="shared" si="77"/>
        <v>192160</v>
      </c>
      <c r="U389" s="125">
        <f t="shared" ref="U389:U452" si="87">I389-T389</f>
        <v>9608</v>
      </c>
      <c r="V389" s="125">
        <f t="shared" si="85"/>
        <v>0</v>
      </c>
      <c r="W389" s="125">
        <f t="shared" si="86"/>
        <v>0</v>
      </c>
      <c r="X389" s="125">
        <v>9608</v>
      </c>
      <c r="Y389" s="195" t="s">
        <v>42</v>
      </c>
      <c r="Z389" s="165">
        <f t="shared" si="76"/>
        <v>0</v>
      </c>
      <c r="AB389" s="219">
        <v>330000</v>
      </c>
    </row>
    <row r="390" hidden="1" spans="1:28">
      <c r="A390" s="175">
        <v>387</v>
      </c>
      <c r="B390" s="187" t="s">
        <v>713</v>
      </c>
      <c r="C390" s="183">
        <v>74.86</v>
      </c>
      <c r="D390" s="179">
        <v>2696</v>
      </c>
      <c r="E390" s="179">
        <f t="shared" si="84"/>
        <v>201823</v>
      </c>
      <c r="F390" s="212" t="s">
        <v>714</v>
      </c>
      <c r="G390" s="213"/>
      <c r="H390" s="214">
        <v>2750</v>
      </c>
      <c r="I390" s="214">
        <v>205865</v>
      </c>
      <c r="J390" s="196">
        <f>VLOOKUP(B390,泰康小区账面房号及收款金额!$A$2:$B$424,2,0)</f>
        <v>205865.1</v>
      </c>
      <c r="K390" s="196"/>
      <c r="L390" s="196"/>
      <c r="M390" s="196"/>
      <c r="N390" s="196">
        <f t="shared" si="75"/>
        <v>-0.100000000005821</v>
      </c>
      <c r="O390" s="194"/>
      <c r="P390" s="195"/>
      <c r="Q390" s="125">
        <f>VLOOKUP(B390,[2]信息汇总表!$M$2:$T$816,8,0)</f>
        <v>205865</v>
      </c>
      <c r="R390" s="125">
        <f>VLOOKUP(B390,[1]sheet1!$J$4:$K$413,2,0)</f>
        <v>196062</v>
      </c>
      <c r="S390" s="125"/>
      <c r="T390" s="125">
        <f t="shared" si="77"/>
        <v>196061.904761905</v>
      </c>
      <c r="U390" s="125">
        <f t="shared" si="87"/>
        <v>9803.09523809524</v>
      </c>
      <c r="V390" s="125">
        <f t="shared" si="85"/>
        <v>-0.0952380950038787</v>
      </c>
      <c r="W390" s="125">
        <f t="shared" si="86"/>
        <v>0.0952380952403473</v>
      </c>
      <c r="X390" s="125">
        <v>9803</v>
      </c>
      <c r="Y390" s="195" t="s">
        <v>42</v>
      </c>
      <c r="Z390" s="165">
        <f t="shared" si="76"/>
        <v>2.36468608583174e-10</v>
      </c>
      <c r="AB390" s="219">
        <v>50000</v>
      </c>
    </row>
    <row r="391" spans="1:28">
      <c r="A391" s="175">
        <v>388</v>
      </c>
      <c r="B391" s="187" t="s">
        <v>715</v>
      </c>
      <c r="C391" s="183">
        <v>75.04</v>
      </c>
      <c r="D391" s="179">
        <v>2846</v>
      </c>
      <c r="E391" s="179">
        <f t="shared" si="84"/>
        <v>213564</v>
      </c>
      <c r="F391" s="212" t="s">
        <v>716</v>
      </c>
      <c r="G391" s="213" t="s">
        <v>48</v>
      </c>
      <c r="H391" s="214">
        <v>2700</v>
      </c>
      <c r="I391" s="214">
        <v>202608</v>
      </c>
      <c r="J391" s="196">
        <f>VLOOKUP(B391,泰康小区账面房号及收款金额!$A$2:$B$424,2,0)</f>
        <v>219805</v>
      </c>
      <c r="K391" s="196"/>
      <c r="L391" s="196"/>
      <c r="M391" s="196"/>
      <c r="N391" s="197">
        <f t="shared" si="75"/>
        <v>-17197</v>
      </c>
      <c r="O391" s="194"/>
      <c r="P391" s="195"/>
      <c r="Q391" s="125">
        <f>VLOOKUP(B391,[2]信息汇总表!$M$2:$T$816,8,0)</f>
        <v>202608</v>
      </c>
      <c r="R391" s="125">
        <f>VLOOKUP(B391,[1]sheet1!$J$4:$K$413,2,0)</f>
        <v>209338</v>
      </c>
      <c r="S391" s="125"/>
      <c r="T391" s="125">
        <f t="shared" si="77"/>
        <v>192960</v>
      </c>
      <c r="U391" s="125">
        <f t="shared" si="87"/>
        <v>9648</v>
      </c>
      <c r="V391" s="203">
        <f t="shared" ref="V377:V417" si="88">T391-R391-S391</f>
        <v>-16378</v>
      </c>
      <c r="W391" s="203">
        <f t="shared" si="86"/>
        <v>-819</v>
      </c>
      <c r="X391" s="125">
        <v>10467</v>
      </c>
      <c r="Y391" s="195"/>
      <c r="Z391" s="165">
        <f t="shared" si="76"/>
        <v>-17197</v>
      </c>
      <c r="AB391" s="165">
        <f>SUM(AB383:AB390)</f>
        <v>853214</v>
      </c>
    </row>
    <row r="392" ht="13" hidden="1" customHeight="1" spans="1:28">
      <c r="A392" s="175">
        <v>389</v>
      </c>
      <c r="B392" s="187" t="s">
        <v>717</v>
      </c>
      <c r="C392" s="183">
        <v>64.27</v>
      </c>
      <c r="D392" s="179">
        <v>2846</v>
      </c>
      <c r="E392" s="179">
        <f t="shared" si="84"/>
        <v>182912</v>
      </c>
      <c r="F392" s="212" t="s">
        <v>718</v>
      </c>
      <c r="G392" s="213"/>
      <c r="H392" s="214">
        <v>2800</v>
      </c>
      <c r="I392" s="214">
        <v>179956</v>
      </c>
      <c r="J392" s="196">
        <f>VLOOKUP(B392,泰康小区账面房号及收款金额!$A$2:$B$424,2,0)</f>
        <v>179956.35</v>
      </c>
      <c r="K392" s="196"/>
      <c r="L392" s="196"/>
      <c r="M392" s="196"/>
      <c r="N392" s="196">
        <f t="shared" ref="N392:N455" si="89">I392-J392</f>
        <v>-0.350000000005821</v>
      </c>
      <c r="O392" s="194"/>
      <c r="P392" s="195"/>
      <c r="Q392" s="125">
        <f>VLOOKUP(B392,[2]信息汇总表!$M$2:$T$816,8,0)</f>
        <v>179956</v>
      </c>
      <c r="R392" s="125">
        <f>VLOOKUP(B392,[1]sheet1!$J$4:$K$413,2,0)</f>
        <v>171387</v>
      </c>
      <c r="S392" s="125"/>
      <c r="T392" s="125">
        <f t="shared" si="77"/>
        <v>171386.666666667</v>
      </c>
      <c r="U392" s="125">
        <f t="shared" si="87"/>
        <v>8569.33333333334</v>
      </c>
      <c r="V392" s="125">
        <f t="shared" si="88"/>
        <v>-0.333333332993789</v>
      </c>
      <c r="W392" s="125">
        <f t="shared" ref="W377:W416" si="90">V392*0.05</f>
        <v>-0.0166666666496894</v>
      </c>
      <c r="X392" s="125"/>
      <c r="Y392" s="195" t="s">
        <v>42</v>
      </c>
      <c r="Z392" s="165">
        <f t="shared" si="76"/>
        <v>-0.349999999643478</v>
      </c>
      <c r="AB392" s="165">
        <f>AB391/1.09</f>
        <v>782765.137614679</v>
      </c>
    </row>
    <row r="393" hidden="1" spans="1:28">
      <c r="A393" s="175">
        <v>390</v>
      </c>
      <c r="B393" s="187" t="s">
        <v>719</v>
      </c>
      <c r="C393" s="183">
        <v>68.91</v>
      </c>
      <c r="D393" s="179">
        <v>2826</v>
      </c>
      <c r="E393" s="179">
        <f t="shared" si="84"/>
        <v>194740</v>
      </c>
      <c r="F393" s="212" t="s">
        <v>720</v>
      </c>
      <c r="G393" s="213"/>
      <c r="H393" s="214">
        <v>2820</v>
      </c>
      <c r="I393" s="214">
        <v>194326</v>
      </c>
      <c r="J393" s="196">
        <f>VLOOKUP(B393,泰康小区账面房号及收款金额!$A$2:$B$424,2,0)</f>
        <v>194325.6</v>
      </c>
      <c r="K393" s="196"/>
      <c r="L393" s="196"/>
      <c r="M393" s="196"/>
      <c r="N393" s="196">
        <f t="shared" si="89"/>
        <v>0.399999999994179</v>
      </c>
      <c r="O393" s="194"/>
      <c r="P393" s="195"/>
      <c r="Q393" s="125">
        <f>VLOOKUP(B393,[2]信息汇总表!$M$2:$T$816,8,0)</f>
        <v>194326</v>
      </c>
      <c r="R393" s="125">
        <f>VLOOKUP(B393,[1]sheet1!$J$4:$K$413,2,0)</f>
        <v>185072</v>
      </c>
      <c r="S393" s="125"/>
      <c r="T393" s="125">
        <f t="shared" si="77"/>
        <v>185072.380952381</v>
      </c>
      <c r="U393" s="125">
        <f t="shared" si="87"/>
        <v>9253.61904761905</v>
      </c>
      <c r="V393" s="125">
        <f t="shared" si="88"/>
        <v>0.380952381005045</v>
      </c>
      <c r="W393" s="125">
        <f t="shared" si="90"/>
        <v>0.0190476190502523</v>
      </c>
      <c r="X393" s="125"/>
      <c r="Y393" s="195" t="s">
        <v>42</v>
      </c>
      <c r="Z393" s="165">
        <f t="shared" si="76"/>
        <v>0.400000000055297</v>
      </c>
      <c r="AB393" s="165">
        <f>AB392*0.1</f>
        <v>78276.5137614679</v>
      </c>
    </row>
    <row r="394" hidden="1" spans="1:26">
      <c r="A394" s="175">
        <v>391</v>
      </c>
      <c r="B394" s="187" t="s">
        <v>721</v>
      </c>
      <c r="C394" s="183">
        <v>74.86</v>
      </c>
      <c r="D394" s="179">
        <v>2726</v>
      </c>
      <c r="E394" s="179">
        <f t="shared" si="84"/>
        <v>204068</v>
      </c>
      <c r="F394" s="212" t="s">
        <v>722</v>
      </c>
      <c r="G394" s="213"/>
      <c r="H394" s="214">
        <v>2750</v>
      </c>
      <c r="I394" s="214">
        <v>205865</v>
      </c>
      <c r="J394" s="196">
        <f>VLOOKUP(B394,泰康小区账面房号及收款金额!$A$2:$B$424,2,0)</f>
        <v>205865.1</v>
      </c>
      <c r="K394" s="196"/>
      <c r="L394" s="196"/>
      <c r="M394" s="196"/>
      <c r="N394" s="196">
        <f t="shared" si="89"/>
        <v>-0.100000000005821</v>
      </c>
      <c r="O394" s="194"/>
      <c r="P394" s="195"/>
      <c r="Q394" s="125">
        <f>VLOOKUP(B394,[2]信息汇总表!$M$2:$T$816,8,0)</f>
        <v>205865</v>
      </c>
      <c r="R394" s="125">
        <f>VLOOKUP(B394,[1]sheet1!$J$4:$K$413,2,0)</f>
        <v>196062</v>
      </c>
      <c r="S394" s="125"/>
      <c r="T394" s="125">
        <f t="shared" si="77"/>
        <v>196061.904761905</v>
      </c>
      <c r="U394" s="125">
        <f t="shared" si="87"/>
        <v>9803.09523809524</v>
      </c>
      <c r="V394" s="125">
        <f t="shared" si="88"/>
        <v>-0.0952380950038787</v>
      </c>
      <c r="W394" s="125">
        <f t="shared" si="90"/>
        <v>-0.00476190475019394</v>
      </c>
      <c r="X394" s="125"/>
      <c r="Y394" s="195" t="s">
        <v>42</v>
      </c>
      <c r="Z394" s="165">
        <f t="shared" si="76"/>
        <v>-0.0999999997540726</v>
      </c>
    </row>
    <row r="395" hidden="1" spans="1:26">
      <c r="A395" s="175">
        <v>392</v>
      </c>
      <c r="B395" s="187" t="s">
        <v>723</v>
      </c>
      <c r="C395" s="183">
        <v>75.04</v>
      </c>
      <c r="D395" s="179">
        <v>2726</v>
      </c>
      <c r="E395" s="179">
        <f t="shared" si="84"/>
        <v>204559</v>
      </c>
      <c r="F395" s="212" t="s">
        <v>724</v>
      </c>
      <c r="G395" s="213"/>
      <c r="H395" s="214">
        <v>2776</v>
      </c>
      <c r="I395" s="214">
        <v>208311</v>
      </c>
      <c r="J395" s="196">
        <f>VLOOKUP(B395,泰康小区账面房号及收款金额!$A$2:$B$424,2,0)</f>
        <v>208310.55</v>
      </c>
      <c r="K395" s="196"/>
      <c r="L395" s="196"/>
      <c r="M395" s="196"/>
      <c r="N395" s="196">
        <f t="shared" si="89"/>
        <v>0.450000000011642</v>
      </c>
      <c r="O395" s="194"/>
      <c r="P395" s="195"/>
      <c r="Q395" s="125">
        <f>VLOOKUP(B395,[2]信息汇总表!$M$2:$T$816,8,0)</f>
        <v>208311</v>
      </c>
      <c r="R395" s="125">
        <f>VLOOKUP(B395,[1]sheet1!$J$4:$K$413,2,0)</f>
        <v>198391</v>
      </c>
      <c r="S395" s="125"/>
      <c r="T395" s="125">
        <f t="shared" si="77"/>
        <v>198391.428571429</v>
      </c>
      <c r="U395" s="125">
        <f t="shared" si="87"/>
        <v>9919.57142857145</v>
      </c>
      <c r="V395" s="125">
        <f t="shared" si="88"/>
        <v>0.428571428987198</v>
      </c>
      <c r="W395" s="125">
        <f t="shared" si="90"/>
        <v>0.0214285714493599</v>
      </c>
      <c r="X395" s="125"/>
      <c r="Y395" s="195" t="s">
        <v>42</v>
      </c>
      <c r="Z395" s="165">
        <f t="shared" si="76"/>
        <v>0.450000000436558</v>
      </c>
    </row>
    <row r="396" hidden="1" spans="1:26">
      <c r="A396" s="175">
        <v>393</v>
      </c>
      <c r="B396" s="187" t="s">
        <v>725</v>
      </c>
      <c r="C396" s="183">
        <v>64.27</v>
      </c>
      <c r="D396" s="179">
        <v>2876</v>
      </c>
      <c r="E396" s="179">
        <f t="shared" si="84"/>
        <v>184841</v>
      </c>
      <c r="F396" s="212" t="s">
        <v>726</v>
      </c>
      <c r="G396" s="213" t="s">
        <v>48</v>
      </c>
      <c r="H396" s="214">
        <v>3020</v>
      </c>
      <c r="I396" s="214">
        <v>194095</v>
      </c>
      <c r="J396" s="196">
        <f>VLOOKUP(B396,泰康小区账面房号及收款金额!$A$2:$B$424,2,0)</f>
        <v>194094.6</v>
      </c>
      <c r="K396" s="196"/>
      <c r="L396" s="196"/>
      <c r="M396" s="196"/>
      <c r="N396" s="196">
        <f t="shared" si="89"/>
        <v>0.399999999994179</v>
      </c>
      <c r="O396" s="194"/>
      <c r="P396" s="195"/>
      <c r="Q396" s="125">
        <f>VLOOKUP(B396,[2]信息汇总表!$M$2:$T$816,8,0)</f>
        <v>194095</v>
      </c>
      <c r="R396" s="125">
        <f>VLOOKUP(B396,[1]sheet1!$J$4:$K$413,2,0)</f>
        <v>184852</v>
      </c>
      <c r="S396" s="125"/>
      <c r="T396" s="125">
        <f t="shared" si="77"/>
        <v>184852.380952381</v>
      </c>
      <c r="U396" s="125">
        <f t="shared" si="87"/>
        <v>9242.61904761905</v>
      </c>
      <c r="V396" s="125">
        <f t="shared" si="88"/>
        <v>0.380952381005045</v>
      </c>
      <c r="W396" s="125">
        <f t="shared" si="90"/>
        <v>0.0190476190502523</v>
      </c>
      <c r="X396" s="125"/>
      <c r="Y396" s="195" t="s">
        <v>42</v>
      </c>
      <c r="Z396" s="165">
        <f t="shared" si="76"/>
        <v>0.400000000055297</v>
      </c>
    </row>
    <row r="397" hidden="1" spans="1:26">
      <c r="A397" s="175">
        <v>394</v>
      </c>
      <c r="B397" s="187" t="s">
        <v>727</v>
      </c>
      <c r="C397" s="183">
        <v>68.91</v>
      </c>
      <c r="D397" s="179">
        <v>2856</v>
      </c>
      <c r="E397" s="179">
        <f t="shared" si="84"/>
        <v>196807</v>
      </c>
      <c r="F397" s="212" t="s">
        <v>728</v>
      </c>
      <c r="G397" s="213"/>
      <c r="H397" s="214">
        <v>2950</v>
      </c>
      <c r="I397" s="214">
        <v>203285</v>
      </c>
      <c r="J397" s="196">
        <f>VLOOKUP(B397,泰康小区账面房号及收款金额!$A$2:$B$424,2,0)</f>
        <v>203285.25</v>
      </c>
      <c r="K397" s="196"/>
      <c r="L397" s="196"/>
      <c r="M397" s="196"/>
      <c r="N397" s="196">
        <f t="shared" si="89"/>
        <v>-0.25</v>
      </c>
      <c r="P397" s="195"/>
      <c r="Q397" s="125">
        <f>VLOOKUP(B397,[2]信息汇总表!$M$2:$T$816,8,0)</f>
        <v>203285</v>
      </c>
      <c r="R397" s="125">
        <f>VLOOKUP(B397,[1]sheet1!$J$4:$K$413,2,0)</f>
        <v>193605</v>
      </c>
      <c r="S397" s="125"/>
      <c r="T397" s="125">
        <f t="shared" si="77"/>
        <v>193604.761904762</v>
      </c>
      <c r="U397" s="125">
        <f t="shared" si="87"/>
        <v>9680.23809523811</v>
      </c>
      <c r="V397" s="125">
        <f t="shared" si="88"/>
        <v>-0.23809523798991</v>
      </c>
      <c r="W397" s="125">
        <f t="shared" si="90"/>
        <v>-0.0119047618994955</v>
      </c>
      <c r="X397" s="125"/>
      <c r="Y397" s="195" t="s">
        <v>42</v>
      </c>
      <c r="Z397" s="165">
        <f t="shared" si="76"/>
        <v>-0.249999999889405</v>
      </c>
    </row>
    <row r="398" hidden="1" spans="1:26">
      <c r="A398" s="175">
        <v>395</v>
      </c>
      <c r="B398" s="187" t="s">
        <v>729</v>
      </c>
      <c r="C398" s="183">
        <v>74.86</v>
      </c>
      <c r="D398" s="179">
        <v>3500</v>
      </c>
      <c r="E398" s="179">
        <f t="shared" si="84"/>
        <v>262010</v>
      </c>
      <c r="F398" s="212" t="s">
        <v>730</v>
      </c>
      <c r="G398" s="213"/>
      <c r="H398" s="214">
        <v>3500</v>
      </c>
      <c r="I398" s="214">
        <v>262010</v>
      </c>
      <c r="J398" s="196">
        <f>VLOOKUP(B398,泰康小区账面房号及收款金额!$A$2:$B$424,2,0)</f>
        <v>262010</v>
      </c>
      <c r="K398" s="196"/>
      <c r="L398" s="196"/>
      <c r="M398" s="196"/>
      <c r="N398" s="196">
        <f t="shared" si="89"/>
        <v>0</v>
      </c>
      <c r="O398" s="194"/>
      <c r="P398" s="195"/>
      <c r="Q398" s="125">
        <f>VLOOKUP(B398,[2]信息汇总表!$M$2:$T$816,8,0)</f>
        <v>262010</v>
      </c>
      <c r="R398" s="125"/>
      <c r="S398" s="125">
        <v>249533.33</v>
      </c>
      <c r="T398" s="125">
        <f t="shared" si="77"/>
        <v>249533.333333333</v>
      </c>
      <c r="U398" s="125">
        <f t="shared" si="87"/>
        <v>12476.6666666667</v>
      </c>
      <c r="V398" s="125">
        <f t="shared" si="88"/>
        <v>0.00333333300659433</v>
      </c>
      <c r="W398" s="125">
        <f t="shared" si="90"/>
        <v>0.000166666650329717</v>
      </c>
      <c r="X398" s="125"/>
      <c r="Y398" s="195" t="s">
        <v>42</v>
      </c>
      <c r="Z398" s="165">
        <f t="shared" si="76"/>
        <v>0.00349999965692405</v>
      </c>
    </row>
    <row r="399" hidden="1" spans="1:26">
      <c r="A399" s="175">
        <v>396</v>
      </c>
      <c r="B399" s="187" t="s">
        <v>731</v>
      </c>
      <c r="C399" s="183">
        <v>75.04</v>
      </c>
      <c r="D399" s="179">
        <v>2756</v>
      </c>
      <c r="E399" s="179">
        <f t="shared" si="84"/>
        <v>206810</v>
      </c>
      <c r="F399" s="220" t="s">
        <v>732</v>
      </c>
      <c r="G399" s="213"/>
      <c r="H399" s="214">
        <v>2806</v>
      </c>
      <c r="I399" s="214">
        <v>210562</v>
      </c>
      <c r="J399" s="196">
        <f>VLOOKUP(B399,泰康小区账面房号及收款金额!$A$2:$B$424,2,0)</f>
        <v>210561.75</v>
      </c>
      <c r="K399" s="196"/>
      <c r="L399" s="196"/>
      <c r="M399" s="196"/>
      <c r="N399" s="196">
        <f t="shared" si="89"/>
        <v>0.25</v>
      </c>
      <c r="O399" s="194"/>
      <c r="P399" s="195"/>
      <c r="Q399" s="125">
        <f>VLOOKUP(B399,[2]信息汇总表!$M$2:$T$816,8,0)</f>
        <v>210562.24</v>
      </c>
      <c r="R399" s="125">
        <f>VLOOKUP(B399,[1]sheet1!$J$4:$K$413,2,0)</f>
        <v>200535</v>
      </c>
      <c r="S399" s="125"/>
      <c r="T399" s="125">
        <f t="shared" si="77"/>
        <v>200535.238095238</v>
      </c>
      <c r="U399" s="125">
        <f t="shared" si="87"/>
        <v>10026.7619047619</v>
      </c>
      <c r="V399" s="125">
        <f t="shared" si="88"/>
        <v>0.23809523798991</v>
      </c>
      <c r="W399" s="125">
        <f t="shared" si="90"/>
        <v>0.0119047618994955</v>
      </c>
      <c r="X399" s="125"/>
      <c r="Y399" s="195" t="s">
        <v>42</v>
      </c>
      <c r="Z399" s="165">
        <f t="shared" si="76"/>
        <v>0.249999999889405</v>
      </c>
    </row>
    <row r="400" spans="1:26">
      <c r="A400" s="175">
        <v>397</v>
      </c>
      <c r="B400" s="187" t="s">
        <v>733</v>
      </c>
      <c r="C400" s="183">
        <v>64.27</v>
      </c>
      <c r="D400" s="179">
        <v>2906</v>
      </c>
      <c r="E400" s="179">
        <f t="shared" si="84"/>
        <v>186769</v>
      </c>
      <c r="F400" s="212" t="s">
        <v>734</v>
      </c>
      <c r="G400" s="213"/>
      <c r="H400" s="214">
        <v>2980</v>
      </c>
      <c r="I400" s="214">
        <v>191525</v>
      </c>
      <c r="J400" s="196">
        <f>VLOOKUP(B400,泰康小区账面房号及收款金额!$A$2:$B$424,2,0)</f>
        <v>150000</v>
      </c>
      <c r="K400" s="196"/>
      <c r="L400" s="196"/>
      <c r="M400" s="196"/>
      <c r="N400" s="217">
        <f t="shared" si="89"/>
        <v>41525</v>
      </c>
      <c r="O400" s="194"/>
      <c r="P400" s="195"/>
      <c r="Q400" s="125">
        <f>VLOOKUP(B400,[2]信息汇总表!$M$2:$T$816,8,0)</f>
        <v>191525</v>
      </c>
      <c r="R400" s="125">
        <f>VLOOKUP(B400,[1]sheet1!$J$4:$K$413,2,0)</f>
        <v>142858</v>
      </c>
      <c r="S400" s="125"/>
      <c r="T400" s="125">
        <f t="shared" si="77"/>
        <v>182404.761904762</v>
      </c>
      <c r="U400" s="125">
        <f t="shared" si="87"/>
        <v>9120.23809523811</v>
      </c>
      <c r="V400" s="125">
        <f t="shared" si="88"/>
        <v>39546.761904762</v>
      </c>
      <c r="W400" s="125">
        <f t="shared" si="90"/>
        <v>1977.3380952381</v>
      </c>
      <c r="X400" s="125"/>
      <c r="Y400" s="195"/>
      <c r="Z400" s="165">
        <f t="shared" si="76"/>
        <v>41524.1000000001</v>
      </c>
    </row>
    <row r="401" hidden="1" spans="1:26">
      <c r="A401" s="175">
        <v>398</v>
      </c>
      <c r="B401" s="187" t="s">
        <v>735</v>
      </c>
      <c r="C401" s="183">
        <v>68.91</v>
      </c>
      <c r="D401" s="179">
        <v>2866</v>
      </c>
      <c r="E401" s="179">
        <f t="shared" si="84"/>
        <v>197496</v>
      </c>
      <c r="F401" s="212" t="s">
        <v>736</v>
      </c>
      <c r="G401" s="213"/>
      <c r="H401" s="214">
        <v>2930</v>
      </c>
      <c r="I401" s="214">
        <v>201906</v>
      </c>
      <c r="J401" s="196">
        <f>VLOOKUP(B401,泰康小区账面房号及收款金额!$A$2:$B$424,2,0)</f>
        <v>201906.6</v>
      </c>
      <c r="K401" s="196"/>
      <c r="L401" s="196"/>
      <c r="M401" s="196"/>
      <c r="N401" s="196">
        <f t="shared" si="89"/>
        <v>-0.600000000005821</v>
      </c>
      <c r="O401" s="194"/>
      <c r="P401" s="195"/>
      <c r="Q401" s="125">
        <f>VLOOKUP(B401,[2]信息汇总表!$M$2:$T$816,8,0)</f>
        <v>201906</v>
      </c>
      <c r="R401" s="125">
        <f>VLOOKUP(B401,[1]sheet1!$J$4:$K$413,2,0)</f>
        <v>192292</v>
      </c>
      <c r="S401" s="125"/>
      <c r="T401" s="125">
        <f t="shared" si="77"/>
        <v>192291.428571429</v>
      </c>
      <c r="U401" s="125">
        <f t="shared" si="87"/>
        <v>9614.57142857145</v>
      </c>
      <c r="V401" s="125">
        <f t="shared" si="88"/>
        <v>-0.571428571012802</v>
      </c>
      <c r="W401" s="125">
        <f t="shared" si="90"/>
        <v>-0.0285714285506401</v>
      </c>
      <c r="X401" s="125"/>
      <c r="Y401" s="195" t="s">
        <v>42</v>
      </c>
      <c r="Z401" s="165">
        <f t="shared" si="76"/>
        <v>-0.599999999563442</v>
      </c>
    </row>
    <row r="402" ht="48" hidden="1" spans="1:26">
      <c r="A402" s="175">
        <v>399</v>
      </c>
      <c r="B402" s="187" t="s">
        <v>737</v>
      </c>
      <c r="C402" s="183">
        <v>74.86</v>
      </c>
      <c r="D402" s="179">
        <v>2716</v>
      </c>
      <c r="E402" s="179">
        <f t="shared" si="84"/>
        <v>203320</v>
      </c>
      <c r="F402" s="212" t="s">
        <v>738</v>
      </c>
      <c r="G402" s="213"/>
      <c r="H402" s="214">
        <v>2720</v>
      </c>
      <c r="I402" s="214">
        <v>203619</v>
      </c>
      <c r="J402" s="222">
        <f>VLOOKUP(B402,泰康小区账面房号及收款金额!$A$2:$B$424,2,0)</f>
        <v>202818</v>
      </c>
      <c r="K402" s="196"/>
      <c r="L402" s="196"/>
      <c r="M402" s="196"/>
      <c r="N402" s="222">
        <f t="shared" si="89"/>
        <v>801</v>
      </c>
      <c r="O402" s="194" t="s">
        <v>739</v>
      </c>
      <c r="P402" s="195"/>
      <c r="Q402" s="125">
        <f>VLOOKUP(B402,[2]信息汇总表!$M$2:$T$816,8,0)</f>
        <v>203619</v>
      </c>
      <c r="R402" s="125">
        <f>VLOOKUP(B402,[1]sheet1!$J$4:$K$413,2,0)+762</f>
        <v>193922</v>
      </c>
      <c r="S402" s="125"/>
      <c r="T402" s="125">
        <f t="shared" si="77"/>
        <v>193922.857142857</v>
      </c>
      <c r="U402" s="125">
        <f t="shared" si="87"/>
        <v>9696.14285714287</v>
      </c>
      <c r="V402" s="125">
        <f t="shared" si="88"/>
        <v>0.857142857013969</v>
      </c>
      <c r="W402" s="125">
        <f t="shared" si="90"/>
        <v>0.0428571428506984</v>
      </c>
      <c r="X402" s="125">
        <v>38</v>
      </c>
      <c r="Y402" s="195" t="s">
        <v>42</v>
      </c>
      <c r="Z402" s="165">
        <f t="shared" si="76"/>
        <v>0.899999999864667</v>
      </c>
    </row>
    <row r="403" hidden="1" spans="1:26">
      <c r="A403" s="175">
        <v>400</v>
      </c>
      <c r="B403" s="187" t="s">
        <v>740</v>
      </c>
      <c r="C403" s="183">
        <v>75.04</v>
      </c>
      <c r="D403" s="179">
        <v>2716</v>
      </c>
      <c r="E403" s="179">
        <f t="shared" si="84"/>
        <v>203809</v>
      </c>
      <c r="F403" s="220" t="s">
        <v>741</v>
      </c>
      <c r="G403" s="213"/>
      <c r="H403" s="214">
        <v>2766</v>
      </c>
      <c r="I403" s="214">
        <v>207561</v>
      </c>
      <c r="J403" s="196">
        <f>VLOOKUP(B403,泰康小区账面房号及收款金额!$A$2:$B$424,2,0)</f>
        <v>207559.8</v>
      </c>
      <c r="K403" s="196"/>
      <c r="L403" s="196"/>
      <c r="M403" s="196"/>
      <c r="N403" s="196">
        <f t="shared" si="89"/>
        <v>1.20000000001164</v>
      </c>
      <c r="O403" s="194"/>
      <c r="P403" s="195"/>
      <c r="Q403" s="125">
        <f>VLOOKUP(B403,[2]信息汇总表!$M$2:$T$816,8,0)</f>
        <v>207560.64</v>
      </c>
      <c r="R403" s="125">
        <f>VLOOKUP(B403,[1]sheet1!$J$4:$K$413,2,0)</f>
        <v>197676</v>
      </c>
      <c r="S403" s="125"/>
      <c r="T403" s="125">
        <f t="shared" si="77"/>
        <v>197677.142857143</v>
      </c>
      <c r="U403" s="125">
        <f t="shared" si="87"/>
        <v>9883.85714285716</v>
      </c>
      <c r="V403" s="125">
        <f t="shared" si="88"/>
        <v>1.14285714298603</v>
      </c>
      <c r="W403" s="125">
        <f t="shared" si="90"/>
        <v>0.0571428571493016</v>
      </c>
      <c r="X403" s="125"/>
      <c r="Y403" s="195" t="s">
        <v>42</v>
      </c>
      <c r="Z403" s="165">
        <f t="shared" si="76"/>
        <v>1.20000000013533</v>
      </c>
    </row>
    <row r="404" ht="13" customHeight="1" spans="1:26">
      <c r="A404" s="175">
        <v>401</v>
      </c>
      <c r="B404" s="187" t="s">
        <v>742</v>
      </c>
      <c r="C404" s="183">
        <v>64.27</v>
      </c>
      <c r="D404" s="179">
        <v>2866</v>
      </c>
      <c r="E404" s="179">
        <f t="shared" si="84"/>
        <v>184198</v>
      </c>
      <c r="F404" s="212" t="s">
        <v>743</v>
      </c>
      <c r="G404" s="213" t="s">
        <v>48</v>
      </c>
      <c r="H404" s="214">
        <v>2850</v>
      </c>
      <c r="I404" s="214">
        <v>183170</v>
      </c>
      <c r="J404" s="196">
        <f>VLOOKUP(B404,泰康小区账面房号及收款金额!$A$2:$B$424,2,0)</f>
        <v>126000</v>
      </c>
      <c r="K404" s="196">
        <v>57170</v>
      </c>
      <c r="L404" s="196"/>
      <c r="M404" s="196"/>
      <c r="N404" s="196">
        <f>I404-J404-K404</f>
        <v>0</v>
      </c>
      <c r="O404" s="194"/>
      <c r="P404" s="195"/>
      <c r="Q404" s="125">
        <f>VLOOKUP(B404,[2]信息汇总表!$M$2:$T$816,8,0)</f>
        <v>183170</v>
      </c>
      <c r="R404" s="125">
        <f>VLOOKUP(B404,[1]sheet1!$J$4:$K$413,2,0)</f>
        <v>120000</v>
      </c>
      <c r="S404" s="125"/>
      <c r="T404" s="125">
        <f t="shared" si="77"/>
        <v>174447.619047619</v>
      </c>
      <c r="U404" s="125">
        <f t="shared" si="87"/>
        <v>8722.38095238095</v>
      </c>
      <c r="V404" s="125">
        <f t="shared" si="88"/>
        <v>54447.619047619</v>
      </c>
      <c r="W404" s="125">
        <f>U404-X404</f>
        <v>2722.38095238095</v>
      </c>
      <c r="X404" s="125">
        <v>6000</v>
      </c>
      <c r="Y404" s="195"/>
      <c r="Z404" s="165">
        <f t="shared" si="76"/>
        <v>57169.9999999999</v>
      </c>
    </row>
    <row r="405" hidden="1" spans="1:26">
      <c r="A405" s="175">
        <v>402</v>
      </c>
      <c r="B405" s="221" t="s">
        <v>744</v>
      </c>
      <c r="C405" s="183">
        <v>68.91</v>
      </c>
      <c r="D405" s="179">
        <v>2836</v>
      </c>
      <c r="E405" s="179">
        <f t="shared" si="84"/>
        <v>195429</v>
      </c>
      <c r="F405" s="212" t="s">
        <v>745</v>
      </c>
      <c r="G405" s="213"/>
      <c r="H405" s="214">
        <v>2950</v>
      </c>
      <c r="I405" s="214">
        <v>203285</v>
      </c>
      <c r="J405" s="196">
        <f>VLOOKUP(B405,泰康小区账面房号及收款金额!$A$2:$B$424,2,0)</f>
        <v>203285.25</v>
      </c>
      <c r="K405" s="196"/>
      <c r="L405" s="196"/>
      <c r="M405" s="196"/>
      <c r="N405" s="196">
        <f t="shared" si="89"/>
        <v>-0.25</v>
      </c>
      <c r="O405" s="194"/>
      <c r="P405" s="195"/>
      <c r="Q405" s="125">
        <f>VLOOKUP(B405,[2]信息汇总表!$M$2:$T$816,8,0)</f>
        <v>203285</v>
      </c>
      <c r="R405" s="125">
        <f>VLOOKUP(B405,[1]sheet1!$J$4:$K$413,2,0)</f>
        <v>193605</v>
      </c>
      <c r="S405" s="125"/>
      <c r="T405" s="125">
        <f t="shared" si="77"/>
        <v>193604.761904762</v>
      </c>
      <c r="U405" s="125">
        <f t="shared" si="87"/>
        <v>9680.23809523811</v>
      </c>
      <c r="V405" s="125">
        <f t="shared" si="88"/>
        <v>-0.23809523798991</v>
      </c>
      <c r="W405" s="125">
        <f t="shared" si="90"/>
        <v>-0.0119047618994955</v>
      </c>
      <c r="X405" s="125"/>
      <c r="Y405" s="195" t="s">
        <v>42</v>
      </c>
      <c r="Z405" s="165">
        <f t="shared" si="76"/>
        <v>-0.249999999889405</v>
      </c>
    </row>
    <row r="406" hidden="1" spans="1:26">
      <c r="A406" s="175">
        <v>403</v>
      </c>
      <c r="B406" s="221" t="s">
        <v>746</v>
      </c>
      <c r="C406" s="183">
        <v>74.86</v>
      </c>
      <c r="D406" s="179">
        <v>2736</v>
      </c>
      <c r="E406" s="179">
        <f t="shared" si="84"/>
        <v>204817</v>
      </c>
      <c r="F406" s="212" t="s">
        <v>747</v>
      </c>
      <c r="G406" s="213"/>
      <c r="H406" s="214">
        <v>2736</v>
      </c>
      <c r="I406" s="214">
        <v>204817</v>
      </c>
      <c r="J406" s="196">
        <f>VLOOKUP(B406,泰康小区账面房号及收款金额!$A$2:$B$424,2,0)</f>
        <v>204817.2</v>
      </c>
      <c r="K406" s="196"/>
      <c r="L406" s="196"/>
      <c r="M406" s="196"/>
      <c r="N406" s="196">
        <f t="shared" si="89"/>
        <v>-0.200000000011642</v>
      </c>
      <c r="O406" s="194"/>
      <c r="P406" s="195"/>
      <c r="Q406" s="125">
        <f>VLOOKUP(B406,[2]信息汇总表!$M$2:$T$816,8,0)</f>
        <v>204817</v>
      </c>
      <c r="R406" s="125">
        <f>VLOOKUP(B406,[1]sheet1!$J$4:$K$413,2,0)</f>
        <v>195064</v>
      </c>
      <c r="S406" s="125"/>
      <c r="T406" s="125">
        <f t="shared" si="77"/>
        <v>195063.80952381</v>
      </c>
      <c r="U406" s="125">
        <f t="shared" si="87"/>
        <v>9753.19047619047</v>
      </c>
      <c r="V406" s="125">
        <f t="shared" si="88"/>
        <v>-0.190476190007757</v>
      </c>
      <c r="W406" s="125">
        <f t="shared" si="90"/>
        <v>-0.00952380950038787</v>
      </c>
      <c r="X406" s="125"/>
      <c r="Y406" s="195" t="s">
        <v>42</v>
      </c>
      <c r="Z406" s="165">
        <f t="shared" si="76"/>
        <v>-0.199999999508145</v>
      </c>
    </row>
    <row r="407" hidden="1" spans="1:26">
      <c r="A407" s="175">
        <v>404</v>
      </c>
      <c r="B407" s="221" t="s">
        <v>748</v>
      </c>
      <c r="C407" s="183">
        <v>75.04</v>
      </c>
      <c r="D407" s="179">
        <v>2736</v>
      </c>
      <c r="E407" s="179">
        <f t="shared" si="84"/>
        <v>205309</v>
      </c>
      <c r="F407" s="212" t="s">
        <v>749</v>
      </c>
      <c r="G407" s="213"/>
      <c r="H407" s="214">
        <v>2736</v>
      </c>
      <c r="I407" s="214">
        <v>205309</v>
      </c>
      <c r="J407" s="196">
        <f>VLOOKUP(B407,泰康小区账面房号及收款金额!$A$2:$B$424,2,0)</f>
        <v>205308.6</v>
      </c>
      <c r="K407" s="196"/>
      <c r="L407" s="196"/>
      <c r="M407" s="196"/>
      <c r="N407" s="196">
        <f t="shared" si="89"/>
        <v>0.399999999994179</v>
      </c>
      <c r="O407" s="194"/>
      <c r="P407" s="195"/>
      <c r="Q407" s="125">
        <f>VLOOKUP(B407,[2]信息汇总表!$M$2:$T$816,8,0)</f>
        <v>205309</v>
      </c>
      <c r="R407" s="125">
        <f>VLOOKUP(B407,[1]sheet1!$J$4:$K$413,2,0)</f>
        <v>175532</v>
      </c>
      <c r="S407" s="125">
        <f>15238.1+4761.9</f>
        <v>20000</v>
      </c>
      <c r="T407" s="125">
        <f t="shared" si="77"/>
        <v>195532.380952381</v>
      </c>
      <c r="U407" s="125">
        <f t="shared" si="87"/>
        <v>9776.61904761905</v>
      </c>
      <c r="V407" s="125">
        <f t="shared" si="88"/>
        <v>0.380952381005045</v>
      </c>
      <c r="W407" s="125">
        <f t="shared" si="90"/>
        <v>0.0190476190502523</v>
      </c>
      <c r="X407" s="125"/>
      <c r="Y407" s="195" t="s">
        <v>42</v>
      </c>
      <c r="Z407" s="165">
        <f t="shared" ref="Z407:Z470" si="91">V407+W407</f>
        <v>0.400000000055297</v>
      </c>
    </row>
    <row r="408" ht="24" spans="1:26">
      <c r="A408" s="175">
        <v>405</v>
      </c>
      <c r="B408" s="221" t="s">
        <v>750</v>
      </c>
      <c r="C408" s="183">
        <v>64.27</v>
      </c>
      <c r="D408" s="179">
        <v>2906</v>
      </c>
      <c r="E408" s="179">
        <f t="shared" si="84"/>
        <v>186769</v>
      </c>
      <c r="F408" s="212" t="s">
        <v>635</v>
      </c>
      <c r="G408" s="213" t="s">
        <v>48</v>
      </c>
      <c r="H408" s="214">
        <v>3048</v>
      </c>
      <c r="I408" s="214">
        <v>195895</v>
      </c>
      <c r="J408" s="196"/>
      <c r="K408" s="196">
        <v>195896</v>
      </c>
      <c r="L408" s="196"/>
      <c r="M408" s="196"/>
      <c r="N408" s="196">
        <f>I408-J408-K408-L408-M408</f>
        <v>-1</v>
      </c>
      <c r="O408" s="194" t="s">
        <v>751</v>
      </c>
      <c r="P408" s="195"/>
      <c r="Q408" s="125">
        <f>VLOOKUP(B408,[2]信息汇总表!$M$2:$T$816,8,0)</f>
        <v>195895</v>
      </c>
      <c r="R408" s="125"/>
      <c r="S408" s="125"/>
      <c r="T408" s="125">
        <f>K408/1.05</f>
        <v>186567.619047619</v>
      </c>
      <c r="U408" s="125">
        <f>T408*0.05</f>
        <v>9328.38095238095</v>
      </c>
      <c r="V408" s="203">
        <f t="shared" si="88"/>
        <v>186567.619047619</v>
      </c>
      <c r="W408" s="203">
        <f t="shared" si="90"/>
        <v>9328.38095238095</v>
      </c>
      <c r="X408" s="125"/>
      <c r="Y408" t="s">
        <v>564</v>
      </c>
      <c r="Z408" s="165">
        <f t="shared" si="91"/>
        <v>195896</v>
      </c>
    </row>
    <row r="409" hidden="1" customHeight="1" spans="1:26">
      <c r="A409" s="175">
        <v>406</v>
      </c>
      <c r="B409" s="221" t="s">
        <v>752</v>
      </c>
      <c r="C409" s="183">
        <v>68.91</v>
      </c>
      <c r="D409" s="179">
        <v>2906</v>
      </c>
      <c r="E409" s="179">
        <f t="shared" si="84"/>
        <v>200252</v>
      </c>
      <c r="F409" s="212" t="s">
        <v>753</v>
      </c>
      <c r="G409" s="213" t="s">
        <v>48</v>
      </c>
      <c r="H409" s="214">
        <v>3100</v>
      </c>
      <c r="I409" s="214">
        <v>213621</v>
      </c>
      <c r="J409" s="196">
        <f>VLOOKUP(B409,泰康小区账面房号及收款金额!$A$2:$B$424,2,0)</f>
        <v>213620.4</v>
      </c>
      <c r="K409" s="196"/>
      <c r="L409" s="196"/>
      <c r="M409" s="196"/>
      <c r="N409" s="196">
        <f t="shared" si="89"/>
        <v>0.600000000005821</v>
      </c>
      <c r="O409" s="194"/>
      <c r="P409" s="195"/>
      <c r="Q409" s="125">
        <f>VLOOKUP(B409,[2]信息汇总表!$M$2:$T$816,8,0)</f>
        <v>213621</v>
      </c>
      <c r="R409" s="125">
        <f>VLOOKUP(B409,[1]sheet1!$J$4:$K$413,2,0)</f>
        <v>203448</v>
      </c>
      <c r="S409" s="125"/>
      <c r="T409" s="125">
        <f t="shared" si="77"/>
        <v>203448.571428571</v>
      </c>
      <c r="U409" s="125">
        <f t="shared" si="87"/>
        <v>10172.4285714286</v>
      </c>
      <c r="V409" s="125">
        <f t="shared" si="88"/>
        <v>0.571428571012802</v>
      </c>
      <c r="W409" s="125">
        <f t="shared" si="90"/>
        <v>0.0285714285506401</v>
      </c>
      <c r="X409" s="125"/>
      <c r="Y409" s="195" t="s">
        <v>42</v>
      </c>
      <c r="Z409" s="165">
        <f t="shared" si="91"/>
        <v>0.599999999563442</v>
      </c>
    </row>
    <row r="410" hidden="1" spans="1:26">
      <c r="A410" s="175">
        <v>407</v>
      </c>
      <c r="B410" s="221" t="s">
        <v>754</v>
      </c>
      <c r="C410" s="183">
        <v>74.86</v>
      </c>
      <c r="D410" s="179">
        <v>2756</v>
      </c>
      <c r="E410" s="179">
        <f t="shared" si="84"/>
        <v>206314</v>
      </c>
      <c r="F410" s="212" t="s">
        <v>755</v>
      </c>
      <c r="G410" s="213"/>
      <c r="H410" s="214">
        <v>2756</v>
      </c>
      <c r="I410" s="214">
        <v>206314</v>
      </c>
      <c r="J410" s="196">
        <f>VLOOKUP(B410,泰康小区账面房号及收款金额!$A$2:$B$424,2,0)</f>
        <v>206313.45</v>
      </c>
      <c r="K410" s="196"/>
      <c r="L410" s="196"/>
      <c r="M410" s="196"/>
      <c r="N410" s="196">
        <f t="shared" si="89"/>
        <v>0.549999999988358</v>
      </c>
      <c r="O410" s="194"/>
      <c r="P410" s="195"/>
      <c r="Q410" s="125">
        <f>VLOOKUP(B410,[2]信息汇总表!$M$2:$T$816,8,0)</f>
        <v>206314</v>
      </c>
      <c r="R410" s="125">
        <f>VLOOKUP(B410,[1]sheet1!$J$4:$K$413,2,0)</f>
        <v>196489</v>
      </c>
      <c r="S410" s="125"/>
      <c r="T410" s="125">
        <f t="shared" si="77"/>
        <v>196489.523809524</v>
      </c>
      <c r="U410" s="125">
        <f t="shared" si="87"/>
        <v>9824.47619047621</v>
      </c>
      <c r="V410" s="125">
        <f t="shared" si="88"/>
        <v>0.523809523991076</v>
      </c>
      <c r="W410" s="125">
        <f t="shared" si="90"/>
        <v>0.0261904761995538</v>
      </c>
      <c r="X410" s="125"/>
      <c r="Y410" s="195" t="s">
        <v>42</v>
      </c>
      <c r="Z410" s="165">
        <f t="shared" si="91"/>
        <v>0.55000000019063</v>
      </c>
    </row>
    <row r="411" hidden="1" spans="1:26">
      <c r="A411" s="175">
        <v>408</v>
      </c>
      <c r="B411" s="221" t="s">
        <v>756</v>
      </c>
      <c r="C411" s="183">
        <v>75.04</v>
      </c>
      <c r="D411" s="179">
        <v>2756</v>
      </c>
      <c r="E411" s="179">
        <f t="shared" si="84"/>
        <v>0</v>
      </c>
      <c r="F411" s="212"/>
      <c r="G411" s="213"/>
      <c r="H411" s="214"/>
      <c r="I411" s="214">
        <v>0</v>
      </c>
      <c r="J411" s="196"/>
      <c r="K411" s="196"/>
      <c r="L411" s="196"/>
      <c r="M411" s="196"/>
      <c r="N411" s="196">
        <f t="shared" si="89"/>
        <v>0</v>
      </c>
      <c r="O411" s="194" t="s">
        <v>35</v>
      </c>
      <c r="P411" s="223"/>
      <c r="Q411" s="125"/>
      <c r="R411" s="125"/>
      <c r="S411" s="125"/>
      <c r="T411" s="125">
        <f t="shared" si="77"/>
        <v>0</v>
      </c>
      <c r="U411" s="125">
        <f t="shared" si="87"/>
        <v>0</v>
      </c>
      <c r="V411" s="125">
        <f t="shared" si="88"/>
        <v>0</v>
      </c>
      <c r="W411" s="125">
        <f t="shared" si="90"/>
        <v>0</v>
      </c>
      <c r="X411" s="125"/>
      <c r="Y411" s="195" t="s">
        <v>42</v>
      </c>
      <c r="Z411" s="165">
        <f t="shared" si="91"/>
        <v>0</v>
      </c>
    </row>
    <row r="412" hidden="1" spans="1:26">
      <c r="A412" s="175">
        <v>409</v>
      </c>
      <c r="B412" s="221" t="s">
        <v>757</v>
      </c>
      <c r="C412" s="183">
        <v>64.27</v>
      </c>
      <c r="D412" s="179">
        <v>2906</v>
      </c>
      <c r="E412" s="179">
        <f t="shared" si="84"/>
        <v>186769</v>
      </c>
      <c r="F412" s="212" t="s">
        <v>758</v>
      </c>
      <c r="G412" s="213"/>
      <c r="H412" s="214">
        <v>3000</v>
      </c>
      <c r="I412" s="214">
        <v>192810</v>
      </c>
      <c r="J412" s="196">
        <f>VLOOKUP(B412,泰康小区账面房号及收款金额!$A$2:$B$424,2,0)</f>
        <v>192810.45</v>
      </c>
      <c r="K412" s="196"/>
      <c r="L412" s="196"/>
      <c r="M412" s="196"/>
      <c r="N412" s="196">
        <f t="shared" si="89"/>
        <v>-0.450000000011642</v>
      </c>
      <c r="O412" s="194"/>
      <c r="P412" s="195"/>
      <c r="Q412" s="125">
        <f>VLOOKUP(B412,[2]信息汇总表!$M$2:$T$816,8,0)</f>
        <v>192810</v>
      </c>
      <c r="R412" s="125">
        <f>VLOOKUP(B412,[1]sheet1!$J$4:$K$413,2,0)</f>
        <v>183629</v>
      </c>
      <c r="S412" s="125"/>
      <c r="T412" s="125">
        <f t="shared" si="77"/>
        <v>183628.571428571</v>
      </c>
      <c r="U412" s="125">
        <f t="shared" si="87"/>
        <v>9181.42857142858</v>
      </c>
      <c r="V412" s="125">
        <f t="shared" si="88"/>
        <v>-0.428571428987198</v>
      </c>
      <c r="W412" s="125">
        <f t="shared" si="90"/>
        <v>-0.0214285714493599</v>
      </c>
      <c r="X412" s="125"/>
      <c r="Y412" s="195" t="s">
        <v>42</v>
      </c>
      <c r="Z412" s="165">
        <f t="shared" si="91"/>
        <v>-0.450000000436558</v>
      </c>
    </row>
    <row r="413" hidden="1" spans="1:26">
      <c r="A413" s="175">
        <v>410</v>
      </c>
      <c r="B413" s="221" t="s">
        <v>759</v>
      </c>
      <c r="C413" s="183">
        <v>68.91</v>
      </c>
      <c r="D413" s="179">
        <v>2846</v>
      </c>
      <c r="E413" s="179">
        <f t="shared" si="84"/>
        <v>196118</v>
      </c>
      <c r="F413" s="212" t="s">
        <v>760</v>
      </c>
      <c r="G413" s="213" t="s">
        <v>48</v>
      </c>
      <c r="H413" s="214">
        <v>2668</v>
      </c>
      <c r="I413" s="214">
        <v>183852</v>
      </c>
      <c r="J413" s="196">
        <f>VLOOKUP(B413,泰康小区账面房号及收款金额!$A$2:$B$424,2,0)</f>
        <v>183851.85</v>
      </c>
      <c r="K413" s="196"/>
      <c r="L413" s="196"/>
      <c r="M413" s="196"/>
      <c r="N413" s="196">
        <f t="shared" si="89"/>
        <v>0.149999999994179</v>
      </c>
      <c r="O413" s="194"/>
      <c r="P413" s="195"/>
      <c r="Q413" s="125">
        <f>VLOOKUP(B413,[2]信息汇总表!$M$2:$T$816,8,0)</f>
        <v>176960</v>
      </c>
      <c r="R413" s="125">
        <f>VLOOKUP(B413,[1]sheet1!$J$4:$K$413,2,0)</f>
        <v>175097</v>
      </c>
      <c r="S413" s="125"/>
      <c r="T413" s="125">
        <f t="shared" si="77"/>
        <v>175097.142857143</v>
      </c>
      <c r="U413" s="125">
        <f t="shared" si="87"/>
        <v>8754.85714285716</v>
      </c>
      <c r="V413" s="125">
        <f t="shared" si="88"/>
        <v>0.142857142986031</v>
      </c>
      <c r="W413" s="125">
        <f t="shared" si="90"/>
        <v>0.00714285714930156</v>
      </c>
      <c r="X413" s="125"/>
      <c r="Y413" s="195" t="s">
        <v>42</v>
      </c>
      <c r="Z413" s="165">
        <f t="shared" si="91"/>
        <v>0.150000000135333</v>
      </c>
    </row>
    <row r="414" hidden="1" spans="1:26">
      <c r="A414" s="175">
        <v>411</v>
      </c>
      <c r="B414" s="221" t="s">
        <v>761</v>
      </c>
      <c r="C414" s="183">
        <v>68.26</v>
      </c>
      <c r="D414" s="179">
        <v>2846</v>
      </c>
      <c r="E414" s="179">
        <f t="shared" si="84"/>
        <v>194268</v>
      </c>
      <c r="F414" s="212" t="s">
        <v>762</v>
      </c>
      <c r="G414" s="213"/>
      <c r="H414" s="214">
        <v>2718</v>
      </c>
      <c r="I414" s="214">
        <v>185531</v>
      </c>
      <c r="J414" s="196">
        <f>VLOOKUP(B414,泰康小区账面房号及收款金额!$A$2:$B$424,2,0)</f>
        <v>185530.8</v>
      </c>
      <c r="K414" s="196"/>
      <c r="L414" s="196"/>
      <c r="M414" s="196"/>
      <c r="N414" s="196">
        <f t="shared" si="89"/>
        <v>0.200000000011642</v>
      </c>
      <c r="O414" s="194"/>
      <c r="P414" s="195"/>
      <c r="Q414" s="125">
        <f>VLOOKUP(B414,[2]信息汇总表!$M$2:$T$816,8,0)</f>
        <v>185531</v>
      </c>
      <c r="R414" s="125">
        <f>VLOOKUP(B414,[1]sheet1!$J$4:$K$413,2,0)</f>
        <v>176696</v>
      </c>
      <c r="S414" s="125"/>
      <c r="T414" s="125">
        <f t="shared" si="77"/>
        <v>176696.19047619</v>
      </c>
      <c r="U414" s="125">
        <f t="shared" si="87"/>
        <v>8834.80952380953</v>
      </c>
      <c r="V414" s="125">
        <f t="shared" si="88"/>
        <v>0.190476190007757</v>
      </c>
      <c r="W414" s="125">
        <f t="shared" si="90"/>
        <v>0.00952380950038787</v>
      </c>
      <c r="X414" s="125"/>
      <c r="Y414" s="195" t="s">
        <v>42</v>
      </c>
      <c r="Z414" s="165">
        <f t="shared" si="91"/>
        <v>0.199999999508145</v>
      </c>
    </row>
    <row r="415" hidden="1" spans="1:26">
      <c r="A415" s="175">
        <v>412</v>
      </c>
      <c r="B415" s="221" t="s">
        <v>763</v>
      </c>
      <c r="C415" s="183">
        <v>68.44</v>
      </c>
      <c r="D415" s="179">
        <v>2846</v>
      </c>
      <c r="E415" s="179">
        <f t="shared" si="84"/>
        <v>194780</v>
      </c>
      <c r="F415" s="212" t="s">
        <v>764</v>
      </c>
      <c r="G415" s="213"/>
      <c r="H415" s="214">
        <v>2718</v>
      </c>
      <c r="I415" s="214">
        <v>186020</v>
      </c>
      <c r="J415" s="196">
        <f>VLOOKUP(B415,泰康小区账面房号及收款金额!$A$2:$B$424,2,0)</f>
        <v>186020.1</v>
      </c>
      <c r="K415" s="196"/>
      <c r="L415" s="196"/>
      <c r="M415" s="196"/>
      <c r="N415" s="196">
        <f t="shared" si="89"/>
        <v>-0.100000000005821</v>
      </c>
      <c r="O415" s="194"/>
      <c r="P415" s="195"/>
      <c r="Q415" s="125">
        <f>VLOOKUP(B415,[2]信息汇总表!$M$2:$T$816,8,0)</f>
        <v>186020</v>
      </c>
      <c r="R415" s="125">
        <f>VLOOKUP(B415,[1]sheet1!$J$4:$K$413,2,0)</f>
        <v>177162</v>
      </c>
      <c r="S415" s="125"/>
      <c r="T415" s="125">
        <f t="shared" ref="T415:T478" si="92">I415/1.05</f>
        <v>177161.904761905</v>
      </c>
      <c r="U415" s="125">
        <f t="shared" si="87"/>
        <v>8858.09523809524</v>
      </c>
      <c r="V415" s="125">
        <f t="shared" si="88"/>
        <v>-0.0952380950038787</v>
      </c>
      <c r="W415" s="125">
        <f t="shared" si="90"/>
        <v>-0.00476190475019394</v>
      </c>
      <c r="X415" s="125"/>
      <c r="Y415" s="195" t="s">
        <v>42</v>
      </c>
      <c r="Z415" s="165">
        <f t="shared" si="91"/>
        <v>-0.0999999997540726</v>
      </c>
    </row>
    <row r="416" hidden="1" spans="1:26">
      <c r="A416" s="175">
        <v>413</v>
      </c>
      <c r="B416" s="221" t="s">
        <v>765</v>
      </c>
      <c r="C416" s="183">
        <v>64.27</v>
      </c>
      <c r="D416" s="179">
        <v>2846</v>
      </c>
      <c r="E416" s="179">
        <f t="shared" si="84"/>
        <v>182912</v>
      </c>
      <c r="F416" s="212" t="s">
        <v>766</v>
      </c>
      <c r="G416" s="213" t="s">
        <v>48</v>
      </c>
      <c r="H416" s="214">
        <v>2668</v>
      </c>
      <c r="I416" s="214">
        <v>171472</v>
      </c>
      <c r="J416" s="196">
        <f>VLOOKUP(B416,泰康小区账面房号及收款金额!$A$2:$B$424,2,0)</f>
        <v>171471.3</v>
      </c>
      <c r="K416" s="196"/>
      <c r="L416" s="196"/>
      <c r="M416" s="196"/>
      <c r="N416" s="196">
        <f t="shared" si="89"/>
        <v>0.700000000011642</v>
      </c>
      <c r="O416" s="194"/>
      <c r="P416" s="195"/>
      <c r="Q416" s="125">
        <f>VLOOKUP(B416,[2]信息汇总表!$M$2:$T$816,8,0)</f>
        <v>171472</v>
      </c>
      <c r="R416" s="125">
        <f>VLOOKUP(B416,[1]sheet1!$J$4:$K$413,2,0)</f>
        <v>163306</v>
      </c>
      <c r="S416" s="125"/>
      <c r="T416" s="125">
        <f t="shared" si="92"/>
        <v>163306.666666667</v>
      </c>
      <c r="U416" s="125">
        <f t="shared" si="87"/>
        <v>8165.33333333334</v>
      </c>
      <c r="V416" s="125">
        <f t="shared" si="88"/>
        <v>0.666666667006211</v>
      </c>
      <c r="W416" s="125">
        <f t="shared" si="90"/>
        <v>0.0333333333503106</v>
      </c>
      <c r="X416" s="125"/>
      <c r="Y416" s="195" t="s">
        <v>42</v>
      </c>
      <c r="Z416" s="165">
        <f t="shared" si="91"/>
        <v>0.700000000356522</v>
      </c>
    </row>
    <row r="417" spans="1:26">
      <c r="A417" s="175">
        <v>414</v>
      </c>
      <c r="B417" s="76" t="s">
        <v>767</v>
      </c>
      <c r="C417" s="183">
        <v>38.61</v>
      </c>
      <c r="D417" s="179"/>
      <c r="E417" s="179">
        <f t="shared" si="84"/>
        <v>0</v>
      </c>
      <c r="F417" s="212" t="s">
        <v>675</v>
      </c>
      <c r="G417" s="213"/>
      <c r="H417" s="214">
        <v>3000</v>
      </c>
      <c r="I417" s="214">
        <v>115830</v>
      </c>
      <c r="J417" s="196">
        <f>VLOOKUP(B417,泰康小区账面房号及收款金额!$A$2:$B$424,2,0)</f>
        <v>377378.05</v>
      </c>
      <c r="K417" s="196"/>
      <c r="L417" s="196"/>
      <c r="M417" s="196"/>
      <c r="N417" s="198">
        <f t="shared" si="89"/>
        <v>-261548.05</v>
      </c>
      <c r="O417" s="194"/>
      <c r="P417" s="195"/>
      <c r="Q417" s="125">
        <f>VLOOKUP(B417,[2]信息汇总表!$M$2:$T$816,8,0)</f>
        <v>115830</v>
      </c>
      <c r="R417" s="125">
        <f>VLOOKUP(B417,[1]sheet1!$J$4:$K$413,2,0)</f>
        <v>292741</v>
      </c>
      <c r="S417" s="125">
        <v>66666.67</v>
      </c>
      <c r="T417" s="125">
        <f t="shared" si="92"/>
        <v>110314.285714286</v>
      </c>
      <c r="U417" s="125">
        <f>T417*0.05</f>
        <v>5515.71428571429</v>
      </c>
      <c r="V417" s="203">
        <f t="shared" si="88"/>
        <v>-249093.384285714</v>
      </c>
      <c r="W417" s="203">
        <f>U417-X417</f>
        <v>-12454.6192142857</v>
      </c>
      <c r="X417" s="125">
        <v>17970.3335</v>
      </c>
      <c r="Y417" s="125" t="s">
        <v>768</v>
      </c>
      <c r="Z417" s="165">
        <f t="shared" si="91"/>
        <v>-261548.0035</v>
      </c>
    </row>
    <row r="418" hidden="1" spans="1:26">
      <c r="A418" s="175">
        <v>415</v>
      </c>
      <c r="B418" s="187" t="s">
        <v>769</v>
      </c>
      <c r="C418" s="183">
        <v>101.5</v>
      </c>
      <c r="D418" s="179">
        <v>2826</v>
      </c>
      <c r="E418" s="179">
        <f t="shared" si="84"/>
        <v>286839</v>
      </c>
      <c r="F418" s="212" t="s">
        <v>770</v>
      </c>
      <c r="G418" s="213"/>
      <c r="H418" s="214">
        <v>2868</v>
      </c>
      <c r="I418" s="214">
        <v>291102</v>
      </c>
      <c r="J418" s="196">
        <f>VLOOKUP(B418,泰康小区账面房号及收款金额!$A$2:$B$424,2,0)</f>
        <v>293102.25</v>
      </c>
      <c r="K418" s="196"/>
      <c r="L418" s="196"/>
      <c r="M418" s="196"/>
      <c r="N418" s="196">
        <f t="shared" si="89"/>
        <v>-2000.25</v>
      </c>
      <c r="O418" s="194" t="s">
        <v>771</v>
      </c>
      <c r="P418" s="195" t="s">
        <v>772</v>
      </c>
      <c r="Q418" s="125">
        <f>VLOOKUP(B418,[2]信息汇总表!$M$2:$T$816,8,0)</f>
        <v>291102</v>
      </c>
      <c r="R418" s="125">
        <f>VLOOKUP(B418,[1]sheet1!$J$4:$K$413,2,0)</f>
        <v>279145</v>
      </c>
      <c r="S418" s="125"/>
      <c r="T418" s="125">
        <f>J418/1.05</f>
        <v>279145</v>
      </c>
      <c r="U418" s="125">
        <f>T418*0.05</f>
        <v>13957.25</v>
      </c>
      <c r="V418" s="125">
        <f t="shared" ref="V417:V436" si="93">T418-R418-S418</f>
        <v>0</v>
      </c>
      <c r="W418" s="125">
        <f t="shared" ref="W417:W436" si="94">V418*0.05</f>
        <v>0</v>
      </c>
      <c r="X418" s="125"/>
      <c r="Y418" s="195" t="s">
        <v>42</v>
      </c>
      <c r="Z418" s="165">
        <f t="shared" si="91"/>
        <v>0</v>
      </c>
    </row>
    <row r="419" hidden="1" spans="1:26">
      <c r="A419" s="175">
        <v>416</v>
      </c>
      <c r="B419" s="187" t="s">
        <v>773</v>
      </c>
      <c r="C419" s="183">
        <v>101.5</v>
      </c>
      <c r="D419" s="179">
        <v>2826</v>
      </c>
      <c r="E419" s="179">
        <f t="shared" si="84"/>
        <v>286839</v>
      </c>
      <c r="F419" s="212" t="s">
        <v>774</v>
      </c>
      <c r="G419" s="213"/>
      <c r="H419" s="214">
        <v>2900</v>
      </c>
      <c r="I419" s="214">
        <v>294350</v>
      </c>
      <c r="J419" s="196">
        <f>VLOOKUP(B419,泰康小区账面房号及收款金额!$A$2:$B$424,2,0)</f>
        <v>294350.7</v>
      </c>
      <c r="K419" s="196"/>
      <c r="L419" s="196"/>
      <c r="M419" s="196"/>
      <c r="N419" s="196">
        <f t="shared" si="89"/>
        <v>-0.700000000011642</v>
      </c>
      <c r="O419" s="194"/>
      <c r="P419" s="195"/>
      <c r="Q419" s="125">
        <f>VLOOKUP(B419,[2]信息汇总表!$M$2:$T$816,8,0)</f>
        <v>294350</v>
      </c>
      <c r="R419" s="125">
        <f>VLOOKUP(B419,[1]sheet1!$J$4:$K$413,2,0)</f>
        <v>280334</v>
      </c>
      <c r="S419" s="125"/>
      <c r="T419" s="125">
        <f t="shared" si="92"/>
        <v>280333.333333333</v>
      </c>
      <c r="U419" s="125">
        <f t="shared" si="87"/>
        <v>14016.6666666667</v>
      </c>
      <c r="V419" s="125">
        <f t="shared" si="93"/>
        <v>-0.666666666977108</v>
      </c>
      <c r="W419" s="125">
        <f t="shared" si="94"/>
        <v>-0.0333333333488554</v>
      </c>
      <c r="X419" s="125"/>
      <c r="Y419" s="195" t="s">
        <v>42</v>
      </c>
      <c r="Z419" s="165">
        <f t="shared" si="91"/>
        <v>-0.700000000325963</v>
      </c>
    </row>
    <row r="420" hidden="1" spans="1:26">
      <c r="A420" s="175">
        <v>417</v>
      </c>
      <c r="B420" s="187" t="s">
        <v>775</v>
      </c>
      <c r="C420" s="183">
        <v>101.5</v>
      </c>
      <c r="D420" s="179">
        <v>2846</v>
      </c>
      <c r="E420" s="179">
        <f t="shared" si="84"/>
        <v>288869</v>
      </c>
      <c r="F420" s="212" t="s">
        <v>776</v>
      </c>
      <c r="G420" s="213" t="s">
        <v>48</v>
      </c>
      <c r="H420" s="214">
        <v>2700</v>
      </c>
      <c r="I420" s="214">
        <v>274050</v>
      </c>
      <c r="J420" s="196">
        <f>VLOOKUP(B420,泰康小区账面房号及收款金额!$A$2:$B$424,2,0)</f>
        <v>274050</v>
      </c>
      <c r="K420" s="196"/>
      <c r="L420" s="196"/>
      <c r="M420" s="196"/>
      <c r="N420" s="196">
        <f t="shared" si="89"/>
        <v>0</v>
      </c>
      <c r="O420" s="194"/>
      <c r="P420" s="195"/>
      <c r="Q420" s="125">
        <f>VLOOKUP(B420,[2]信息汇总表!$M$2:$T$816,8,0)</f>
        <v>274050</v>
      </c>
      <c r="R420" s="125">
        <f>VLOOKUP(B420,[1]sheet1!$J$4:$K$413,2,0)</f>
        <v>261000</v>
      </c>
      <c r="S420" s="125"/>
      <c r="T420" s="125">
        <f t="shared" si="92"/>
        <v>261000</v>
      </c>
      <c r="U420" s="125">
        <f t="shared" si="87"/>
        <v>13050</v>
      </c>
      <c r="V420" s="125">
        <f t="shared" si="93"/>
        <v>0</v>
      </c>
      <c r="W420" s="125">
        <f t="shared" si="94"/>
        <v>0</v>
      </c>
      <c r="X420" s="125"/>
      <c r="Y420" s="195" t="s">
        <v>42</v>
      </c>
      <c r="Z420" s="165">
        <f t="shared" si="91"/>
        <v>0</v>
      </c>
    </row>
    <row r="421" hidden="1" spans="1:26">
      <c r="A421" s="175">
        <v>418</v>
      </c>
      <c r="B421" s="187" t="s">
        <v>777</v>
      </c>
      <c r="C421" s="183">
        <v>101.5</v>
      </c>
      <c r="D421" s="179">
        <v>2796</v>
      </c>
      <c r="E421" s="179">
        <f t="shared" si="84"/>
        <v>283794</v>
      </c>
      <c r="F421" s="212" t="s">
        <v>778</v>
      </c>
      <c r="G421" s="213"/>
      <c r="H421" s="214">
        <v>2800</v>
      </c>
      <c r="I421" s="214">
        <v>284200</v>
      </c>
      <c r="J421" s="196">
        <f>VLOOKUP(B421,泰康小区账面房号及收款金额!$A$2:$B$424,2,0)</f>
        <v>284199.3</v>
      </c>
      <c r="K421" s="196"/>
      <c r="L421" s="196"/>
      <c r="M421" s="196"/>
      <c r="N421" s="196">
        <f t="shared" si="89"/>
        <v>0.700000000011642</v>
      </c>
      <c r="O421" s="194"/>
      <c r="P421" s="195"/>
      <c r="Q421" s="125">
        <f>VLOOKUP(B421,[2]信息汇总表!$M$2:$T$816,8,0)</f>
        <v>284200</v>
      </c>
      <c r="R421" s="125">
        <f>VLOOKUP(B421,[1]sheet1!$J$4:$K$413,2,0)</f>
        <v>270666</v>
      </c>
      <c r="S421" s="125"/>
      <c r="T421" s="125">
        <f t="shared" si="92"/>
        <v>270666.666666667</v>
      </c>
      <c r="U421" s="125">
        <f t="shared" si="87"/>
        <v>13533.3333333334</v>
      </c>
      <c r="V421" s="125">
        <f t="shared" si="93"/>
        <v>0.666666666977108</v>
      </c>
      <c r="W421" s="125">
        <f t="shared" si="94"/>
        <v>0.0333333333488554</v>
      </c>
      <c r="X421" s="125"/>
      <c r="Y421" s="195" t="s">
        <v>42</v>
      </c>
      <c r="Z421" s="165">
        <f t="shared" si="91"/>
        <v>0.700000000325963</v>
      </c>
    </row>
    <row r="422" spans="1:26">
      <c r="A422" s="175">
        <v>419</v>
      </c>
      <c r="B422" s="187" t="s">
        <v>779</v>
      </c>
      <c r="C422" s="183">
        <v>101.5</v>
      </c>
      <c r="D422" s="179">
        <v>2716</v>
      </c>
      <c r="E422" s="179">
        <f t="shared" si="84"/>
        <v>275674</v>
      </c>
      <c r="F422" s="212" t="s">
        <v>780</v>
      </c>
      <c r="G422" s="213" t="s">
        <v>23</v>
      </c>
      <c r="H422" s="214">
        <f>I422/C422</f>
        <v>2770</v>
      </c>
      <c r="I422" s="214">
        <v>281155</v>
      </c>
      <c r="J422" s="196">
        <f>VLOOKUP(B422,泰康小区账面房号及收款金额!$A$2:$B$424,2,0)</f>
        <v>24061</v>
      </c>
      <c r="K422" s="196">
        <v>257094</v>
      </c>
      <c r="L422" s="196"/>
      <c r="M422" s="196"/>
      <c r="N422" s="196">
        <f t="shared" si="89"/>
        <v>257094</v>
      </c>
      <c r="O422" s="194" t="s">
        <v>48</v>
      </c>
      <c r="P422" s="195" t="s">
        <v>781</v>
      </c>
      <c r="Q422" s="125">
        <f>VLOOKUP(B422,[2]信息汇总表!$M$2:$T$816,8,0)</f>
        <v>281155</v>
      </c>
      <c r="R422" s="125">
        <f>VLOOKUP(B422,[1]sheet1!$J$4:$K$413,2,0)</f>
        <v>22915</v>
      </c>
      <c r="S422" s="125"/>
      <c r="T422" s="125">
        <f t="shared" si="92"/>
        <v>267766.666666667</v>
      </c>
      <c r="U422" s="125">
        <f t="shared" si="87"/>
        <v>13388.3333333334</v>
      </c>
      <c r="V422" s="203">
        <f t="shared" si="93"/>
        <v>244851.666666667</v>
      </c>
      <c r="W422" s="203">
        <f>U422-X422</f>
        <v>12242.5833333334</v>
      </c>
      <c r="X422" s="125">
        <v>1145.75</v>
      </c>
      <c r="Y422" s="195"/>
      <c r="Z422" s="165">
        <f t="shared" si="91"/>
        <v>257094.25</v>
      </c>
    </row>
    <row r="423" hidden="1" spans="1:26">
      <c r="A423" s="175">
        <v>420</v>
      </c>
      <c r="B423" s="187" t="s">
        <v>782</v>
      </c>
      <c r="C423" s="183">
        <v>101.5</v>
      </c>
      <c r="D423" s="179">
        <v>2716</v>
      </c>
      <c r="E423" s="179">
        <f t="shared" si="84"/>
        <v>275674</v>
      </c>
      <c r="F423" s="212" t="s">
        <v>783</v>
      </c>
      <c r="G423" s="213"/>
      <c r="H423" s="214">
        <v>2800</v>
      </c>
      <c r="I423" s="214">
        <v>284200</v>
      </c>
      <c r="J423" s="196">
        <f>VLOOKUP(B423,泰康小区账面房号及收款金额!$A$2:$B$424,2,0)</f>
        <v>284199.3</v>
      </c>
      <c r="K423" s="196"/>
      <c r="L423" s="196"/>
      <c r="M423" s="196"/>
      <c r="N423" s="196">
        <f t="shared" si="89"/>
        <v>0.700000000011642</v>
      </c>
      <c r="O423" s="194"/>
      <c r="P423" s="195"/>
      <c r="Q423" s="125">
        <f>VLOOKUP(B423,[2]信息汇总表!$M$2:$T$816,8,0)</f>
        <v>284200</v>
      </c>
      <c r="R423" s="125">
        <f>VLOOKUP(B423,[1]sheet1!$J$4:$K$413,2,0)</f>
        <v>270666</v>
      </c>
      <c r="S423" s="125"/>
      <c r="T423" s="125">
        <f t="shared" si="92"/>
        <v>270666.666666667</v>
      </c>
      <c r="U423" s="125">
        <f t="shared" si="87"/>
        <v>13533.3333333334</v>
      </c>
      <c r="V423" s="125">
        <f t="shared" si="93"/>
        <v>0.666666666977108</v>
      </c>
      <c r="W423" s="125">
        <f t="shared" si="94"/>
        <v>0.0333333333488554</v>
      </c>
      <c r="X423" s="125"/>
      <c r="Y423" s="195" t="s">
        <v>42</v>
      </c>
      <c r="Z423" s="165">
        <f t="shared" si="91"/>
        <v>0.700000000325963</v>
      </c>
    </row>
    <row r="424" hidden="1" spans="1:26">
      <c r="A424" s="175">
        <v>421</v>
      </c>
      <c r="B424" s="187" t="s">
        <v>784</v>
      </c>
      <c r="C424" s="183">
        <v>101.5</v>
      </c>
      <c r="D424" s="179">
        <v>2796</v>
      </c>
      <c r="E424" s="179">
        <f t="shared" si="84"/>
        <v>283794</v>
      </c>
      <c r="F424" s="212" t="s">
        <v>785</v>
      </c>
      <c r="G424" s="213"/>
      <c r="H424" s="214">
        <v>2810</v>
      </c>
      <c r="I424" s="214">
        <v>285215</v>
      </c>
      <c r="J424" s="196">
        <f>VLOOKUP(B424,泰康小区账面房号及收款金额!$A$2:$B$424,2,0)</f>
        <v>285215.7</v>
      </c>
      <c r="K424" s="196"/>
      <c r="L424" s="196"/>
      <c r="M424" s="196"/>
      <c r="N424" s="196">
        <f t="shared" si="89"/>
        <v>-0.700000000011642</v>
      </c>
      <c r="O424" s="194"/>
      <c r="P424" s="195"/>
      <c r="Q424" s="125">
        <f>VLOOKUP(B424,[2]信息汇总表!$M$2:$T$816,8,0)</f>
        <v>285215</v>
      </c>
      <c r="R424" s="125">
        <f>VLOOKUP(B424,[1]sheet1!$J$4:$K$413,2,0)</f>
        <v>271634</v>
      </c>
      <c r="S424" s="125"/>
      <c r="T424" s="125">
        <f t="shared" si="92"/>
        <v>271633.333333333</v>
      </c>
      <c r="U424" s="125">
        <f t="shared" si="87"/>
        <v>13581.6666666667</v>
      </c>
      <c r="V424" s="125">
        <f t="shared" si="93"/>
        <v>-0.666666666977108</v>
      </c>
      <c r="W424" s="125">
        <f t="shared" si="94"/>
        <v>-0.0333333333488554</v>
      </c>
      <c r="X424" s="125"/>
      <c r="Y424" s="195" t="s">
        <v>42</v>
      </c>
      <c r="Z424" s="165">
        <f t="shared" si="91"/>
        <v>-0.700000000325963</v>
      </c>
    </row>
    <row r="425" hidden="1" spans="1:26">
      <c r="A425" s="175">
        <v>422</v>
      </c>
      <c r="B425" s="187" t="s">
        <v>786</v>
      </c>
      <c r="C425" s="183">
        <v>101.5</v>
      </c>
      <c r="D425" s="179">
        <v>2796</v>
      </c>
      <c r="E425" s="179">
        <f t="shared" si="84"/>
        <v>283794</v>
      </c>
      <c r="F425" s="212" t="s">
        <v>787</v>
      </c>
      <c r="G425" s="213"/>
      <c r="H425" s="214">
        <v>2830</v>
      </c>
      <c r="I425" s="214">
        <v>287245</v>
      </c>
      <c r="J425" s="196">
        <f>VLOOKUP(B425,泰康小区账面房号及收款金额!$A$2:$B$424,2,0)</f>
        <v>287245.35</v>
      </c>
      <c r="K425" s="196"/>
      <c r="L425" s="196"/>
      <c r="M425" s="196"/>
      <c r="N425" s="196">
        <f t="shared" si="89"/>
        <v>-0.349999999976717</v>
      </c>
      <c r="O425" s="194"/>
      <c r="P425" s="195"/>
      <c r="Q425" s="125">
        <f>VLOOKUP(B425,[2]信息汇总表!$M$2:$T$816,8,0)</f>
        <v>287245</v>
      </c>
      <c r="R425" s="125">
        <f>VLOOKUP(B425,[1]sheet1!$J$4:$K$413,2,0)</f>
        <v>273567</v>
      </c>
      <c r="S425" s="125"/>
      <c r="T425" s="125">
        <f t="shared" si="92"/>
        <v>273566.666666667</v>
      </c>
      <c r="U425" s="125">
        <f t="shared" si="87"/>
        <v>13678.3333333334</v>
      </c>
      <c r="V425" s="125">
        <f t="shared" si="93"/>
        <v>-0.333333333022892</v>
      </c>
      <c r="W425" s="125">
        <f t="shared" si="94"/>
        <v>-0.0166666666511446</v>
      </c>
      <c r="X425" s="125"/>
      <c r="Y425" s="195" t="s">
        <v>42</v>
      </c>
      <c r="Z425" s="165">
        <f t="shared" si="91"/>
        <v>-0.349999999674037</v>
      </c>
    </row>
    <row r="426" hidden="1" spans="1:26">
      <c r="A426" s="175">
        <v>423</v>
      </c>
      <c r="B426" s="187" t="s">
        <v>788</v>
      </c>
      <c r="C426" s="183">
        <v>101.5</v>
      </c>
      <c r="D426" s="179">
        <v>2876</v>
      </c>
      <c r="E426" s="179">
        <f t="shared" si="84"/>
        <v>291914</v>
      </c>
      <c r="F426" s="212" t="s">
        <v>789</v>
      </c>
      <c r="G426" s="213" t="s">
        <v>48</v>
      </c>
      <c r="H426" s="214">
        <v>2858</v>
      </c>
      <c r="I426" s="214">
        <v>290087</v>
      </c>
      <c r="J426" s="196">
        <f>VLOOKUP(B426,泰康小区账面房号及收款金额!$A$2:$B$424,2,0)</f>
        <v>290086.65</v>
      </c>
      <c r="K426" s="196"/>
      <c r="L426" s="196"/>
      <c r="M426" s="196"/>
      <c r="N426" s="196">
        <f t="shared" si="89"/>
        <v>0.349999999976717</v>
      </c>
      <c r="O426" s="194"/>
      <c r="P426" s="195"/>
      <c r="Q426" s="125">
        <f>VLOOKUP(B426,[2]信息汇总表!$M$2:$T$816,8,0)</f>
        <v>299425</v>
      </c>
      <c r="R426" s="125">
        <f>VLOOKUP(B426,[1]sheet1!$J$4:$K$413,2,0)</f>
        <v>276273</v>
      </c>
      <c r="S426" s="125"/>
      <c r="T426" s="125">
        <f t="shared" si="92"/>
        <v>276273.333333333</v>
      </c>
      <c r="U426" s="125">
        <f t="shared" si="87"/>
        <v>13813.6666666667</v>
      </c>
      <c r="V426" s="125">
        <f t="shared" si="93"/>
        <v>0.333333333022892</v>
      </c>
      <c r="W426" s="125">
        <f t="shared" si="94"/>
        <v>0.0166666666511446</v>
      </c>
      <c r="X426" s="125"/>
      <c r="Y426" s="195" t="s">
        <v>42</v>
      </c>
      <c r="Z426" s="165">
        <f t="shared" si="91"/>
        <v>0.349999999674037</v>
      </c>
    </row>
    <row r="427" hidden="1" spans="1:26">
      <c r="A427" s="175">
        <v>424</v>
      </c>
      <c r="B427" s="187" t="s">
        <v>790</v>
      </c>
      <c r="C427" s="183">
        <v>101.5</v>
      </c>
      <c r="D427" s="179">
        <v>2876</v>
      </c>
      <c r="E427" s="179">
        <f t="shared" si="84"/>
        <v>291914</v>
      </c>
      <c r="F427" s="212" t="s">
        <v>791</v>
      </c>
      <c r="G427" s="213" t="s">
        <v>48</v>
      </c>
      <c r="H427" s="214">
        <v>2936</v>
      </c>
      <c r="I427" s="214">
        <v>298004</v>
      </c>
      <c r="J427" s="196">
        <f>VLOOKUP(B427,泰康小区账面房号及收款金额!$A$2:$B$424,2,0)</f>
        <v>298003.65</v>
      </c>
      <c r="K427" s="196"/>
      <c r="L427" s="196"/>
      <c r="M427" s="196"/>
      <c r="N427" s="196">
        <f t="shared" si="89"/>
        <v>0.349999999976717</v>
      </c>
      <c r="O427" s="194"/>
      <c r="P427" s="195"/>
      <c r="Q427" s="125">
        <f>VLOOKUP(B427,[2]信息汇总表!$M$2:$T$816,8,0)</f>
        <v>298004</v>
      </c>
      <c r="R427" s="125">
        <f>VLOOKUP(B427,[1]sheet1!$J$4:$K$413,2,0)</f>
        <v>283813</v>
      </c>
      <c r="S427" s="125"/>
      <c r="T427" s="125">
        <f t="shared" si="92"/>
        <v>283813.333333333</v>
      </c>
      <c r="U427" s="125">
        <f t="shared" si="87"/>
        <v>14190.6666666667</v>
      </c>
      <c r="V427" s="125">
        <f t="shared" si="93"/>
        <v>0.333333333022892</v>
      </c>
      <c r="W427" s="125">
        <f t="shared" si="94"/>
        <v>0.0166666666511446</v>
      </c>
      <c r="X427" s="125"/>
      <c r="Y427" s="195" t="s">
        <v>42</v>
      </c>
      <c r="Z427" s="165">
        <f t="shared" si="91"/>
        <v>0.349999999674037</v>
      </c>
    </row>
    <row r="428" hidden="1" spans="1:26">
      <c r="A428" s="175">
        <v>425</v>
      </c>
      <c r="B428" s="187" t="s">
        <v>792</v>
      </c>
      <c r="C428" s="183">
        <v>101.5</v>
      </c>
      <c r="D428" s="179">
        <v>2906</v>
      </c>
      <c r="E428" s="179">
        <f t="shared" si="84"/>
        <v>294959</v>
      </c>
      <c r="F428" s="212" t="s">
        <v>793</v>
      </c>
      <c r="G428" s="213" t="s">
        <v>48</v>
      </c>
      <c r="H428" s="214">
        <v>2940</v>
      </c>
      <c r="I428" s="214">
        <v>298410</v>
      </c>
      <c r="J428" s="196">
        <f>VLOOKUP(B428,泰康小区账面房号及收款金额!$A$2:$B$424,2,0)</f>
        <v>298410</v>
      </c>
      <c r="K428" s="196"/>
      <c r="L428" s="196"/>
      <c r="M428" s="196"/>
      <c r="N428" s="196">
        <f t="shared" si="89"/>
        <v>0</v>
      </c>
      <c r="O428" s="194"/>
      <c r="P428" s="195"/>
      <c r="Q428" s="125">
        <f>VLOOKUP(B428,[2]信息汇总表!$M$2:$T$816,8,0)</f>
        <v>298410</v>
      </c>
      <c r="R428" s="125">
        <f>VLOOKUP(B428,[1]sheet1!$J$4:$K$413,2,0)</f>
        <v>284200</v>
      </c>
      <c r="S428" s="125"/>
      <c r="T428" s="125">
        <f t="shared" si="92"/>
        <v>284200</v>
      </c>
      <c r="U428" s="125">
        <f t="shared" si="87"/>
        <v>14210</v>
      </c>
      <c r="V428" s="125">
        <f t="shared" si="93"/>
        <v>0</v>
      </c>
      <c r="W428" s="125">
        <f t="shared" si="94"/>
        <v>0</v>
      </c>
      <c r="X428" s="125"/>
      <c r="Y428" s="195" t="s">
        <v>42</v>
      </c>
      <c r="Z428" s="165">
        <f t="shared" si="91"/>
        <v>0</v>
      </c>
    </row>
    <row r="429" hidden="1" spans="1:26">
      <c r="A429" s="175">
        <v>426</v>
      </c>
      <c r="B429" s="187" t="s">
        <v>794</v>
      </c>
      <c r="C429" s="183">
        <v>101.5</v>
      </c>
      <c r="D429" s="179">
        <v>2906</v>
      </c>
      <c r="E429" s="179">
        <f t="shared" si="84"/>
        <v>294959</v>
      </c>
      <c r="F429" s="212" t="s">
        <v>795</v>
      </c>
      <c r="G429" s="213" t="s">
        <v>48</v>
      </c>
      <c r="H429" s="214">
        <v>2918</v>
      </c>
      <c r="I429" s="214">
        <v>296177</v>
      </c>
      <c r="J429" s="196">
        <f>VLOOKUP(B429,泰康小区账面房号及收款金额!$A$2:$B$424,2,0)</f>
        <v>296177.7</v>
      </c>
      <c r="K429" s="196"/>
      <c r="L429" s="196"/>
      <c r="M429" s="196"/>
      <c r="N429" s="196">
        <f t="shared" si="89"/>
        <v>-0.700000000011642</v>
      </c>
      <c r="O429" s="194"/>
      <c r="P429" s="195"/>
      <c r="Q429" s="125">
        <f>VLOOKUP(B429,[2]信息汇总表!$M$2:$T$816,8,0)</f>
        <v>296177</v>
      </c>
      <c r="R429" s="125">
        <f>VLOOKUP(B429,[1]sheet1!$J$4:$K$413,2,0)</f>
        <v>282074</v>
      </c>
      <c r="S429" s="125"/>
      <c r="T429" s="125">
        <f t="shared" si="92"/>
        <v>282073.333333333</v>
      </c>
      <c r="U429" s="125">
        <f t="shared" si="87"/>
        <v>14103.6666666667</v>
      </c>
      <c r="V429" s="125">
        <f t="shared" si="93"/>
        <v>-0.666666666977108</v>
      </c>
      <c r="W429" s="125">
        <f t="shared" si="94"/>
        <v>-0.0333333333488554</v>
      </c>
      <c r="X429" s="125"/>
      <c r="Y429" s="195" t="s">
        <v>42</v>
      </c>
      <c r="Z429" s="165">
        <f t="shared" si="91"/>
        <v>-0.700000000325963</v>
      </c>
    </row>
    <row r="430" hidden="1" spans="1:26">
      <c r="A430" s="175">
        <v>427</v>
      </c>
      <c r="B430" s="187" t="s">
        <v>796</v>
      </c>
      <c r="C430" s="183">
        <v>101.5</v>
      </c>
      <c r="D430" s="179">
        <v>2866</v>
      </c>
      <c r="E430" s="179">
        <f t="shared" si="84"/>
        <v>290899</v>
      </c>
      <c r="F430" s="212" t="s">
        <v>797</v>
      </c>
      <c r="G430" s="213" t="s">
        <v>23</v>
      </c>
      <c r="H430" s="214">
        <v>3050</v>
      </c>
      <c r="I430" s="214">
        <v>309575</v>
      </c>
      <c r="J430" s="196">
        <f>VLOOKUP(B430,泰康小区账面房号及收款金额!$A$2:$B$424,2,0)</f>
        <v>309574.65</v>
      </c>
      <c r="K430" s="196"/>
      <c r="L430" s="196"/>
      <c r="M430" s="196"/>
      <c r="N430" s="196">
        <f t="shared" si="89"/>
        <v>0.349999999976717</v>
      </c>
      <c r="O430" s="194"/>
      <c r="P430" s="195"/>
      <c r="Q430" s="125">
        <f>VLOOKUP(B430,[2]信息汇总表!$M$2:$T$816,8,0)</f>
        <v>309575</v>
      </c>
      <c r="R430" s="125">
        <f>VLOOKUP(B430,[1]sheet1!$J$4:$K$413,2,0)</f>
        <v>294833</v>
      </c>
      <c r="S430" s="125"/>
      <c r="T430" s="125">
        <f t="shared" si="92"/>
        <v>294833.333333333</v>
      </c>
      <c r="U430" s="125">
        <f t="shared" si="87"/>
        <v>14741.6666666667</v>
      </c>
      <c r="V430" s="125">
        <f t="shared" si="93"/>
        <v>0.333333333022892</v>
      </c>
      <c r="W430" s="125">
        <f t="shared" si="94"/>
        <v>0.0166666666511446</v>
      </c>
      <c r="X430" s="125"/>
      <c r="Y430" s="195" t="s">
        <v>42</v>
      </c>
      <c r="Z430" s="165">
        <f t="shared" si="91"/>
        <v>0.349999999674037</v>
      </c>
    </row>
    <row r="431" hidden="1" spans="1:26">
      <c r="A431" s="175">
        <v>428</v>
      </c>
      <c r="B431" s="187" t="s">
        <v>798</v>
      </c>
      <c r="C431" s="183">
        <v>101.5</v>
      </c>
      <c r="D431" s="179">
        <v>2866</v>
      </c>
      <c r="E431" s="179">
        <f t="shared" si="84"/>
        <v>290899</v>
      </c>
      <c r="F431" s="212" t="s">
        <v>797</v>
      </c>
      <c r="G431" s="213" t="s">
        <v>23</v>
      </c>
      <c r="H431" s="214">
        <v>3050</v>
      </c>
      <c r="I431" s="214">
        <v>309575</v>
      </c>
      <c r="J431" s="196">
        <f>VLOOKUP(B431,泰康小区账面房号及收款金额!$A$2:$B$424,2,0)</f>
        <v>309574.65</v>
      </c>
      <c r="K431" s="196"/>
      <c r="L431" s="196"/>
      <c r="M431" s="196"/>
      <c r="N431" s="196">
        <f t="shared" si="89"/>
        <v>0.349999999976717</v>
      </c>
      <c r="O431" s="194"/>
      <c r="P431" s="195"/>
      <c r="Q431" s="125">
        <f>VLOOKUP(B431,[2]信息汇总表!$M$2:$T$816,8,0)</f>
        <v>309575</v>
      </c>
      <c r="R431" s="125">
        <f>VLOOKUP(B431,[1]sheet1!$J$4:$K$413,2,0)</f>
        <v>294833</v>
      </c>
      <c r="S431" s="125"/>
      <c r="T431" s="125">
        <f t="shared" si="92"/>
        <v>294833.333333333</v>
      </c>
      <c r="U431" s="125">
        <f t="shared" si="87"/>
        <v>14741.6666666667</v>
      </c>
      <c r="V431" s="125">
        <f t="shared" si="93"/>
        <v>0.333333333022892</v>
      </c>
      <c r="W431" s="125">
        <f t="shared" si="94"/>
        <v>0.0166666666511446</v>
      </c>
      <c r="X431" s="125"/>
      <c r="Y431" s="195" t="s">
        <v>42</v>
      </c>
      <c r="Z431" s="165">
        <f t="shared" si="91"/>
        <v>0.349999999674037</v>
      </c>
    </row>
    <row r="432" hidden="1" spans="1:26">
      <c r="A432" s="175">
        <v>429</v>
      </c>
      <c r="B432" s="221" t="s">
        <v>799</v>
      </c>
      <c r="C432" s="183">
        <v>101.5</v>
      </c>
      <c r="D432" s="179">
        <v>2886</v>
      </c>
      <c r="E432" s="179">
        <f t="shared" si="84"/>
        <v>292929</v>
      </c>
      <c r="F432" s="212" t="s">
        <v>797</v>
      </c>
      <c r="G432" s="213" t="s">
        <v>23</v>
      </c>
      <c r="H432" s="214">
        <v>3050</v>
      </c>
      <c r="I432" s="214">
        <v>309575</v>
      </c>
      <c r="J432" s="196">
        <f>VLOOKUP(B432,泰康小区账面房号及收款金额!$A$2:$B$424,2,0)</f>
        <v>309574.65</v>
      </c>
      <c r="K432" s="196"/>
      <c r="L432" s="196"/>
      <c r="M432" s="196"/>
      <c r="N432" s="196">
        <f t="shared" si="89"/>
        <v>0.349999999976717</v>
      </c>
      <c r="O432" s="194"/>
      <c r="P432" s="195"/>
      <c r="Q432" s="125">
        <f>VLOOKUP(B432,[2]信息汇总表!$M$2:$T$816,8,0)</f>
        <v>309575</v>
      </c>
      <c r="R432" s="125">
        <f>VLOOKUP(B432,[1]sheet1!$J$4:$K$413,2,0)</f>
        <v>294833</v>
      </c>
      <c r="S432" s="125"/>
      <c r="T432" s="125">
        <f t="shared" si="92"/>
        <v>294833.333333333</v>
      </c>
      <c r="U432" s="125">
        <f t="shared" si="87"/>
        <v>14741.6666666667</v>
      </c>
      <c r="V432" s="125">
        <f t="shared" si="93"/>
        <v>0.333333333022892</v>
      </c>
      <c r="W432" s="125">
        <f t="shared" si="94"/>
        <v>0.0166666666511446</v>
      </c>
      <c r="X432" s="125"/>
      <c r="Y432" s="195" t="s">
        <v>42</v>
      </c>
      <c r="Z432" s="165">
        <f t="shared" si="91"/>
        <v>0.349999999674037</v>
      </c>
    </row>
    <row r="433" hidden="1" spans="1:26">
      <c r="A433" s="175">
        <v>430</v>
      </c>
      <c r="B433" s="221" t="s">
        <v>800</v>
      </c>
      <c r="C433" s="183">
        <v>101.5</v>
      </c>
      <c r="D433" s="179">
        <v>2886</v>
      </c>
      <c r="E433" s="179">
        <f t="shared" si="84"/>
        <v>292929</v>
      </c>
      <c r="F433" s="212" t="s">
        <v>797</v>
      </c>
      <c r="G433" s="213" t="s">
        <v>23</v>
      </c>
      <c r="H433" s="214">
        <v>3050</v>
      </c>
      <c r="I433" s="214">
        <v>309575</v>
      </c>
      <c r="J433" s="196">
        <f>VLOOKUP(B433,泰康小区账面房号及收款金额!$A$2:$B$424,2,0)</f>
        <v>309574.65</v>
      </c>
      <c r="K433" s="196"/>
      <c r="L433" s="196"/>
      <c r="M433" s="196"/>
      <c r="N433" s="196">
        <f t="shared" si="89"/>
        <v>0.349999999976717</v>
      </c>
      <c r="O433" s="194"/>
      <c r="P433" s="195"/>
      <c r="Q433" s="125">
        <f>VLOOKUP(B433,[2]信息汇总表!$M$2:$T$816,8,0)</f>
        <v>309575</v>
      </c>
      <c r="R433" s="125">
        <f>VLOOKUP(B433,[1]sheet1!$J$4:$K$413,2,0)</f>
        <v>294833</v>
      </c>
      <c r="S433" s="125"/>
      <c r="T433" s="125">
        <f t="shared" si="92"/>
        <v>294833.333333333</v>
      </c>
      <c r="U433" s="125">
        <f t="shared" si="87"/>
        <v>14741.6666666667</v>
      </c>
      <c r="V433" s="125">
        <f t="shared" si="93"/>
        <v>0.333333333022892</v>
      </c>
      <c r="W433" s="125">
        <f t="shared" si="94"/>
        <v>0.0166666666511446</v>
      </c>
      <c r="X433" s="125"/>
      <c r="Y433" s="195" t="s">
        <v>42</v>
      </c>
      <c r="Z433" s="165">
        <f t="shared" si="91"/>
        <v>0.349999999674037</v>
      </c>
    </row>
    <row r="434" hidden="1" spans="1:26">
      <c r="A434" s="175">
        <v>431</v>
      </c>
      <c r="B434" s="221" t="s">
        <v>801</v>
      </c>
      <c r="C434" s="183">
        <v>101.5</v>
      </c>
      <c r="D434" s="179">
        <v>2906</v>
      </c>
      <c r="E434" s="179">
        <f t="shared" si="84"/>
        <v>294959</v>
      </c>
      <c r="F434" s="212" t="s">
        <v>797</v>
      </c>
      <c r="G434" s="213" t="s">
        <v>23</v>
      </c>
      <c r="H434" s="214">
        <v>3050</v>
      </c>
      <c r="I434" s="214">
        <v>309575</v>
      </c>
      <c r="J434" s="196">
        <f>VLOOKUP(B434,泰康小区账面房号及收款金额!$A$2:$B$424,2,0)</f>
        <v>309574.65</v>
      </c>
      <c r="K434" s="196"/>
      <c r="L434" s="196"/>
      <c r="M434" s="196"/>
      <c r="N434" s="196">
        <f t="shared" si="89"/>
        <v>0.349999999976717</v>
      </c>
      <c r="O434" s="194"/>
      <c r="P434" s="195"/>
      <c r="Q434" s="125">
        <f>VLOOKUP(B434,[2]信息汇总表!$M$2:$T$816,8,0)</f>
        <v>309575</v>
      </c>
      <c r="R434" s="125">
        <f>VLOOKUP(B434,[1]sheet1!$J$4:$K$413,2,0)</f>
        <v>294833</v>
      </c>
      <c r="S434" s="125"/>
      <c r="T434" s="125">
        <f t="shared" si="92"/>
        <v>294833.333333333</v>
      </c>
      <c r="U434" s="125">
        <f t="shared" si="87"/>
        <v>14741.6666666667</v>
      </c>
      <c r="V434" s="125">
        <f t="shared" si="93"/>
        <v>0.333333333022892</v>
      </c>
      <c r="W434" s="125">
        <f t="shared" si="94"/>
        <v>0.0166666666511446</v>
      </c>
      <c r="X434" s="125"/>
      <c r="Y434" s="195" t="s">
        <v>42</v>
      </c>
      <c r="Z434" s="165">
        <f t="shared" si="91"/>
        <v>0.349999999674037</v>
      </c>
    </row>
    <row r="435" hidden="1" spans="1:26">
      <c r="A435" s="175">
        <v>432</v>
      </c>
      <c r="B435" s="221" t="s">
        <v>802</v>
      </c>
      <c r="C435" s="183">
        <v>101.5</v>
      </c>
      <c r="D435" s="179">
        <v>2906</v>
      </c>
      <c r="E435" s="179">
        <f t="shared" ref="E435:E458" si="95">ROUND(IF(F435&lt;&gt;0,C435*D435,0),0)</f>
        <v>294959</v>
      </c>
      <c r="F435" s="212" t="s">
        <v>797</v>
      </c>
      <c r="G435" s="213" t="s">
        <v>23</v>
      </c>
      <c r="H435" s="214">
        <v>3050</v>
      </c>
      <c r="I435" s="214">
        <v>309575</v>
      </c>
      <c r="J435" s="196">
        <f>VLOOKUP(B435,泰康小区账面房号及收款金额!$A$2:$B$424,2,0)</f>
        <v>309574.65</v>
      </c>
      <c r="K435" s="196"/>
      <c r="L435" s="196"/>
      <c r="M435" s="196"/>
      <c r="N435" s="196">
        <f t="shared" si="89"/>
        <v>0.349999999976717</v>
      </c>
      <c r="O435" s="194"/>
      <c r="P435" s="195"/>
      <c r="Q435" s="125">
        <f>VLOOKUP(B435,[2]信息汇总表!$M$2:$T$816,8,0)</f>
        <v>309575</v>
      </c>
      <c r="R435" s="125">
        <f>VLOOKUP(B435,[1]sheet1!$J$4:$K$413,2,0)</f>
        <v>294833</v>
      </c>
      <c r="S435" s="125"/>
      <c r="T435" s="125">
        <f t="shared" si="92"/>
        <v>294833.333333333</v>
      </c>
      <c r="U435" s="125">
        <f t="shared" si="87"/>
        <v>14741.6666666667</v>
      </c>
      <c r="V435" s="125">
        <f t="shared" si="93"/>
        <v>0.333333333022892</v>
      </c>
      <c r="W435" s="125">
        <f t="shared" si="94"/>
        <v>0.0166666666511446</v>
      </c>
      <c r="X435" s="125"/>
      <c r="Y435" s="195" t="s">
        <v>42</v>
      </c>
      <c r="Z435" s="165">
        <f t="shared" si="91"/>
        <v>0.349999999674037</v>
      </c>
    </row>
    <row r="436" hidden="1" spans="1:26">
      <c r="A436" s="175">
        <v>433</v>
      </c>
      <c r="B436" s="221" t="s">
        <v>803</v>
      </c>
      <c r="C436" s="171">
        <v>94.25</v>
      </c>
      <c r="D436" s="179">
        <v>2796</v>
      </c>
      <c r="E436" s="179">
        <f t="shared" si="95"/>
        <v>263523</v>
      </c>
      <c r="F436" s="212" t="s">
        <v>804</v>
      </c>
      <c r="G436" s="213"/>
      <c r="H436" s="214">
        <v>2720</v>
      </c>
      <c r="I436" s="214">
        <v>256360</v>
      </c>
      <c r="J436" s="196">
        <f>VLOOKUP(B436,泰康小区账面房号及收款金额!$A$2:$B$424,2,0)</f>
        <v>256359.6</v>
      </c>
      <c r="K436" s="196"/>
      <c r="L436" s="196"/>
      <c r="M436" s="196"/>
      <c r="N436" s="196">
        <f t="shared" si="89"/>
        <v>0.399999999994179</v>
      </c>
      <c r="O436" s="194"/>
      <c r="P436" s="195"/>
      <c r="Q436" s="125">
        <f>VLOOKUP(B436,[2]信息汇总表!$M$2:$T$816,8,0)</f>
        <v>256360</v>
      </c>
      <c r="R436" s="125">
        <f>VLOOKUP(B436,[1]sheet1!$J$4:$K$413,2,0)</f>
        <v>244152</v>
      </c>
      <c r="S436" s="125"/>
      <c r="T436" s="125">
        <f t="shared" si="92"/>
        <v>244152.380952381</v>
      </c>
      <c r="U436" s="125">
        <f t="shared" si="87"/>
        <v>12207.6190476191</v>
      </c>
      <c r="V436" s="125">
        <f t="shared" si="93"/>
        <v>0.380952381005045</v>
      </c>
      <c r="W436" s="125">
        <f t="shared" si="94"/>
        <v>0.0190476190502523</v>
      </c>
      <c r="X436" s="125"/>
      <c r="Y436" s="195" t="s">
        <v>42</v>
      </c>
      <c r="Z436" s="165">
        <f t="shared" si="91"/>
        <v>0.400000000055297</v>
      </c>
    </row>
    <row r="437" hidden="1" spans="1:26">
      <c r="A437" s="175">
        <v>434</v>
      </c>
      <c r="B437" s="221" t="s">
        <v>805</v>
      </c>
      <c r="C437" s="171">
        <v>94.25</v>
      </c>
      <c r="D437" s="179">
        <v>2796</v>
      </c>
      <c r="E437" s="179">
        <f t="shared" si="95"/>
        <v>263523</v>
      </c>
      <c r="F437" s="212" t="s">
        <v>804</v>
      </c>
      <c r="G437" s="213"/>
      <c r="H437" s="214">
        <v>2720</v>
      </c>
      <c r="I437" s="214">
        <v>256360</v>
      </c>
      <c r="J437" s="196">
        <f>VLOOKUP(B437,泰康小区账面房号及收款金额!$A$2:$B$424,2,0)</f>
        <v>256359.6</v>
      </c>
      <c r="K437" s="196"/>
      <c r="L437" s="196"/>
      <c r="M437" s="196"/>
      <c r="N437" s="196">
        <f t="shared" si="89"/>
        <v>0.399999999994179</v>
      </c>
      <c r="O437" s="194"/>
      <c r="P437" s="195"/>
      <c r="Q437" s="125">
        <f>VLOOKUP(B437,[2]信息汇总表!$M$2:$T$816,8,0)</f>
        <v>256360</v>
      </c>
      <c r="R437" s="125">
        <f>VLOOKUP(B437,[1]sheet1!$J$4:$K$413,2,0)</f>
        <v>244152</v>
      </c>
      <c r="S437" s="125"/>
      <c r="T437" s="125">
        <f t="shared" si="92"/>
        <v>244152.380952381</v>
      </c>
      <c r="U437" s="125">
        <f t="shared" si="87"/>
        <v>12207.6190476191</v>
      </c>
      <c r="V437" s="125">
        <f t="shared" ref="V437:V450" si="96">T437-R437-S437</f>
        <v>0.380952381005045</v>
      </c>
      <c r="W437" s="125">
        <f t="shared" ref="W437:W450" si="97">V437*0.05</f>
        <v>0.0190476190502523</v>
      </c>
      <c r="X437" s="125"/>
      <c r="Y437" s="195" t="s">
        <v>42</v>
      </c>
      <c r="Z437" s="165">
        <f t="shared" si="91"/>
        <v>0.400000000055297</v>
      </c>
    </row>
    <row r="438" hidden="1" spans="1:26">
      <c r="A438" s="175">
        <v>435</v>
      </c>
      <c r="B438" s="187" t="s">
        <v>806</v>
      </c>
      <c r="C438" s="183">
        <v>101.77</v>
      </c>
      <c r="D438" s="179">
        <v>2826</v>
      </c>
      <c r="E438" s="179">
        <f t="shared" si="95"/>
        <v>287602</v>
      </c>
      <c r="F438" s="212" t="s">
        <v>807</v>
      </c>
      <c r="G438" s="213" t="s">
        <v>48</v>
      </c>
      <c r="H438" s="214">
        <v>2752</v>
      </c>
      <c r="I438" s="214">
        <v>280071</v>
      </c>
      <c r="J438" s="196">
        <f>VLOOKUP(B438,泰康小区账面房号及收款金额!$A$2:$B$424,2,0)</f>
        <v>280070.7</v>
      </c>
      <c r="K438" s="196"/>
      <c r="L438" s="196"/>
      <c r="M438" s="196"/>
      <c r="N438" s="196">
        <f t="shared" si="89"/>
        <v>0.299999999988358</v>
      </c>
      <c r="O438" s="194"/>
      <c r="P438" s="195"/>
      <c r="Q438" s="125">
        <f>VLOOKUP(B438,[2]信息汇总表!$M$2:$T$816,8,0)</f>
        <v>280071</v>
      </c>
      <c r="R438" s="125">
        <f>VLOOKUP(B438,[1]sheet1!$J$4:$K$413,2,0)</f>
        <v>266734</v>
      </c>
      <c r="S438" s="125"/>
      <c r="T438" s="125">
        <f t="shared" si="92"/>
        <v>266734.285714286</v>
      </c>
      <c r="U438" s="125">
        <f t="shared" si="87"/>
        <v>13336.7142857143</v>
      </c>
      <c r="V438" s="125">
        <f t="shared" si="96"/>
        <v>0.285714285972062</v>
      </c>
      <c r="W438" s="125">
        <f t="shared" si="97"/>
        <v>0.0142857142986031</v>
      </c>
      <c r="X438" s="125"/>
      <c r="Y438" s="195" t="s">
        <v>42</v>
      </c>
      <c r="Z438" s="165">
        <f t="shared" si="91"/>
        <v>0.300000000270665</v>
      </c>
    </row>
    <row r="439" hidden="1" spans="1:26">
      <c r="A439" s="175">
        <v>436</v>
      </c>
      <c r="B439" s="187" t="s">
        <v>808</v>
      </c>
      <c r="C439" s="183">
        <v>101.77</v>
      </c>
      <c r="D439" s="179">
        <v>2776</v>
      </c>
      <c r="E439" s="179">
        <f t="shared" si="95"/>
        <v>282514</v>
      </c>
      <c r="F439" s="212" t="s">
        <v>809</v>
      </c>
      <c r="G439" s="213"/>
      <c r="H439" s="214">
        <v>2880</v>
      </c>
      <c r="I439" s="214">
        <v>293098</v>
      </c>
      <c r="J439" s="196">
        <f>VLOOKUP(B439,泰康小区账面房号及收款金额!$A$2:$B$424,2,0)</f>
        <v>293099.1</v>
      </c>
      <c r="K439" s="196"/>
      <c r="L439" s="196"/>
      <c r="M439" s="196"/>
      <c r="N439" s="196">
        <f t="shared" si="89"/>
        <v>-1.09999999997672</v>
      </c>
      <c r="O439" s="194"/>
      <c r="P439" s="195"/>
      <c r="Q439" s="125">
        <f>VLOOKUP(B439,[2]信息汇总表!$M$2:$T$816,8,0)</f>
        <v>293098</v>
      </c>
      <c r="R439" s="125">
        <f>VLOOKUP(B439,[1]sheet1!$J$4:$K$413,2,0)</f>
        <v>279142</v>
      </c>
      <c r="S439" s="125"/>
      <c r="T439" s="125">
        <f t="shared" si="92"/>
        <v>279140.952380952</v>
      </c>
      <c r="U439" s="125">
        <f t="shared" si="87"/>
        <v>13957.0476190476</v>
      </c>
      <c r="V439" s="125">
        <f t="shared" si="96"/>
        <v>-1.04761904798215</v>
      </c>
      <c r="W439" s="125">
        <f t="shared" si="97"/>
        <v>-0.0523809523991076</v>
      </c>
      <c r="X439" s="125"/>
      <c r="Y439" s="195" t="s">
        <v>42</v>
      </c>
      <c r="Z439" s="165">
        <f t="shared" si="91"/>
        <v>-1.10000000038126</v>
      </c>
    </row>
    <row r="440" hidden="1" spans="1:26">
      <c r="A440" s="175">
        <v>437</v>
      </c>
      <c r="B440" s="187" t="s">
        <v>810</v>
      </c>
      <c r="C440" s="183">
        <v>101.77</v>
      </c>
      <c r="D440" s="179">
        <v>2696</v>
      </c>
      <c r="E440" s="179">
        <f t="shared" si="95"/>
        <v>274372</v>
      </c>
      <c r="F440" s="212" t="s">
        <v>811</v>
      </c>
      <c r="G440" s="213"/>
      <c r="H440" s="214">
        <v>2730</v>
      </c>
      <c r="I440" s="214">
        <v>277832</v>
      </c>
      <c r="J440" s="196">
        <f>VLOOKUP(B440,泰康小区账面房号及收款金额!$A$2:$B$424,2,0)</f>
        <v>277832.1</v>
      </c>
      <c r="K440" s="196"/>
      <c r="L440" s="196"/>
      <c r="M440" s="196"/>
      <c r="N440" s="196">
        <f t="shared" si="89"/>
        <v>-0.0999999999767169</v>
      </c>
      <c r="O440" s="194"/>
      <c r="P440" s="195"/>
      <c r="Q440" s="125">
        <f>VLOOKUP(B440,[2]信息汇总表!$M$2:$T$816,8,0)</f>
        <v>277832</v>
      </c>
      <c r="R440" s="125">
        <f>VLOOKUP(B440,[1]sheet1!$J$4:$K$413,2,0)</f>
        <v>264602</v>
      </c>
      <c r="S440" s="125"/>
      <c r="T440" s="125">
        <f t="shared" si="92"/>
        <v>264601.904761905</v>
      </c>
      <c r="U440" s="125">
        <f t="shared" si="87"/>
        <v>13230.0952380953</v>
      </c>
      <c r="V440" s="125">
        <f t="shared" si="96"/>
        <v>-0.0952380949747749</v>
      </c>
      <c r="W440" s="125">
        <f t="shared" si="97"/>
        <v>-0.00476190474873874</v>
      </c>
      <c r="X440" s="125"/>
      <c r="Y440" s="195" t="s">
        <v>42</v>
      </c>
      <c r="Z440" s="165">
        <f t="shared" si="91"/>
        <v>-0.0999999997235136</v>
      </c>
    </row>
    <row r="441" hidden="1" spans="1:26">
      <c r="A441" s="175">
        <v>438</v>
      </c>
      <c r="B441" s="187" t="s">
        <v>812</v>
      </c>
      <c r="C441" s="183">
        <v>101.77</v>
      </c>
      <c r="D441" s="179">
        <v>2696</v>
      </c>
      <c r="E441" s="179">
        <f t="shared" si="95"/>
        <v>274372</v>
      </c>
      <c r="F441" s="212" t="s">
        <v>813</v>
      </c>
      <c r="G441" s="213"/>
      <c r="H441" s="214">
        <v>2698</v>
      </c>
      <c r="I441" s="214">
        <v>274575</v>
      </c>
      <c r="J441" s="196">
        <f>VLOOKUP(B441,泰康小区账面房号及收款金额!$A$2:$B$424,2,0)</f>
        <v>274576.05</v>
      </c>
      <c r="K441" s="196"/>
      <c r="L441" s="196"/>
      <c r="M441" s="196"/>
      <c r="N441" s="196">
        <f t="shared" si="89"/>
        <v>-1.04999999998836</v>
      </c>
      <c r="O441" s="194"/>
      <c r="P441" s="195"/>
      <c r="Q441" s="125">
        <f>VLOOKUP(B441,[2]信息汇总表!$M$2:$T$816,8,0)</f>
        <v>274576</v>
      </c>
      <c r="R441" s="125">
        <f>VLOOKUP(B441,[1]sheet1!$J$4:$K$413,2,0)</f>
        <v>261501</v>
      </c>
      <c r="S441" s="125"/>
      <c r="T441" s="125">
        <f t="shared" si="92"/>
        <v>261500</v>
      </c>
      <c r="U441" s="125">
        <f t="shared" si="87"/>
        <v>13075</v>
      </c>
      <c r="V441" s="125">
        <f t="shared" si="96"/>
        <v>-1</v>
      </c>
      <c r="W441" s="125">
        <f t="shared" si="97"/>
        <v>-0.05</v>
      </c>
      <c r="X441" s="125"/>
      <c r="Y441" s="195" t="s">
        <v>42</v>
      </c>
      <c r="Z441" s="165">
        <f t="shared" si="91"/>
        <v>-1.05</v>
      </c>
    </row>
    <row r="442" hidden="1" spans="1:26">
      <c r="A442" s="175">
        <v>439</v>
      </c>
      <c r="B442" s="187" t="s">
        <v>814</v>
      </c>
      <c r="C442" s="183">
        <v>101.77</v>
      </c>
      <c r="D442" s="179">
        <v>2666</v>
      </c>
      <c r="E442" s="179">
        <f t="shared" si="95"/>
        <v>271319</v>
      </c>
      <c r="F442" s="212" t="s">
        <v>815</v>
      </c>
      <c r="G442" s="213"/>
      <c r="H442" s="214">
        <v>2820</v>
      </c>
      <c r="I442" s="214">
        <v>286991</v>
      </c>
      <c r="J442" s="196">
        <f>VLOOKUP(B442,泰康小区账面房号及收款金额!$A$2:$B$424,2,0)</f>
        <v>286991.25</v>
      </c>
      <c r="K442" s="196"/>
      <c r="L442" s="196"/>
      <c r="M442" s="196"/>
      <c r="N442" s="196">
        <f t="shared" si="89"/>
        <v>-0.25</v>
      </c>
      <c r="O442" s="194"/>
      <c r="P442" s="195"/>
      <c r="Q442" s="125">
        <f>VLOOKUP(B442,[2]信息汇总表!$M$2:$T$816,8,0)</f>
        <v>286991</v>
      </c>
      <c r="R442" s="125">
        <f>VLOOKUP(B442,[1]sheet1!$J$4:$K$413,2,0)</f>
        <v>273325</v>
      </c>
      <c r="S442" s="125"/>
      <c r="T442" s="125">
        <f t="shared" si="92"/>
        <v>273324.761904762</v>
      </c>
      <c r="U442" s="125">
        <f t="shared" si="87"/>
        <v>13666.2380952381</v>
      </c>
      <c r="V442" s="125">
        <f t="shared" si="96"/>
        <v>-0.23809523798991</v>
      </c>
      <c r="W442" s="125">
        <f t="shared" si="97"/>
        <v>-0.0119047618994955</v>
      </c>
      <c r="X442" s="125"/>
      <c r="Y442" s="195" t="s">
        <v>42</v>
      </c>
      <c r="Z442" s="165">
        <f t="shared" si="91"/>
        <v>-0.249999999889405</v>
      </c>
    </row>
    <row r="443" hidden="1" spans="1:26">
      <c r="A443" s="175">
        <v>440</v>
      </c>
      <c r="B443" s="187" t="s">
        <v>816</v>
      </c>
      <c r="C443" s="183">
        <v>101.77</v>
      </c>
      <c r="D443" s="179">
        <v>2666</v>
      </c>
      <c r="E443" s="179">
        <f t="shared" si="95"/>
        <v>271319</v>
      </c>
      <c r="F443" s="212" t="s">
        <v>817</v>
      </c>
      <c r="G443" s="213"/>
      <c r="H443" s="214">
        <v>2840</v>
      </c>
      <c r="I443" s="214">
        <v>289027</v>
      </c>
      <c r="J443" s="196">
        <f>VLOOKUP(B443,泰康小区账面房号及收款金额!$A$2:$B$424,2,0)</f>
        <v>289027.2</v>
      </c>
      <c r="K443" s="196"/>
      <c r="L443" s="196"/>
      <c r="M443" s="196"/>
      <c r="N443" s="196">
        <f t="shared" si="89"/>
        <v>-0.200000000011642</v>
      </c>
      <c r="O443" s="194"/>
      <c r="P443" s="195"/>
      <c r="Q443" s="125">
        <f>VLOOKUP(B443,[2]信息汇总表!$M$2:$T$816,8,0)</f>
        <v>289027</v>
      </c>
      <c r="R443" s="125">
        <f>VLOOKUP(B443,[1]sheet1!$J$4:$K$413,2,0)</f>
        <v>275264</v>
      </c>
      <c r="S443" s="125"/>
      <c r="T443" s="125">
        <f t="shared" si="92"/>
        <v>275263.80952381</v>
      </c>
      <c r="U443" s="125">
        <f t="shared" si="87"/>
        <v>13763.1904761905</v>
      </c>
      <c r="V443" s="125">
        <f t="shared" si="96"/>
        <v>-0.190476190007757</v>
      </c>
      <c r="W443" s="125">
        <f t="shared" si="97"/>
        <v>-0.00952380950038787</v>
      </c>
      <c r="X443" s="125"/>
      <c r="Y443" s="195" t="s">
        <v>42</v>
      </c>
      <c r="Z443" s="165">
        <f t="shared" si="91"/>
        <v>-0.199999999508145</v>
      </c>
    </row>
    <row r="444" hidden="1" spans="1:26">
      <c r="A444" s="175">
        <v>441</v>
      </c>
      <c r="B444" s="187" t="s">
        <v>818</v>
      </c>
      <c r="C444" s="183">
        <v>101.77</v>
      </c>
      <c r="D444" s="179">
        <v>2796</v>
      </c>
      <c r="E444" s="179">
        <f t="shared" si="95"/>
        <v>284549</v>
      </c>
      <c r="F444" s="212" t="s">
        <v>819</v>
      </c>
      <c r="G444" s="213"/>
      <c r="H444" s="214">
        <v>2860</v>
      </c>
      <c r="I444" s="214">
        <v>291062</v>
      </c>
      <c r="J444" s="196">
        <f>VLOOKUP(B444,泰康小区账面房号及收款金额!$A$2:$B$424,2,0)</f>
        <v>291062.1</v>
      </c>
      <c r="K444" s="196"/>
      <c r="L444" s="196"/>
      <c r="M444" s="196"/>
      <c r="N444" s="196">
        <f t="shared" si="89"/>
        <v>-0.0999999999767169</v>
      </c>
      <c r="O444" s="194"/>
      <c r="P444" s="195"/>
      <c r="Q444" s="125">
        <f>VLOOKUP(B444,[2]信息汇总表!$M$2:$T$816,8,0)</f>
        <v>291062</v>
      </c>
      <c r="R444" s="125">
        <f>VLOOKUP(B444,[1]sheet1!$J$4:$K$413,2,0)</f>
        <v>277202</v>
      </c>
      <c r="S444" s="125"/>
      <c r="T444" s="125">
        <f t="shared" si="92"/>
        <v>277201.904761905</v>
      </c>
      <c r="U444" s="125">
        <f t="shared" si="87"/>
        <v>13860.0952380953</v>
      </c>
      <c r="V444" s="125">
        <f t="shared" si="96"/>
        <v>-0.0952380949747749</v>
      </c>
      <c r="W444" s="125">
        <f t="shared" si="97"/>
        <v>-0.00476190474873874</v>
      </c>
      <c r="X444" s="125"/>
      <c r="Y444" s="195" t="s">
        <v>42</v>
      </c>
      <c r="Z444" s="165">
        <f t="shared" si="91"/>
        <v>-0.0999999997235136</v>
      </c>
    </row>
    <row r="445" hidden="1" spans="1:26">
      <c r="A445" s="175">
        <v>442</v>
      </c>
      <c r="B445" s="187" t="s">
        <v>820</v>
      </c>
      <c r="C445" s="183">
        <v>101.77</v>
      </c>
      <c r="D445" s="179">
        <v>2796</v>
      </c>
      <c r="E445" s="179">
        <f t="shared" si="95"/>
        <v>284549</v>
      </c>
      <c r="F445" s="212" t="s">
        <v>821</v>
      </c>
      <c r="G445" s="213"/>
      <c r="H445" s="214">
        <v>2830</v>
      </c>
      <c r="I445" s="214">
        <v>288009</v>
      </c>
      <c r="J445" s="196">
        <f>VLOOKUP(B445,泰康小区账面房号及收款金额!$A$2:$B$424,2,0)</f>
        <v>288008.7</v>
      </c>
      <c r="K445" s="196"/>
      <c r="L445" s="196"/>
      <c r="M445" s="196"/>
      <c r="N445" s="196">
        <f t="shared" si="89"/>
        <v>0.299999999988358</v>
      </c>
      <c r="O445" s="194"/>
      <c r="P445" s="195"/>
      <c r="Q445" s="125">
        <f>VLOOKUP(B445,[2]信息汇总表!$M$2:$T$816,8,0)</f>
        <v>288009</v>
      </c>
      <c r="R445" s="125">
        <f>VLOOKUP(B445,[1]sheet1!$J$4:$K$413,2,0)</f>
        <v>274294</v>
      </c>
      <c r="S445" s="125"/>
      <c r="T445" s="125">
        <f t="shared" si="92"/>
        <v>274294.285714286</v>
      </c>
      <c r="U445" s="125">
        <f t="shared" si="87"/>
        <v>13714.7142857143</v>
      </c>
      <c r="V445" s="125">
        <f t="shared" si="96"/>
        <v>0.285714285972062</v>
      </c>
      <c r="W445" s="125">
        <f t="shared" si="97"/>
        <v>0.0142857142986031</v>
      </c>
      <c r="X445" s="125"/>
      <c r="Y445" s="195" t="s">
        <v>42</v>
      </c>
      <c r="Z445" s="165">
        <f t="shared" si="91"/>
        <v>0.300000000270665</v>
      </c>
    </row>
    <row r="446" hidden="1" spans="1:26">
      <c r="A446" s="175">
        <v>443</v>
      </c>
      <c r="B446" s="187" t="s">
        <v>822</v>
      </c>
      <c r="C446" s="183">
        <v>101.77</v>
      </c>
      <c r="D446" s="179">
        <v>2876</v>
      </c>
      <c r="E446" s="179">
        <f t="shared" si="95"/>
        <v>292691</v>
      </c>
      <c r="F446" s="212" t="s">
        <v>823</v>
      </c>
      <c r="G446" s="213" t="s">
        <v>48</v>
      </c>
      <c r="H446" s="214">
        <v>2830</v>
      </c>
      <c r="I446" s="214">
        <v>288009</v>
      </c>
      <c r="J446" s="196">
        <f>VLOOKUP(B446,泰康小区账面房号及收款金额!$A$2:$B$424,2,0)</f>
        <v>288008.7</v>
      </c>
      <c r="K446" s="196"/>
      <c r="L446" s="196"/>
      <c r="M446" s="196"/>
      <c r="N446" s="196">
        <f t="shared" si="89"/>
        <v>0.299999999988358</v>
      </c>
      <c r="O446" s="194"/>
      <c r="P446" s="195"/>
      <c r="Q446" s="125">
        <f>VLOOKUP(B446,[2]信息汇总表!$M$2:$T$816,8,0)</f>
        <v>288009</v>
      </c>
      <c r="R446" s="125">
        <f>VLOOKUP(B446,[1]sheet1!$J$4:$K$413,2,0)</f>
        <v>274294</v>
      </c>
      <c r="S446" s="125"/>
      <c r="T446" s="125">
        <f t="shared" si="92"/>
        <v>274294.285714286</v>
      </c>
      <c r="U446" s="125">
        <f t="shared" si="87"/>
        <v>13714.7142857143</v>
      </c>
      <c r="V446" s="125">
        <f t="shared" si="96"/>
        <v>0.285714285972062</v>
      </c>
      <c r="W446" s="125">
        <f t="shared" si="97"/>
        <v>0.0142857142986031</v>
      </c>
      <c r="X446" s="125"/>
      <c r="Y446" s="195" t="s">
        <v>42</v>
      </c>
      <c r="Z446" s="165">
        <f t="shared" si="91"/>
        <v>0.300000000270665</v>
      </c>
    </row>
    <row r="447" hidden="1" spans="1:26">
      <c r="A447" s="175">
        <v>444</v>
      </c>
      <c r="B447" s="187" t="s">
        <v>824</v>
      </c>
      <c r="C447" s="183">
        <v>101.77</v>
      </c>
      <c r="D447" s="179">
        <v>2826</v>
      </c>
      <c r="E447" s="179">
        <f t="shared" si="95"/>
        <v>287602</v>
      </c>
      <c r="F447" s="212" t="s">
        <v>825</v>
      </c>
      <c r="G447" s="213"/>
      <c r="H447" s="214">
        <v>2800</v>
      </c>
      <c r="I447" s="214">
        <v>284956</v>
      </c>
      <c r="J447" s="196">
        <f>VLOOKUP(B447,泰康小区账面房号及收款金额!$A$2:$B$424,2,0)</f>
        <v>284956.35</v>
      </c>
      <c r="K447" s="196"/>
      <c r="L447" s="196"/>
      <c r="M447" s="196"/>
      <c r="N447" s="196">
        <f t="shared" si="89"/>
        <v>-0.349999999976717</v>
      </c>
      <c r="O447" s="194"/>
      <c r="P447" s="195"/>
      <c r="Q447" s="125">
        <f>VLOOKUP(B447,[2]信息汇总表!$M$2:$T$816,8,0)</f>
        <v>284956</v>
      </c>
      <c r="R447" s="125">
        <f>VLOOKUP(B447,[1]sheet1!$J$4:$K$413,2,0)</f>
        <v>271387</v>
      </c>
      <c r="S447" s="125"/>
      <c r="T447" s="125">
        <f t="shared" si="92"/>
        <v>271386.666666667</v>
      </c>
      <c r="U447" s="125">
        <f t="shared" si="87"/>
        <v>13569.3333333334</v>
      </c>
      <c r="V447" s="125">
        <f t="shared" si="96"/>
        <v>-0.333333333022892</v>
      </c>
      <c r="W447" s="125">
        <f t="shared" si="97"/>
        <v>-0.0166666666511446</v>
      </c>
      <c r="X447" s="125"/>
      <c r="Y447" s="195" t="s">
        <v>42</v>
      </c>
      <c r="Z447" s="165">
        <f t="shared" si="91"/>
        <v>-0.349999999674037</v>
      </c>
    </row>
    <row r="448" hidden="1" spans="1:26">
      <c r="A448" s="175">
        <v>445</v>
      </c>
      <c r="B448" s="187" t="s">
        <v>826</v>
      </c>
      <c r="C448" s="183">
        <v>101.77</v>
      </c>
      <c r="D448" s="179">
        <v>2856</v>
      </c>
      <c r="E448" s="179">
        <f t="shared" si="95"/>
        <v>290655</v>
      </c>
      <c r="F448" s="212" t="s">
        <v>827</v>
      </c>
      <c r="G448" s="213"/>
      <c r="H448" s="214">
        <v>2870</v>
      </c>
      <c r="I448" s="214">
        <v>292080</v>
      </c>
      <c r="J448" s="196">
        <f>VLOOKUP(B448,泰康小区账面房号及收款金额!$A$2:$B$424,2,0)</f>
        <v>292079.55</v>
      </c>
      <c r="K448" s="196"/>
      <c r="L448" s="196"/>
      <c r="M448" s="196"/>
      <c r="N448" s="196">
        <f t="shared" si="89"/>
        <v>0.450000000011642</v>
      </c>
      <c r="O448" s="194"/>
      <c r="P448" s="195"/>
      <c r="Q448" s="125">
        <f>VLOOKUP(B448,[2]信息汇总表!$M$2:$T$816,8,0)</f>
        <v>292080</v>
      </c>
      <c r="R448" s="125">
        <f>VLOOKUP(B448,[1]sheet1!$J$4:$K$413,2,0)</f>
        <v>278171</v>
      </c>
      <c r="S448" s="125"/>
      <c r="T448" s="125">
        <f t="shared" si="92"/>
        <v>278171.428571429</v>
      </c>
      <c r="U448" s="125">
        <f t="shared" si="87"/>
        <v>13908.5714285714</v>
      </c>
      <c r="V448" s="125">
        <f t="shared" si="96"/>
        <v>0.428571428987198</v>
      </c>
      <c r="W448" s="125">
        <f t="shared" si="97"/>
        <v>0.0214285714493599</v>
      </c>
      <c r="X448" s="125"/>
      <c r="Y448" s="195" t="s">
        <v>42</v>
      </c>
      <c r="Z448" s="165">
        <f t="shared" si="91"/>
        <v>0.450000000436558</v>
      </c>
    </row>
    <row r="449" hidden="1" spans="1:26">
      <c r="A449" s="175">
        <v>446</v>
      </c>
      <c r="B449" s="187" t="s">
        <v>828</v>
      </c>
      <c r="C449" s="183">
        <v>101.77</v>
      </c>
      <c r="D449" s="179">
        <v>2906</v>
      </c>
      <c r="E449" s="179">
        <f t="shared" si="95"/>
        <v>295744</v>
      </c>
      <c r="F449" s="212" t="s">
        <v>829</v>
      </c>
      <c r="G449" s="213" t="s">
        <v>23</v>
      </c>
      <c r="H449" s="214">
        <v>2850</v>
      </c>
      <c r="I449" s="214">
        <v>290045</v>
      </c>
      <c r="J449" s="196">
        <f>VLOOKUP(B449,泰康小区账面房号及收款金额!$A$2:$B$424,2,0)</f>
        <v>290043.6</v>
      </c>
      <c r="K449" s="196"/>
      <c r="L449" s="196"/>
      <c r="M449" s="196"/>
      <c r="N449" s="196">
        <f t="shared" si="89"/>
        <v>1.40000000002328</v>
      </c>
      <c r="O449" s="194"/>
      <c r="P449" s="195"/>
      <c r="Q449" s="125">
        <f>VLOOKUP(B449,[2]信息汇总表!$M$2:$T$816,8,0)</f>
        <v>290045</v>
      </c>
      <c r="R449" s="125">
        <f>VLOOKUP(B449,[1]sheet1!$J$4:$K$413,2,0)</f>
        <v>276232</v>
      </c>
      <c r="S449" s="125"/>
      <c r="T449" s="125">
        <f t="shared" si="92"/>
        <v>276233.333333333</v>
      </c>
      <c r="U449" s="125">
        <f t="shared" si="87"/>
        <v>13811.6666666667</v>
      </c>
      <c r="V449" s="125">
        <f t="shared" si="96"/>
        <v>1.33333333302289</v>
      </c>
      <c r="W449" s="125">
        <f t="shared" si="97"/>
        <v>0.0666666666511446</v>
      </c>
      <c r="X449" s="125"/>
      <c r="Y449" s="195" t="s">
        <v>42</v>
      </c>
      <c r="Z449" s="165">
        <f t="shared" si="91"/>
        <v>1.39999999967403</v>
      </c>
    </row>
    <row r="450" hidden="1" spans="1:26">
      <c r="A450" s="175">
        <v>447</v>
      </c>
      <c r="B450" s="224" t="s">
        <v>830</v>
      </c>
      <c r="C450" s="183">
        <v>101.77</v>
      </c>
      <c r="D450" s="179">
        <v>2866</v>
      </c>
      <c r="E450" s="179">
        <f t="shared" si="95"/>
        <v>291673</v>
      </c>
      <c r="F450" s="212" t="s">
        <v>831</v>
      </c>
      <c r="G450" s="213"/>
      <c r="H450" s="214">
        <v>2950</v>
      </c>
      <c r="I450" s="214">
        <v>300222</v>
      </c>
      <c r="J450" s="196">
        <f>VLOOKUP(B450,泰康小区账面房号及收款金额!$A$2:$B$424,2,0)</f>
        <v>300220.2</v>
      </c>
      <c r="K450" s="196"/>
      <c r="L450" s="196"/>
      <c r="M450" s="196"/>
      <c r="N450" s="196">
        <f t="shared" si="89"/>
        <v>1.79999999998836</v>
      </c>
      <c r="O450" s="194"/>
      <c r="P450" s="195"/>
      <c r="Q450" s="125">
        <f>VLOOKUP(B450,[2]信息汇总表!$M$2:$T$816,8,0)</f>
        <v>300221</v>
      </c>
      <c r="R450" s="125">
        <f>VLOOKUP(B450,[1]sheet1!$J$4:$K$413,2,0)</f>
        <v>285924</v>
      </c>
      <c r="S450" s="125"/>
      <c r="T450" s="125">
        <f t="shared" si="92"/>
        <v>285925.714285714</v>
      </c>
      <c r="U450" s="125">
        <f t="shared" si="87"/>
        <v>14296.2857142857</v>
      </c>
      <c r="V450" s="125">
        <f t="shared" si="96"/>
        <v>1.71428571402794</v>
      </c>
      <c r="W450" s="125">
        <f t="shared" si="97"/>
        <v>0.0857142857013969</v>
      </c>
      <c r="X450" s="125"/>
      <c r="Y450" s="195" t="s">
        <v>42</v>
      </c>
      <c r="Z450" s="165">
        <f t="shared" si="91"/>
        <v>1.79999999972934</v>
      </c>
    </row>
    <row r="451" hidden="1" spans="1:26">
      <c r="A451" s="175">
        <v>448</v>
      </c>
      <c r="B451" s="221" t="s">
        <v>832</v>
      </c>
      <c r="C451" s="183">
        <v>101.77</v>
      </c>
      <c r="D451" s="179">
        <v>2866</v>
      </c>
      <c r="E451" s="179">
        <f t="shared" si="95"/>
        <v>291673</v>
      </c>
      <c r="F451" s="212" t="s">
        <v>833</v>
      </c>
      <c r="G451" s="213"/>
      <c r="H451" s="214">
        <v>2950</v>
      </c>
      <c r="I451" s="214">
        <v>300222</v>
      </c>
      <c r="J451" s="196">
        <f>VLOOKUP(B451,泰康小区账面房号及收款金额!$A$2:$B$424,2,0)</f>
        <v>300221.25</v>
      </c>
      <c r="K451" s="196"/>
      <c r="L451" s="196"/>
      <c r="M451" s="196"/>
      <c r="N451" s="196">
        <f t="shared" si="89"/>
        <v>0.75</v>
      </c>
      <c r="O451" s="194"/>
      <c r="P451" s="195"/>
      <c r="Q451" s="125">
        <f>VLOOKUP(B451,[2]信息汇总表!$M$2:$T$816,8,0)</f>
        <v>300222</v>
      </c>
      <c r="R451" s="125">
        <f>VLOOKUP(B451,[1]sheet1!$J$4:$K$413,2,0)</f>
        <v>285925</v>
      </c>
      <c r="S451" s="125"/>
      <c r="T451" s="125">
        <f t="shared" si="92"/>
        <v>285925.714285714</v>
      </c>
      <c r="U451" s="125">
        <f t="shared" si="87"/>
        <v>14296.2857142857</v>
      </c>
      <c r="V451" s="125">
        <f t="shared" ref="V451:V457" si="98">T451-R451-S451</f>
        <v>0.714285714027938</v>
      </c>
      <c r="W451" s="125">
        <f t="shared" ref="W451:W458" si="99">V451*0.05</f>
        <v>0.0357142857013969</v>
      </c>
      <c r="X451" s="125"/>
      <c r="Y451" s="195" t="s">
        <v>42</v>
      </c>
      <c r="Z451" s="165">
        <f t="shared" si="91"/>
        <v>0.749999999729335</v>
      </c>
    </row>
    <row r="452" hidden="1" spans="1:26">
      <c r="A452" s="175">
        <v>449</v>
      </c>
      <c r="B452" s="221" t="s">
        <v>834</v>
      </c>
      <c r="C452" s="183">
        <v>101.77</v>
      </c>
      <c r="D452" s="179">
        <v>2866</v>
      </c>
      <c r="E452" s="179">
        <f t="shared" si="95"/>
        <v>291673</v>
      </c>
      <c r="F452" s="212" t="s">
        <v>835</v>
      </c>
      <c r="G452" s="213"/>
      <c r="H452" s="214">
        <v>2970</v>
      </c>
      <c r="I452" s="214">
        <v>302257</v>
      </c>
      <c r="J452" s="196">
        <f>VLOOKUP(B452,泰康小区账面房号及收款金额!$A$2:$B$424,2,0)</f>
        <v>302257.2</v>
      </c>
      <c r="K452" s="196"/>
      <c r="L452" s="196"/>
      <c r="M452" s="196"/>
      <c r="N452" s="196">
        <f t="shared" si="89"/>
        <v>-0.200000000011642</v>
      </c>
      <c r="O452" s="194"/>
      <c r="P452" s="195"/>
      <c r="Q452" s="125">
        <f>VLOOKUP(B452,[2]信息汇总表!$M$2:$T$816,8,0)</f>
        <v>302257</v>
      </c>
      <c r="R452" s="125">
        <f>VLOOKUP(B452,[1]sheet1!$J$4:$K$413,2,0)</f>
        <v>287864</v>
      </c>
      <c r="S452" s="125"/>
      <c r="T452" s="125">
        <f t="shared" si="92"/>
        <v>287863.80952381</v>
      </c>
      <c r="U452" s="125">
        <f t="shared" si="87"/>
        <v>14393.1904761905</v>
      </c>
      <c r="V452" s="125">
        <f t="shared" si="98"/>
        <v>-0.190476190007757</v>
      </c>
      <c r="W452" s="125">
        <f t="shared" si="99"/>
        <v>-0.00952380950038787</v>
      </c>
      <c r="X452" s="204">
        <v>476</v>
      </c>
      <c r="Y452" s="195" t="s">
        <v>42</v>
      </c>
      <c r="Z452" s="165">
        <f t="shared" si="91"/>
        <v>-0.199999999508145</v>
      </c>
    </row>
    <row r="453" hidden="1" spans="1:26">
      <c r="A453" s="175">
        <v>450</v>
      </c>
      <c r="B453" s="221" t="s">
        <v>836</v>
      </c>
      <c r="C453" s="183">
        <v>101.77</v>
      </c>
      <c r="D453" s="179">
        <v>2836</v>
      </c>
      <c r="E453" s="179">
        <f t="shared" si="95"/>
        <v>288620</v>
      </c>
      <c r="F453" s="212" t="s">
        <v>837</v>
      </c>
      <c r="G453" s="213"/>
      <c r="H453" s="214">
        <v>2930</v>
      </c>
      <c r="I453" s="214">
        <v>298186</v>
      </c>
      <c r="J453" s="196">
        <f>VLOOKUP(B453,泰康小区账面房号及收款金额!$A$2:$B$424,2,0)</f>
        <v>298186.35</v>
      </c>
      <c r="K453" s="196"/>
      <c r="L453" s="196"/>
      <c r="M453" s="196"/>
      <c r="N453" s="196">
        <f t="shared" si="89"/>
        <v>-0.349999999976717</v>
      </c>
      <c r="O453" s="194"/>
      <c r="P453" s="195"/>
      <c r="Q453" s="125">
        <f>VLOOKUP(B453,[2]信息汇总表!$M$2:$T$816,8,0)</f>
        <v>298186</v>
      </c>
      <c r="R453" s="125">
        <f>VLOOKUP(B453,[1]sheet1!$J$4:$K$413,2,0)</f>
        <v>283987</v>
      </c>
      <c r="S453" s="125"/>
      <c r="T453" s="125">
        <f t="shared" si="92"/>
        <v>283986.666666667</v>
      </c>
      <c r="U453" s="125">
        <f t="shared" ref="U453:U516" si="100">I453-T453</f>
        <v>14199.3333333334</v>
      </c>
      <c r="V453" s="125">
        <f t="shared" si="98"/>
        <v>-0.333333333022892</v>
      </c>
      <c r="W453" s="125">
        <f t="shared" si="99"/>
        <v>-0.0166666666511446</v>
      </c>
      <c r="X453" s="125"/>
      <c r="Y453" s="195" t="s">
        <v>42</v>
      </c>
      <c r="Z453" s="165">
        <f t="shared" si="91"/>
        <v>-0.349999999674037</v>
      </c>
    </row>
    <row r="454" hidden="1" spans="1:26">
      <c r="A454" s="175">
        <v>451</v>
      </c>
      <c r="B454" s="221" t="s">
        <v>838</v>
      </c>
      <c r="C454" s="183">
        <v>101.77</v>
      </c>
      <c r="D454" s="179">
        <v>2906</v>
      </c>
      <c r="E454" s="179">
        <f t="shared" si="95"/>
        <v>295744</v>
      </c>
      <c r="F454" s="212" t="s">
        <v>839</v>
      </c>
      <c r="G454" s="213"/>
      <c r="H454" s="214">
        <v>2980</v>
      </c>
      <c r="I454" s="214">
        <v>303275</v>
      </c>
      <c r="J454" s="196">
        <f>VLOOKUP(B454,泰康小区账面房号及收款金额!$A$2:$B$424,2,0)</f>
        <v>303274.65</v>
      </c>
      <c r="K454" s="196"/>
      <c r="L454" s="196"/>
      <c r="M454" s="196"/>
      <c r="N454" s="196">
        <f t="shared" si="89"/>
        <v>0.349999999976717</v>
      </c>
      <c r="O454" s="194"/>
      <c r="P454" s="195"/>
      <c r="Q454" s="125">
        <f>VLOOKUP(B454,[2]信息汇总表!$M$2:$T$816,8,0)</f>
        <v>303275</v>
      </c>
      <c r="R454" s="125">
        <f>VLOOKUP(B454,[1]sheet1!$J$4:$K$413,2,0)</f>
        <v>288833</v>
      </c>
      <c r="S454" s="125"/>
      <c r="T454" s="125">
        <f t="shared" si="92"/>
        <v>288833.333333333</v>
      </c>
      <c r="U454" s="125">
        <f t="shared" si="100"/>
        <v>14441.6666666667</v>
      </c>
      <c r="V454" s="125">
        <f t="shared" si="98"/>
        <v>0.333333333022892</v>
      </c>
      <c r="W454" s="125">
        <f t="shared" si="99"/>
        <v>0.0166666666511446</v>
      </c>
      <c r="X454" s="125"/>
      <c r="Y454" s="195" t="s">
        <v>42</v>
      </c>
      <c r="Z454" s="165">
        <f t="shared" si="91"/>
        <v>0.349999999674037</v>
      </c>
    </row>
    <row r="455" hidden="1" spans="1:26">
      <c r="A455" s="175">
        <v>452</v>
      </c>
      <c r="B455" s="221" t="s">
        <v>840</v>
      </c>
      <c r="C455" s="183">
        <v>101.77</v>
      </c>
      <c r="D455" s="179">
        <v>2856</v>
      </c>
      <c r="E455" s="179">
        <f t="shared" si="95"/>
        <v>290655</v>
      </c>
      <c r="F455" s="212" t="s">
        <v>841</v>
      </c>
      <c r="G455" s="213"/>
      <c r="H455" s="214">
        <v>2920</v>
      </c>
      <c r="I455" s="214">
        <v>297168</v>
      </c>
      <c r="J455" s="196">
        <f>VLOOKUP(B455,泰康小区账面房号及收款金额!$A$2:$B$424,2,0)</f>
        <v>297167.85</v>
      </c>
      <c r="K455" s="196"/>
      <c r="L455" s="196"/>
      <c r="M455" s="196"/>
      <c r="N455" s="196">
        <f t="shared" si="89"/>
        <v>0.150000000023283</v>
      </c>
      <c r="O455" s="194"/>
      <c r="P455" s="195"/>
      <c r="Q455" s="125">
        <f>VLOOKUP(B455,[2]信息汇总表!$M$2:$T$816,8,0)</f>
        <v>297168</v>
      </c>
      <c r="R455" s="125">
        <f>VLOOKUP(B455,[1]sheet1!$J$4:$K$413,2,0)</f>
        <v>283017</v>
      </c>
      <c r="S455" s="125"/>
      <c r="T455" s="125">
        <f t="shared" si="92"/>
        <v>283017.142857143</v>
      </c>
      <c r="U455" s="125">
        <f t="shared" si="100"/>
        <v>14150.8571428572</v>
      </c>
      <c r="V455" s="125">
        <f t="shared" si="98"/>
        <v>0.142857143015135</v>
      </c>
      <c r="W455" s="125">
        <f t="shared" si="99"/>
        <v>0.00714285715075675</v>
      </c>
      <c r="X455" s="125"/>
      <c r="Y455" s="195" t="s">
        <v>42</v>
      </c>
      <c r="Z455" s="165">
        <f t="shared" si="91"/>
        <v>0.150000000165892</v>
      </c>
    </row>
    <row r="456" hidden="1" spans="1:26">
      <c r="A456" s="175">
        <v>453</v>
      </c>
      <c r="B456" s="221" t="s">
        <v>842</v>
      </c>
      <c r="C456" s="171">
        <v>94.51</v>
      </c>
      <c r="D456" s="179">
        <v>2846</v>
      </c>
      <c r="E456" s="179">
        <f t="shared" si="95"/>
        <v>268975</v>
      </c>
      <c r="F456" s="212" t="s">
        <v>843</v>
      </c>
      <c r="G456" s="213" t="s">
        <v>48</v>
      </c>
      <c r="H456" s="214">
        <v>2868</v>
      </c>
      <c r="I456" s="214">
        <v>271055</v>
      </c>
      <c r="J456" s="196">
        <f>VLOOKUP(B456,泰康小区账面房号及收款金额!$A$2:$B$424,2,0)</f>
        <v>271055.4</v>
      </c>
      <c r="K456" s="196"/>
      <c r="L456" s="196"/>
      <c r="M456" s="196"/>
      <c r="N456" s="196">
        <f t="shared" ref="N456:N520" si="101">I456-J456</f>
        <v>-0.400000000023283</v>
      </c>
      <c r="O456" s="194"/>
      <c r="P456" s="195"/>
      <c r="Q456" s="125">
        <f>VLOOKUP(B456,[2]信息汇总表!$M$2:$T$816,8,0)</f>
        <v>281262</v>
      </c>
      <c r="R456" s="125">
        <f>VLOOKUP(B456,[1]sheet1!$J$4:$K$413,2,0)</f>
        <v>258148</v>
      </c>
      <c r="S456" s="125"/>
      <c r="T456" s="125">
        <f t="shared" si="92"/>
        <v>258147.619047619</v>
      </c>
      <c r="U456" s="125">
        <f t="shared" si="100"/>
        <v>12907.380952381</v>
      </c>
      <c r="V456" s="125">
        <f t="shared" si="98"/>
        <v>-0.380952381005045</v>
      </c>
      <c r="W456" s="125">
        <f t="shared" si="99"/>
        <v>-0.0190476190502523</v>
      </c>
      <c r="X456" s="125"/>
      <c r="Y456" s="195" t="s">
        <v>42</v>
      </c>
      <c r="Z456" s="165">
        <f t="shared" si="91"/>
        <v>-0.400000000055297</v>
      </c>
    </row>
    <row r="457" ht="13" hidden="1" customHeight="1" spans="1:26">
      <c r="A457" s="175">
        <v>454</v>
      </c>
      <c r="B457" s="221" t="s">
        <v>844</v>
      </c>
      <c r="C457" s="171">
        <v>94.51</v>
      </c>
      <c r="D457" s="179">
        <v>2796</v>
      </c>
      <c r="E457" s="179">
        <f t="shared" si="95"/>
        <v>264250</v>
      </c>
      <c r="F457" s="212" t="s">
        <v>845</v>
      </c>
      <c r="G457" s="213"/>
      <c r="H457" s="214">
        <v>2640</v>
      </c>
      <c r="I457" s="214">
        <v>249506</v>
      </c>
      <c r="J457" s="196">
        <f>VLOOKUP(B457,泰康小区账面房号及收款金额!$A$2:$B$424,2,0)</f>
        <v>249506.25</v>
      </c>
      <c r="K457" s="196"/>
      <c r="L457" s="196"/>
      <c r="M457" s="196"/>
      <c r="N457" s="196">
        <f t="shared" si="101"/>
        <v>-0.25</v>
      </c>
      <c r="O457" s="194"/>
      <c r="P457" s="195"/>
      <c r="Q457" s="125">
        <f>VLOOKUP(B457,[2]信息汇总表!$M$2:$T$816,8,0)</f>
        <v>249506</v>
      </c>
      <c r="R457" s="125">
        <f>VLOOKUP(B457,[1]sheet1!$J$4:$K$413,2,0)</f>
        <v>237625</v>
      </c>
      <c r="S457" s="125"/>
      <c r="T457" s="125">
        <f t="shared" si="92"/>
        <v>237624.761904762</v>
      </c>
      <c r="U457" s="125">
        <f t="shared" si="100"/>
        <v>11881.2380952381</v>
      </c>
      <c r="V457" s="125">
        <f t="shared" si="98"/>
        <v>-0.23809523798991</v>
      </c>
      <c r="W457" s="125">
        <f t="shared" si="99"/>
        <v>-0.0119047618994955</v>
      </c>
      <c r="X457" s="125"/>
      <c r="Y457" s="195" t="s">
        <v>42</v>
      </c>
      <c r="Z457" s="165">
        <f t="shared" si="91"/>
        <v>-0.249999999889405</v>
      </c>
    </row>
    <row r="458" hidden="1" spans="1:26">
      <c r="A458" s="175">
        <v>455</v>
      </c>
      <c r="B458" s="76" t="s">
        <v>846</v>
      </c>
      <c r="C458" s="171">
        <v>38.61</v>
      </c>
      <c r="D458" s="179"/>
      <c r="E458" s="179">
        <f t="shared" si="95"/>
        <v>0</v>
      </c>
      <c r="F458" s="212" t="s">
        <v>36</v>
      </c>
      <c r="G458" s="213"/>
      <c r="H458" s="214">
        <v>3000</v>
      </c>
      <c r="I458" s="214">
        <v>115830</v>
      </c>
      <c r="J458" s="196">
        <v>115830</v>
      </c>
      <c r="K458" s="196"/>
      <c r="L458" s="196"/>
      <c r="M458" s="196"/>
      <c r="N458" s="196">
        <f t="shared" si="101"/>
        <v>0</v>
      </c>
      <c r="O458" s="194"/>
      <c r="P458" s="195"/>
      <c r="Q458" s="125">
        <f>VLOOKUP(B458,[2]信息汇总表!$M$2:$T$816,8,0)</f>
        <v>115830</v>
      </c>
      <c r="R458" s="125">
        <f>VLOOKUP(B458,[1]sheet1!$J$4:$K$413,2,0)</f>
        <v>110314</v>
      </c>
      <c r="S458" s="125"/>
      <c r="T458" s="125">
        <f t="shared" si="92"/>
        <v>110314.285714286</v>
      </c>
      <c r="U458" s="125">
        <f t="shared" si="100"/>
        <v>5515.71428571429</v>
      </c>
      <c r="V458" s="125">
        <f>T458-S458-R458</f>
        <v>0.285714286001166</v>
      </c>
      <c r="W458" s="125">
        <f t="shared" si="99"/>
        <v>0.0142857143000583</v>
      </c>
      <c r="X458" s="125"/>
      <c r="Y458" s="195" t="s">
        <v>42</v>
      </c>
      <c r="Z458" s="165">
        <f t="shared" si="91"/>
        <v>0.300000000301224</v>
      </c>
    </row>
    <row r="459" hidden="1" spans="1:26">
      <c r="A459" s="175">
        <v>456</v>
      </c>
      <c r="B459" s="76" t="s">
        <v>847</v>
      </c>
      <c r="C459" s="171"/>
      <c r="D459" s="179"/>
      <c r="E459" s="179"/>
      <c r="F459" s="212"/>
      <c r="G459" s="213"/>
      <c r="H459" s="214"/>
      <c r="I459" s="214"/>
      <c r="J459" s="196"/>
      <c r="K459" s="196"/>
      <c r="L459" s="196"/>
      <c r="M459" s="196"/>
      <c r="N459" s="196">
        <f t="shared" si="101"/>
        <v>0</v>
      </c>
      <c r="O459" s="194"/>
      <c r="P459" s="195"/>
      <c r="Q459" s="125"/>
      <c r="R459" s="125"/>
      <c r="S459" s="125"/>
      <c r="T459" s="125">
        <f t="shared" si="92"/>
        <v>0</v>
      </c>
      <c r="U459" s="125">
        <f t="shared" si="100"/>
        <v>0</v>
      </c>
      <c r="V459" s="125">
        <f t="shared" ref="V459:V470" si="102">T459-S459-R459</f>
        <v>0</v>
      </c>
      <c r="W459" s="125">
        <f t="shared" ref="W459:W470" si="103">V459*0.05</f>
        <v>0</v>
      </c>
      <c r="X459" s="125"/>
      <c r="Y459" s="195" t="s">
        <v>42</v>
      </c>
      <c r="Z459" s="165">
        <f t="shared" si="91"/>
        <v>0</v>
      </c>
    </row>
    <row r="460" hidden="1" spans="1:26">
      <c r="A460" s="175">
        <v>457</v>
      </c>
      <c r="B460" s="187" t="s">
        <v>848</v>
      </c>
      <c r="C460" s="183">
        <v>101.5</v>
      </c>
      <c r="D460" s="179">
        <v>2776</v>
      </c>
      <c r="E460" s="179">
        <f t="shared" ref="E460:E520" si="104">ROUND(IF(F460&lt;&gt;0,C460*D460,0),0)</f>
        <v>281764</v>
      </c>
      <c r="F460" s="212" t="s">
        <v>849</v>
      </c>
      <c r="G460" s="213"/>
      <c r="H460" s="214">
        <v>2860</v>
      </c>
      <c r="I460" s="214">
        <v>290290</v>
      </c>
      <c r="J460" s="196">
        <f>VLOOKUP(B460,泰康小区账面房号及收款金额!$A$2:$B$424,2,0)</f>
        <v>290289.3</v>
      </c>
      <c r="K460" s="196"/>
      <c r="L460" s="196"/>
      <c r="M460" s="196"/>
      <c r="N460" s="196">
        <f t="shared" si="101"/>
        <v>0.700000000011642</v>
      </c>
      <c r="O460" s="194"/>
      <c r="P460" s="195"/>
      <c r="Q460" s="125">
        <f>VLOOKUP(B460,[2]信息汇总表!$M$2:$T$816,8,0)</f>
        <v>290290</v>
      </c>
      <c r="R460" s="125">
        <f>VLOOKUP(B460,[1]sheet1!$J$4:$K$413,2,0)</f>
        <v>276466</v>
      </c>
      <c r="S460" s="125"/>
      <c r="T460" s="125">
        <f t="shared" si="92"/>
        <v>276466.666666667</v>
      </c>
      <c r="U460" s="125">
        <f t="shared" si="100"/>
        <v>13823.3333333334</v>
      </c>
      <c r="V460" s="125">
        <f t="shared" si="102"/>
        <v>0.666666666977108</v>
      </c>
      <c r="W460" s="125">
        <f t="shared" si="103"/>
        <v>0.0333333333488554</v>
      </c>
      <c r="X460" s="125"/>
      <c r="Y460" s="195" t="s">
        <v>42</v>
      </c>
      <c r="Z460" s="165">
        <f t="shared" si="91"/>
        <v>0.700000000325963</v>
      </c>
    </row>
    <row r="461" hidden="1" spans="1:26">
      <c r="A461" s="175">
        <v>458</v>
      </c>
      <c r="B461" s="187" t="s">
        <v>850</v>
      </c>
      <c r="C461" s="183">
        <v>101.5</v>
      </c>
      <c r="D461" s="179">
        <v>2776</v>
      </c>
      <c r="E461" s="179">
        <f t="shared" si="104"/>
        <v>281764</v>
      </c>
      <c r="F461" s="212" t="s">
        <v>851</v>
      </c>
      <c r="G461" s="213"/>
      <c r="H461" s="214">
        <v>2888</v>
      </c>
      <c r="I461" s="214">
        <v>293132</v>
      </c>
      <c r="J461" s="196">
        <f>VLOOKUP(B461,泰康小区账面房号及收款金额!$A$2:$B$424,2,0)</f>
        <v>293131.65</v>
      </c>
      <c r="K461" s="196"/>
      <c r="L461" s="196"/>
      <c r="M461" s="196"/>
      <c r="N461" s="196">
        <f t="shared" si="101"/>
        <v>0.349999999976717</v>
      </c>
      <c r="O461" s="194"/>
      <c r="P461" s="195"/>
      <c r="Q461" s="125">
        <f>VLOOKUP(B461,[2]信息汇总表!$M$2:$T$816,8,0)</f>
        <v>293132</v>
      </c>
      <c r="R461" s="125">
        <f>VLOOKUP(B461,[1]sheet1!$J$4:$K$413,2,0)</f>
        <v>279173</v>
      </c>
      <c r="S461" s="125"/>
      <c r="T461" s="125">
        <f t="shared" si="92"/>
        <v>279173.333333333</v>
      </c>
      <c r="U461" s="125">
        <f t="shared" si="100"/>
        <v>13958.6666666667</v>
      </c>
      <c r="V461" s="125">
        <f t="shared" si="102"/>
        <v>0.333333333022892</v>
      </c>
      <c r="W461" s="125">
        <f t="shared" si="103"/>
        <v>0.0166666666511446</v>
      </c>
      <c r="X461" s="125"/>
      <c r="Y461" s="195" t="s">
        <v>42</v>
      </c>
      <c r="Z461" s="165">
        <f t="shared" si="91"/>
        <v>0.349999999674037</v>
      </c>
    </row>
    <row r="462" hidden="1" spans="1:26">
      <c r="A462" s="175">
        <v>459</v>
      </c>
      <c r="B462" s="187" t="s">
        <v>852</v>
      </c>
      <c r="C462" s="183">
        <v>101.5</v>
      </c>
      <c r="D462" s="179">
        <v>2696</v>
      </c>
      <c r="E462" s="179">
        <f t="shared" si="104"/>
        <v>273644</v>
      </c>
      <c r="F462" s="212" t="s">
        <v>853</v>
      </c>
      <c r="G462" s="213"/>
      <c r="H462" s="214">
        <v>2730</v>
      </c>
      <c r="I462" s="214">
        <v>277095</v>
      </c>
      <c r="J462" s="196">
        <f>VLOOKUP(B462,泰康小区账面房号及收款金额!$A$2:$B$424,2,0)</f>
        <v>277095</v>
      </c>
      <c r="K462" s="196"/>
      <c r="L462" s="196"/>
      <c r="M462" s="196"/>
      <c r="N462" s="196">
        <f t="shared" si="101"/>
        <v>0</v>
      </c>
      <c r="O462" s="194"/>
      <c r="P462" s="195"/>
      <c r="Q462" s="125">
        <f>VLOOKUP(B462,[2]信息汇总表!$M$2:$T$816,8,0)</f>
        <v>277095</v>
      </c>
      <c r="R462" s="125">
        <f>VLOOKUP(B462,[1]sheet1!$J$4:$K$413,2,0)</f>
        <v>263900</v>
      </c>
      <c r="S462" s="125"/>
      <c r="T462" s="125">
        <f t="shared" si="92"/>
        <v>263900</v>
      </c>
      <c r="U462" s="125">
        <f t="shared" si="100"/>
        <v>13195</v>
      </c>
      <c r="V462" s="125">
        <f t="shared" si="102"/>
        <v>0</v>
      </c>
      <c r="W462" s="125">
        <f t="shared" si="103"/>
        <v>0</v>
      </c>
      <c r="X462" s="125"/>
      <c r="Y462" s="195" t="s">
        <v>42</v>
      </c>
      <c r="Z462" s="165">
        <f t="shared" si="91"/>
        <v>0</v>
      </c>
    </row>
    <row r="463" ht="36" spans="1:26">
      <c r="A463" s="175">
        <v>460</v>
      </c>
      <c r="B463" s="187" t="s">
        <v>854</v>
      </c>
      <c r="C463" s="183">
        <v>101.5</v>
      </c>
      <c r="D463" s="179">
        <v>2696</v>
      </c>
      <c r="E463" s="179">
        <f t="shared" si="104"/>
        <v>273644</v>
      </c>
      <c r="F463" s="212" t="s">
        <v>855</v>
      </c>
      <c r="G463" s="213"/>
      <c r="H463" s="214">
        <v>2698</v>
      </c>
      <c r="I463" s="214">
        <v>273847</v>
      </c>
      <c r="J463" s="196">
        <f>VLOOKUP(B463,泰康小区账面房号及收款金额!$A$2:$B$424,2,0)</f>
        <v>263847.15</v>
      </c>
      <c r="K463" s="196"/>
      <c r="L463" s="196"/>
      <c r="M463" s="196"/>
      <c r="N463" s="197">
        <f t="shared" si="101"/>
        <v>9999.84999999998</v>
      </c>
      <c r="O463" s="194" t="s">
        <v>856</v>
      </c>
      <c r="P463" s="195" t="s">
        <v>857</v>
      </c>
      <c r="Q463" s="125">
        <f>VLOOKUP(B463,[2]信息汇总表!$M$2:$T$816,8,0)</f>
        <v>273847</v>
      </c>
      <c r="R463" s="125">
        <f>VLOOKUP(B463,[1]sheet1!$J$4:$K$413,2,0)</f>
        <v>251283</v>
      </c>
      <c r="S463" s="125"/>
      <c r="T463" s="125">
        <f t="shared" si="92"/>
        <v>260806.666666667</v>
      </c>
      <c r="U463" s="125">
        <f t="shared" si="100"/>
        <v>13040.3333333333</v>
      </c>
      <c r="V463" s="203">
        <f t="shared" si="102"/>
        <v>9523.66666666701</v>
      </c>
      <c r="W463" s="203">
        <f t="shared" si="103"/>
        <v>476.18333333335</v>
      </c>
      <c r="X463" s="125"/>
      <c r="Y463" s="195"/>
      <c r="Z463" s="165">
        <f t="shared" si="91"/>
        <v>9999.85000000036</v>
      </c>
    </row>
    <row r="464" hidden="1" spans="1:26">
      <c r="A464" s="175">
        <v>461</v>
      </c>
      <c r="B464" s="187" t="s">
        <v>858</v>
      </c>
      <c r="C464" s="183">
        <v>101.5</v>
      </c>
      <c r="D464" s="179">
        <v>2716</v>
      </c>
      <c r="E464" s="179">
        <f t="shared" si="104"/>
        <v>275674</v>
      </c>
      <c r="F464" s="212" t="s">
        <v>859</v>
      </c>
      <c r="G464" s="213"/>
      <c r="H464" s="214">
        <v>2870</v>
      </c>
      <c r="I464" s="214">
        <v>291305</v>
      </c>
      <c r="J464" s="196">
        <f>VLOOKUP(B464,泰康小区账面房号及收款金额!$A$2:$B$424,2,0)</f>
        <v>291305.7</v>
      </c>
      <c r="K464" s="196"/>
      <c r="L464" s="196"/>
      <c r="M464" s="196"/>
      <c r="N464" s="196">
        <f t="shared" si="101"/>
        <v>-0.700000000011642</v>
      </c>
      <c r="O464" s="194"/>
      <c r="P464" s="195"/>
      <c r="Q464" s="125">
        <f>VLOOKUP(B464,[2]信息汇总表!$M$2:$T$816,8,0)</f>
        <v>291305</v>
      </c>
      <c r="R464" s="125">
        <f>VLOOKUP(B464,[1]sheet1!$J$4:$K$413,2,0)</f>
        <v>277434</v>
      </c>
      <c r="S464" s="125"/>
      <c r="T464" s="125">
        <f t="shared" si="92"/>
        <v>277433.333333333</v>
      </c>
      <c r="U464" s="125">
        <f t="shared" si="100"/>
        <v>13871.6666666667</v>
      </c>
      <c r="V464" s="125">
        <f t="shared" si="102"/>
        <v>-0.666666666977108</v>
      </c>
      <c r="W464" s="125">
        <f t="shared" si="103"/>
        <v>-0.0333333333488554</v>
      </c>
      <c r="X464" s="125"/>
      <c r="Y464" s="195" t="s">
        <v>42</v>
      </c>
      <c r="Z464" s="165">
        <f t="shared" si="91"/>
        <v>-0.700000000325963</v>
      </c>
    </row>
    <row r="465" hidden="1" spans="1:26">
      <c r="A465" s="175">
        <v>462</v>
      </c>
      <c r="B465" s="187" t="s">
        <v>860</v>
      </c>
      <c r="C465" s="183">
        <v>101.5</v>
      </c>
      <c r="D465" s="179">
        <v>2716</v>
      </c>
      <c r="E465" s="179">
        <f t="shared" si="104"/>
        <v>275674</v>
      </c>
      <c r="F465" s="212" t="s">
        <v>861</v>
      </c>
      <c r="G465" s="213" t="s">
        <v>23</v>
      </c>
      <c r="H465" s="214">
        <v>2926</v>
      </c>
      <c r="I465" s="214">
        <v>296989</v>
      </c>
      <c r="J465" s="196">
        <f>VLOOKUP(B465,泰康小区账面房号及收款金额!$A$2:$B$424,2,0)</f>
        <v>296989.35</v>
      </c>
      <c r="K465" s="196"/>
      <c r="L465" s="196"/>
      <c r="M465" s="196"/>
      <c r="N465" s="196">
        <f t="shared" si="101"/>
        <v>-0.349999999976717</v>
      </c>
      <c r="O465" s="194"/>
      <c r="P465" s="195"/>
      <c r="Q465" s="125">
        <f>VLOOKUP(B465,[2]信息汇总表!$M$2:$T$816,8,0)</f>
        <v>296989</v>
      </c>
      <c r="R465" s="125">
        <f>VLOOKUP(B465,[1]sheet1!$J$4:$K$413,2,0)</f>
        <v>282847</v>
      </c>
      <c r="S465" s="125"/>
      <c r="T465" s="125">
        <f t="shared" si="92"/>
        <v>282846.666666667</v>
      </c>
      <c r="U465" s="125">
        <f t="shared" si="100"/>
        <v>14142.3333333334</v>
      </c>
      <c r="V465" s="125">
        <f t="shared" si="102"/>
        <v>-0.333333333022892</v>
      </c>
      <c r="W465" s="125">
        <f t="shared" si="103"/>
        <v>-0.0166666666511446</v>
      </c>
      <c r="X465" s="125"/>
      <c r="Y465" s="195" t="s">
        <v>42</v>
      </c>
      <c r="Z465" s="165">
        <f t="shared" si="91"/>
        <v>-0.349999999674037</v>
      </c>
    </row>
    <row r="466" hidden="1" spans="1:26">
      <c r="A466" s="175">
        <v>463</v>
      </c>
      <c r="B466" s="187" t="s">
        <v>862</v>
      </c>
      <c r="C466" s="183">
        <v>101.5</v>
      </c>
      <c r="D466" s="179">
        <v>2796</v>
      </c>
      <c r="E466" s="179">
        <f t="shared" si="104"/>
        <v>283794</v>
      </c>
      <c r="F466" s="212" t="s">
        <v>863</v>
      </c>
      <c r="G466" s="213"/>
      <c r="H466" s="214">
        <v>2990</v>
      </c>
      <c r="I466" s="214">
        <v>303485</v>
      </c>
      <c r="J466" s="196">
        <f>VLOOKUP(B466,泰康小区账面房号及收款金额!$A$2:$B$424,2,0)</f>
        <v>303484.65</v>
      </c>
      <c r="K466" s="196"/>
      <c r="L466" s="196"/>
      <c r="M466" s="196"/>
      <c r="N466" s="196">
        <f t="shared" si="101"/>
        <v>0.349999999976717</v>
      </c>
      <c r="O466" s="194"/>
      <c r="P466" s="195"/>
      <c r="Q466" s="125">
        <f>VLOOKUP(B466,[2]信息汇总表!$M$2:$T$816,8,0)</f>
        <v>303485</v>
      </c>
      <c r="R466" s="125">
        <f>VLOOKUP(B466,[1]sheet1!$J$4:$K$413,2,0)</f>
        <v>289033</v>
      </c>
      <c r="S466" s="125"/>
      <c r="T466" s="125">
        <f t="shared" si="92"/>
        <v>289033.333333333</v>
      </c>
      <c r="U466" s="125">
        <f t="shared" si="100"/>
        <v>14451.6666666667</v>
      </c>
      <c r="V466" s="125">
        <f t="shared" si="102"/>
        <v>0.333333333022892</v>
      </c>
      <c r="W466" s="125">
        <f t="shared" si="103"/>
        <v>0.0166666666511446</v>
      </c>
      <c r="X466" s="125"/>
      <c r="Y466" s="195" t="s">
        <v>42</v>
      </c>
      <c r="Z466" s="165">
        <f t="shared" si="91"/>
        <v>0.349999999674037</v>
      </c>
    </row>
    <row r="467" hidden="1" spans="1:26">
      <c r="A467" s="175">
        <v>464</v>
      </c>
      <c r="B467" s="187" t="s">
        <v>864</v>
      </c>
      <c r="C467" s="183">
        <v>101.5</v>
      </c>
      <c r="D467" s="179">
        <v>2796</v>
      </c>
      <c r="E467" s="179">
        <f t="shared" si="104"/>
        <v>283794</v>
      </c>
      <c r="F467" s="212" t="s">
        <v>865</v>
      </c>
      <c r="G467" s="213"/>
      <c r="H467" s="214">
        <v>2830</v>
      </c>
      <c r="I467" s="214">
        <v>287245</v>
      </c>
      <c r="J467" s="196">
        <f>VLOOKUP(B467,泰康小区账面房号及收款金额!$A$2:$B$424,2,0)</f>
        <v>287245.35</v>
      </c>
      <c r="K467" s="196"/>
      <c r="L467" s="196"/>
      <c r="M467" s="196"/>
      <c r="N467" s="196">
        <f t="shared" si="101"/>
        <v>-0.349999999976717</v>
      </c>
      <c r="O467" s="194"/>
      <c r="P467" s="195"/>
      <c r="Q467" s="125">
        <f>VLOOKUP(B467,[2]信息汇总表!$M$2:$T$816,8,0)</f>
        <v>287245</v>
      </c>
      <c r="R467" s="125">
        <f>VLOOKUP(B467,[1]sheet1!$J$4:$K$413,2,0)</f>
        <v>273567</v>
      </c>
      <c r="S467" s="125"/>
      <c r="T467" s="125">
        <f t="shared" si="92"/>
        <v>273566.666666667</v>
      </c>
      <c r="U467" s="125">
        <f t="shared" si="100"/>
        <v>13678.3333333334</v>
      </c>
      <c r="V467" s="125">
        <f t="shared" si="102"/>
        <v>-0.333333333022892</v>
      </c>
      <c r="W467" s="125">
        <f t="shared" si="103"/>
        <v>-0.0166666666511446</v>
      </c>
      <c r="X467" s="125"/>
      <c r="Y467" s="195" t="s">
        <v>42</v>
      </c>
      <c r="Z467" s="165">
        <f t="shared" si="91"/>
        <v>-0.349999999674037</v>
      </c>
    </row>
    <row r="468" ht="13" hidden="1" customHeight="1" spans="1:26">
      <c r="A468" s="175">
        <v>465</v>
      </c>
      <c r="B468" s="187" t="s">
        <v>866</v>
      </c>
      <c r="C468" s="183">
        <v>101.5</v>
      </c>
      <c r="D468" s="179">
        <v>2826</v>
      </c>
      <c r="E468" s="179">
        <f t="shared" si="104"/>
        <v>286839</v>
      </c>
      <c r="F468" s="212" t="s">
        <v>867</v>
      </c>
      <c r="G468" s="213"/>
      <c r="H468" s="214">
        <v>2860</v>
      </c>
      <c r="I468" s="214">
        <v>290290</v>
      </c>
      <c r="J468" s="196">
        <f>VLOOKUP(B468,泰康小区账面房号及收款金额!$A$2:$B$424,2,0)</f>
        <v>290290.35</v>
      </c>
      <c r="K468" s="196"/>
      <c r="L468" s="196"/>
      <c r="M468" s="196"/>
      <c r="N468" s="196">
        <f t="shared" si="101"/>
        <v>-0.349999999976717</v>
      </c>
      <c r="O468" s="194"/>
      <c r="P468" s="195"/>
      <c r="Q468" s="125">
        <f>VLOOKUP(B468,[2]信息汇总表!$M$2:$T$816,8,0)</f>
        <v>290290</v>
      </c>
      <c r="R468" s="125">
        <f>VLOOKUP(B468,[1]sheet1!$J$4:$K$413,2,0)</f>
        <v>276467</v>
      </c>
      <c r="S468" s="125"/>
      <c r="T468" s="125">
        <f t="shared" si="92"/>
        <v>276466.666666667</v>
      </c>
      <c r="U468" s="125">
        <f t="shared" si="100"/>
        <v>13823.3333333334</v>
      </c>
      <c r="V468" s="125">
        <f t="shared" si="102"/>
        <v>-0.333333333022892</v>
      </c>
      <c r="W468" s="125">
        <f t="shared" si="103"/>
        <v>-0.0166666666511446</v>
      </c>
      <c r="X468" s="125"/>
      <c r="Y468" s="195" t="s">
        <v>42</v>
      </c>
      <c r="Z468" s="165">
        <f t="shared" si="91"/>
        <v>-0.349999999674037</v>
      </c>
    </row>
    <row r="469" hidden="1" spans="1:26">
      <c r="A469" s="175">
        <v>466</v>
      </c>
      <c r="B469" s="187" t="s">
        <v>868</v>
      </c>
      <c r="C469" s="183">
        <v>101.5</v>
      </c>
      <c r="D469" s="179">
        <v>2696</v>
      </c>
      <c r="E469" s="179">
        <f t="shared" si="104"/>
        <v>273644</v>
      </c>
      <c r="F469" s="212" t="s">
        <v>869</v>
      </c>
      <c r="G469" s="213"/>
      <c r="H469" s="214">
        <v>2800</v>
      </c>
      <c r="I469" s="214">
        <v>284200</v>
      </c>
      <c r="J469" s="196">
        <f>VLOOKUP(B469,泰康小区账面房号及收款金额!$A$2:$B$424,2,0)</f>
        <v>284200.35</v>
      </c>
      <c r="K469" s="196"/>
      <c r="L469" s="196"/>
      <c r="M469" s="196"/>
      <c r="N469" s="196">
        <f t="shared" si="101"/>
        <v>-0.349999999976717</v>
      </c>
      <c r="O469" s="194"/>
      <c r="P469" s="195"/>
      <c r="Q469" s="125">
        <f>VLOOKUP(B469,[2]信息汇总表!$M$2:$T$816,8,0)</f>
        <v>284200</v>
      </c>
      <c r="R469" s="125">
        <f>VLOOKUP(B469,[1]sheet1!$J$4:$K$413,2,0)</f>
        <v>270667</v>
      </c>
      <c r="S469" s="125"/>
      <c r="T469" s="125">
        <f t="shared" si="92"/>
        <v>270666.666666667</v>
      </c>
      <c r="U469" s="125">
        <f t="shared" si="100"/>
        <v>13533.3333333334</v>
      </c>
      <c r="V469" s="125">
        <f t="shared" si="102"/>
        <v>-0.333333333022892</v>
      </c>
      <c r="W469" s="125">
        <f t="shared" si="103"/>
        <v>-0.0166666666511446</v>
      </c>
      <c r="X469" s="125"/>
      <c r="Y469" s="195" t="s">
        <v>42</v>
      </c>
      <c r="Z469" s="165">
        <f t="shared" si="91"/>
        <v>-0.349999999674037</v>
      </c>
    </row>
    <row r="470" hidden="1" spans="1:26">
      <c r="A470" s="175">
        <v>467</v>
      </c>
      <c r="B470" s="187" t="s">
        <v>870</v>
      </c>
      <c r="C470" s="183">
        <v>101.5</v>
      </c>
      <c r="D470" s="179">
        <v>2856</v>
      </c>
      <c r="E470" s="179">
        <f t="shared" si="104"/>
        <v>289884</v>
      </c>
      <c r="F470" s="212" t="s">
        <v>871</v>
      </c>
      <c r="G470" s="213"/>
      <c r="H470" s="214">
        <v>2880</v>
      </c>
      <c r="I470" s="214">
        <v>292320</v>
      </c>
      <c r="J470" s="196">
        <f>VLOOKUP(B470,泰康小区账面房号及收款金额!$A$2:$B$424,2,0)</f>
        <v>292320</v>
      </c>
      <c r="K470" s="196"/>
      <c r="L470" s="196"/>
      <c r="M470" s="196"/>
      <c r="N470" s="196">
        <f t="shared" si="101"/>
        <v>0</v>
      </c>
      <c r="O470" s="194"/>
      <c r="P470" s="195"/>
      <c r="Q470" s="125">
        <f>VLOOKUP(B470,[2]信息汇总表!$M$2:$T$816,8,0)</f>
        <v>292320</v>
      </c>
      <c r="R470" s="125">
        <f>VLOOKUP(B470,[1]sheet1!$J$4:$K$413,2,0)</f>
        <v>278400</v>
      </c>
      <c r="S470" s="125"/>
      <c r="T470" s="125">
        <f t="shared" si="92"/>
        <v>278400</v>
      </c>
      <c r="U470" s="125">
        <f t="shared" si="100"/>
        <v>13920</v>
      </c>
      <c r="V470" s="125">
        <f t="shared" si="102"/>
        <v>0</v>
      </c>
      <c r="W470" s="125">
        <f t="shared" si="103"/>
        <v>0</v>
      </c>
      <c r="X470" s="125"/>
      <c r="Y470" s="195" t="s">
        <v>42</v>
      </c>
      <c r="Z470" s="165">
        <f t="shared" si="91"/>
        <v>0</v>
      </c>
    </row>
    <row r="471" hidden="1" spans="1:26">
      <c r="A471" s="175">
        <v>468</v>
      </c>
      <c r="B471" s="187" t="s">
        <v>872</v>
      </c>
      <c r="C471" s="183">
        <v>101.5</v>
      </c>
      <c r="D471" s="179">
        <v>2756</v>
      </c>
      <c r="E471" s="179">
        <f t="shared" si="104"/>
        <v>279734</v>
      </c>
      <c r="F471" s="212" t="s">
        <v>873</v>
      </c>
      <c r="G471" s="213"/>
      <c r="H471" s="214">
        <v>2828</v>
      </c>
      <c r="I471" s="214">
        <v>287042</v>
      </c>
      <c r="J471" s="196">
        <f>VLOOKUP(B471,泰康小区账面房号及收款金额!$A$2:$B$424,2,0)</f>
        <v>287041.65</v>
      </c>
      <c r="K471" s="196"/>
      <c r="L471" s="196"/>
      <c r="M471" s="196"/>
      <c r="N471" s="196">
        <f t="shared" si="101"/>
        <v>0.349999999976717</v>
      </c>
      <c r="O471" s="194"/>
      <c r="P471" s="195"/>
      <c r="Q471" s="125">
        <f>VLOOKUP(B471,[2]信息汇总表!$M$2:$T$816,8,0)</f>
        <v>287042</v>
      </c>
      <c r="R471" s="125">
        <f>VLOOKUP(B471,[1]sheet1!$J$4:$K$413,2,0)</f>
        <v>273373</v>
      </c>
      <c r="S471" s="125"/>
      <c r="T471" s="125">
        <f t="shared" si="92"/>
        <v>273373.333333333</v>
      </c>
      <c r="U471" s="125">
        <f t="shared" si="100"/>
        <v>13668.6666666667</v>
      </c>
      <c r="V471" s="125">
        <f t="shared" ref="V471:V480" si="105">T471-S471-R471</f>
        <v>0.333333333022892</v>
      </c>
      <c r="W471" s="125">
        <f t="shared" ref="W471:W480" si="106">V471*0.05</f>
        <v>0.0166666666511446</v>
      </c>
      <c r="X471" s="125">
        <v>476</v>
      </c>
      <c r="Y471" s="195" t="s">
        <v>42</v>
      </c>
      <c r="Z471" s="165">
        <f t="shared" ref="Z471:Z520" si="107">V471+W471</f>
        <v>0.349999999674037</v>
      </c>
    </row>
    <row r="472" hidden="1" spans="1:26">
      <c r="A472" s="175">
        <v>469</v>
      </c>
      <c r="B472" s="221" t="s">
        <v>874</v>
      </c>
      <c r="C472" s="183">
        <v>101.5</v>
      </c>
      <c r="D472" s="179">
        <v>2816</v>
      </c>
      <c r="E472" s="179">
        <f t="shared" si="104"/>
        <v>285824</v>
      </c>
      <c r="F472" s="212" t="s">
        <v>875</v>
      </c>
      <c r="G472" s="213"/>
      <c r="H472" s="214">
        <v>2880</v>
      </c>
      <c r="I472" s="214">
        <v>292320</v>
      </c>
      <c r="J472" s="196">
        <f>VLOOKUP(B472,泰康小区账面房号及收款金额!$A$2:$B$424,2,0)</f>
        <v>292321.05</v>
      </c>
      <c r="K472" s="196"/>
      <c r="L472" s="196"/>
      <c r="M472" s="196"/>
      <c r="N472" s="196">
        <f t="shared" si="101"/>
        <v>-1.04999999998836</v>
      </c>
      <c r="O472" s="194"/>
      <c r="P472" s="195"/>
      <c r="Q472" s="125">
        <f>VLOOKUP(B472,[2]信息汇总表!$M$2:$T$816,8,0)</f>
        <v>292320</v>
      </c>
      <c r="R472" s="125">
        <f>VLOOKUP(B472,[1]sheet1!$J$4:$K$413,2,0)</f>
        <v>278401</v>
      </c>
      <c r="S472" s="125"/>
      <c r="T472" s="125">
        <f t="shared" si="92"/>
        <v>278400</v>
      </c>
      <c r="U472" s="125">
        <f t="shared" si="100"/>
        <v>13920</v>
      </c>
      <c r="V472" s="125">
        <f t="shared" si="105"/>
        <v>-1</v>
      </c>
      <c r="W472" s="125">
        <f t="shared" si="106"/>
        <v>-0.05</v>
      </c>
      <c r="X472" s="125"/>
      <c r="Y472" s="195" t="s">
        <v>42</v>
      </c>
      <c r="Z472" s="165">
        <f t="shared" si="107"/>
        <v>-1.05</v>
      </c>
    </row>
    <row r="473" hidden="1" spans="1:26">
      <c r="A473" s="175">
        <v>470</v>
      </c>
      <c r="B473" s="221" t="s">
        <v>876</v>
      </c>
      <c r="C473" s="183">
        <v>101.5</v>
      </c>
      <c r="D473" s="179">
        <v>2816</v>
      </c>
      <c r="E473" s="179">
        <f t="shared" si="104"/>
        <v>285824</v>
      </c>
      <c r="F473" s="212" t="s">
        <v>877</v>
      </c>
      <c r="G473" s="213"/>
      <c r="H473" s="214">
        <v>2818</v>
      </c>
      <c r="I473" s="214">
        <v>286027</v>
      </c>
      <c r="J473" s="196">
        <f>VLOOKUP(B473,泰康小区账面房号及收款金额!$A$2:$B$424,2,0)</f>
        <v>286026.3</v>
      </c>
      <c r="K473" s="196"/>
      <c r="L473" s="196"/>
      <c r="M473" s="196"/>
      <c r="N473" s="196">
        <f t="shared" si="101"/>
        <v>0.700000000011642</v>
      </c>
      <c r="O473" s="194"/>
      <c r="P473" s="195"/>
      <c r="Q473" s="125">
        <f>VLOOKUP(B473,[2]信息汇总表!$M$2:$T$816,8,0)</f>
        <v>286027</v>
      </c>
      <c r="R473" s="125">
        <f>VLOOKUP(B473,[1]sheet1!$J$4:$K$413,2,0)</f>
        <v>272406</v>
      </c>
      <c r="S473" s="125"/>
      <c r="T473" s="125">
        <f t="shared" si="92"/>
        <v>272406.666666667</v>
      </c>
      <c r="U473" s="125">
        <f t="shared" si="100"/>
        <v>13620.3333333334</v>
      </c>
      <c r="V473" s="125">
        <f t="shared" si="105"/>
        <v>0.666666666977108</v>
      </c>
      <c r="W473" s="125">
        <f t="shared" si="106"/>
        <v>0.0333333333488554</v>
      </c>
      <c r="X473" s="125"/>
      <c r="Y473" s="195" t="s">
        <v>42</v>
      </c>
      <c r="Z473" s="165">
        <f t="shared" si="107"/>
        <v>0.700000000325963</v>
      </c>
    </row>
    <row r="474" hidden="1" spans="1:26">
      <c r="A474" s="175">
        <v>471</v>
      </c>
      <c r="B474" s="221" t="s">
        <v>878</v>
      </c>
      <c r="C474" s="183">
        <v>101.5</v>
      </c>
      <c r="D474" s="179">
        <v>2736</v>
      </c>
      <c r="E474" s="179">
        <f t="shared" si="104"/>
        <v>277704</v>
      </c>
      <c r="F474" s="212" t="s">
        <v>879</v>
      </c>
      <c r="G474" s="213"/>
      <c r="H474" s="214">
        <v>2940</v>
      </c>
      <c r="I474" s="214">
        <v>298410</v>
      </c>
      <c r="J474" s="196">
        <f>VLOOKUP(B474,泰康小区账面房号及收款金额!$A$2:$B$424,2,0)</f>
        <v>298410</v>
      </c>
      <c r="K474" s="196"/>
      <c r="L474" s="196"/>
      <c r="M474" s="196"/>
      <c r="N474" s="196">
        <f t="shared" si="101"/>
        <v>0</v>
      </c>
      <c r="O474" s="194"/>
      <c r="P474" s="195"/>
      <c r="Q474" s="125">
        <f>VLOOKUP(B474,[2]信息汇总表!$M$2:$T$816,8,0)</f>
        <v>298410</v>
      </c>
      <c r="R474" s="125">
        <f>VLOOKUP(B474,[1]sheet1!$J$4:$K$413,2,0)</f>
        <v>284200</v>
      </c>
      <c r="S474" s="125"/>
      <c r="T474" s="125">
        <f t="shared" si="92"/>
        <v>284200</v>
      </c>
      <c r="U474" s="125">
        <f t="shared" si="100"/>
        <v>14210</v>
      </c>
      <c r="V474" s="125">
        <f t="shared" si="105"/>
        <v>0</v>
      </c>
      <c r="W474" s="125">
        <f t="shared" si="106"/>
        <v>0</v>
      </c>
      <c r="X474" s="125"/>
      <c r="Y474" s="195" t="s">
        <v>42</v>
      </c>
      <c r="Z474" s="165">
        <f t="shared" si="107"/>
        <v>0</v>
      </c>
    </row>
    <row r="475" hidden="1" spans="1:26">
      <c r="A475" s="175">
        <v>472</v>
      </c>
      <c r="B475" s="221" t="s">
        <v>880</v>
      </c>
      <c r="C475" s="183">
        <v>101.5</v>
      </c>
      <c r="D475" s="179">
        <v>2906</v>
      </c>
      <c r="E475" s="179">
        <f t="shared" si="104"/>
        <v>294959</v>
      </c>
      <c r="F475" s="212" t="s">
        <v>881</v>
      </c>
      <c r="G475" s="213"/>
      <c r="H475" s="214">
        <v>2900</v>
      </c>
      <c r="I475" s="214">
        <v>294350</v>
      </c>
      <c r="J475" s="196">
        <f>VLOOKUP(B475,泰康小区账面房号及收款金额!$A$2:$B$424,2,0)</f>
        <v>294350.7</v>
      </c>
      <c r="K475" s="196"/>
      <c r="L475" s="196"/>
      <c r="M475" s="196"/>
      <c r="N475" s="196">
        <f t="shared" si="101"/>
        <v>-0.700000000011642</v>
      </c>
      <c r="O475" s="194"/>
      <c r="P475" s="195"/>
      <c r="Q475" s="125">
        <f>VLOOKUP(B475,[2]信息汇总表!$M$2:$T$816,8,0)</f>
        <v>294350</v>
      </c>
      <c r="R475" s="125">
        <f>VLOOKUP(B475,[1]sheet1!$J$4:$K$413,2,0)</f>
        <v>280334</v>
      </c>
      <c r="S475" s="125"/>
      <c r="T475" s="125">
        <f t="shared" si="92"/>
        <v>280333.333333333</v>
      </c>
      <c r="U475" s="125">
        <f t="shared" si="100"/>
        <v>14016.6666666667</v>
      </c>
      <c r="V475" s="125">
        <f t="shared" si="105"/>
        <v>-0.666666666977108</v>
      </c>
      <c r="W475" s="125">
        <f t="shared" si="106"/>
        <v>-0.0333333333488554</v>
      </c>
      <c r="X475" s="125"/>
      <c r="Y475" s="195" t="s">
        <v>42</v>
      </c>
      <c r="Z475" s="165">
        <f t="shared" si="107"/>
        <v>-0.700000000325963</v>
      </c>
    </row>
    <row r="476" hidden="1" spans="1:26">
      <c r="A476" s="175">
        <v>473</v>
      </c>
      <c r="B476" s="221" t="s">
        <v>882</v>
      </c>
      <c r="C476" s="183">
        <v>101.5</v>
      </c>
      <c r="D476" s="179">
        <v>2906</v>
      </c>
      <c r="E476" s="179">
        <f t="shared" si="104"/>
        <v>294959</v>
      </c>
      <c r="F476" s="212" t="s">
        <v>883</v>
      </c>
      <c r="G476" s="213" t="s">
        <v>48</v>
      </c>
      <c r="H476" s="214">
        <v>2978</v>
      </c>
      <c r="I476" s="214">
        <v>302267</v>
      </c>
      <c r="J476" s="196">
        <f>VLOOKUP(B476,泰康小区账面房号及收款金额!$A$2:$B$424,2,0)</f>
        <v>302267.7</v>
      </c>
      <c r="K476" s="196"/>
      <c r="L476" s="196"/>
      <c r="M476" s="196"/>
      <c r="N476" s="196">
        <f t="shared" si="101"/>
        <v>-0.700000000011642</v>
      </c>
      <c r="O476" s="194"/>
      <c r="P476" s="195"/>
      <c r="Q476" s="125">
        <f>VLOOKUP(B476,[2]信息汇总表!$M$2:$T$816,8,0)</f>
        <v>308560</v>
      </c>
      <c r="R476" s="125">
        <f>VLOOKUP(B476,[1]sheet1!$J$4:$K$413,2,0)</f>
        <v>287874</v>
      </c>
      <c r="S476" s="125"/>
      <c r="T476" s="125">
        <f t="shared" si="92"/>
        <v>287873.333333333</v>
      </c>
      <c r="U476" s="125">
        <f t="shared" si="100"/>
        <v>14393.6666666667</v>
      </c>
      <c r="V476" s="125">
        <f t="shared" si="105"/>
        <v>-0.666666666977108</v>
      </c>
      <c r="W476" s="125">
        <f t="shared" si="106"/>
        <v>-0.0333333333488554</v>
      </c>
      <c r="X476" s="125"/>
      <c r="Y476" s="195" t="s">
        <v>42</v>
      </c>
      <c r="Z476" s="165">
        <f t="shared" si="107"/>
        <v>-0.700000000325963</v>
      </c>
    </row>
    <row r="477" hidden="1" spans="1:26">
      <c r="A477" s="175">
        <v>474</v>
      </c>
      <c r="B477" s="221" t="s">
        <v>884</v>
      </c>
      <c r="C477" s="183">
        <v>101.5</v>
      </c>
      <c r="D477" s="179">
        <v>2906</v>
      </c>
      <c r="E477" s="179">
        <f t="shared" si="104"/>
        <v>294959</v>
      </c>
      <c r="F477" s="212" t="s">
        <v>885</v>
      </c>
      <c r="G477" s="213"/>
      <c r="H477" s="214">
        <v>2970</v>
      </c>
      <c r="I477" s="214">
        <v>301455</v>
      </c>
      <c r="J477" s="196">
        <f>VLOOKUP(B477,泰康小区账面房号及收款金额!$A$2:$B$424,2,0)</f>
        <v>301453.95</v>
      </c>
      <c r="K477" s="196"/>
      <c r="L477" s="196"/>
      <c r="M477" s="196"/>
      <c r="N477" s="196">
        <f t="shared" si="101"/>
        <v>1.04999999998836</v>
      </c>
      <c r="O477" s="194"/>
      <c r="P477" s="195"/>
      <c r="Q477" s="125">
        <f>VLOOKUP(B477,[2]信息汇总表!$M$2:$T$816,8,0)</f>
        <v>301455</v>
      </c>
      <c r="R477" s="125">
        <f>VLOOKUP(B477,[1]sheet1!$J$4:$K$413,2,0)</f>
        <v>287099</v>
      </c>
      <c r="S477" s="125"/>
      <c r="T477" s="125">
        <f t="shared" si="92"/>
        <v>287100</v>
      </c>
      <c r="U477" s="125">
        <f t="shared" si="100"/>
        <v>14355</v>
      </c>
      <c r="V477" s="125">
        <f t="shared" si="105"/>
        <v>1</v>
      </c>
      <c r="W477" s="125">
        <f t="shared" si="106"/>
        <v>0.05</v>
      </c>
      <c r="X477" s="125"/>
      <c r="Y477" s="195" t="s">
        <v>42</v>
      </c>
      <c r="Z477" s="165">
        <f t="shared" si="107"/>
        <v>1.05</v>
      </c>
    </row>
    <row r="478" hidden="1" spans="1:26">
      <c r="A478" s="175">
        <v>475</v>
      </c>
      <c r="B478" s="221" t="s">
        <v>886</v>
      </c>
      <c r="C478" s="171">
        <v>94.25</v>
      </c>
      <c r="D478" s="179">
        <v>2696</v>
      </c>
      <c r="E478" s="179">
        <f t="shared" si="104"/>
        <v>254098</v>
      </c>
      <c r="F478" s="212" t="s">
        <v>887</v>
      </c>
      <c r="G478" s="213"/>
      <c r="H478" s="214">
        <v>2700</v>
      </c>
      <c r="I478" s="214">
        <v>254475</v>
      </c>
      <c r="J478" s="196">
        <f>VLOOKUP(B478,泰康小区账面房号及收款金额!$A$2:$B$424,2,0)</f>
        <v>254474.85</v>
      </c>
      <c r="K478" s="196"/>
      <c r="L478" s="196"/>
      <c r="M478" s="196"/>
      <c r="N478" s="196">
        <f t="shared" si="101"/>
        <v>0.149999999994179</v>
      </c>
      <c r="O478" s="194"/>
      <c r="P478" s="195"/>
      <c r="Q478" s="125">
        <f>VLOOKUP(B478,[2]信息汇总表!$M$2:$T$816,8,0)</f>
        <v>254475</v>
      </c>
      <c r="R478" s="125">
        <f>VLOOKUP(B478,[1]sheet1!$J$4:$K$413,2,0)</f>
        <v>242357</v>
      </c>
      <c r="S478" s="125"/>
      <c r="T478" s="125">
        <f t="shared" si="92"/>
        <v>242357.142857143</v>
      </c>
      <c r="U478" s="125">
        <f t="shared" si="100"/>
        <v>12117.8571428572</v>
      </c>
      <c r="V478" s="125">
        <f t="shared" si="105"/>
        <v>0.142857142986031</v>
      </c>
      <c r="W478" s="125">
        <f t="shared" si="106"/>
        <v>0.00714285714930156</v>
      </c>
      <c r="X478" s="125"/>
      <c r="Y478" s="195" t="s">
        <v>42</v>
      </c>
      <c r="Z478" s="165">
        <f t="shared" si="107"/>
        <v>0.150000000135333</v>
      </c>
    </row>
    <row r="479" hidden="1" spans="1:26">
      <c r="A479" s="175">
        <v>476</v>
      </c>
      <c r="B479" s="221" t="s">
        <v>888</v>
      </c>
      <c r="C479" s="171">
        <v>94.25</v>
      </c>
      <c r="D479" s="179">
        <v>2796</v>
      </c>
      <c r="E479" s="179">
        <f t="shared" si="104"/>
        <v>263523</v>
      </c>
      <c r="F479" s="212" t="s">
        <v>889</v>
      </c>
      <c r="G479" s="213"/>
      <c r="H479" s="214">
        <v>2700</v>
      </c>
      <c r="I479" s="214">
        <v>254475</v>
      </c>
      <c r="J479" s="196">
        <f>VLOOKUP(B479,泰康小区账面房号及收款金额!$A$2:$B$424,2,0)</f>
        <v>254474.85</v>
      </c>
      <c r="K479" s="196"/>
      <c r="L479" s="196"/>
      <c r="M479" s="196"/>
      <c r="N479" s="196">
        <f t="shared" si="101"/>
        <v>0.149999999994179</v>
      </c>
      <c r="O479" s="194"/>
      <c r="P479" s="195"/>
      <c r="Q479" s="125">
        <f>VLOOKUP(B479,[2]信息汇总表!$M$2:$T$816,8,0)</f>
        <v>254475</v>
      </c>
      <c r="R479" s="125">
        <f>VLOOKUP(B479,[1]sheet1!$J$4:$K$413,2,0)</f>
        <v>242357</v>
      </c>
      <c r="S479" s="125"/>
      <c r="T479" s="125">
        <f t="shared" ref="T479:T523" si="108">I479/1.05</f>
        <v>242357.142857143</v>
      </c>
      <c r="U479" s="125">
        <f t="shared" si="100"/>
        <v>12117.8571428572</v>
      </c>
      <c r="V479" s="125">
        <f t="shared" si="105"/>
        <v>0.142857142986031</v>
      </c>
      <c r="W479" s="125">
        <f t="shared" si="106"/>
        <v>0.00714285714930156</v>
      </c>
      <c r="X479" s="125"/>
      <c r="Y479" s="195" t="s">
        <v>42</v>
      </c>
      <c r="Z479" s="165">
        <f t="shared" si="107"/>
        <v>0.150000000135333</v>
      </c>
    </row>
    <row r="480" ht="24" hidden="1" spans="1:26">
      <c r="A480" s="175">
        <v>477</v>
      </c>
      <c r="B480" s="76" t="s">
        <v>890</v>
      </c>
      <c r="C480" s="171">
        <v>41.08</v>
      </c>
      <c r="D480" s="179">
        <f>E480/C480</f>
        <v>7000</v>
      </c>
      <c r="E480" s="179">
        <v>287560</v>
      </c>
      <c r="F480" s="212" t="s">
        <v>286</v>
      </c>
      <c r="G480" s="213"/>
      <c r="H480" s="214">
        <v>7000</v>
      </c>
      <c r="I480" s="214">
        <v>287560</v>
      </c>
      <c r="J480" s="196">
        <f>VLOOKUP(B480,泰康小区账面房号及收款金额!$A$2:$B$424,2,0)</f>
        <v>200000</v>
      </c>
      <c r="K480" s="196"/>
      <c r="L480" s="196"/>
      <c r="M480" s="196"/>
      <c r="N480" s="196">
        <f t="shared" si="101"/>
        <v>87560</v>
      </c>
      <c r="O480" s="194" t="s">
        <v>891</v>
      </c>
      <c r="P480" s="195"/>
      <c r="Q480" s="125">
        <f>VLOOKUP(B480,[2]信息汇总表!$M$2:$T$816,8,0)</f>
        <v>287560</v>
      </c>
      <c r="R480" s="125"/>
      <c r="S480" s="125">
        <f>95238.1*2</f>
        <v>190476.2</v>
      </c>
      <c r="T480" s="125">
        <f t="shared" si="108"/>
        <v>273866.666666667</v>
      </c>
      <c r="U480" s="125">
        <f t="shared" si="100"/>
        <v>13693.3333333334</v>
      </c>
      <c r="V480" s="125">
        <f t="shared" si="105"/>
        <v>83390.466666667</v>
      </c>
      <c r="W480" s="125">
        <f>U480-X480</f>
        <v>4169.5233333334</v>
      </c>
      <c r="X480" s="125">
        <v>9523.81</v>
      </c>
      <c r="Y480" s="170" t="s">
        <v>42</v>
      </c>
      <c r="Z480" s="165">
        <f t="shared" si="107"/>
        <v>87559.9900000004</v>
      </c>
    </row>
    <row r="481" ht="60" spans="1:26">
      <c r="A481" s="175">
        <v>478</v>
      </c>
      <c r="B481" s="187" t="s">
        <v>892</v>
      </c>
      <c r="C481" s="183">
        <v>43.14</v>
      </c>
      <c r="D481" s="179">
        <v>2826</v>
      </c>
      <c r="E481" s="179">
        <f t="shared" si="104"/>
        <v>121914</v>
      </c>
      <c r="F481" s="220" t="s">
        <v>893</v>
      </c>
      <c r="G481" s="213" t="s">
        <v>48</v>
      </c>
      <c r="H481" s="214">
        <v>2900</v>
      </c>
      <c r="I481" s="214">
        <v>125106</v>
      </c>
      <c r="J481" s="222">
        <f>VLOOKUP(B481,泰康小区账面房号及收款金额!$A$2:$B$424,2,0)</f>
        <v>800.100000000006</v>
      </c>
      <c r="K481" s="196">
        <v>125106</v>
      </c>
      <c r="L481" s="196"/>
      <c r="M481" s="196"/>
      <c r="N481" s="222">
        <f>I481-K481</f>
        <v>0</v>
      </c>
      <c r="O481" s="194" t="s">
        <v>894</v>
      </c>
      <c r="P481" s="195"/>
      <c r="Q481" s="125">
        <f>VLOOKUP(B481,[2]信息汇总表!$M$2:$T$816,8,0)</f>
        <v>125106</v>
      </c>
      <c r="R481" s="125"/>
      <c r="S481" s="125"/>
      <c r="T481" s="125">
        <f t="shared" si="108"/>
        <v>119148.571428571</v>
      </c>
      <c r="U481" s="125">
        <f t="shared" si="100"/>
        <v>5957.42857142858</v>
      </c>
      <c r="V481" s="203">
        <f t="shared" ref="V481:V492" si="109">T481-S481-R481</f>
        <v>119148.571428571</v>
      </c>
      <c r="W481" s="203">
        <f>U481-X481</f>
        <v>5957.42857142858</v>
      </c>
      <c r="X481" s="125"/>
      <c r="Y481" s="206" t="s">
        <v>564</v>
      </c>
      <c r="Z481" s="165">
        <f t="shared" si="107"/>
        <v>125106</v>
      </c>
    </row>
    <row r="482" hidden="1" spans="1:26">
      <c r="A482" s="175">
        <v>479</v>
      </c>
      <c r="B482" s="187" t="s">
        <v>895</v>
      </c>
      <c r="C482" s="183">
        <v>58.01</v>
      </c>
      <c r="D482" s="179">
        <v>2776</v>
      </c>
      <c r="E482" s="179">
        <f t="shared" si="104"/>
        <v>161036</v>
      </c>
      <c r="F482" s="212" t="s">
        <v>896</v>
      </c>
      <c r="G482" s="213"/>
      <c r="H482" s="214">
        <v>2788</v>
      </c>
      <c r="I482" s="214">
        <v>161732</v>
      </c>
      <c r="J482" s="196">
        <f>VLOOKUP(B482,泰康小区账面房号及收款金额!$A$2:$B$424,2,0)</f>
        <v>161731.5</v>
      </c>
      <c r="K482" s="196"/>
      <c r="L482" s="196"/>
      <c r="M482" s="196"/>
      <c r="N482" s="196">
        <f t="shared" si="101"/>
        <v>0.5</v>
      </c>
      <c r="O482" s="194"/>
      <c r="P482" s="195"/>
      <c r="Q482" s="125">
        <f>VLOOKUP(B482,[2]信息汇总表!$M$2:$T$816,8,0)</f>
        <v>161732</v>
      </c>
      <c r="R482" s="125">
        <f>VLOOKUP(B482,[1]sheet1!$J$4:$K$413,2,0)</f>
        <v>154030</v>
      </c>
      <c r="S482" s="125"/>
      <c r="T482" s="125">
        <f t="shared" si="108"/>
        <v>154030.476190476</v>
      </c>
      <c r="U482" s="125">
        <f t="shared" si="100"/>
        <v>7701.52380952382</v>
      </c>
      <c r="V482" s="125">
        <f t="shared" si="109"/>
        <v>0.476190476008924</v>
      </c>
      <c r="W482" s="125">
        <f t="shared" ref="W482:W488" si="110">V482*0.05</f>
        <v>0.0238095238004462</v>
      </c>
      <c r="X482" s="125"/>
      <c r="Y482" s="195" t="s">
        <v>42</v>
      </c>
      <c r="Z482" s="165">
        <f t="shared" si="107"/>
        <v>0.49999999980937</v>
      </c>
    </row>
    <row r="483" hidden="1" spans="1:26">
      <c r="A483" s="175">
        <v>480</v>
      </c>
      <c r="B483" s="187" t="s">
        <v>897</v>
      </c>
      <c r="C483" s="183">
        <v>58.41</v>
      </c>
      <c r="D483" s="179">
        <v>2676</v>
      </c>
      <c r="E483" s="179">
        <f t="shared" si="104"/>
        <v>156305</v>
      </c>
      <c r="F483" s="212" t="s">
        <v>898</v>
      </c>
      <c r="G483" s="213"/>
      <c r="H483" s="214">
        <v>2788</v>
      </c>
      <c r="I483" s="214">
        <v>162847</v>
      </c>
      <c r="J483" s="196">
        <f>VLOOKUP(B483,泰康小区账面房号及收款金额!$A$2:$B$424,2,0)</f>
        <v>162847.65</v>
      </c>
      <c r="K483" s="196"/>
      <c r="L483" s="196"/>
      <c r="M483" s="196"/>
      <c r="N483" s="196">
        <f t="shared" si="101"/>
        <v>-0.649999999994179</v>
      </c>
      <c r="O483" s="194"/>
      <c r="P483" s="195"/>
      <c r="Q483" s="125">
        <f>VLOOKUP(B483,[2]信息汇总表!$M$2:$T$816,8,0)</f>
        <v>162847</v>
      </c>
      <c r="R483" s="125">
        <f>VLOOKUP(B483,[1]sheet1!$J$4:$K$413,2,0)</f>
        <v>155093</v>
      </c>
      <c r="S483" s="125"/>
      <c r="T483" s="125">
        <f t="shared" si="108"/>
        <v>155092.380952381</v>
      </c>
      <c r="U483" s="125">
        <f t="shared" si="100"/>
        <v>7754.61904761905</v>
      </c>
      <c r="V483" s="125">
        <f t="shared" si="109"/>
        <v>-0.619047618994955</v>
      </c>
      <c r="W483" s="125">
        <f t="shared" si="110"/>
        <v>-0.0309523809497478</v>
      </c>
      <c r="X483" s="125"/>
      <c r="Y483" s="195" t="s">
        <v>42</v>
      </c>
      <c r="Z483" s="165">
        <f t="shared" si="107"/>
        <v>-0.649999999944703</v>
      </c>
    </row>
    <row r="484" hidden="1" spans="1:26">
      <c r="A484" s="175">
        <v>481</v>
      </c>
      <c r="B484" s="187" t="s">
        <v>899</v>
      </c>
      <c r="C484" s="183">
        <v>43.14</v>
      </c>
      <c r="D484" s="179">
        <v>2826</v>
      </c>
      <c r="E484" s="179">
        <f t="shared" si="104"/>
        <v>121914</v>
      </c>
      <c r="F484" s="220" t="s">
        <v>900</v>
      </c>
      <c r="G484" s="213"/>
      <c r="H484" s="214">
        <v>2900</v>
      </c>
      <c r="I484" s="214">
        <v>125106</v>
      </c>
      <c r="J484" s="196">
        <f>VLOOKUP(B484,泰康小区账面房号及收款金额!$A$2:$B$424,2,0)</f>
        <v>125105.4</v>
      </c>
      <c r="K484" s="196"/>
      <c r="L484" s="196"/>
      <c r="M484" s="196"/>
      <c r="N484" s="196">
        <f t="shared" si="101"/>
        <v>0.600000000005821</v>
      </c>
      <c r="O484" s="194"/>
      <c r="P484" s="195"/>
      <c r="Q484" s="125">
        <f>VLOOKUP(B484,[2]信息汇总表!$M$2:$T$816,8,0)</f>
        <v>125106</v>
      </c>
      <c r="R484" s="125">
        <f>VLOOKUP(B484,[1]sheet1!$J$4:$K$413,2,0)</f>
        <v>119148</v>
      </c>
      <c r="S484" s="125"/>
      <c r="T484" s="125">
        <f t="shared" si="108"/>
        <v>119148.571428571</v>
      </c>
      <c r="U484" s="125">
        <f t="shared" si="100"/>
        <v>5957.42857142858</v>
      </c>
      <c r="V484" s="125">
        <f t="shared" si="109"/>
        <v>0.571428570998251</v>
      </c>
      <c r="W484" s="125">
        <f t="shared" si="110"/>
        <v>0.0285714285499125</v>
      </c>
      <c r="X484" s="125"/>
      <c r="Y484" s="195" t="s">
        <v>42</v>
      </c>
      <c r="Z484" s="165">
        <f t="shared" si="107"/>
        <v>0.599999999548163</v>
      </c>
    </row>
    <row r="485" hidden="1" spans="1:26">
      <c r="A485" s="175">
        <v>482</v>
      </c>
      <c r="B485" s="187" t="s">
        <v>901</v>
      </c>
      <c r="C485" s="183">
        <v>43.14</v>
      </c>
      <c r="D485" s="179">
        <v>2796</v>
      </c>
      <c r="E485" s="179">
        <f t="shared" si="104"/>
        <v>120619</v>
      </c>
      <c r="F485" s="212" t="s">
        <v>902</v>
      </c>
      <c r="G485" s="213"/>
      <c r="H485" s="214">
        <v>2750</v>
      </c>
      <c r="I485" s="214">
        <v>118635</v>
      </c>
      <c r="J485" s="196">
        <f>VLOOKUP(B485,泰康小区账面房号及收款金额!$A$2:$B$424,2,0)</f>
        <v>118635.3</v>
      </c>
      <c r="K485" s="196"/>
      <c r="L485" s="196"/>
      <c r="M485" s="196"/>
      <c r="N485" s="196">
        <f t="shared" si="101"/>
        <v>-0.30000000000291</v>
      </c>
      <c r="O485" s="194"/>
      <c r="P485" s="195"/>
      <c r="Q485" s="125">
        <f>VLOOKUP(B485,[2]信息汇总表!$M$2:$T$816,8,0)</f>
        <v>118635</v>
      </c>
      <c r="R485" s="125">
        <f>VLOOKUP(B485,[1]sheet1!$J$4:$K$413,2,0)</f>
        <v>112986</v>
      </c>
      <c r="S485" s="125"/>
      <c r="T485" s="125">
        <f t="shared" si="108"/>
        <v>112985.714285714</v>
      </c>
      <c r="U485" s="125">
        <f t="shared" si="100"/>
        <v>5649.28571428572</v>
      </c>
      <c r="V485" s="125">
        <f t="shared" si="109"/>
        <v>-0.285714286001166</v>
      </c>
      <c r="W485" s="125">
        <f t="shared" si="110"/>
        <v>-0.0142857143000583</v>
      </c>
      <c r="X485" s="125"/>
      <c r="Y485" s="195" t="s">
        <v>42</v>
      </c>
      <c r="Z485" s="165">
        <f t="shared" si="107"/>
        <v>-0.300000000301224</v>
      </c>
    </row>
    <row r="486" hidden="1" spans="1:26">
      <c r="A486" s="175">
        <v>483</v>
      </c>
      <c r="B486" s="187" t="s">
        <v>903</v>
      </c>
      <c r="C486" s="183">
        <v>58.01</v>
      </c>
      <c r="D486" s="179">
        <v>2846</v>
      </c>
      <c r="E486" s="179">
        <f t="shared" si="104"/>
        <v>165096</v>
      </c>
      <c r="F486" s="212" t="s">
        <v>797</v>
      </c>
      <c r="G486" s="213" t="s">
        <v>23</v>
      </c>
      <c r="H486" s="214">
        <v>3050</v>
      </c>
      <c r="I486" s="214">
        <v>176931</v>
      </c>
      <c r="J486" s="196">
        <f>VLOOKUP(B486,泰康小区账面房号及收款金额!$A$2:$B$424,2,0)</f>
        <v>176931.3</v>
      </c>
      <c r="K486" s="196"/>
      <c r="L486" s="196"/>
      <c r="M486" s="196"/>
      <c r="N486" s="196">
        <f t="shared" si="101"/>
        <v>-0.299999999988358</v>
      </c>
      <c r="O486" s="194"/>
      <c r="P486" s="195"/>
      <c r="Q486" s="125">
        <f>VLOOKUP(B486,[2]信息汇总表!$M$2:$T$816,8,0)</f>
        <v>176931</v>
      </c>
      <c r="R486" s="125">
        <f>VLOOKUP(B486,[1]sheet1!$J$4:$K$413,2,0)</f>
        <v>168506</v>
      </c>
      <c r="S486" s="125"/>
      <c r="T486" s="125">
        <f t="shared" si="108"/>
        <v>168505.714285714</v>
      </c>
      <c r="U486" s="125">
        <f t="shared" si="100"/>
        <v>8425.28571428571</v>
      </c>
      <c r="V486" s="125">
        <f t="shared" si="109"/>
        <v>-0.285714286001166</v>
      </c>
      <c r="W486" s="125">
        <f t="shared" si="110"/>
        <v>-0.0142857143000583</v>
      </c>
      <c r="X486" s="125"/>
      <c r="Y486" s="195" t="s">
        <v>42</v>
      </c>
      <c r="Z486" s="165">
        <f t="shared" si="107"/>
        <v>-0.300000000301224</v>
      </c>
    </row>
    <row r="487" hidden="1" spans="1:26">
      <c r="A487" s="175">
        <v>484</v>
      </c>
      <c r="B487" s="187" t="s">
        <v>904</v>
      </c>
      <c r="C487" s="183">
        <v>58.41</v>
      </c>
      <c r="D487" s="179">
        <v>2846</v>
      </c>
      <c r="E487" s="179">
        <f t="shared" si="104"/>
        <v>166235</v>
      </c>
      <c r="F487" s="212" t="s">
        <v>905</v>
      </c>
      <c r="G487" s="213"/>
      <c r="H487" s="214">
        <v>2824.86</v>
      </c>
      <c r="I487" s="214">
        <v>165000</v>
      </c>
      <c r="J487" s="196">
        <f>VLOOKUP(B487,泰康小区账面房号及收款金额!$A$2:$B$424,2,0)</f>
        <v>165000.15</v>
      </c>
      <c r="K487" s="196"/>
      <c r="L487" s="196"/>
      <c r="M487" s="196"/>
      <c r="N487" s="196">
        <f t="shared" si="101"/>
        <v>-0.149999999994179</v>
      </c>
      <c r="O487" s="194"/>
      <c r="P487" s="195"/>
      <c r="Q487" s="125">
        <f>VLOOKUP(B487,[2]信息汇总表!$M$2:$T$816,8,0)</f>
        <v>165000</v>
      </c>
      <c r="R487" s="125">
        <f>VLOOKUP(B487,[1]sheet1!$J$4:$K$413,2,0)</f>
        <v>157143</v>
      </c>
      <c r="S487" s="125"/>
      <c r="T487" s="125">
        <f t="shared" si="108"/>
        <v>157142.857142857</v>
      </c>
      <c r="U487" s="125">
        <f t="shared" si="100"/>
        <v>7857.14285714287</v>
      </c>
      <c r="V487" s="125">
        <f t="shared" si="109"/>
        <v>-0.142857142986031</v>
      </c>
      <c r="W487" s="125">
        <f t="shared" si="110"/>
        <v>-0.00714285714930156</v>
      </c>
      <c r="X487" s="125"/>
      <c r="Y487" s="195" t="s">
        <v>42</v>
      </c>
      <c r="Z487" s="165">
        <f t="shared" si="107"/>
        <v>-0.150000000135333</v>
      </c>
    </row>
    <row r="488" hidden="1" spans="1:26">
      <c r="A488" s="175">
        <v>485</v>
      </c>
      <c r="B488" s="187" t="s">
        <v>906</v>
      </c>
      <c r="C488" s="183">
        <v>43.14</v>
      </c>
      <c r="D488" s="179">
        <v>2796</v>
      </c>
      <c r="E488" s="179">
        <f t="shared" si="104"/>
        <v>120619</v>
      </c>
      <c r="F488" s="212" t="s">
        <v>907</v>
      </c>
      <c r="G488" s="213"/>
      <c r="H488" s="214">
        <v>2700</v>
      </c>
      <c r="I488" s="214">
        <v>116478</v>
      </c>
      <c r="J488" s="196">
        <f>VLOOKUP(B488,泰康小区账面房号及收款金额!$A$2:$B$424,2,0)</f>
        <v>116478.6</v>
      </c>
      <c r="K488" s="196"/>
      <c r="L488" s="196"/>
      <c r="M488" s="196"/>
      <c r="N488" s="196">
        <f t="shared" si="101"/>
        <v>-0.600000000005821</v>
      </c>
      <c r="O488" s="194"/>
      <c r="P488" s="195"/>
      <c r="Q488" s="125">
        <f>VLOOKUP(B488,[2]信息汇总表!$M$2:$T$816,8,0)</f>
        <v>116478</v>
      </c>
      <c r="R488" s="125">
        <f>VLOOKUP(B488,[1]sheet1!$J$4:$K$413,2,0)</f>
        <v>110932</v>
      </c>
      <c r="S488" s="125"/>
      <c r="T488" s="125">
        <f t="shared" si="108"/>
        <v>110931.428571429</v>
      </c>
      <c r="U488" s="125">
        <f t="shared" si="100"/>
        <v>5546.57142857143</v>
      </c>
      <c r="V488" s="125">
        <f t="shared" si="109"/>
        <v>-0.571428570998251</v>
      </c>
      <c r="W488" s="125">
        <f t="shared" si="110"/>
        <v>-0.0285714285499125</v>
      </c>
      <c r="X488" s="125"/>
      <c r="Y488" s="195" t="s">
        <v>42</v>
      </c>
      <c r="Z488" s="165">
        <f t="shared" si="107"/>
        <v>-0.599999999548163</v>
      </c>
    </row>
    <row r="489" hidden="1" spans="1:26">
      <c r="A489" s="175">
        <v>486</v>
      </c>
      <c r="B489" s="187" t="s">
        <v>908</v>
      </c>
      <c r="C489" s="183">
        <v>43.14</v>
      </c>
      <c r="D489" s="179">
        <v>2716</v>
      </c>
      <c r="E489" s="179">
        <f t="shared" si="104"/>
        <v>117168</v>
      </c>
      <c r="F489" s="212" t="s">
        <v>909</v>
      </c>
      <c r="G489" s="213"/>
      <c r="H489" s="214">
        <v>2880</v>
      </c>
      <c r="I489" s="214">
        <v>124243</v>
      </c>
      <c r="J489" s="225">
        <f>泰康小区账面房号及收款金额!B290</f>
        <v>291313.05</v>
      </c>
      <c r="K489" s="225"/>
      <c r="L489" s="225"/>
      <c r="M489" s="225"/>
      <c r="N489" s="225">
        <f>I489+I490-J489</f>
        <v>-1.04999999998836</v>
      </c>
      <c r="O489" s="194"/>
      <c r="P489" s="195"/>
      <c r="Q489" s="125">
        <f>VLOOKUP(B489,[2]信息汇总表!$M$2:$T$816,8,0)</f>
        <v>124243</v>
      </c>
      <c r="R489" s="125">
        <f>[1]sheet1!$K$354</f>
        <v>277441</v>
      </c>
      <c r="S489" s="125"/>
      <c r="T489" s="125">
        <f t="shared" si="108"/>
        <v>118326.666666667</v>
      </c>
      <c r="U489" s="125">
        <f t="shared" si="100"/>
        <v>5916.33333333334</v>
      </c>
      <c r="V489" s="125">
        <f t="shared" si="109"/>
        <v>-159114.333333333</v>
      </c>
      <c r="W489" s="125">
        <f t="shared" ref="W489:W492" si="111">U489-X489</f>
        <v>-7954.66666666666</v>
      </c>
      <c r="X489" s="125">
        <v>13871</v>
      </c>
      <c r="Y489" s="195" t="s">
        <v>42</v>
      </c>
      <c r="Z489" s="165">
        <f t="shared" si="107"/>
        <v>-167069</v>
      </c>
    </row>
    <row r="490" hidden="1" spans="1:26">
      <c r="A490" s="175">
        <v>487</v>
      </c>
      <c r="B490" s="187" t="s">
        <v>910</v>
      </c>
      <c r="C490" s="183">
        <v>58.01</v>
      </c>
      <c r="D490" s="179">
        <v>2716</v>
      </c>
      <c r="E490" s="179">
        <f t="shared" si="104"/>
        <v>157555</v>
      </c>
      <c r="F490" s="212" t="s">
        <v>909</v>
      </c>
      <c r="G490" s="213"/>
      <c r="H490" s="214">
        <v>2880</v>
      </c>
      <c r="I490" s="214">
        <v>167069</v>
      </c>
      <c r="J490" s="226"/>
      <c r="K490" s="226"/>
      <c r="L490" s="226"/>
      <c r="M490" s="226"/>
      <c r="N490" s="226"/>
      <c r="O490" s="194"/>
      <c r="P490" s="195"/>
      <c r="Q490" s="125">
        <f>VLOOKUP(B490,[2]信息汇总表!$M$2:$T$816,8,0)</f>
        <v>167069</v>
      </c>
      <c r="R490" s="125"/>
      <c r="S490" s="125"/>
      <c r="T490" s="125">
        <f t="shared" si="108"/>
        <v>159113.333333333</v>
      </c>
      <c r="U490" s="125">
        <f t="shared" si="100"/>
        <v>7955.66666666669</v>
      </c>
      <c r="V490" s="125">
        <f t="shared" si="109"/>
        <v>159113.333333333</v>
      </c>
      <c r="W490" s="125">
        <f t="shared" si="111"/>
        <v>7955.66666666669</v>
      </c>
      <c r="X490" s="125"/>
      <c r="Y490" s="195" t="s">
        <v>42</v>
      </c>
      <c r="Z490" s="165">
        <f t="shared" si="107"/>
        <v>167069</v>
      </c>
    </row>
    <row r="491" ht="36" spans="1:26">
      <c r="A491" s="175">
        <v>488</v>
      </c>
      <c r="B491" s="187" t="s">
        <v>911</v>
      </c>
      <c r="C491" s="183">
        <v>58.41</v>
      </c>
      <c r="D491" s="179">
        <v>2716</v>
      </c>
      <c r="E491" s="179">
        <f t="shared" si="104"/>
        <v>158642</v>
      </c>
      <c r="F491" s="212" t="s">
        <v>912</v>
      </c>
      <c r="G491" s="213" t="s">
        <v>48</v>
      </c>
      <c r="H491" s="214">
        <v>3098</v>
      </c>
      <c r="I491" s="214">
        <v>180954</v>
      </c>
      <c r="J491" s="196"/>
      <c r="K491" s="196">
        <v>180954.18</v>
      </c>
      <c r="L491" s="196"/>
      <c r="M491" s="196"/>
      <c r="N491" s="196">
        <f>I491-J491-K491-L491-M491</f>
        <v>-0.179999999993015</v>
      </c>
      <c r="O491" s="194" t="s">
        <v>913</v>
      </c>
      <c r="P491" s="195"/>
      <c r="Q491" s="125">
        <f>VLOOKUP(B491,[2]信息汇总表!$M$2:$T$816,8,0)</f>
        <v>180954</v>
      </c>
      <c r="R491" s="125"/>
      <c r="S491" s="125"/>
      <c r="T491" s="125">
        <f t="shared" si="108"/>
        <v>172337.142857143</v>
      </c>
      <c r="U491" s="125">
        <f t="shared" si="100"/>
        <v>8616.85714285716</v>
      </c>
      <c r="V491" s="125">
        <f t="shared" si="109"/>
        <v>172337.142857143</v>
      </c>
      <c r="W491" s="125">
        <f t="shared" si="111"/>
        <v>8616.85714285716</v>
      </c>
      <c r="X491" s="125"/>
      <c r="Y491" s="206" t="s">
        <v>564</v>
      </c>
      <c r="Z491" s="165">
        <f t="shared" si="107"/>
        <v>180954</v>
      </c>
    </row>
    <row r="492" ht="13.5" spans="1:26">
      <c r="A492" s="175">
        <v>489</v>
      </c>
      <c r="B492" s="187" t="s">
        <v>914</v>
      </c>
      <c r="C492" s="183">
        <v>43.14</v>
      </c>
      <c r="D492" s="179">
        <v>2716</v>
      </c>
      <c r="E492" s="179">
        <f t="shared" si="104"/>
        <v>117168</v>
      </c>
      <c r="F492" s="212" t="s">
        <v>915</v>
      </c>
      <c r="G492" s="213" t="s">
        <v>48</v>
      </c>
      <c r="H492" s="214"/>
      <c r="I492" s="214">
        <v>133647.72</v>
      </c>
      <c r="J492" s="196"/>
      <c r="K492" s="196">
        <v>133647.72</v>
      </c>
      <c r="L492" s="196"/>
      <c r="M492" s="196"/>
      <c r="N492" s="196">
        <f>I492-J492-K492-L492-M492</f>
        <v>0</v>
      </c>
      <c r="O492" s="194"/>
      <c r="P492" s="195"/>
      <c r="Q492" s="125">
        <f>VLOOKUP(B492,[2]信息汇总表!$M$2:$T$816,8,0)</f>
        <v>115000</v>
      </c>
      <c r="R492" s="125"/>
      <c r="S492" s="125"/>
      <c r="T492" s="125">
        <f t="shared" si="108"/>
        <v>127283.542857143</v>
      </c>
      <c r="U492" s="125">
        <f t="shared" si="100"/>
        <v>6364.17714285715</v>
      </c>
      <c r="V492" s="125">
        <f t="shared" si="109"/>
        <v>127283.542857143</v>
      </c>
      <c r="W492" s="125">
        <f t="shared" si="111"/>
        <v>6364.17714285715</v>
      </c>
      <c r="X492" s="125"/>
      <c r="Y492" s="206" t="s">
        <v>564</v>
      </c>
      <c r="Z492" s="165">
        <f t="shared" si="107"/>
        <v>133647.72</v>
      </c>
    </row>
    <row r="493" hidden="1" spans="1:26">
      <c r="A493" s="175">
        <v>490</v>
      </c>
      <c r="B493" s="187" t="s">
        <v>916</v>
      </c>
      <c r="C493" s="183">
        <v>43.14</v>
      </c>
      <c r="D493" s="179">
        <v>2846</v>
      </c>
      <c r="E493" s="179">
        <f t="shared" si="104"/>
        <v>122776</v>
      </c>
      <c r="F493" s="212" t="s">
        <v>917</v>
      </c>
      <c r="G493" s="213"/>
      <c r="H493" s="214">
        <v>2910</v>
      </c>
      <c r="I493" s="214">
        <v>125537</v>
      </c>
      <c r="J493" s="196">
        <f>VLOOKUP(B493,泰康小区账面房号及收款金额!$A$2:$B$424,2,0)</f>
        <v>125536.95</v>
      </c>
      <c r="K493" s="196"/>
      <c r="L493" s="196"/>
      <c r="M493" s="196"/>
      <c r="N493" s="196">
        <f t="shared" si="101"/>
        <v>0.0500000000029104</v>
      </c>
      <c r="O493" s="194"/>
      <c r="P493" s="195"/>
      <c r="Q493" s="125">
        <f>VLOOKUP(B493,[2]信息汇总表!$M$2:$T$816,8,0)</f>
        <v>125537</v>
      </c>
      <c r="R493" s="125">
        <f>VLOOKUP(B493,[1]sheet1!$J$4:$K$413,2,0)</f>
        <v>119559</v>
      </c>
      <c r="S493" s="125"/>
      <c r="T493" s="125">
        <f t="shared" si="108"/>
        <v>119559.047619048</v>
      </c>
      <c r="U493" s="125">
        <f t="shared" si="100"/>
        <v>5977.95238095238</v>
      </c>
      <c r="V493" s="125">
        <f t="shared" ref="V493:V520" si="112">T493-S493-R493</f>
        <v>0.0476190479967045</v>
      </c>
      <c r="W493" s="125">
        <f t="shared" ref="W493:W504" si="113">V493*0.05</f>
        <v>0.00238095239983522</v>
      </c>
      <c r="X493" s="125"/>
      <c r="Y493" s="195" t="s">
        <v>42</v>
      </c>
      <c r="Z493" s="165">
        <f t="shared" si="107"/>
        <v>0.0500000003965397</v>
      </c>
    </row>
    <row r="494" hidden="1" spans="1:26">
      <c r="A494" s="175">
        <v>491</v>
      </c>
      <c r="B494" s="187" t="s">
        <v>918</v>
      </c>
      <c r="C494" s="183">
        <v>58.01</v>
      </c>
      <c r="D494" s="179">
        <v>2846</v>
      </c>
      <c r="E494" s="179">
        <f t="shared" si="104"/>
        <v>165096</v>
      </c>
      <c r="F494" s="212" t="s">
        <v>917</v>
      </c>
      <c r="G494" s="213"/>
      <c r="H494" s="214">
        <v>2910</v>
      </c>
      <c r="I494" s="214">
        <v>168809</v>
      </c>
      <c r="J494" s="196">
        <f>VLOOKUP(B494,泰康小区账面房号及收款金额!$A$2:$B$424,2,0)</f>
        <v>168808.5</v>
      </c>
      <c r="K494" s="196"/>
      <c r="L494" s="196"/>
      <c r="M494" s="196"/>
      <c r="N494" s="196">
        <f t="shared" si="101"/>
        <v>0.5</v>
      </c>
      <c r="O494" s="194"/>
      <c r="P494" s="195"/>
      <c r="Q494" s="125">
        <f>VLOOKUP(B494,[2]信息汇总表!$M$2:$T$816,8,0)</f>
        <v>168809</v>
      </c>
      <c r="R494" s="125">
        <f>VLOOKUP(B494,[1]sheet1!$J$4:$K$413,2,0)</f>
        <v>160770</v>
      </c>
      <c r="S494" s="125"/>
      <c r="T494" s="125">
        <f t="shared" si="108"/>
        <v>160770.476190476</v>
      </c>
      <c r="U494" s="125">
        <f t="shared" si="100"/>
        <v>8038.52380952382</v>
      </c>
      <c r="V494" s="125">
        <f t="shared" si="112"/>
        <v>0.476190476008924</v>
      </c>
      <c r="W494" s="125">
        <f t="shared" si="113"/>
        <v>0.0238095238004462</v>
      </c>
      <c r="X494" s="125"/>
      <c r="Y494" s="195" t="s">
        <v>42</v>
      </c>
      <c r="Z494" s="165">
        <f t="shared" si="107"/>
        <v>0.49999999980937</v>
      </c>
    </row>
    <row r="495" hidden="1" spans="1:26">
      <c r="A495" s="175">
        <v>492</v>
      </c>
      <c r="B495" s="187" t="s">
        <v>919</v>
      </c>
      <c r="C495" s="183">
        <v>58.41</v>
      </c>
      <c r="D495" s="179">
        <v>2846</v>
      </c>
      <c r="E495" s="179">
        <f t="shared" si="104"/>
        <v>166235</v>
      </c>
      <c r="F495" s="212" t="s">
        <v>920</v>
      </c>
      <c r="G495" s="213"/>
      <c r="H495" s="214">
        <v>2820</v>
      </c>
      <c r="I495" s="214">
        <v>164716</v>
      </c>
      <c r="J495" s="196">
        <f>VLOOKUP(B495,泰康小区账面房号及收款金额!$A$2:$B$424,2,0)</f>
        <v>164716.65</v>
      </c>
      <c r="K495" s="196"/>
      <c r="L495" s="196"/>
      <c r="M495" s="196"/>
      <c r="N495" s="196">
        <f t="shared" si="101"/>
        <v>-0.649999999994179</v>
      </c>
      <c r="O495" s="194"/>
      <c r="P495" s="195"/>
      <c r="Q495" s="125">
        <f>VLOOKUP(B495,[2]信息汇总表!$M$2:$T$816,8,0)</f>
        <v>164716</v>
      </c>
      <c r="R495" s="125">
        <f>VLOOKUP(B495,[1]sheet1!$J$4:$K$413,2,0)</f>
        <v>156873</v>
      </c>
      <c r="S495" s="125"/>
      <c r="T495" s="125">
        <f t="shared" si="108"/>
        <v>156872.380952381</v>
      </c>
      <c r="U495" s="125">
        <f t="shared" si="100"/>
        <v>7843.61904761905</v>
      </c>
      <c r="V495" s="125">
        <f t="shared" si="112"/>
        <v>-0.619047618994955</v>
      </c>
      <c r="W495" s="125">
        <f t="shared" si="113"/>
        <v>-0.0309523809497478</v>
      </c>
      <c r="X495" s="125"/>
      <c r="Y495" s="195" t="s">
        <v>42</v>
      </c>
      <c r="Z495" s="165">
        <f t="shared" si="107"/>
        <v>-0.649999999944703</v>
      </c>
    </row>
    <row r="496" hidden="1" spans="1:26">
      <c r="A496" s="175">
        <v>493</v>
      </c>
      <c r="B496" s="187" t="s">
        <v>921</v>
      </c>
      <c r="C496" s="183">
        <v>43.14</v>
      </c>
      <c r="D496" s="179">
        <v>2846</v>
      </c>
      <c r="E496" s="179">
        <f t="shared" si="104"/>
        <v>122776</v>
      </c>
      <c r="F496" s="212" t="s">
        <v>922</v>
      </c>
      <c r="G496" s="213"/>
      <c r="H496" s="214">
        <v>2900</v>
      </c>
      <c r="I496" s="214">
        <v>125106</v>
      </c>
      <c r="J496" s="196">
        <f>VLOOKUP(B496,泰康小区账面房号及收款金额!$A$2:$B$424,2,0)</f>
        <v>125106.45</v>
      </c>
      <c r="K496" s="196"/>
      <c r="L496" s="196"/>
      <c r="M496" s="196"/>
      <c r="N496" s="196">
        <f t="shared" si="101"/>
        <v>-0.44999999999709</v>
      </c>
      <c r="O496" s="194"/>
      <c r="P496" s="195"/>
      <c r="Q496" s="125">
        <f>VLOOKUP(B496,[2]信息汇总表!$M$2:$T$816,8,0)</f>
        <v>125106</v>
      </c>
      <c r="R496" s="125">
        <f>VLOOKUP(B496,[1]sheet1!$J$4:$K$413,2,0)</f>
        <v>119149</v>
      </c>
      <c r="S496" s="125"/>
      <c r="T496" s="125">
        <f t="shared" si="108"/>
        <v>119148.571428571</v>
      </c>
      <c r="U496" s="125">
        <f t="shared" si="100"/>
        <v>5957.42857142858</v>
      </c>
      <c r="V496" s="125">
        <f t="shared" si="112"/>
        <v>-0.428571429001749</v>
      </c>
      <c r="W496" s="125">
        <f t="shared" si="113"/>
        <v>-0.0214285714500875</v>
      </c>
      <c r="X496" s="125"/>
      <c r="Y496" s="195" t="s">
        <v>42</v>
      </c>
      <c r="Z496" s="165">
        <f t="shared" si="107"/>
        <v>-0.450000000451836</v>
      </c>
    </row>
    <row r="497" hidden="1" spans="1:26">
      <c r="A497" s="175">
        <v>494</v>
      </c>
      <c r="B497" s="187" t="s">
        <v>923</v>
      </c>
      <c r="C497" s="183">
        <v>43.14</v>
      </c>
      <c r="D497" s="179">
        <v>2876</v>
      </c>
      <c r="E497" s="179">
        <f t="shared" si="104"/>
        <v>124071</v>
      </c>
      <c r="F497" s="212" t="s">
        <v>924</v>
      </c>
      <c r="G497" s="213"/>
      <c r="H497" s="214">
        <v>2840</v>
      </c>
      <c r="I497" s="214">
        <v>122518</v>
      </c>
      <c r="J497" s="196">
        <f>VLOOKUP(B497,泰康小区账面房号及收款金额!$A$2:$B$424,2,0)</f>
        <v>122517.15</v>
      </c>
      <c r="K497" s="196"/>
      <c r="L497" s="196"/>
      <c r="M497" s="196"/>
      <c r="N497" s="196">
        <f t="shared" si="101"/>
        <v>0.850000000005821</v>
      </c>
      <c r="O497" s="194"/>
      <c r="P497" s="195"/>
      <c r="Q497" s="125">
        <f>VLOOKUP(B497,[2]信息汇总表!$M$2:$T$816,8,0)</f>
        <v>122518</v>
      </c>
      <c r="R497" s="125">
        <f>VLOOKUP(B497,[1]sheet1!$J$4:$K$413,2,0)</f>
        <v>116683</v>
      </c>
      <c r="S497" s="125"/>
      <c r="T497" s="125">
        <f t="shared" si="108"/>
        <v>116683.80952381</v>
      </c>
      <c r="U497" s="125">
        <f t="shared" si="100"/>
        <v>5834.19047619049</v>
      </c>
      <c r="V497" s="125">
        <f t="shared" si="112"/>
        <v>0.809523810006795</v>
      </c>
      <c r="W497" s="125">
        <f t="shared" si="113"/>
        <v>0.0404761905003397</v>
      </c>
      <c r="X497" s="125"/>
      <c r="Y497" s="195" t="s">
        <v>42</v>
      </c>
      <c r="Z497" s="165">
        <f t="shared" si="107"/>
        <v>0.850000000507135</v>
      </c>
    </row>
    <row r="498" hidden="1" spans="1:26">
      <c r="A498" s="175">
        <v>495</v>
      </c>
      <c r="B498" s="187" t="s">
        <v>925</v>
      </c>
      <c r="C498" s="183">
        <v>58.01</v>
      </c>
      <c r="D498" s="179">
        <v>2876</v>
      </c>
      <c r="E498" s="179">
        <f t="shared" si="104"/>
        <v>166837</v>
      </c>
      <c r="F498" s="212" t="s">
        <v>924</v>
      </c>
      <c r="G498" s="213"/>
      <c r="H498" s="214">
        <v>2840</v>
      </c>
      <c r="I498" s="214">
        <v>164748</v>
      </c>
      <c r="J498" s="196">
        <f>VLOOKUP(B498,泰康小区账面房号及收款金额!$A$2:$B$424,2,0)</f>
        <v>164748.15</v>
      </c>
      <c r="K498" s="196"/>
      <c r="L498" s="196"/>
      <c r="M498" s="196"/>
      <c r="N498" s="196">
        <f t="shared" si="101"/>
        <v>-0.149999999994179</v>
      </c>
      <c r="O498" s="194"/>
      <c r="P498" s="195"/>
      <c r="Q498" s="125">
        <f>VLOOKUP(B498,[2]信息汇总表!$M$2:$T$816,8,0)</f>
        <v>164748</v>
      </c>
      <c r="R498" s="125">
        <f>VLOOKUP(B498,[1]sheet1!$J$4:$K$413,2,0)</f>
        <v>156903</v>
      </c>
      <c r="S498" s="125"/>
      <c r="T498" s="125">
        <f t="shared" si="108"/>
        <v>156902.857142857</v>
      </c>
      <c r="U498" s="125">
        <f t="shared" si="100"/>
        <v>7845.14285714287</v>
      </c>
      <c r="V498" s="125">
        <f t="shared" si="112"/>
        <v>-0.142857142986031</v>
      </c>
      <c r="W498" s="125">
        <f t="shared" si="113"/>
        <v>-0.00714285714930156</v>
      </c>
      <c r="X498" s="125"/>
      <c r="Y498" s="195" t="s">
        <v>42</v>
      </c>
      <c r="Z498" s="165">
        <f t="shared" si="107"/>
        <v>-0.150000000135333</v>
      </c>
    </row>
    <row r="499" hidden="1" spans="1:26">
      <c r="A499" s="175">
        <v>496</v>
      </c>
      <c r="B499" s="187" t="s">
        <v>926</v>
      </c>
      <c r="C499" s="183">
        <v>58.41</v>
      </c>
      <c r="D499" s="179">
        <v>2876</v>
      </c>
      <c r="E499" s="179">
        <f t="shared" si="104"/>
        <v>167987</v>
      </c>
      <c r="F499" s="212" t="s">
        <v>927</v>
      </c>
      <c r="G499" s="213" t="s">
        <v>48</v>
      </c>
      <c r="H499" s="214"/>
      <c r="I499" s="214">
        <v>0</v>
      </c>
      <c r="J499" s="196">
        <f>VLOOKUP(B499,泰康小区账面房号及收款金额!$A$2:$B$424,2,0)</f>
        <v>0</v>
      </c>
      <c r="K499" s="196"/>
      <c r="L499" s="196"/>
      <c r="M499" s="196"/>
      <c r="N499" s="196">
        <f t="shared" si="101"/>
        <v>0</v>
      </c>
      <c r="O499" s="194"/>
      <c r="P499" s="195"/>
      <c r="Q499" s="125"/>
      <c r="R499" s="125"/>
      <c r="S499" s="125"/>
      <c r="T499" s="125">
        <f t="shared" si="108"/>
        <v>0</v>
      </c>
      <c r="U499" s="125">
        <f t="shared" si="100"/>
        <v>0</v>
      </c>
      <c r="V499" s="125">
        <f t="shared" si="112"/>
        <v>0</v>
      </c>
      <c r="W499" s="125">
        <f t="shared" si="113"/>
        <v>0</v>
      </c>
      <c r="X499" s="125"/>
      <c r="Y499" s="195" t="s">
        <v>42</v>
      </c>
      <c r="Z499" s="165">
        <f t="shared" si="107"/>
        <v>0</v>
      </c>
    </row>
    <row r="500" hidden="1" spans="1:26">
      <c r="A500" s="175">
        <v>497</v>
      </c>
      <c r="B500" s="187" t="s">
        <v>928</v>
      </c>
      <c r="C500" s="183">
        <v>43.14</v>
      </c>
      <c r="D500" s="179">
        <v>2876</v>
      </c>
      <c r="E500" s="179">
        <f t="shared" si="104"/>
        <v>124071</v>
      </c>
      <c r="F500" s="212" t="s">
        <v>929</v>
      </c>
      <c r="G500" s="213"/>
      <c r="H500" s="214">
        <v>2900</v>
      </c>
      <c r="I500" s="214">
        <v>125106</v>
      </c>
      <c r="J500" s="196">
        <f>VLOOKUP(B500,泰康小区账面房号及收款金额!$A$2:$B$424,2,0)</f>
        <v>125105.4</v>
      </c>
      <c r="K500" s="196"/>
      <c r="L500" s="196"/>
      <c r="M500" s="196"/>
      <c r="N500" s="196">
        <f t="shared" si="101"/>
        <v>0.600000000005821</v>
      </c>
      <c r="O500" s="194"/>
      <c r="P500" s="195"/>
      <c r="Q500" s="125">
        <f>VLOOKUP(B500,[2]信息汇总表!$M$2:$T$816,8,0)</f>
        <v>125106</v>
      </c>
      <c r="R500" s="125">
        <f>VLOOKUP(B500,[1]sheet1!$J$4:$K$413,2,0)</f>
        <v>119148</v>
      </c>
      <c r="S500" s="125"/>
      <c r="T500" s="125">
        <f t="shared" si="108"/>
        <v>119148.571428571</v>
      </c>
      <c r="U500" s="125">
        <f t="shared" si="100"/>
        <v>5957.42857142858</v>
      </c>
      <c r="V500" s="125">
        <f t="shared" si="112"/>
        <v>0.571428570998251</v>
      </c>
      <c r="W500" s="125">
        <f t="shared" si="113"/>
        <v>0.0285714285499125</v>
      </c>
      <c r="X500" s="125"/>
      <c r="Y500" s="195" t="s">
        <v>42</v>
      </c>
      <c r="Z500" s="165">
        <f t="shared" si="107"/>
        <v>0.599999999548163</v>
      </c>
    </row>
    <row r="501" hidden="1" spans="1:26">
      <c r="A501" s="175">
        <v>498</v>
      </c>
      <c r="B501" s="187" t="s">
        <v>930</v>
      </c>
      <c r="C501" s="183">
        <v>43.14</v>
      </c>
      <c r="D501" s="179">
        <v>2906</v>
      </c>
      <c r="E501" s="179">
        <f t="shared" si="104"/>
        <v>125365</v>
      </c>
      <c r="F501" s="212" t="s">
        <v>931</v>
      </c>
      <c r="G501" s="213"/>
      <c r="H501" s="214">
        <v>2910</v>
      </c>
      <c r="I501" s="214">
        <v>125537</v>
      </c>
      <c r="J501" s="196">
        <f>VLOOKUP(B501,泰康小区账面房号及收款金额!$A$2:$B$424,2,0)</f>
        <v>125536.95</v>
      </c>
      <c r="K501" s="196"/>
      <c r="L501" s="196"/>
      <c r="M501" s="196"/>
      <c r="N501" s="196">
        <f t="shared" si="101"/>
        <v>0.0500000000029104</v>
      </c>
      <c r="O501" s="194"/>
      <c r="P501" s="195"/>
      <c r="Q501" s="125">
        <f>VLOOKUP(B501,[2]信息汇总表!$M$2:$T$816,8,0)</f>
        <v>125537</v>
      </c>
      <c r="R501" s="125">
        <f>VLOOKUP(B501,[1]sheet1!$J$4:$K$413,2,0)</f>
        <v>119559</v>
      </c>
      <c r="S501" s="125"/>
      <c r="T501" s="125">
        <f t="shared" si="108"/>
        <v>119559.047619048</v>
      </c>
      <c r="U501" s="125">
        <f t="shared" si="100"/>
        <v>5977.95238095238</v>
      </c>
      <c r="V501" s="125">
        <f t="shared" si="112"/>
        <v>0.0476190479967045</v>
      </c>
      <c r="W501" s="125">
        <f t="shared" si="113"/>
        <v>0.00238095239983522</v>
      </c>
      <c r="X501" s="125"/>
      <c r="Y501" s="195" t="s">
        <v>42</v>
      </c>
      <c r="Z501" s="165">
        <f t="shared" si="107"/>
        <v>0.0500000003965397</v>
      </c>
    </row>
    <row r="502" hidden="1" spans="1:26">
      <c r="A502" s="175">
        <v>499</v>
      </c>
      <c r="B502" s="187" t="s">
        <v>932</v>
      </c>
      <c r="C502" s="183">
        <v>58.01</v>
      </c>
      <c r="D502" s="179">
        <v>2906</v>
      </c>
      <c r="E502" s="179">
        <f t="shared" si="104"/>
        <v>168577</v>
      </c>
      <c r="F502" s="212" t="s">
        <v>931</v>
      </c>
      <c r="G502" s="213"/>
      <c r="H502" s="214">
        <v>2910</v>
      </c>
      <c r="I502" s="214">
        <v>168809</v>
      </c>
      <c r="J502" s="196">
        <f>VLOOKUP(B502,泰康小区账面房号及收款金额!$A$2:$B$424,2,0)</f>
        <v>168808.5</v>
      </c>
      <c r="K502" s="196"/>
      <c r="L502" s="196"/>
      <c r="M502" s="196"/>
      <c r="N502" s="196">
        <f t="shared" si="101"/>
        <v>0.5</v>
      </c>
      <c r="O502" s="194"/>
      <c r="P502" s="195"/>
      <c r="Q502" s="125">
        <f>VLOOKUP(B502,[2]信息汇总表!$M$2:$T$816,8,0)</f>
        <v>168809</v>
      </c>
      <c r="R502" s="125">
        <f>VLOOKUP(B502,[1]sheet1!$J$4:$K$413,2,0)</f>
        <v>160770</v>
      </c>
      <c r="S502" s="125"/>
      <c r="T502" s="125">
        <f t="shared" si="108"/>
        <v>160770.476190476</v>
      </c>
      <c r="U502" s="125">
        <f t="shared" si="100"/>
        <v>8038.52380952382</v>
      </c>
      <c r="V502" s="125">
        <f t="shared" si="112"/>
        <v>0.476190476008924</v>
      </c>
      <c r="W502" s="125">
        <f t="shared" si="113"/>
        <v>0.0238095238004462</v>
      </c>
      <c r="X502" s="125"/>
      <c r="Y502" s="195" t="s">
        <v>42</v>
      </c>
      <c r="Z502" s="165">
        <f t="shared" si="107"/>
        <v>0.49999999980937</v>
      </c>
    </row>
    <row r="503" hidden="1" spans="1:26">
      <c r="A503" s="175">
        <v>500</v>
      </c>
      <c r="B503" s="187" t="s">
        <v>933</v>
      </c>
      <c r="C503" s="183">
        <v>58.41</v>
      </c>
      <c r="D503" s="179">
        <v>2906</v>
      </c>
      <c r="E503" s="179">
        <f t="shared" si="104"/>
        <v>169739</v>
      </c>
      <c r="F503" s="212" t="s">
        <v>934</v>
      </c>
      <c r="G503" s="213"/>
      <c r="H503" s="214">
        <v>2880</v>
      </c>
      <c r="I503" s="214">
        <v>168221</v>
      </c>
      <c r="J503" s="196">
        <f>VLOOKUP(B503,泰康小区账面房号及收款金额!$A$2:$B$424,2,0)</f>
        <v>168220.5</v>
      </c>
      <c r="K503" s="196"/>
      <c r="L503" s="196"/>
      <c r="M503" s="196"/>
      <c r="N503" s="196">
        <f t="shared" si="101"/>
        <v>0.5</v>
      </c>
      <c r="O503" s="194"/>
      <c r="P503" s="195"/>
      <c r="Q503" s="125">
        <f>VLOOKUP(B503,[2]信息汇总表!$M$2:$T$816,8,0)</f>
        <v>168221</v>
      </c>
      <c r="R503" s="125">
        <f>VLOOKUP(B503,[1]sheet1!$J$4:$K$413,2,0)</f>
        <v>160210</v>
      </c>
      <c r="S503" s="125"/>
      <c r="T503" s="125">
        <f t="shared" si="108"/>
        <v>160210.476190476</v>
      </c>
      <c r="U503" s="125">
        <f t="shared" si="100"/>
        <v>8010.52380952382</v>
      </c>
      <c r="V503" s="125">
        <f t="shared" si="112"/>
        <v>0.476190476008924</v>
      </c>
      <c r="W503" s="125">
        <f t="shared" si="113"/>
        <v>0.0238095238004462</v>
      </c>
      <c r="X503" s="125"/>
      <c r="Y503" s="195" t="s">
        <v>42</v>
      </c>
      <c r="Z503" s="165">
        <f t="shared" si="107"/>
        <v>0.49999999980937</v>
      </c>
    </row>
    <row r="504" hidden="1" spans="1:26">
      <c r="A504" s="175">
        <v>501</v>
      </c>
      <c r="B504" s="187" t="s">
        <v>935</v>
      </c>
      <c r="C504" s="183">
        <v>43.14</v>
      </c>
      <c r="D504" s="179">
        <v>2906</v>
      </c>
      <c r="E504" s="179">
        <f t="shared" si="104"/>
        <v>125365</v>
      </c>
      <c r="F504" s="212" t="s">
        <v>936</v>
      </c>
      <c r="G504" s="213"/>
      <c r="H504" s="214">
        <v>2910</v>
      </c>
      <c r="I504" s="214">
        <v>125537</v>
      </c>
      <c r="J504" s="196">
        <f>VLOOKUP(B504,泰康小区账面房号及收款金额!$A$2:$B$424,2,0)</f>
        <v>125538</v>
      </c>
      <c r="K504" s="196"/>
      <c r="L504" s="196"/>
      <c r="M504" s="196"/>
      <c r="N504" s="196">
        <f t="shared" si="101"/>
        <v>-1</v>
      </c>
      <c r="O504" s="194"/>
      <c r="P504" s="195"/>
      <c r="Q504" s="125"/>
      <c r="R504" s="125">
        <f>VLOOKUP(B504,[1]sheet1!$J$4:$K$413,2,0)</f>
        <v>119560</v>
      </c>
      <c r="S504" s="125"/>
      <c r="T504" s="125">
        <f t="shared" si="108"/>
        <v>119559.047619048</v>
      </c>
      <c r="U504" s="125">
        <f t="shared" si="100"/>
        <v>5977.95238095238</v>
      </c>
      <c r="V504" s="125">
        <f t="shared" si="112"/>
        <v>-0.952380952003296</v>
      </c>
      <c r="W504" s="125">
        <f t="shared" si="113"/>
        <v>-0.0476190476001648</v>
      </c>
      <c r="X504" s="125"/>
      <c r="Y504" s="195" t="s">
        <v>42</v>
      </c>
      <c r="Z504" s="165">
        <f t="shared" si="107"/>
        <v>-0.999999999603461</v>
      </c>
    </row>
    <row r="505" hidden="1" spans="1:26">
      <c r="A505" s="175">
        <v>502</v>
      </c>
      <c r="B505" s="221" t="s">
        <v>937</v>
      </c>
      <c r="C505" s="183">
        <v>43.14</v>
      </c>
      <c r="D505" s="179">
        <v>2866</v>
      </c>
      <c r="E505" s="179">
        <f t="shared" si="104"/>
        <v>123639</v>
      </c>
      <c r="F505" s="212" t="s">
        <v>938</v>
      </c>
      <c r="G505" s="213"/>
      <c r="H505" s="214">
        <v>2950</v>
      </c>
      <c r="I505" s="214">
        <v>127263</v>
      </c>
      <c r="J505" s="196">
        <f>泰康小区账面房号及收款金额!B303</f>
        <v>140393.4</v>
      </c>
      <c r="K505" s="225"/>
      <c r="L505" s="225"/>
      <c r="M505" s="225"/>
      <c r="N505" s="225">
        <f>I505+I506-J505-J506</f>
        <v>-0.199999999982538</v>
      </c>
      <c r="O505" s="194"/>
      <c r="P505" s="195"/>
      <c r="Q505" s="125">
        <f>VLOOKUP(B505,[2]信息汇总表!$M$2:$T$816,8,0)</f>
        <v>127263</v>
      </c>
      <c r="R505" s="125">
        <f>[1]sheet1!$K$393</f>
        <v>133708</v>
      </c>
      <c r="S505" s="125"/>
      <c r="T505" s="125">
        <f t="shared" si="108"/>
        <v>121202.857142857</v>
      </c>
      <c r="U505" s="125">
        <f t="shared" si="100"/>
        <v>6060.14285714286</v>
      </c>
      <c r="V505" s="125">
        <f t="shared" si="112"/>
        <v>-12505.142857143</v>
      </c>
      <c r="W505" s="125">
        <f>U505-X505</f>
        <v>-624.85714285714</v>
      </c>
      <c r="X505" s="204">
        <v>6685</v>
      </c>
      <c r="Y505" s="195" t="s">
        <v>42</v>
      </c>
      <c r="Z505" s="165">
        <f t="shared" si="107"/>
        <v>-13130.0000000001</v>
      </c>
    </row>
    <row r="506" hidden="1" spans="1:26">
      <c r="A506" s="175">
        <v>503</v>
      </c>
      <c r="B506" s="221" t="s">
        <v>939</v>
      </c>
      <c r="C506" s="183">
        <v>58.01</v>
      </c>
      <c r="D506" s="179">
        <v>2866</v>
      </c>
      <c r="E506" s="179">
        <f t="shared" si="104"/>
        <v>166257</v>
      </c>
      <c r="F506" s="212" t="s">
        <v>938</v>
      </c>
      <c r="G506" s="213"/>
      <c r="H506" s="214">
        <v>2950</v>
      </c>
      <c r="I506" s="214">
        <v>171130</v>
      </c>
      <c r="J506" s="196">
        <f>VLOOKUP(B506,泰康小区账面房号及收款金额!$A$2:$B$424,2,0)</f>
        <v>157999.8</v>
      </c>
      <c r="K506" s="226"/>
      <c r="L506" s="226"/>
      <c r="M506" s="226"/>
      <c r="N506" s="226"/>
      <c r="O506" s="194"/>
      <c r="P506" s="195"/>
      <c r="Q506" s="125">
        <f>VLOOKUP(B506,[2]信息汇总表!$M$2:$T$816,8,0)</f>
        <v>171130</v>
      </c>
      <c r="R506" s="125">
        <f>VLOOKUP(B506,[1]sheet1!$J$4:$K$413,2,0)</f>
        <v>150476</v>
      </c>
      <c r="S506" s="125"/>
      <c r="T506" s="125">
        <f t="shared" si="108"/>
        <v>162980.952380952</v>
      </c>
      <c r="U506" s="125">
        <f t="shared" si="100"/>
        <v>8149.04761904763</v>
      </c>
      <c r="V506" s="125">
        <f t="shared" si="112"/>
        <v>12504.952380952</v>
      </c>
      <c r="W506" s="125">
        <f>U506-X506</f>
        <v>625.04761904763</v>
      </c>
      <c r="X506" s="204">
        <v>7524</v>
      </c>
      <c r="Y506" s="195" t="s">
        <v>42</v>
      </c>
      <c r="Z506" s="165">
        <f t="shared" si="107"/>
        <v>13129.9999999996</v>
      </c>
    </row>
    <row r="507" hidden="1" spans="1:26">
      <c r="A507" s="175">
        <v>504</v>
      </c>
      <c r="B507" s="221" t="s">
        <v>940</v>
      </c>
      <c r="C507" s="183">
        <v>58.41</v>
      </c>
      <c r="D507" s="179">
        <v>2866</v>
      </c>
      <c r="E507" s="179">
        <f t="shared" si="104"/>
        <v>167403</v>
      </c>
      <c r="F507" s="212" t="s">
        <v>941</v>
      </c>
      <c r="G507" s="213"/>
      <c r="H507" s="214">
        <v>2886</v>
      </c>
      <c r="I507" s="214">
        <v>168571</v>
      </c>
      <c r="J507" s="196">
        <f>VLOOKUP(B507,泰康小区账面房号及收款金额!$A$2:$B$424,2,0)</f>
        <v>168571.2</v>
      </c>
      <c r="K507" s="196"/>
      <c r="L507" s="196"/>
      <c r="M507" s="196"/>
      <c r="N507" s="196">
        <f t="shared" si="101"/>
        <v>-0.200000000011642</v>
      </c>
      <c r="O507" s="194"/>
      <c r="P507" s="195"/>
      <c r="Q507" s="125">
        <f>VLOOKUP(B507,[2]信息汇总表!$M$2:$T$816,8,0)</f>
        <v>168571</v>
      </c>
      <c r="R507" s="125">
        <f>VLOOKUP(B507,[1]sheet1!$J$4:$K$413,2,0)</f>
        <v>160544</v>
      </c>
      <c r="S507" s="125"/>
      <c r="T507" s="125">
        <f t="shared" si="108"/>
        <v>160543.80952381</v>
      </c>
      <c r="U507" s="125">
        <f t="shared" si="100"/>
        <v>8027.19047619047</v>
      </c>
      <c r="V507" s="125">
        <f t="shared" si="112"/>
        <v>-0.190476190007757</v>
      </c>
      <c r="W507" s="125">
        <f t="shared" ref="W507:W514" si="114">V507*0.05</f>
        <v>-0.00952380950038787</v>
      </c>
      <c r="X507" s="125"/>
      <c r="Y507" s="195" t="s">
        <v>42</v>
      </c>
      <c r="Z507" s="165">
        <f t="shared" si="107"/>
        <v>-0.199999999508145</v>
      </c>
    </row>
    <row r="508" hidden="1" spans="1:26">
      <c r="A508" s="175">
        <v>505</v>
      </c>
      <c r="B508" s="221" t="s">
        <v>942</v>
      </c>
      <c r="C508" s="183">
        <v>43.14</v>
      </c>
      <c r="D508" s="179">
        <v>2866</v>
      </c>
      <c r="E508" s="179">
        <f t="shared" si="104"/>
        <v>123639</v>
      </c>
      <c r="F508" s="212" t="s">
        <v>943</v>
      </c>
      <c r="G508" s="213"/>
      <c r="H508" s="214">
        <v>2930</v>
      </c>
      <c r="I508" s="214">
        <v>126400</v>
      </c>
      <c r="J508" s="196">
        <f>VLOOKUP(B508,泰康小区账面房号及收款金额!$A$2:$B$424,2,0)</f>
        <v>126400.05</v>
      </c>
      <c r="K508" s="196"/>
      <c r="L508" s="196"/>
      <c r="M508" s="196"/>
      <c r="N508" s="196">
        <f t="shared" si="101"/>
        <v>-0.0500000000029104</v>
      </c>
      <c r="O508" s="194"/>
      <c r="P508" s="195"/>
      <c r="Q508" s="125">
        <f>VLOOKUP(B508,[2]信息汇总表!$M$2:$T$816,8,0)</f>
        <v>126400</v>
      </c>
      <c r="R508" s="125">
        <f>VLOOKUP(B508,[1]sheet1!$J$4:$K$413,2,0)</f>
        <v>120381</v>
      </c>
      <c r="S508" s="125"/>
      <c r="T508" s="125">
        <f t="shared" si="108"/>
        <v>120380.952380952</v>
      </c>
      <c r="U508" s="125">
        <f t="shared" si="100"/>
        <v>6019.04761904762</v>
      </c>
      <c r="V508" s="125">
        <f t="shared" si="112"/>
        <v>-0.0476190479967045</v>
      </c>
      <c r="W508" s="125">
        <f t="shared" si="114"/>
        <v>-0.00238095239983522</v>
      </c>
      <c r="X508" s="125"/>
      <c r="Y508" s="195" t="s">
        <v>42</v>
      </c>
      <c r="Z508" s="165">
        <f t="shared" si="107"/>
        <v>-0.0500000003965397</v>
      </c>
    </row>
    <row r="509" hidden="1" spans="1:26">
      <c r="A509" s="175">
        <v>506</v>
      </c>
      <c r="B509" s="221" t="s">
        <v>944</v>
      </c>
      <c r="C509" s="183">
        <v>43.14</v>
      </c>
      <c r="D509" s="179">
        <v>2886</v>
      </c>
      <c r="E509" s="179">
        <f t="shared" si="104"/>
        <v>124502</v>
      </c>
      <c r="F509" s="212" t="s">
        <v>945</v>
      </c>
      <c r="G509" s="213"/>
      <c r="H509" s="214">
        <v>2890</v>
      </c>
      <c r="I509" s="214">
        <v>124675</v>
      </c>
      <c r="J509" s="196">
        <f>VLOOKUP(B509,泰康小区账面房号及收款金额!$A$2:$B$424,2,0)</f>
        <v>124674.9</v>
      </c>
      <c r="K509" s="196"/>
      <c r="L509" s="196"/>
      <c r="M509" s="196"/>
      <c r="N509" s="196">
        <f t="shared" si="101"/>
        <v>0.100000000005821</v>
      </c>
      <c r="O509" s="194"/>
      <c r="P509" s="195"/>
      <c r="Q509" s="125">
        <f>VLOOKUP(B509,[2]信息汇总表!$M$2:$T$816,8,0)</f>
        <v>124675</v>
      </c>
      <c r="R509" s="125">
        <f>VLOOKUP(B509,[1]sheet1!$J$4:$K$413,2,0)</f>
        <v>118738</v>
      </c>
      <c r="S509" s="125"/>
      <c r="T509" s="125">
        <f t="shared" si="108"/>
        <v>118738.095238095</v>
      </c>
      <c r="U509" s="125">
        <f t="shared" si="100"/>
        <v>5936.90476190476</v>
      </c>
      <c r="V509" s="125">
        <f t="shared" si="112"/>
        <v>0.0952380950038787</v>
      </c>
      <c r="W509" s="125">
        <f t="shared" si="114"/>
        <v>0.00476190475019394</v>
      </c>
      <c r="X509" s="125"/>
      <c r="Y509" s="195" t="s">
        <v>42</v>
      </c>
      <c r="Z509" s="165">
        <f t="shared" si="107"/>
        <v>0.0999999997540726</v>
      </c>
    </row>
    <row r="510" hidden="1" spans="1:26">
      <c r="A510" s="175">
        <v>507</v>
      </c>
      <c r="B510" s="221" t="s">
        <v>946</v>
      </c>
      <c r="C510" s="183">
        <v>58.01</v>
      </c>
      <c r="D510" s="179">
        <v>2886</v>
      </c>
      <c r="E510" s="179">
        <f t="shared" si="104"/>
        <v>167417</v>
      </c>
      <c r="F510" s="212" t="s">
        <v>945</v>
      </c>
      <c r="G510" s="213"/>
      <c r="H510" s="214">
        <v>2890</v>
      </c>
      <c r="I510" s="214">
        <v>167649</v>
      </c>
      <c r="J510" s="196">
        <f>VLOOKUP(B510,泰康小区账面房号及收款金额!$A$2:$B$424,2,0)</f>
        <v>167649.3</v>
      </c>
      <c r="K510" s="196"/>
      <c r="L510" s="196"/>
      <c r="M510" s="196"/>
      <c r="N510" s="196">
        <f t="shared" si="101"/>
        <v>-0.299999999988358</v>
      </c>
      <c r="O510" s="194"/>
      <c r="P510" s="195"/>
      <c r="Q510" s="125">
        <f>VLOOKUP(B510,[2]信息汇总表!$M$2:$T$816,8,0)</f>
        <v>167649</v>
      </c>
      <c r="R510" s="125">
        <f>VLOOKUP(B510,[1]sheet1!$J$4:$K$413,2,0)</f>
        <v>159666</v>
      </c>
      <c r="S510" s="125"/>
      <c r="T510" s="125">
        <f t="shared" si="108"/>
        <v>159665.714285714</v>
      </c>
      <c r="U510" s="125">
        <f t="shared" si="100"/>
        <v>7983.28571428571</v>
      </c>
      <c r="V510" s="125">
        <f t="shared" si="112"/>
        <v>-0.285714286001166</v>
      </c>
      <c r="W510" s="125">
        <f t="shared" si="114"/>
        <v>-0.0142857143000583</v>
      </c>
      <c r="X510" s="125"/>
      <c r="Y510" s="195" t="s">
        <v>42</v>
      </c>
      <c r="Z510" s="165">
        <f t="shared" si="107"/>
        <v>-0.300000000301224</v>
      </c>
    </row>
    <row r="511" hidden="1" spans="1:26">
      <c r="A511" s="175">
        <v>508</v>
      </c>
      <c r="B511" s="221" t="s">
        <v>947</v>
      </c>
      <c r="C511" s="183">
        <v>58.41</v>
      </c>
      <c r="D511" s="179">
        <v>2886</v>
      </c>
      <c r="E511" s="179">
        <f t="shared" si="104"/>
        <v>168571</v>
      </c>
      <c r="F511" s="212" t="s">
        <v>948</v>
      </c>
      <c r="G511" s="213"/>
      <c r="H511" s="214">
        <v>2886</v>
      </c>
      <c r="I511" s="214">
        <v>168571</v>
      </c>
      <c r="J511" s="196">
        <f>VLOOKUP(B511,泰康小区账面房号及收款金额!$A$2:$B$424,2,0)</f>
        <v>168571.2</v>
      </c>
      <c r="K511" s="196"/>
      <c r="L511" s="196"/>
      <c r="M511" s="196"/>
      <c r="N511" s="196">
        <f t="shared" si="101"/>
        <v>-0.200000000011642</v>
      </c>
      <c r="O511" s="194"/>
      <c r="P511" s="195"/>
      <c r="Q511" s="125">
        <f>VLOOKUP(B511,[2]信息汇总表!$M$2:$T$816,8,0)</f>
        <v>168571</v>
      </c>
      <c r="R511" s="125">
        <f>VLOOKUP(B511,[1]sheet1!$J$4:$K$413,2,0)</f>
        <v>160544</v>
      </c>
      <c r="S511" s="125"/>
      <c r="T511" s="125">
        <f t="shared" si="108"/>
        <v>160543.80952381</v>
      </c>
      <c r="U511" s="125">
        <f t="shared" si="100"/>
        <v>8027.19047619047</v>
      </c>
      <c r="V511" s="125">
        <f t="shared" si="112"/>
        <v>-0.190476190007757</v>
      </c>
      <c r="W511" s="125">
        <f t="shared" si="114"/>
        <v>-0.00952380950038787</v>
      </c>
      <c r="X511" s="125"/>
      <c r="Y511" s="195" t="s">
        <v>42</v>
      </c>
      <c r="Z511" s="165">
        <f t="shared" si="107"/>
        <v>-0.199999999508145</v>
      </c>
    </row>
    <row r="512" hidden="1" spans="1:26">
      <c r="A512" s="175">
        <v>509</v>
      </c>
      <c r="B512" s="221" t="s">
        <v>949</v>
      </c>
      <c r="C512" s="183">
        <v>43.14</v>
      </c>
      <c r="D512" s="179">
        <v>2886</v>
      </c>
      <c r="E512" s="179">
        <f t="shared" si="104"/>
        <v>124502</v>
      </c>
      <c r="F512" s="212" t="s">
        <v>950</v>
      </c>
      <c r="G512" s="213"/>
      <c r="H512" s="214">
        <v>2940</v>
      </c>
      <c r="I512" s="214">
        <v>126832</v>
      </c>
      <c r="J512" s="196">
        <f>VLOOKUP(B512,泰康小区账面房号及收款金额!$A$2:$B$424,2,0)</f>
        <v>126831.6</v>
      </c>
      <c r="K512" s="196"/>
      <c r="L512" s="196"/>
      <c r="M512" s="196"/>
      <c r="N512" s="196">
        <f t="shared" si="101"/>
        <v>0.399999999994179</v>
      </c>
      <c r="O512" s="194"/>
      <c r="P512" s="195"/>
      <c r="Q512" s="125">
        <f>VLOOKUP(B512,[2]信息汇总表!$M$2:$T$816,8,0)</f>
        <v>126832</v>
      </c>
      <c r="R512" s="125">
        <f>VLOOKUP(B512,[1]sheet1!$J$4:$K$413,2,0)</f>
        <v>120792</v>
      </c>
      <c r="S512" s="125"/>
      <c r="T512" s="125">
        <f t="shared" si="108"/>
        <v>120792.380952381</v>
      </c>
      <c r="U512" s="125">
        <f t="shared" si="100"/>
        <v>6039.61904761905</v>
      </c>
      <c r="V512" s="125">
        <f t="shared" si="112"/>
        <v>0.380952381005045</v>
      </c>
      <c r="W512" s="125">
        <f t="shared" si="114"/>
        <v>0.0190476190502523</v>
      </c>
      <c r="X512" s="125"/>
      <c r="Y512" s="195" t="s">
        <v>42</v>
      </c>
      <c r="Z512" s="165">
        <f t="shared" si="107"/>
        <v>0.400000000055297</v>
      </c>
    </row>
    <row r="513" hidden="1" spans="1:26">
      <c r="A513" s="175">
        <v>510</v>
      </c>
      <c r="B513" s="221" t="s">
        <v>951</v>
      </c>
      <c r="C513" s="183">
        <v>43.14</v>
      </c>
      <c r="D513" s="179">
        <v>2906</v>
      </c>
      <c r="E513" s="179">
        <f t="shared" si="104"/>
        <v>125365</v>
      </c>
      <c r="F513" s="212" t="s">
        <v>952</v>
      </c>
      <c r="G513" s="213"/>
      <c r="H513" s="214">
        <v>2950</v>
      </c>
      <c r="I513" s="214">
        <v>127263</v>
      </c>
      <c r="J513" s="196">
        <f>VLOOKUP(B513,泰康小区账面房号及收款金额!$A$2:$B$424,2,0)</f>
        <v>127263.15</v>
      </c>
      <c r="K513" s="196"/>
      <c r="L513" s="196"/>
      <c r="M513" s="196"/>
      <c r="N513" s="196">
        <f t="shared" si="101"/>
        <v>-0.149999999994179</v>
      </c>
      <c r="O513" s="194"/>
      <c r="P513" s="195"/>
      <c r="Q513" s="125">
        <f>VLOOKUP(B513,[2]信息汇总表!$M$2:$T$816,8,0)</f>
        <v>127263</v>
      </c>
      <c r="R513" s="125">
        <f>VLOOKUP(B513,[1]sheet1!$J$4:$K$413,2,0)</f>
        <v>121203</v>
      </c>
      <c r="S513" s="125"/>
      <c r="T513" s="125">
        <f t="shared" si="108"/>
        <v>121202.857142857</v>
      </c>
      <c r="U513" s="125">
        <f t="shared" si="100"/>
        <v>6060.14285714286</v>
      </c>
      <c r="V513" s="125">
        <f t="shared" si="112"/>
        <v>-0.142857143000583</v>
      </c>
      <c r="W513" s="125">
        <f t="shared" si="114"/>
        <v>-0.00714285715002916</v>
      </c>
      <c r="X513" s="125"/>
      <c r="Y513" s="195" t="s">
        <v>42</v>
      </c>
      <c r="Z513" s="165">
        <f t="shared" si="107"/>
        <v>-0.150000000150612</v>
      </c>
    </row>
    <row r="514" hidden="1" spans="1:26">
      <c r="A514" s="175">
        <v>511</v>
      </c>
      <c r="B514" s="221" t="s">
        <v>953</v>
      </c>
      <c r="C514" s="183">
        <v>58.01</v>
      </c>
      <c r="D514" s="179">
        <v>2906</v>
      </c>
      <c r="E514" s="179">
        <f t="shared" si="104"/>
        <v>168577</v>
      </c>
      <c r="F514" s="212" t="s">
        <v>952</v>
      </c>
      <c r="G514" s="213" t="s">
        <v>23</v>
      </c>
      <c r="H514" s="214">
        <v>2950</v>
      </c>
      <c r="I514" s="214">
        <v>171130</v>
      </c>
      <c r="J514" s="196">
        <f>VLOOKUP(B514,泰康小区账面房号及收款金额!$A$2:$B$424,2,0)</f>
        <v>171130.05</v>
      </c>
      <c r="K514" s="196"/>
      <c r="L514" s="196"/>
      <c r="M514" s="196"/>
      <c r="N514" s="196">
        <f t="shared" si="101"/>
        <v>-0.0499999999883585</v>
      </c>
      <c r="O514" s="194"/>
      <c r="P514" s="195"/>
      <c r="Q514" s="125">
        <f>VLOOKUP(B514,[2]信息汇总表!$M$2:$T$816,8,0)</f>
        <v>171130</v>
      </c>
      <c r="R514" s="125">
        <f>VLOOKUP(B514,[1]sheet1!$J$4:$K$413,2,0)</f>
        <v>162981</v>
      </c>
      <c r="S514" s="125"/>
      <c r="T514" s="125">
        <f t="shared" si="108"/>
        <v>162980.952380952</v>
      </c>
      <c r="U514" s="125">
        <f t="shared" si="100"/>
        <v>8149.04761904763</v>
      </c>
      <c r="V514" s="125">
        <f t="shared" si="112"/>
        <v>-0.0476190480112564</v>
      </c>
      <c r="W514" s="125">
        <f t="shared" si="114"/>
        <v>-0.00238095240056282</v>
      </c>
      <c r="X514" s="125"/>
      <c r="Y514" s="195" t="s">
        <v>42</v>
      </c>
      <c r="Z514" s="165">
        <f t="shared" si="107"/>
        <v>-0.0500000004118192</v>
      </c>
    </row>
    <row r="515" hidden="1" spans="1:26">
      <c r="A515" s="175">
        <v>512</v>
      </c>
      <c r="B515" s="221" t="s">
        <v>954</v>
      </c>
      <c r="C515" s="183">
        <v>58.41</v>
      </c>
      <c r="D515" s="179">
        <v>2906</v>
      </c>
      <c r="E515" s="179">
        <f t="shared" si="104"/>
        <v>169739</v>
      </c>
      <c r="F515" s="212" t="s">
        <v>101</v>
      </c>
      <c r="G515" s="213"/>
      <c r="H515" s="214">
        <v>2808</v>
      </c>
      <c r="I515" s="214">
        <v>164015</v>
      </c>
      <c r="J515" s="196">
        <f>VLOOKUP(B515,泰康小区账面房号及收款金额!$A$2:$B$424,2,0)</f>
        <v>164014.75</v>
      </c>
      <c r="K515" s="196"/>
      <c r="L515" s="196"/>
      <c r="M515" s="196"/>
      <c r="N515" s="196">
        <f t="shared" si="101"/>
        <v>0.25</v>
      </c>
      <c r="O515" s="194"/>
      <c r="P515" s="195"/>
      <c r="Q515" s="125">
        <f>VLOOKUP(B515,[2]信息汇总表!$M$2:$T$816,8,0)</f>
        <v>164015</v>
      </c>
      <c r="R515" s="125">
        <f>VLOOKUP(B515,[1]sheet1!$J$4:$K$413,2,0)</f>
        <v>20815</v>
      </c>
      <c r="S515" s="125">
        <f>9523.81+9523.81+17875.24+19047.62+9523.81+50847.62+19047.62</f>
        <v>135389.53</v>
      </c>
      <c r="T515" s="125">
        <f t="shared" si="108"/>
        <v>156204.761904762</v>
      </c>
      <c r="U515" s="125">
        <f t="shared" si="100"/>
        <v>7810.23809523811</v>
      </c>
      <c r="V515" s="125">
        <f t="shared" si="112"/>
        <v>0.231904762011254</v>
      </c>
      <c r="W515" s="125">
        <f>U515-X515</f>
        <v>-0.231904761889382</v>
      </c>
      <c r="X515" s="125">
        <f>2542.38+952.38+893.76+952.38+476.19+476.19+476.19+565+476</f>
        <v>7810.47</v>
      </c>
      <c r="Y515" s="195" t="s">
        <v>42</v>
      </c>
      <c r="Z515" s="165">
        <f t="shared" si="107"/>
        <v>1.21872012481816e-10</v>
      </c>
    </row>
    <row r="516" hidden="1" spans="1:26">
      <c r="A516" s="175">
        <v>513</v>
      </c>
      <c r="B516" s="221" t="s">
        <v>955</v>
      </c>
      <c r="C516" s="183">
        <v>43.14</v>
      </c>
      <c r="D516" s="179">
        <v>2906</v>
      </c>
      <c r="E516" s="179">
        <f t="shared" si="104"/>
        <v>125365</v>
      </c>
      <c r="F516" s="212" t="s">
        <v>956</v>
      </c>
      <c r="G516" s="213"/>
      <c r="H516" s="214">
        <v>2906</v>
      </c>
      <c r="I516" s="214">
        <v>125365</v>
      </c>
      <c r="J516" s="196">
        <f>VLOOKUP(B516,泰康小区账面房号及收款金额!$A$2:$B$424,2,0)</f>
        <v>125364.75</v>
      </c>
      <c r="K516" s="196"/>
      <c r="L516" s="196"/>
      <c r="M516" s="196"/>
      <c r="N516" s="196">
        <f t="shared" si="101"/>
        <v>0.25</v>
      </c>
      <c r="O516" s="194"/>
      <c r="P516" s="195"/>
      <c r="Q516" s="125">
        <f>VLOOKUP(B516,[2]信息汇总表!$M$2:$T$816,8,0)</f>
        <v>125365</v>
      </c>
      <c r="R516" s="125">
        <f>VLOOKUP(B516,[1]sheet1!$J$4:$K$413,2,0)</f>
        <v>119395</v>
      </c>
      <c r="S516" s="125"/>
      <c r="T516" s="125">
        <f t="shared" si="108"/>
        <v>119395.238095238</v>
      </c>
      <c r="U516" s="125">
        <f t="shared" si="100"/>
        <v>5969.76190476191</v>
      </c>
      <c r="V516" s="125">
        <f t="shared" si="112"/>
        <v>0.238095238004462</v>
      </c>
      <c r="W516" s="125">
        <f t="shared" ref="W516:W520" si="115">V516*0.05</f>
        <v>0.0119047619002231</v>
      </c>
      <c r="X516" s="125"/>
      <c r="Y516" s="195" t="s">
        <v>42</v>
      </c>
      <c r="Z516" s="165">
        <f t="shared" si="107"/>
        <v>0.249999999904685</v>
      </c>
    </row>
    <row r="517" hidden="1" spans="1:26">
      <c r="A517" s="175">
        <v>514</v>
      </c>
      <c r="B517" s="221" t="s">
        <v>957</v>
      </c>
      <c r="C517" s="183">
        <v>43.14</v>
      </c>
      <c r="D517" s="179">
        <v>2846</v>
      </c>
      <c r="E517" s="179">
        <f t="shared" si="104"/>
        <v>122776</v>
      </c>
      <c r="F517" s="212" t="s">
        <v>958</v>
      </c>
      <c r="G517" s="213"/>
      <c r="H517" s="214">
        <v>2750</v>
      </c>
      <c r="I517" s="214">
        <v>118635</v>
      </c>
      <c r="J517" s="196">
        <f>VLOOKUP(B517,泰康小区账面房号及收款金额!$A$2:$B$424,2,0)</f>
        <v>118635.3</v>
      </c>
      <c r="K517" s="196"/>
      <c r="L517" s="196"/>
      <c r="M517" s="196"/>
      <c r="N517" s="196">
        <f t="shared" si="101"/>
        <v>-0.30000000000291</v>
      </c>
      <c r="O517" s="194"/>
      <c r="P517" s="195"/>
      <c r="Q517" s="125">
        <f>VLOOKUP(B517,[2]信息汇总表!$M$2:$T$816,8,0)</f>
        <v>118635</v>
      </c>
      <c r="R517" s="125">
        <f>VLOOKUP(B517,[1]sheet1!$J$4:$K$413,2,0)</f>
        <v>112986</v>
      </c>
      <c r="S517" s="125"/>
      <c r="T517" s="125">
        <f t="shared" si="108"/>
        <v>112985.714285714</v>
      </c>
      <c r="U517" s="125">
        <f t="shared" ref="U517:U523" si="116">I517-T517</f>
        <v>5649.28571428572</v>
      </c>
      <c r="V517" s="125">
        <f t="shared" si="112"/>
        <v>-0.285714286001166</v>
      </c>
      <c r="W517" s="125">
        <f t="shared" si="115"/>
        <v>-0.0142857143000583</v>
      </c>
      <c r="X517" s="125"/>
      <c r="Y517" s="195" t="s">
        <v>42</v>
      </c>
      <c r="Z517" s="165">
        <f t="shared" si="107"/>
        <v>-0.300000000301224</v>
      </c>
    </row>
    <row r="518" hidden="1" spans="1:26">
      <c r="A518" s="175">
        <v>515</v>
      </c>
      <c r="B518" s="221" t="s">
        <v>959</v>
      </c>
      <c r="C518" s="183">
        <v>58.01</v>
      </c>
      <c r="D518" s="179">
        <v>2846</v>
      </c>
      <c r="E518" s="179">
        <f t="shared" si="104"/>
        <v>165096</v>
      </c>
      <c r="F518" s="212" t="s">
        <v>958</v>
      </c>
      <c r="G518" s="213"/>
      <c r="H518" s="214">
        <v>2750</v>
      </c>
      <c r="I518" s="214">
        <v>159528</v>
      </c>
      <c r="J518" s="196">
        <f>VLOOKUP(B518,泰康小区账面房号及收款金额!$A$2:$B$424,2,0)</f>
        <v>159527.55</v>
      </c>
      <c r="K518" s="196"/>
      <c r="L518" s="196"/>
      <c r="M518" s="196"/>
      <c r="N518" s="196">
        <f t="shared" si="101"/>
        <v>0.450000000011642</v>
      </c>
      <c r="O518" s="194"/>
      <c r="P518" s="195"/>
      <c r="Q518" s="125">
        <f>VLOOKUP(B518,[2]信息汇总表!$M$2:$T$816,8,0)</f>
        <v>159527</v>
      </c>
      <c r="R518" s="125">
        <f>VLOOKUP(B518,[1]sheet1!$J$4:$K$413,2,0)</f>
        <v>151931</v>
      </c>
      <c r="S518" s="125"/>
      <c r="T518" s="125">
        <f t="shared" si="108"/>
        <v>151931.428571429</v>
      </c>
      <c r="U518" s="125">
        <f t="shared" si="116"/>
        <v>7596.57142857145</v>
      </c>
      <c r="V518" s="125">
        <f t="shared" si="112"/>
        <v>0.428571428987198</v>
      </c>
      <c r="W518" s="125">
        <f t="shared" si="115"/>
        <v>0.0214285714493599</v>
      </c>
      <c r="X518" s="125"/>
      <c r="Y518" s="195" t="s">
        <v>42</v>
      </c>
      <c r="Z518" s="165">
        <f t="shared" si="107"/>
        <v>0.450000000436558</v>
      </c>
    </row>
    <row r="519" hidden="1" spans="1:26">
      <c r="A519" s="175">
        <v>516</v>
      </c>
      <c r="B519" s="221" t="s">
        <v>960</v>
      </c>
      <c r="C519" s="183">
        <v>58.41</v>
      </c>
      <c r="D519" s="179">
        <v>2846</v>
      </c>
      <c r="E519" s="179">
        <f t="shared" si="104"/>
        <v>166235</v>
      </c>
      <c r="F519" s="212" t="s">
        <v>961</v>
      </c>
      <c r="G519" s="213"/>
      <c r="H519" s="214">
        <v>2718</v>
      </c>
      <c r="I519" s="214">
        <v>158758</v>
      </c>
      <c r="J519" s="196">
        <f>VLOOKUP(B519,泰康小区账面房号及收款金额!$A$2:$B$424,2,0)</f>
        <v>158757.9</v>
      </c>
      <c r="K519" s="196"/>
      <c r="L519" s="196"/>
      <c r="M519" s="196"/>
      <c r="N519" s="196">
        <f t="shared" si="101"/>
        <v>0.100000000005821</v>
      </c>
      <c r="O519" s="194"/>
      <c r="P519" s="195"/>
      <c r="Q519" s="125">
        <f>VLOOKUP(B519,[2]信息汇总表!$M$2:$T$816,8,0)</f>
        <v>158758</v>
      </c>
      <c r="R519" s="125">
        <f>VLOOKUP(B519,[1]sheet1!$J$4:$K$413,2,0)</f>
        <v>151198</v>
      </c>
      <c r="S519" s="125"/>
      <c r="T519" s="125">
        <f t="shared" si="108"/>
        <v>151198.095238095</v>
      </c>
      <c r="U519" s="125">
        <f t="shared" si="116"/>
        <v>7559.90476190476</v>
      </c>
      <c r="V519" s="125">
        <f t="shared" si="112"/>
        <v>0.0952380950038787</v>
      </c>
      <c r="W519" s="125">
        <f t="shared" si="115"/>
        <v>0.00476190475019394</v>
      </c>
      <c r="X519" s="125"/>
      <c r="Y519" s="195" t="s">
        <v>42</v>
      </c>
      <c r="Z519" s="165">
        <f t="shared" si="107"/>
        <v>0.0999999997540726</v>
      </c>
    </row>
    <row r="520" hidden="1" spans="1:26">
      <c r="A520" s="175">
        <v>517</v>
      </c>
      <c r="B520" s="221" t="s">
        <v>962</v>
      </c>
      <c r="C520" s="183">
        <v>43.14</v>
      </c>
      <c r="D520" s="179">
        <v>2846</v>
      </c>
      <c r="E520" s="179">
        <f t="shared" si="104"/>
        <v>122776</v>
      </c>
      <c r="F520" s="212" t="s">
        <v>963</v>
      </c>
      <c r="G520" s="213"/>
      <c r="H520" s="214">
        <v>2718</v>
      </c>
      <c r="I520" s="214">
        <v>117255</v>
      </c>
      <c r="J520" s="196">
        <f>VLOOKUP(B520,泰康小区账面房号及收款金额!$A$2:$B$424,2,0)</f>
        <v>117254.55</v>
      </c>
      <c r="K520" s="196"/>
      <c r="L520" s="196"/>
      <c r="M520" s="196"/>
      <c r="N520" s="196">
        <f t="shared" si="101"/>
        <v>0.44999999999709</v>
      </c>
      <c r="O520" s="194"/>
      <c r="P520" s="195"/>
      <c r="Q520" s="125">
        <f>VLOOKUP(B520,[2]信息汇总表!$M$2:$T$816,8,0)</f>
        <v>117255</v>
      </c>
      <c r="R520" s="125">
        <f>VLOOKUP(B520,[1]sheet1!$J$4:$K$413,2,0)</f>
        <v>111671</v>
      </c>
      <c r="S520" s="125"/>
      <c r="T520" s="125">
        <f t="shared" si="108"/>
        <v>111671.428571429</v>
      </c>
      <c r="U520" s="125">
        <f t="shared" si="116"/>
        <v>5583.57142857143</v>
      </c>
      <c r="V520" s="125">
        <f t="shared" si="112"/>
        <v>0.428571429001749</v>
      </c>
      <c r="W520" s="125">
        <f t="shared" si="115"/>
        <v>0.0214285714500875</v>
      </c>
      <c r="X520" s="125"/>
      <c r="Y520" s="195" t="s">
        <v>42</v>
      </c>
      <c r="Z520" s="165">
        <f t="shared" si="107"/>
        <v>0.450000000451836</v>
      </c>
    </row>
    <row r="521" spans="1:25">
      <c r="A521" s="175"/>
      <c r="B521" s="221" t="s">
        <v>964</v>
      </c>
      <c r="C521" s="183"/>
      <c r="D521" s="179"/>
      <c r="E521" s="179"/>
      <c r="F521" s="212"/>
      <c r="G521" s="213"/>
      <c r="H521" s="214"/>
      <c r="I521" s="214">
        <f t="shared" ref="I521:N521" si="117">SUM(I4:I520)</f>
        <v>143544338.66</v>
      </c>
      <c r="J521" s="196">
        <f t="shared" si="117"/>
        <v>139060982.6395</v>
      </c>
      <c r="K521" s="196">
        <f t="shared" si="117"/>
        <v>2425777.9</v>
      </c>
      <c r="L521" s="196">
        <f t="shared" si="117"/>
        <v>200000</v>
      </c>
      <c r="M521" s="196">
        <f t="shared" si="117"/>
        <v>50000</v>
      </c>
      <c r="N521" s="197">
        <f t="shared" si="117"/>
        <v>4131381.6205</v>
      </c>
      <c r="O521" s="194"/>
      <c r="P521" s="195"/>
      <c r="Q521" s="197">
        <f t="shared" ref="Q521:S521" si="118">SUM(Q4:Q520)</f>
        <v>125294976.76</v>
      </c>
      <c r="R521" s="197">
        <f t="shared" si="118"/>
        <v>126922626.38</v>
      </c>
      <c r="S521" s="197">
        <f t="shared" si="118"/>
        <v>7190823.20438095</v>
      </c>
      <c r="T521" s="125">
        <f t="shared" si="108"/>
        <v>136708893.961905</v>
      </c>
      <c r="U521" s="125">
        <f t="shared" si="116"/>
        <v>6835444.69809523</v>
      </c>
      <c r="V521" s="125"/>
      <c r="W521" s="125"/>
      <c r="X521" s="125"/>
      <c r="Y521" s="195"/>
    </row>
    <row r="522" s="165" customFormat="1" spans="1:23">
      <c r="A522" s="227"/>
      <c r="B522" s="227"/>
      <c r="C522" s="228"/>
      <c r="D522" s="228"/>
      <c r="E522" s="228"/>
      <c r="F522" s="228"/>
      <c r="G522" s="228"/>
      <c r="H522" s="229"/>
      <c r="I522" s="229"/>
      <c r="J522" s="230"/>
      <c r="K522" s="230"/>
      <c r="L522" s="230"/>
      <c r="M522" s="230"/>
      <c r="N522" s="168"/>
      <c r="O522" s="231"/>
      <c r="S522" s="165">
        <f>S521+多浪小镇二期!P491+多浪小镇一期!P518+R521</f>
        <v>276763798.043336</v>
      </c>
      <c r="T522" s="125">
        <f t="shared" si="108"/>
        <v>0</v>
      </c>
      <c r="U522" s="232">
        <f t="shared" si="116"/>
        <v>0</v>
      </c>
      <c r="V522" s="165">
        <f>SUBTOTAL(9,V4:V492)</f>
        <v>1851746.18095239</v>
      </c>
      <c r="W522" s="165">
        <f>SUBTOTAL(9,W4:W492)</f>
        <v>2126268.34769047</v>
      </c>
    </row>
    <row r="523" spans="10:21">
      <c r="J523" s="230" t="s">
        <v>965</v>
      </c>
      <c r="K523" s="229">
        <f>J521+K521+L521+M521+多浪小镇二期!I491+多浪小镇二期!J491</f>
        <v>247357132.75161</v>
      </c>
      <c r="L523" s="229"/>
      <c r="M523" s="229"/>
      <c r="T523" s="125">
        <f t="shared" si="108"/>
        <v>0</v>
      </c>
      <c r="U523" s="125">
        <f t="shared" si="116"/>
        <v>0</v>
      </c>
    </row>
    <row r="524" spans="9:19">
      <c r="I524" s="229"/>
      <c r="J524" s="168">
        <f>SUBTOTAL(9,J4:J499)</f>
        <v>52943316.2</v>
      </c>
      <c r="S524" s="165">
        <f>S481*1.05</f>
        <v>0</v>
      </c>
    </row>
    <row r="526" spans="19:19">
      <c r="S526" s="165">
        <f>142159/1.05</f>
        <v>135389.523809524</v>
      </c>
    </row>
  </sheetData>
  <autoFilter ref="A3:AC523">
    <filterColumn colId="24">
      <filters blank="1">
        <filter val="76411"/>
        <filter val="见5-2-101"/>
        <filter val="本期全额确认收入"/>
        <filter val="全额确认收入"/>
        <filter val="发票错开0税率"/>
        <filter val="246777"/>
        <filter val="见5-108"/>
        <filter val="前期确认收入时未计提销项税，本期调整多确认的收入至销项税"/>
      </filters>
    </filterColumn>
    <extLst/>
  </autoFilter>
  <mergeCells count="12">
    <mergeCell ref="B1:E1"/>
    <mergeCell ref="F1:I1"/>
    <mergeCell ref="D2:E2"/>
    <mergeCell ref="H2:I2"/>
    <mergeCell ref="J2:M2"/>
    <mergeCell ref="A2:A3"/>
    <mergeCell ref="B2:B3"/>
    <mergeCell ref="C2:C3"/>
    <mergeCell ref="F2:F3"/>
    <mergeCell ref="J489:J490"/>
    <mergeCell ref="N489:N490"/>
    <mergeCell ref="N505:N506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tabColor rgb="FF92D050"/>
  </sheetPr>
  <dimension ref="A1:U530"/>
  <sheetViews>
    <sheetView zoomScale="115" zoomScaleNormal="115" workbookViewId="0">
      <pane xSplit="6" ySplit="3" topLeftCell="N4" activePane="bottomRight" state="frozen"/>
      <selection/>
      <selection pane="topRight"/>
      <selection pane="bottomLeft"/>
      <selection pane="bottomRight" activeCell="O119" sqref="O119"/>
    </sheetView>
  </sheetViews>
  <sheetFormatPr defaultColWidth="9" defaultRowHeight="13.5"/>
  <cols>
    <col min="1" max="1" width="3.63333333333333" style="100" customWidth="1"/>
    <col min="2" max="3" width="9" style="100"/>
    <col min="4" max="4" width="6.63333333333333" style="100" customWidth="1"/>
    <col min="5" max="5" width="10.3833333333333" style="100"/>
    <col min="6" max="6" width="41.5" style="52" customWidth="1"/>
    <col min="7" max="7" width="11.3416666666667" style="100" customWidth="1"/>
    <col min="8" max="8" width="10.3833333333333" style="100" customWidth="1"/>
    <col min="9" max="9" width="11.1083333333333" customWidth="1"/>
    <col min="10" max="10" width="13.6333333333333" customWidth="1"/>
    <col min="11" max="11" width="13.1333333333333" customWidth="1"/>
    <col min="12" max="12" width="10.75" style="100" customWidth="1"/>
    <col min="13" max="13" width="7.16666666666667" style="100" customWidth="1"/>
    <col min="14" max="14" width="10.5" style="100" customWidth="1"/>
    <col min="15" max="15" width="13.8916666666667" style="100" customWidth="1"/>
    <col min="16" max="17" width="13.8916666666667" style="50" customWidth="1"/>
    <col min="18" max="18" width="9.5" style="50" customWidth="1"/>
    <col min="19" max="19" width="13.1333333333333" style="101" customWidth="1"/>
    <col min="20" max="20" width="10.6333333333333" style="101" customWidth="1"/>
    <col min="22" max="16384" width="9" style="100"/>
  </cols>
  <sheetData>
    <row r="1" spans="1:14">
      <c r="A1" s="102"/>
      <c r="B1" s="55" t="s">
        <v>0</v>
      </c>
      <c r="C1" s="103"/>
      <c r="D1" s="103"/>
      <c r="E1" s="103"/>
      <c r="F1" s="55" t="s">
        <v>1</v>
      </c>
      <c r="G1" s="65" t="s">
        <v>966</v>
      </c>
      <c r="H1" s="70"/>
      <c r="I1" s="117" t="s">
        <v>967</v>
      </c>
      <c r="J1" s="118"/>
      <c r="K1" s="78" t="s">
        <v>10</v>
      </c>
      <c r="L1" s="119" t="s">
        <v>11</v>
      </c>
      <c r="M1" s="119" t="s">
        <v>12</v>
      </c>
      <c r="N1" s="120"/>
    </row>
    <row r="2" spans="1:18">
      <c r="A2" s="104" t="s">
        <v>2</v>
      </c>
      <c r="B2" s="105" t="s">
        <v>3</v>
      </c>
      <c r="C2" s="63" t="s">
        <v>4</v>
      </c>
      <c r="D2" s="63" t="s">
        <v>5</v>
      </c>
      <c r="E2" s="106"/>
      <c r="F2" s="63" t="s">
        <v>6</v>
      </c>
      <c r="G2" s="65" t="s">
        <v>968</v>
      </c>
      <c r="H2" s="65" t="s">
        <v>969</v>
      </c>
      <c r="I2" s="121"/>
      <c r="J2" s="122"/>
      <c r="K2" s="83"/>
      <c r="L2" s="119"/>
      <c r="M2" s="119"/>
      <c r="N2" s="123" t="s">
        <v>970</v>
      </c>
      <c r="O2" s="123"/>
      <c r="P2" s="123"/>
      <c r="Q2" s="123"/>
      <c r="R2" s="123"/>
    </row>
    <row r="3" ht="24" spans="1:21">
      <c r="A3" s="107"/>
      <c r="B3" s="108"/>
      <c r="C3" s="106"/>
      <c r="D3" s="63" t="s">
        <v>21</v>
      </c>
      <c r="E3" s="63" t="s">
        <v>22</v>
      </c>
      <c r="F3" s="106"/>
      <c r="G3" s="70"/>
      <c r="H3" s="70"/>
      <c r="I3" s="77" t="s">
        <v>26</v>
      </c>
      <c r="J3" s="77" t="s">
        <v>971</v>
      </c>
      <c r="K3" s="124"/>
      <c r="L3" s="119"/>
      <c r="M3" s="119"/>
      <c r="N3" s="119" t="s">
        <v>972</v>
      </c>
      <c r="O3" s="125" t="s">
        <v>13</v>
      </c>
      <c r="P3" s="126" t="s">
        <v>973</v>
      </c>
      <c r="Q3" s="126" t="s">
        <v>974</v>
      </c>
      <c r="R3" s="126" t="s">
        <v>975</v>
      </c>
      <c r="S3" s="133" t="s">
        <v>976</v>
      </c>
      <c r="T3" s="134" t="s">
        <v>977</v>
      </c>
      <c r="U3" s="134" t="s">
        <v>978</v>
      </c>
    </row>
    <row r="4" hidden="1" spans="1:21">
      <c r="A4" s="103"/>
      <c r="B4" s="109" t="s">
        <v>979</v>
      </c>
      <c r="C4" s="72"/>
      <c r="D4" s="73"/>
      <c r="E4" s="73">
        <v>121005</v>
      </c>
      <c r="F4" s="74"/>
      <c r="G4" s="87">
        <v>121005</v>
      </c>
      <c r="H4" s="87"/>
      <c r="I4" s="86"/>
      <c r="J4" s="86">
        <v>121005</v>
      </c>
      <c r="K4" s="87"/>
      <c r="L4" s="127"/>
      <c r="M4" s="127"/>
      <c r="P4" s="50">
        <f>[3]sheet1!$K$340</f>
        <v>115243</v>
      </c>
      <c r="R4" s="50">
        <f t="shared" ref="R4:R13" si="0">J4-P4-Q4</f>
        <v>5762</v>
      </c>
      <c r="S4" s="101">
        <f>J4/1.05-P4-Q4</f>
        <v>-0.142857142855064</v>
      </c>
      <c r="T4" s="101">
        <f>J4/1.05*0.05-R4</f>
        <v>0.142857142857792</v>
      </c>
      <c r="U4" t="s">
        <v>42</v>
      </c>
    </row>
    <row r="5" hidden="1" spans="1:21">
      <c r="A5" s="103">
        <v>1</v>
      </c>
      <c r="B5" s="109" t="s">
        <v>980</v>
      </c>
      <c r="C5" s="72">
        <v>82.13</v>
      </c>
      <c r="D5" s="73">
        <v>2600</v>
      </c>
      <c r="E5" s="73">
        <f t="shared" ref="E5:E68" si="1">ROUND(IF(F5&lt;&gt;0,C5*D5,0),0)</f>
        <v>213538</v>
      </c>
      <c r="F5" s="74" t="s">
        <v>981</v>
      </c>
      <c r="G5" s="87">
        <v>213538</v>
      </c>
      <c r="H5" s="87">
        <f t="shared" ref="H5:H68" si="2">E5-G5</f>
        <v>0</v>
      </c>
      <c r="I5" s="86"/>
      <c r="J5" s="86">
        <f>VLOOKUP(B5,'多浪一期账面房号及收款金额-分公司'!$A$2:$B$436,2,0)</f>
        <v>213538.5</v>
      </c>
      <c r="K5" s="87">
        <f>G5-I5-J5</f>
        <v>-0.5</v>
      </c>
      <c r="L5" s="127"/>
      <c r="M5" s="127"/>
      <c r="P5" s="50">
        <v>203370</v>
      </c>
      <c r="R5" s="50">
        <f t="shared" si="0"/>
        <v>10168.5</v>
      </c>
      <c r="S5" s="101">
        <f t="shared" ref="S5:S68" si="3">J5/1.05-P5-Q5</f>
        <v>0</v>
      </c>
      <c r="T5" s="101">
        <f>J5/1.05*0.05-R5</f>
        <v>0</v>
      </c>
      <c r="U5" t="s">
        <v>42</v>
      </c>
    </row>
    <row r="6" hidden="1" spans="1:21">
      <c r="A6" s="103">
        <v>2</v>
      </c>
      <c r="B6" s="110" t="s">
        <v>982</v>
      </c>
      <c r="C6" s="72">
        <v>81.76</v>
      </c>
      <c r="D6" s="73">
        <v>3418</v>
      </c>
      <c r="E6" s="73">
        <f t="shared" si="1"/>
        <v>279456</v>
      </c>
      <c r="F6" s="74" t="s">
        <v>983</v>
      </c>
      <c r="G6" s="87">
        <v>279456</v>
      </c>
      <c r="H6" s="87">
        <f t="shared" si="2"/>
        <v>0</v>
      </c>
      <c r="I6" s="86"/>
      <c r="J6" s="86">
        <f>VLOOKUP(B6,'多浪一期账面房号及收款金额-分公司'!$A$2:$B$436,2,0)</f>
        <v>279456</v>
      </c>
      <c r="K6" s="87">
        <f t="shared" ref="K6:K69" si="4">G6-I6-J6</f>
        <v>0</v>
      </c>
      <c r="L6" s="127"/>
      <c r="M6" s="127"/>
      <c r="N6" s="100">
        <f>VLOOKUP(B6,[4]Sheet1!$D$5:$N$69,11,0)</f>
        <v>-279456</v>
      </c>
      <c r="O6" s="100">
        <v>279456</v>
      </c>
      <c r="P6" s="50">
        <v>279456</v>
      </c>
      <c r="Q6" s="50">
        <f>279456/1.05</f>
        <v>266148.571428571</v>
      </c>
      <c r="R6" s="50">
        <f>Q6*0.05</f>
        <v>13307.4285714286</v>
      </c>
      <c r="S6" s="101">
        <f t="shared" si="3"/>
        <v>-279456</v>
      </c>
      <c r="T6" s="101">
        <f>J6/1.05*0.05-R6</f>
        <v>2.18278728425503e-11</v>
      </c>
      <c r="U6" t="s">
        <v>984</v>
      </c>
    </row>
    <row r="7" hidden="1" spans="1:21">
      <c r="A7" s="103">
        <v>3</v>
      </c>
      <c r="B7" s="110" t="s">
        <v>985</v>
      </c>
      <c r="C7" s="72">
        <v>82.13</v>
      </c>
      <c r="D7" s="73">
        <v>3368</v>
      </c>
      <c r="E7" s="73">
        <f t="shared" si="1"/>
        <v>276614</v>
      </c>
      <c r="F7" s="74" t="s">
        <v>986</v>
      </c>
      <c r="G7" s="87">
        <v>276614</v>
      </c>
      <c r="H7" s="87">
        <f t="shared" si="2"/>
        <v>0</v>
      </c>
      <c r="I7" s="86"/>
      <c r="J7" s="86">
        <f>VLOOKUP(B7,'多浪一期账面房号及收款金额-分公司'!$A$2:$B$436,2,0)</f>
        <v>276614</v>
      </c>
      <c r="K7" s="87">
        <f t="shared" si="4"/>
        <v>0</v>
      </c>
      <c r="L7" s="127"/>
      <c r="M7" s="127"/>
      <c r="P7" s="50">
        <v>276614</v>
      </c>
      <c r="R7" s="50">
        <f t="shared" si="0"/>
        <v>0</v>
      </c>
      <c r="S7" s="101">
        <f t="shared" si="3"/>
        <v>-13172.0952380953</v>
      </c>
      <c r="T7" s="101">
        <f>J7/1.05*0.05-R7</f>
        <v>13172.0952380952</v>
      </c>
      <c r="U7" t="s">
        <v>77</v>
      </c>
    </row>
    <row r="8" hidden="1" spans="1:21">
      <c r="A8" s="103">
        <v>4</v>
      </c>
      <c r="B8" s="110" t="s">
        <v>987</v>
      </c>
      <c r="C8" s="72">
        <v>81.76</v>
      </c>
      <c r="D8" s="73">
        <v>2460</v>
      </c>
      <c r="E8" s="73">
        <f t="shared" si="1"/>
        <v>201130</v>
      </c>
      <c r="F8" s="74" t="s">
        <v>988</v>
      </c>
      <c r="G8" s="87">
        <v>201130</v>
      </c>
      <c r="H8" s="87">
        <f t="shared" si="2"/>
        <v>0</v>
      </c>
      <c r="I8" s="86"/>
      <c r="J8" s="86">
        <f>VLOOKUP(B8,'多浪一期账面房号及收款金额-分公司'!$A$2:$B$436,2,0)</f>
        <v>201130.65</v>
      </c>
      <c r="K8" s="87">
        <f t="shared" si="4"/>
        <v>-0.649999999994179</v>
      </c>
      <c r="L8" s="127"/>
      <c r="M8" s="127"/>
      <c r="P8" s="50">
        <v>191553</v>
      </c>
      <c r="R8" s="50">
        <f t="shared" si="0"/>
        <v>9577.64999999999</v>
      </c>
      <c r="S8" s="101">
        <f t="shared" si="3"/>
        <v>0</v>
      </c>
      <c r="T8" s="101">
        <f t="shared" ref="T8:T71" si="5">J8/1.05*0.05-R8</f>
        <v>0</v>
      </c>
      <c r="U8" t="s">
        <v>42</v>
      </c>
    </row>
    <row r="9" hidden="1" spans="1:21">
      <c r="A9" s="103">
        <v>5</v>
      </c>
      <c r="B9" s="110" t="s">
        <v>989</v>
      </c>
      <c r="C9" s="72">
        <v>82.13</v>
      </c>
      <c r="D9" s="73">
        <v>2500</v>
      </c>
      <c r="E9" s="73">
        <f t="shared" si="1"/>
        <v>205325</v>
      </c>
      <c r="F9" s="74" t="s">
        <v>990</v>
      </c>
      <c r="G9" s="87">
        <v>205325</v>
      </c>
      <c r="H9" s="87">
        <f t="shared" si="2"/>
        <v>0</v>
      </c>
      <c r="I9" s="86"/>
      <c r="J9" s="86">
        <f>VLOOKUP(B9,'多浪一期账面房号及收款金额-分公司'!$A$2:$B$436,2,0)</f>
        <v>205324.35</v>
      </c>
      <c r="K9" s="87">
        <f t="shared" si="4"/>
        <v>0.649999999994179</v>
      </c>
      <c r="L9" s="127"/>
      <c r="M9" s="127"/>
      <c r="P9" s="50">
        <v>195547</v>
      </c>
      <c r="R9" s="50">
        <f t="shared" si="0"/>
        <v>9777.35000000001</v>
      </c>
      <c r="S9" s="101">
        <f t="shared" si="3"/>
        <v>0</v>
      </c>
      <c r="T9" s="101">
        <f t="shared" si="5"/>
        <v>0</v>
      </c>
      <c r="U9" t="s">
        <v>42</v>
      </c>
    </row>
    <row r="10" hidden="1" spans="1:21">
      <c r="A10" s="103">
        <v>6</v>
      </c>
      <c r="B10" s="110" t="s">
        <v>991</v>
      </c>
      <c r="C10" s="72">
        <v>81.76</v>
      </c>
      <c r="D10" s="73">
        <v>2500</v>
      </c>
      <c r="E10" s="73">
        <f t="shared" si="1"/>
        <v>204400</v>
      </c>
      <c r="F10" s="74" t="s">
        <v>992</v>
      </c>
      <c r="G10" s="87">
        <v>204400</v>
      </c>
      <c r="H10" s="87">
        <f t="shared" si="2"/>
        <v>0</v>
      </c>
      <c r="I10" s="86"/>
      <c r="J10" s="86">
        <f>VLOOKUP(B10,'多浪一期账面房号及收款金额-分公司'!$A$2:$B$436,2,0)</f>
        <v>204399.3</v>
      </c>
      <c r="K10" s="87">
        <f t="shared" si="4"/>
        <v>0.700000000011642</v>
      </c>
      <c r="L10" s="127"/>
      <c r="M10" s="127"/>
      <c r="P10" s="50">
        <v>194666</v>
      </c>
      <c r="R10" s="50">
        <f t="shared" si="0"/>
        <v>9733.29999999999</v>
      </c>
      <c r="S10" s="101">
        <f t="shared" si="3"/>
        <v>0</v>
      </c>
      <c r="T10" s="101">
        <f t="shared" si="5"/>
        <v>0</v>
      </c>
      <c r="U10" t="s">
        <v>42</v>
      </c>
    </row>
    <row r="11" hidden="1" spans="1:21">
      <c r="A11" s="103">
        <v>7</v>
      </c>
      <c r="B11" s="110" t="s">
        <v>993</v>
      </c>
      <c r="C11" s="72">
        <v>82.13</v>
      </c>
      <c r="D11" s="73">
        <v>2200</v>
      </c>
      <c r="E11" s="73">
        <f t="shared" si="1"/>
        <v>180686</v>
      </c>
      <c r="F11" s="74" t="s">
        <v>994</v>
      </c>
      <c r="G11" s="87">
        <v>180686</v>
      </c>
      <c r="H11" s="87">
        <f t="shared" si="2"/>
        <v>0</v>
      </c>
      <c r="I11" s="86"/>
      <c r="J11" s="86">
        <f>VLOOKUP(B11,'多浪一期账面房号及收款金额-分公司'!$A$2:$B$436,2,0)</f>
        <v>180686.1</v>
      </c>
      <c r="K11" s="87">
        <f t="shared" si="4"/>
        <v>-0.100000000005821</v>
      </c>
      <c r="L11" s="127"/>
      <c r="M11" s="127"/>
      <c r="P11" s="50">
        <v>172082</v>
      </c>
      <c r="R11" s="50">
        <f t="shared" si="0"/>
        <v>8604.10000000001</v>
      </c>
      <c r="S11" s="101">
        <f t="shared" si="3"/>
        <v>0</v>
      </c>
      <c r="T11" s="101">
        <f t="shared" si="5"/>
        <v>0</v>
      </c>
      <c r="U11" t="s">
        <v>42</v>
      </c>
    </row>
    <row r="12" hidden="1" spans="1:21">
      <c r="A12" s="103">
        <v>8</v>
      </c>
      <c r="B12" s="110" t="s">
        <v>995</v>
      </c>
      <c r="C12" s="72">
        <v>81.76</v>
      </c>
      <c r="D12" s="73">
        <v>3108</v>
      </c>
      <c r="E12" s="73">
        <f t="shared" si="1"/>
        <v>254110</v>
      </c>
      <c r="F12" s="74" t="s">
        <v>996</v>
      </c>
      <c r="G12" s="87">
        <v>254110</v>
      </c>
      <c r="H12" s="87">
        <f t="shared" si="2"/>
        <v>0</v>
      </c>
      <c r="I12" s="86"/>
      <c r="J12" s="86">
        <f>VLOOKUP(B12,'多浪一期账面房号及收款金额-分公司'!$A$2:$B$436,2,0)</f>
        <v>254110</v>
      </c>
      <c r="K12" s="87">
        <f t="shared" si="4"/>
        <v>0</v>
      </c>
      <c r="L12" s="127"/>
      <c r="M12" s="127"/>
      <c r="P12" s="50">
        <v>254110</v>
      </c>
      <c r="R12" s="50">
        <f t="shared" si="0"/>
        <v>0</v>
      </c>
      <c r="S12" s="101">
        <f t="shared" si="3"/>
        <v>-12100.4761904762</v>
      </c>
      <c r="T12" s="101">
        <f t="shared" si="5"/>
        <v>12100.4761904762</v>
      </c>
      <c r="U12" t="s">
        <v>77</v>
      </c>
    </row>
    <row r="13" hidden="1" spans="1:21">
      <c r="A13" s="103">
        <v>9</v>
      </c>
      <c r="B13" s="110" t="s">
        <v>997</v>
      </c>
      <c r="C13" s="72">
        <v>82.13</v>
      </c>
      <c r="D13" s="73">
        <v>2908</v>
      </c>
      <c r="E13" s="73">
        <f t="shared" si="1"/>
        <v>238834</v>
      </c>
      <c r="F13" s="74" t="s">
        <v>998</v>
      </c>
      <c r="G13" s="87">
        <v>238834</v>
      </c>
      <c r="H13" s="87">
        <f t="shared" si="2"/>
        <v>0</v>
      </c>
      <c r="I13" s="86"/>
      <c r="J13" s="86">
        <f>VLOOKUP(B13,'多浪一期账面房号及收款金额-分公司'!$A$2:$B$436,2,0)</f>
        <v>238834</v>
      </c>
      <c r="K13" s="87">
        <f t="shared" si="4"/>
        <v>0</v>
      </c>
      <c r="L13" s="127"/>
      <c r="M13" s="127"/>
      <c r="P13" s="50">
        <v>238834</v>
      </c>
      <c r="R13" s="50">
        <f t="shared" si="0"/>
        <v>0</v>
      </c>
      <c r="S13" s="101">
        <f t="shared" si="3"/>
        <v>-11373.0476190476</v>
      </c>
      <c r="T13" s="101">
        <f t="shared" si="5"/>
        <v>11373.0476190476</v>
      </c>
      <c r="U13" t="s">
        <v>77</v>
      </c>
    </row>
    <row r="14" hidden="1" spans="1:21">
      <c r="A14" s="103">
        <v>10</v>
      </c>
      <c r="B14" s="110" t="s">
        <v>999</v>
      </c>
      <c r="C14" s="72">
        <v>81.76</v>
      </c>
      <c r="D14" s="73">
        <v>2908</v>
      </c>
      <c r="E14" s="73">
        <f t="shared" si="1"/>
        <v>237758</v>
      </c>
      <c r="F14" s="74" t="s">
        <v>1000</v>
      </c>
      <c r="G14" s="87">
        <v>237758</v>
      </c>
      <c r="H14" s="87">
        <f t="shared" si="2"/>
        <v>0</v>
      </c>
      <c r="I14" s="86"/>
      <c r="J14" s="86">
        <f>VLOOKUP(B14,'多浪一期账面房号及收款金额-分公司'!$A$2:$B$436,2,0)</f>
        <v>237758</v>
      </c>
      <c r="K14" s="87">
        <f t="shared" si="4"/>
        <v>0</v>
      </c>
      <c r="L14" s="127"/>
      <c r="M14" s="127"/>
      <c r="N14" s="100">
        <f>[4]Sheet1!$N$16</f>
        <v>-237758</v>
      </c>
      <c r="O14" s="100">
        <v>237758</v>
      </c>
      <c r="P14" s="50">
        <v>237758</v>
      </c>
      <c r="Q14" s="50">
        <v>226436.19</v>
      </c>
      <c r="R14" s="50">
        <v>11321.81</v>
      </c>
      <c r="S14" s="101">
        <f t="shared" si="3"/>
        <v>-237757.99952381</v>
      </c>
      <c r="T14" s="101">
        <f t="shared" si="5"/>
        <v>-0.000476190474728355</v>
      </c>
      <c r="U14" t="s">
        <v>984</v>
      </c>
    </row>
    <row r="15" hidden="1" spans="1:21">
      <c r="A15" s="103">
        <v>11</v>
      </c>
      <c r="B15" s="110" t="s">
        <v>1001</v>
      </c>
      <c r="C15" s="72">
        <v>82.13</v>
      </c>
      <c r="D15" s="73">
        <v>2508</v>
      </c>
      <c r="E15" s="73">
        <f t="shared" si="1"/>
        <v>205982</v>
      </c>
      <c r="F15" s="74" t="s">
        <v>1002</v>
      </c>
      <c r="G15" s="87">
        <v>205982</v>
      </c>
      <c r="H15" s="87">
        <f t="shared" si="2"/>
        <v>0</v>
      </c>
      <c r="I15" s="86"/>
      <c r="J15" s="86">
        <f>VLOOKUP(B15,'多浪一期账面房号及收款金额-分公司'!$A$2:$B$436,2,0)</f>
        <v>205982</v>
      </c>
      <c r="K15" s="87">
        <f t="shared" si="4"/>
        <v>0</v>
      </c>
      <c r="L15" s="127"/>
      <c r="M15" s="127"/>
      <c r="P15" s="50">
        <v>205982</v>
      </c>
      <c r="R15" s="50">
        <f t="shared" ref="R15:R28" si="6">J15-P15-Q15</f>
        <v>0</v>
      </c>
      <c r="S15" s="101">
        <f t="shared" si="3"/>
        <v>-9808.66666666669</v>
      </c>
      <c r="T15" s="101">
        <f t="shared" si="5"/>
        <v>9808.66666666667</v>
      </c>
      <c r="U15" t="s">
        <v>77</v>
      </c>
    </row>
    <row r="16" hidden="1" spans="1:21">
      <c r="A16" s="103">
        <v>12</v>
      </c>
      <c r="B16" s="110" t="s">
        <v>1003</v>
      </c>
      <c r="C16" s="72">
        <v>81.76</v>
      </c>
      <c r="D16" s="73">
        <v>2508</v>
      </c>
      <c r="E16" s="73">
        <f t="shared" si="1"/>
        <v>205054</v>
      </c>
      <c r="F16" s="74" t="s">
        <v>1004</v>
      </c>
      <c r="G16" s="87">
        <v>205054</v>
      </c>
      <c r="H16" s="87">
        <f t="shared" si="2"/>
        <v>0</v>
      </c>
      <c r="I16" s="86"/>
      <c r="J16" s="86">
        <f>VLOOKUP(B16,'多浪一期账面房号及收款金额-分公司'!$A$2:$B$436,2,0)</f>
        <v>205054</v>
      </c>
      <c r="K16" s="87">
        <f t="shared" si="4"/>
        <v>0</v>
      </c>
      <c r="L16" s="127"/>
      <c r="M16" s="127"/>
      <c r="P16" s="50">
        <v>205054</v>
      </c>
      <c r="R16" s="50">
        <f t="shared" si="6"/>
        <v>0</v>
      </c>
      <c r="S16" s="101">
        <f t="shared" si="3"/>
        <v>-9764.47619047621</v>
      </c>
      <c r="T16" s="101">
        <f t="shared" si="5"/>
        <v>9764.47619047619</v>
      </c>
      <c r="U16" t="s">
        <v>77</v>
      </c>
    </row>
    <row r="17" hidden="1" spans="1:21">
      <c r="A17" s="103">
        <v>13</v>
      </c>
      <c r="B17" s="110" t="s">
        <v>1005</v>
      </c>
      <c r="C17" s="72">
        <v>81.76</v>
      </c>
      <c r="D17" s="73">
        <v>2580</v>
      </c>
      <c r="E17" s="73">
        <f t="shared" si="1"/>
        <v>210941</v>
      </c>
      <c r="F17" s="74" t="s">
        <v>1006</v>
      </c>
      <c r="G17" s="87">
        <v>210941</v>
      </c>
      <c r="H17" s="87">
        <f t="shared" si="2"/>
        <v>0</v>
      </c>
      <c r="I17" s="86"/>
      <c r="J17" s="86">
        <f>VLOOKUP(B17,'多浪一期账面房号及收款金额-分公司'!$A$2:$B$436,2,0)</f>
        <v>210940.8</v>
      </c>
      <c r="K17" s="87">
        <f t="shared" si="4"/>
        <v>0.200000000011642</v>
      </c>
      <c r="L17" s="127"/>
      <c r="M17" s="127"/>
      <c r="P17" s="50">
        <v>200896</v>
      </c>
      <c r="R17" s="50">
        <f t="shared" si="6"/>
        <v>10044.8</v>
      </c>
      <c r="S17" s="101">
        <f t="shared" si="3"/>
        <v>0</v>
      </c>
      <c r="T17" s="101">
        <f t="shared" si="5"/>
        <v>0</v>
      </c>
      <c r="U17" t="s">
        <v>42</v>
      </c>
    </row>
    <row r="18" hidden="1" spans="1:21">
      <c r="A18" s="103">
        <v>14</v>
      </c>
      <c r="B18" s="110" t="s">
        <v>1007</v>
      </c>
      <c r="C18" s="72">
        <v>81.76</v>
      </c>
      <c r="D18" s="73">
        <v>2500</v>
      </c>
      <c r="E18" s="73">
        <v>204700</v>
      </c>
      <c r="F18" s="74" t="s">
        <v>1008</v>
      </c>
      <c r="G18" s="87">
        <v>204700</v>
      </c>
      <c r="H18" s="87">
        <f t="shared" si="2"/>
        <v>0</v>
      </c>
      <c r="I18" s="86"/>
      <c r="J18" s="86">
        <f>VLOOKUP(B18,'多浪一期账面房号及收款金额-分公司'!$A$2:$B$436,2,0)</f>
        <v>204700.293</v>
      </c>
      <c r="K18" s="87">
        <f t="shared" si="4"/>
        <v>-0.293000000005122</v>
      </c>
      <c r="L18" s="127"/>
      <c r="M18" s="127"/>
      <c r="O18" s="100">
        <f>194666.67-0.01</f>
        <v>194666.66</v>
      </c>
      <c r="P18" s="50">
        <v>286</v>
      </c>
      <c r="Q18" s="50">
        <f>194666.67-0.01</f>
        <v>194666.66</v>
      </c>
      <c r="R18" s="50">
        <f t="shared" si="6"/>
        <v>9747.633</v>
      </c>
      <c r="S18" s="101">
        <f t="shared" si="3"/>
        <v>0</v>
      </c>
      <c r="T18" s="101">
        <f t="shared" si="5"/>
        <v>0</v>
      </c>
      <c r="U18" t="s">
        <v>42</v>
      </c>
    </row>
    <row r="19" hidden="1" spans="1:21">
      <c r="A19" s="103">
        <v>15</v>
      </c>
      <c r="B19" s="110" t="s">
        <v>1009</v>
      </c>
      <c r="C19" s="72">
        <v>81.76</v>
      </c>
      <c r="D19" s="73">
        <v>2500</v>
      </c>
      <c r="E19" s="73">
        <f t="shared" si="1"/>
        <v>204400</v>
      </c>
      <c r="F19" s="74" t="s">
        <v>1010</v>
      </c>
      <c r="G19" s="87">
        <v>204400</v>
      </c>
      <c r="H19" s="87">
        <f t="shared" si="2"/>
        <v>0</v>
      </c>
      <c r="I19" s="86"/>
      <c r="J19" s="86">
        <f>VLOOKUP(B19,'多浪一期账面房号及收款金额-分公司'!$A$2:$B$436,2,0)</f>
        <v>204399.3</v>
      </c>
      <c r="K19" s="87">
        <f t="shared" si="4"/>
        <v>0.700000000011642</v>
      </c>
      <c r="L19" s="127"/>
      <c r="M19" s="127"/>
      <c r="P19" s="50">
        <v>194666</v>
      </c>
      <c r="R19" s="50">
        <f t="shared" si="6"/>
        <v>9733.29999999999</v>
      </c>
      <c r="S19" s="101">
        <f t="shared" si="3"/>
        <v>0</v>
      </c>
      <c r="T19" s="101">
        <f t="shared" si="5"/>
        <v>0</v>
      </c>
      <c r="U19" t="s">
        <v>42</v>
      </c>
    </row>
    <row r="20" hidden="1" spans="1:21">
      <c r="A20" s="103">
        <v>16</v>
      </c>
      <c r="B20" s="110" t="s">
        <v>1011</v>
      </c>
      <c r="C20" s="72">
        <v>81.76</v>
      </c>
      <c r="D20" s="73">
        <v>2500</v>
      </c>
      <c r="E20" s="73">
        <f t="shared" si="1"/>
        <v>204400</v>
      </c>
      <c r="F20" s="74" t="s">
        <v>1012</v>
      </c>
      <c r="G20" s="87">
        <v>204400</v>
      </c>
      <c r="H20" s="87">
        <f t="shared" si="2"/>
        <v>0</v>
      </c>
      <c r="I20" s="86"/>
      <c r="J20" s="86">
        <f>VLOOKUP(B20,'多浪一期账面房号及收款金额-分公司'!$A$2:$B$436,2,0)</f>
        <v>204399.3</v>
      </c>
      <c r="K20" s="87">
        <f t="shared" si="4"/>
        <v>0.700000000011642</v>
      </c>
      <c r="L20" s="127"/>
      <c r="M20" s="127"/>
      <c r="P20" s="50">
        <v>194666</v>
      </c>
      <c r="R20" s="50">
        <f t="shared" si="6"/>
        <v>9733.29999999999</v>
      </c>
      <c r="S20" s="101">
        <f t="shared" si="3"/>
        <v>0</v>
      </c>
      <c r="T20" s="101">
        <f t="shared" si="5"/>
        <v>0</v>
      </c>
      <c r="U20" t="s">
        <v>42</v>
      </c>
    </row>
    <row r="21" hidden="1" spans="1:21">
      <c r="A21" s="103">
        <v>17</v>
      </c>
      <c r="B21" s="110" t="s">
        <v>1013</v>
      </c>
      <c r="C21" s="72">
        <v>81.76</v>
      </c>
      <c r="D21" s="73">
        <v>2200</v>
      </c>
      <c r="E21" s="73">
        <f t="shared" si="1"/>
        <v>179872</v>
      </c>
      <c r="F21" s="74" t="s">
        <v>1014</v>
      </c>
      <c r="G21" s="87">
        <v>179872</v>
      </c>
      <c r="H21" s="87">
        <f t="shared" si="2"/>
        <v>0</v>
      </c>
      <c r="I21" s="86"/>
      <c r="J21" s="86">
        <f>VLOOKUP(B21,'多浪一期账面房号及收款金额-分公司'!$A$2:$B$436,2,0)</f>
        <v>179872</v>
      </c>
      <c r="K21" s="87">
        <f t="shared" si="4"/>
        <v>0</v>
      </c>
      <c r="L21" s="127"/>
      <c r="M21" s="127"/>
      <c r="P21" s="50">
        <v>179872</v>
      </c>
      <c r="R21" s="50">
        <f t="shared" si="6"/>
        <v>0</v>
      </c>
      <c r="S21" s="101">
        <f t="shared" si="3"/>
        <v>-8565.33333333334</v>
      </c>
      <c r="T21" s="101">
        <f t="shared" si="5"/>
        <v>8565.33333333333</v>
      </c>
      <c r="U21" t="s">
        <v>77</v>
      </c>
    </row>
    <row r="22" hidden="1" spans="1:21">
      <c r="A22" s="103">
        <v>18</v>
      </c>
      <c r="B22" s="110" t="s">
        <v>1015</v>
      </c>
      <c r="C22" s="72">
        <v>81.76</v>
      </c>
      <c r="D22" s="73">
        <v>2460</v>
      </c>
      <c r="E22" s="73">
        <f t="shared" si="1"/>
        <v>201130</v>
      </c>
      <c r="F22" s="74" t="s">
        <v>1016</v>
      </c>
      <c r="G22" s="87">
        <v>201130</v>
      </c>
      <c r="H22" s="87">
        <f t="shared" si="2"/>
        <v>0</v>
      </c>
      <c r="I22" s="86"/>
      <c r="J22" s="86">
        <f>VLOOKUP(B22,'多浪一期账面房号及收款金额-分公司'!$A$2:$B$436,2,0)</f>
        <v>201129.6</v>
      </c>
      <c r="K22" s="87">
        <f t="shared" si="4"/>
        <v>0.399999999994179</v>
      </c>
      <c r="L22" s="127"/>
      <c r="M22" s="127"/>
      <c r="P22" s="50">
        <v>191552</v>
      </c>
      <c r="R22" s="50">
        <f t="shared" si="6"/>
        <v>9577.60000000001</v>
      </c>
      <c r="S22" s="101">
        <f t="shared" si="3"/>
        <v>0</v>
      </c>
      <c r="T22" s="101">
        <f t="shared" si="5"/>
        <v>0</v>
      </c>
      <c r="U22" t="s">
        <v>42</v>
      </c>
    </row>
    <row r="23" hidden="1" spans="1:21">
      <c r="A23" s="103">
        <v>19</v>
      </c>
      <c r="B23" s="110" t="s">
        <v>1017</v>
      </c>
      <c r="C23" s="72">
        <v>81.76</v>
      </c>
      <c r="D23" s="73">
        <v>3108</v>
      </c>
      <c r="E23" s="73">
        <f t="shared" si="1"/>
        <v>254110</v>
      </c>
      <c r="F23" s="74" t="s">
        <v>1018</v>
      </c>
      <c r="G23" s="87">
        <v>254110</v>
      </c>
      <c r="H23" s="87">
        <f t="shared" si="2"/>
        <v>0</v>
      </c>
      <c r="I23" s="86"/>
      <c r="J23" s="86">
        <f>VLOOKUP(B23,'多浪一期账面房号及收款金额-分公司'!$A$2:$B$436,2,0)</f>
        <v>254110</v>
      </c>
      <c r="K23" s="87">
        <f t="shared" si="4"/>
        <v>0</v>
      </c>
      <c r="L23" s="127"/>
      <c r="M23" s="127"/>
      <c r="P23" s="50">
        <v>254110</v>
      </c>
      <c r="R23" s="50">
        <f t="shared" si="6"/>
        <v>0</v>
      </c>
      <c r="S23" s="101">
        <f t="shared" si="3"/>
        <v>-12100.4761904762</v>
      </c>
      <c r="T23" s="101">
        <f t="shared" si="5"/>
        <v>12100.4761904762</v>
      </c>
      <c r="U23" t="s">
        <v>77</v>
      </c>
    </row>
    <row r="24" hidden="1" spans="1:21">
      <c r="A24" s="103">
        <v>20</v>
      </c>
      <c r="B24" s="110" t="s">
        <v>1019</v>
      </c>
      <c r="C24" s="72">
        <v>81.76</v>
      </c>
      <c r="D24" s="73">
        <v>3108</v>
      </c>
      <c r="E24" s="73">
        <f t="shared" si="1"/>
        <v>254110</v>
      </c>
      <c r="F24" s="74" t="s">
        <v>1020</v>
      </c>
      <c r="G24" s="87">
        <v>110</v>
      </c>
      <c r="H24" s="87">
        <f t="shared" si="2"/>
        <v>254000</v>
      </c>
      <c r="I24" s="86"/>
      <c r="J24" s="86"/>
      <c r="K24" s="87">
        <f t="shared" si="4"/>
        <v>110</v>
      </c>
      <c r="L24" s="127"/>
      <c r="M24" s="127"/>
      <c r="R24" s="50">
        <f t="shared" si="6"/>
        <v>0</v>
      </c>
      <c r="S24" s="101">
        <f t="shared" si="3"/>
        <v>0</v>
      </c>
      <c r="T24" s="101">
        <f t="shared" si="5"/>
        <v>0</v>
      </c>
      <c r="U24" t="s">
        <v>42</v>
      </c>
    </row>
    <row r="25" hidden="1" spans="1:21">
      <c r="A25" s="103">
        <v>21</v>
      </c>
      <c r="B25" s="110" t="s">
        <v>1021</v>
      </c>
      <c r="C25" s="72">
        <v>81.76</v>
      </c>
      <c r="D25" s="73">
        <v>2928</v>
      </c>
      <c r="E25" s="73">
        <f t="shared" si="1"/>
        <v>239393</v>
      </c>
      <c r="F25" s="74" t="s">
        <v>1022</v>
      </c>
      <c r="G25" s="87">
        <v>239393</v>
      </c>
      <c r="H25" s="87">
        <f t="shared" si="2"/>
        <v>0</v>
      </c>
      <c r="I25" s="86"/>
      <c r="J25" s="86">
        <f>VLOOKUP(B25,'多浪一期账面房号及收款金额-分公司'!$A$2:$B$436,2,0)</f>
        <v>239393</v>
      </c>
      <c r="K25" s="87">
        <f t="shared" si="4"/>
        <v>0</v>
      </c>
      <c r="L25" s="127"/>
      <c r="M25" s="127"/>
      <c r="P25" s="50">
        <v>239393</v>
      </c>
      <c r="R25" s="50">
        <f t="shared" si="6"/>
        <v>0</v>
      </c>
      <c r="S25" s="101">
        <f t="shared" si="3"/>
        <v>-11399.6666666667</v>
      </c>
      <c r="T25" s="101">
        <f t="shared" si="5"/>
        <v>11399.6666666667</v>
      </c>
      <c r="U25" t="s">
        <v>77</v>
      </c>
    </row>
    <row r="26" hidden="1" spans="1:21">
      <c r="A26" s="103">
        <v>22</v>
      </c>
      <c r="B26" s="111" t="s">
        <v>1023</v>
      </c>
      <c r="C26" s="72">
        <v>81.76</v>
      </c>
      <c r="D26" s="73">
        <v>2928</v>
      </c>
      <c r="E26" s="73">
        <f t="shared" si="1"/>
        <v>239393</v>
      </c>
      <c r="F26" s="74" t="s">
        <v>1024</v>
      </c>
      <c r="G26" s="87">
        <v>239393</v>
      </c>
      <c r="H26" s="87">
        <f t="shared" si="2"/>
        <v>0</v>
      </c>
      <c r="I26" s="86"/>
      <c r="J26" s="86">
        <f>VLOOKUP(B26,'多浪一期账面房号及收款金额-分公司'!$A$2:$B$436,2,0)</f>
        <v>239393</v>
      </c>
      <c r="K26" s="87">
        <f t="shared" si="4"/>
        <v>0</v>
      </c>
      <c r="L26" s="127"/>
      <c r="M26" s="127"/>
      <c r="P26" s="50">
        <v>239393</v>
      </c>
      <c r="R26" s="50">
        <f t="shared" si="6"/>
        <v>0</v>
      </c>
      <c r="S26" s="101">
        <f t="shared" si="3"/>
        <v>-11399.6666666667</v>
      </c>
      <c r="T26" s="101">
        <f t="shared" si="5"/>
        <v>11399.6666666667</v>
      </c>
      <c r="U26" t="s">
        <v>77</v>
      </c>
    </row>
    <row r="27" hidden="1" spans="1:21">
      <c r="A27" s="103">
        <v>23</v>
      </c>
      <c r="B27" s="111" t="s">
        <v>1025</v>
      </c>
      <c r="C27" s="72">
        <v>81.76</v>
      </c>
      <c r="D27" s="73">
        <v>2530</v>
      </c>
      <c r="E27" s="73">
        <f t="shared" si="1"/>
        <v>206853</v>
      </c>
      <c r="F27" s="74" t="s">
        <v>1026</v>
      </c>
      <c r="G27" s="87">
        <v>206853</v>
      </c>
      <c r="H27" s="87">
        <f t="shared" si="2"/>
        <v>0</v>
      </c>
      <c r="I27" s="86"/>
      <c r="J27" s="86">
        <f>VLOOKUP(B27,'多浪一期账面房号及收款金额-分公司'!$A$2:$B$436,2,0)</f>
        <v>206853</v>
      </c>
      <c r="K27" s="87">
        <f t="shared" si="4"/>
        <v>0</v>
      </c>
      <c r="L27" s="127"/>
      <c r="M27" s="127"/>
      <c r="P27" s="50">
        <v>206853</v>
      </c>
      <c r="R27" s="50">
        <f t="shared" si="6"/>
        <v>0</v>
      </c>
      <c r="S27" s="101">
        <f t="shared" si="3"/>
        <v>-9850.14285714287</v>
      </c>
      <c r="T27" s="101">
        <f t="shared" si="5"/>
        <v>9850.14285714286</v>
      </c>
      <c r="U27" t="s">
        <v>77</v>
      </c>
    </row>
    <row r="28" hidden="1" spans="1:21">
      <c r="A28" s="103">
        <v>24</v>
      </c>
      <c r="B28" s="111" t="s">
        <v>1027</v>
      </c>
      <c r="C28" s="72">
        <v>81.76</v>
      </c>
      <c r="D28" s="73">
        <v>2530</v>
      </c>
      <c r="E28" s="73">
        <f t="shared" si="1"/>
        <v>206853</v>
      </c>
      <c r="F28" s="74" t="s">
        <v>1028</v>
      </c>
      <c r="G28" s="87">
        <v>206853</v>
      </c>
      <c r="H28" s="87">
        <f t="shared" si="2"/>
        <v>0</v>
      </c>
      <c r="I28" s="86"/>
      <c r="J28" s="86">
        <f>VLOOKUP(B28,'多浪一期账面房号及收款金额-分公司'!$A$2:$B$436,2,0)</f>
        <v>206853</v>
      </c>
      <c r="K28" s="87">
        <f t="shared" si="4"/>
        <v>0</v>
      </c>
      <c r="L28" s="127"/>
      <c r="M28" s="127"/>
      <c r="P28" s="50">
        <v>206853</v>
      </c>
      <c r="R28" s="50">
        <f t="shared" si="6"/>
        <v>0</v>
      </c>
      <c r="S28" s="101">
        <f t="shared" si="3"/>
        <v>-9850.14285714287</v>
      </c>
      <c r="T28" s="101">
        <f t="shared" si="5"/>
        <v>9850.14285714286</v>
      </c>
      <c r="U28" t="s">
        <v>77</v>
      </c>
    </row>
    <row r="29" hidden="1" spans="1:21">
      <c r="A29" s="103">
        <v>25</v>
      </c>
      <c r="B29" s="111" t="s">
        <v>1029</v>
      </c>
      <c r="C29" s="72">
        <v>81.76</v>
      </c>
      <c r="D29" s="73">
        <v>2500</v>
      </c>
      <c r="E29" s="73">
        <f t="shared" si="1"/>
        <v>204400</v>
      </c>
      <c r="F29" s="74" t="s">
        <v>1030</v>
      </c>
      <c r="G29" s="87">
        <v>204400</v>
      </c>
      <c r="H29" s="87">
        <f t="shared" si="2"/>
        <v>0</v>
      </c>
      <c r="I29" s="86"/>
      <c r="J29" s="86">
        <f>VLOOKUP(B29,'多浪一期账面房号及收款金额-分公司'!$A$2:$B$436,2,0)</f>
        <v>204399.3</v>
      </c>
      <c r="K29" s="87">
        <f t="shared" si="4"/>
        <v>0.700000000011642</v>
      </c>
      <c r="L29" s="127"/>
      <c r="M29" s="127"/>
      <c r="P29" s="50">
        <v>194666</v>
      </c>
      <c r="R29" s="50">
        <f t="shared" ref="R29:R55" si="7">J29-P29-Q29</f>
        <v>9733.29999999999</v>
      </c>
      <c r="S29" s="101">
        <f t="shared" si="3"/>
        <v>0</v>
      </c>
      <c r="T29" s="101">
        <f t="shared" si="5"/>
        <v>0</v>
      </c>
      <c r="U29" t="s">
        <v>42</v>
      </c>
    </row>
    <row r="30" hidden="1" spans="1:21">
      <c r="A30" s="103">
        <v>26</v>
      </c>
      <c r="B30" s="111" t="s">
        <v>1031</v>
      </c>
      <c r="C30" s="72">
        <v>81.76</v>
      </c>
      <c r="D30" s="73">
        <v>2480.1</v>
      </c>
      <c r="E30" s="73">
        <f t="shared" si="1"/>
        <v>202773</v>
      </c>
      <c r="F30" s="74" t="s">
        <v>1032</v>
      </c>
      <c r="G30" s="87">
        <v>202773</v>
      </c>
      <c r="H30" s="87">
        <f t="shared" si="2"/>
        <v>0</v>
      </c>
      <c r="I30" s="86"/>
      <c r="J30" s="86">
        <f>VLOOKUP(B30,'多浪一期账面房号及收款金额-分公司'!$A$2:$B$436,2,0)</f>
        <v>202772.85</v>
      </c>
      <c r="K30" s="87">
        <f t="shared" si="4"/>
        <v>0.149999999994179</v>
      </c>
      <c r="L30" s="127"/>
      <c r="M30" s="127"/>
      <c r="P30" s="50">
        <v>193117</v>
      </c>
      <c r="R30" s="50">
        <f t="shared" si="7"/>
        <v>9655.85000000001</v>
      </c>
      <c r="S30" s="101">
        <f t="shared" si="3"/>
        <v>0</v>
      </c>
      <c r="T30" s="101">
        <f t="shared" si="5"/>
        <v>0</v>
      </c>
      <c r="U30" t="s">
        <v>42</v>
      </c>
    </row>
    <row r="31" hidden="1" spans="1:21">
      <c r="A31" s="103">
        <v>27</v>
      </c>
      <c r="B31" s="111" t="s">
        <v>1033</v>
      </c>
      <c r="C31" s="72">
        <v>81.76</v>
      </c>
      <c r="D31" s="73">
        <v>3368</v>
      </c>
      <c r="E31" s="73">
        <f t="shared" si="1"/>
        <v>275368</v>
      </c>
      <c r="F31" s="74" t="s">
        <v>1034</v>
      </c>
      <c r="G31" s="87">
        <v>275368</v>
      </c>
      <c r="H31" s="87">
        <f t="shared" si="2"/>
        <v>0</v>
      </c>
      <c r="I31" s="86"/>
      <c r="J31" s="86">
        <f>VLOOKUP(B31,'多浪一期账面房号及收款金额-分公司'!$A$2:$B$436,2,0)</f>
        <v>275368</v>
      </c>
      <c r="K31" s="87">
        <f t="shared" si="4"/>
        <v>0</v>
      </c>
      <c r="L31" s="127"/>
      <c r="M31" s="127"/>
      <c r="P31" s="50">
        <v>275368</v>
      </c>
      <c r="R31" s="50">
        <f t="shared" si="7"/>
        <v>0</v>
      </c>
      <c r="S31" s="101">
        <f t="shared" si="3"/>
        <v>-13112.7619047619</v>
      </c>
      <c r="T31" s="101">
        <f t="shared" si="5"/>
        <v>13112.7619047619</v>
      </c>
      <c r="U31" t="s">
        <v>77</v>
      </c>
    </row>
    <row r="32" hidden="1" spans="1:21">
      <c r="A32" s="103">
        <v>28</v>
      </c>
      <c r="B32" s="111" t="s">
        <v>1035</v>
      </c>
      <c r="C32" s="72">
        <v>81.76</v>
      </c>
      <c r="D32" s="73">
        <v>3368</v>
      </c>
      <c r="E32" s="73">
        <f t="shared" si="1"/>
        <v>275368</v>
      </c>
      <c r="F32" s="74" t="s">
        <v>1036</v>
      </c>
      <c r="G32" s="87">
        <v>368</v>
      </c>
      <c r="H32" s="87">
        <f t="shared" si="2"/>
        <v>275000</v>
      </c>
      <c r="I32" s="86"/>
      <c r="J32" s="86">
        <f>VLOOKUP(B32,'多浪一期账面房号及收款金额-分公司'!$A$2:$B$436,2,0)</f>
        <v>368.55</v>
      </c>
      <c r="K32" s="87">
        <f t="shared" si="4"/>
        <v>-0.550000000000011</v>
      </c>
      <c r="L32" s="127"/>
      <c r="M32" s="127"/>
      <c r="P32" s="50">
        <v>351</v>
      </c>
      <c r="R32" s="50">
        <f t="shared" si="7"/>
        <v>17.55</v>
      </c>
      <c r="S32" s="101">
        <f t="shared" si="3"/>
        <v>0</v>
      </c>
      <c r="T32" s="101">
        <f t="shared" si="5"/>
        <v>0</v>
      </c>
      <c r="U32" t="s">
        <v>42</v>
      </c>
    </row>
    <row r="33" hidden="1" spans="1:21">
      <c r="A33" s="103">
        <v>29</v>
      </c>
      <c r="B33" s="111" t="s">
        <v>1037</v>
      </c>
      <c r="C33" s="72">
        <v>81.76</v>
      </c>
      <c r="D33" s="73">
        <v>2750</v>
      </c>
      <c r="E33" s="73">
        <f t="shared" si="1"/>
        <v>224840</v>
      </c>
      <c r="F33" s="74" t="s">
        <v>1038</v>
      </c>
      <c r="G33" s="87">
        <v>500</v>
      </c>
      <c r="H33" s="87">
        <f t="shared" si="2"/>
        <v>224340</v>
      </c>
      <c r="I33" s="86"/>
      <c r="J33" s="86">
        <f>VLOOKUP(B33,'多浪一期账面房号及收款金额-分公司'!$A$2:$B$436,2,0)</f>
        <v>499.8</v>
      </c>
      <c r="K33" s="87">
        <f t="shared" si="4"/>
        <v>0.199999999999989</v>
      </c>
      <c r="L33" s="127"/>
      <c r="M33" s="127"/>
      <c r="P33" s="50">
        <v>476</v>
      </c>
      <c r="R33" s="50">
        <f t="shared" si="7"/>
        <v>23.8</v>
      </c>
      <c r="S33" s="101">
        <f t="shared" si="3"/>
        <v>0</v>
      </c>
      <c r="T33" s="101">
        <f t="shared" si="5"/>
        <v>0</v>
      </c>
      <c r="U33" t="s">
        <v>42</v>
      </c>
    </row>
    <row r="34" hidden="1" spans="1:21">
      <c r="A34" s="103">
        <v>30</v>
      </c>
      <c r="B34" s="111" t="s">
        <v>1039</v>
      </c>
      <c r="C34" s="72">
        <v>81.76</v>
      </c>
      <c r="D34" s="73">
        <v>2500</v>
      </c>
      <c r="E34" s="73">
        <f t="shared" si="1"/>
        <v>204400</v>
      </c>
      <c r="F34" s="74" t="s">
        <v>1040</v>
      </c>
      <c r="G34" s="87">
        <v>204400</v>
      </c>
      <c r="H34" s="87">
        <f t="shared" si="2"/>
        <v>0</v>
      </c>
      <c r="I34" s="86"/>
      <c r="J34" s="86">
        <f>VLOOKUP(B34,'多浪一期账面房号及收款金额-分公司'!$A$2:$B$436,2,0)</f>
        <v>204399.405</v>
      </c>
      <c r="K34" s="87">
        <f t="shared" si="4"/>
        <v>0.595000000001164</v>
      </c>
      <c r="L34" s="127"/>
      <c r="M34" s="127"/>
      <c r="O34" s="100">
        <f>194666.67-194666.67</f>
        <v>0</v>
      </c>
      <c r="P34" s="50">
        <v>194666.1</v>
      </c>
      <c r="R34" s="50">
        <f t="shared" si="7"/>
        <v>9733.30499999999</v>
      </c>
      <c r="S34" s="101">
        <f t="shared" si="3"/>
        <v>0</v>
      </c>
      <c r="T34" s="101">
        <f t="shared" si="5"/>
        <v>0</v>
      </c>
      <c r="U34" t="s">
        <v>42</v>
      </c>
    </row>
    <row r="35" hidden="1" spans="1:21">
      <c r="A35" s="103">
        <v>31</v>
      </c>
      <c r="B35" s="111" t="s">
        <v>1041</v>
      </c>
      <c r="C35" s="72">
        <v>81.76</v>
      </c>
      <c r="D35" s="73">
        <v>2858</v>
      </c>
      <c r="E35" s="73">
        <f t="shared" si="1"/>
        <v>233670</v>
      </c>
      <c r="F35" s="74" t="s">
        <v>1042</v>
      </c>
      <c r="G35" s="87">
        <v>670</v>
      </c>
      <c r="H35" s="87">
        <f t="shared" si="2"/>
        <v>233000</v>
      </c>
      <c r="I35" s="86"/>
      <c r="J35" s="86">
        <f>VLOOKUP(B35,'多浪一期账面房号及收款金额-分公司'!$A$2:$B$436,2,0)</f>
        <v>669.9</v>
      </c>
      <c r="K35" s="87">
        <f t="shared" si="4"/>
        <v>0.100000000000023</v>
      </c>
      <c r="L35" s="127"/>
      <c r="M35" s="127"/>
      <c r="P35" s="50">
        <v>638</v>
      </c>
      <c r="R35" s="50">
        <f t="shared" si="7"/>
        <v>31.9</v>
      </c>
      <c r="S35" s="101">
        <f t="shared" si="3"/>
        <v>0</v>
      </c>
      <c r="T35" s="101">
        <f t="shared" si="5"/>
        <v>0</v>
      </c>
      <c r="U35" t="s">
        <v>42</v>
      </c>
    </row>
    <row r="36" hidden="1" spans="1:21">
      <c r="A36" s="103">
        <v>32</v>
      </c>
      <c r="B36" s="111" t="s">
        <v>1043</v>
      </c>
      <c r="C36" s="72">
        <v>81.76</v>
      </c>
      <c r="D36" s="73">
        <v>2200</v>
      </c>
      <c r="E36" s="73">
        <f t="shared" si="1"/>
        <v>179872</v>
      </c>
      <c r="F36" s="74" t="s">
        <v>1044</v>
      </c>
      <c r="G36" s="87">
        <v>179872</v>
      </c>
      <c r="H36" s="87">
        <f t="shared" si="2"/>
        <v>0</v>
      </c>
      <c r="I36" s="86"/>
      <c r="J36" s="86">
        <f>VLOOKUP(B36,'多浪一期账面房号及收款金额-分公司'!$A$2:$B$436,2,0)</f>
        <v>179872.35</v>
      </c>
      <c r="K36" s="87">
        <f t="shared" si="4"/>
        <v>-0.350000000005821</v>
      </c>
      <c r="L36" s="127"/>
      <c r="M36" s="127"/>
      <c r="P36" s="50">
        <v>171307</v>
      </c>
      <c r="R36" s="50">
        <f t="shared" si="7"/>
        <v>8565.35000000001</v>
      </c>
      <c r="S36" s="101">
        <f t="shared" si="3"/>
        <v>0</v>
      </c>
      <c r="T36" s="101">
        <f t="shared" si="5"/>
        <v>0</v>
      </c>
      <c r="U36" t="s">
        <v>42</v>
      </c>
    </row>
    <row r="37" hidden="1" spans="1:21">
      <c r="A37" s="103">
        <v>33</v>
      </c>
      <c r="B37" s="111" t="s">
        <v>1045</v>
      </c>
      <c r="C37" s="72">
        <v>81.76</v>
      </c>
      <c r="D37" s="73">
        <v>2928</v>
      </c>
      <c r="E37" s="73">
        <f t="shared" si="1"/>
        <v>239393</v>
      </c>
      <c r="F37" s="74" t="s">
        <v>1046</v>
      </c>
      <c r="G37" s="87">
        <v>239393</v>
      </c>
      <c r="H37" s="87">
        <f t="shared" si="2"/>
        <v>0</v>
      </c>
      <c r="I37" s="86"/>
      <c r="J37" s="86">
        <f>VLOOKUP(B37,'多浪一期账面房号及收款金额-分公司'!$A$2:$B$436,2,0)</f>
        <v>239393</v>
      </c>
      <c r="K37" s="87">
        <f t="shared" si="4"/>
        <v>0</v>
      </c>
      <c r="L37" s="127"/>
      <c r="M37" s="127"/>
      <c r="O37" s="100">
        <v>227993.33</v>
      </c>
      <c r="P37" s="50">
        <v>239393</v>
      </c>
      <c r="Q37" s="50">
        <f>227993.33-227993.33</f>
        <v>0</v>
      </c>
      <c r="R37" s="50">
        <f t="shared" si="7"/>
        <v>0</v>
      </c>
      <c r="S37" s="101">
        <f t="shared" si="3"/>
        <v>-11399.6666666667</v>
      </c>
      <c r="T37" s="101">
        <f t="shared" si="5"/>
        <v>11399.6666666667</v>
      </c>
      <c r="U37" t="s">
        <v>77</v>
      </c>
    </row>
    <row r="38" hidden="1" spans="1:21">
      <c r="A38" s="103">
        <v>34</v>
      </c>
      <c r="B38" s="111" t="s">
        <v>1047</v>
      </c>
      <c r="C38" s="72">
        <v>81.76</v>
      </c>
      <c r="D38" s="73">
        <v>2020</v>
      </c>
      <c r="E38" s="73">
        <f t="shared" si="1"/>
        <v>165155</v>
      </c>
      <c r="F38" s="74" t="s">
        <v>1048</v>
      </c>
      <c r="G38" s="87">
        <v>165155</v>
      </c>
      <c r="H38" s="87">
        <f t="shared" si="2"/>
        <v>0</v>
      </c>
      <c r="I38" s="86"/>
      <c r="J38" s="86">
        <f>VLOOKUP(B38,'多浪一期账面房号及收款金额-分公司'!$A$2:$B$436,2,0)</f>
        <v>165155</v>
      </c>
      <c r="K38" s="87">
        <f t="shared" si="4"/>
        <v>0</v>
      </c>
      <c r="L38" s="127"/>
      <c r="M38" s="127"/>
      <c r="P38" s="50">
        <v>165155</v>
      </c>
      <c r="R38" s="50">
        <f t="shared" si="7"/>
        <v>0</v>
      </c>
      <c r="S38" s="101">
        <f t="shared" si="3"/>
        <v>-7864.52380952382</v>
      </c>
      <c r="T38" s="101">
        <f t="shared" si="5"/>
        <v>7864.52380952381</v>
      </c>
      <c r="U38" t="s">
        <v>77</v>
      </c>
    </row>
    <row r="39" hidden="1" spans="1:21">
      <c r="A39" s="103">
        <v>35</v>
      </c>
      <c r="B39" s="111" t="s">
        <v>1049</v>
      </c>
      <c r="C39" s="72">
        <v>81.76</v>
      </c>
      <c r="D39" s="73">
        <v>1850</v>
      </c>
      <c r="E39" s="73">
        <f t="shared" si="1"/>
        <v>151256</v>
      </c>
      <c r="F39" s="74" t="s">
        <v>1050</v>
      </c>
      <c r="G39" s="87">
        <v>151256</v>
      </c>
      <c r="H39" s="87">
        <f t="shared" si="2"/>
        <v>0</v>
      </c>
      <c r="I39" s="86"/>
      <c r="J39" s="86">
        <f>VLOOKUP(B39,'多浪一期账面房号及收款金额-分公司'!$A$2:$B$436,2,0)</f>
        <v>151256</v>
      </c>
      <c r="K39" s="87">
        <f t="shared" si="4"/>
        <v>0</v>
      </c>
      <c r="L39" s="127"/>
      <c r="M39" s="127"/>
      <c r="P39" s="50">
        <v>151256</v>
      </c>
      <c r="R39" s="50">
        <f t="shared" si="7"/>
        <v>0</v>
      </c>
      <c r="S39" s="101">
        <f t="shared" si="3"/>
        <v>-7202.66666666669</v>
      </c>
      <c r="T39" s="101">
        <f t="shared" si="5"/>
        <v>7202.66666666667</v>
      </c>
      <c r="U39" t="s">
        <v>77</v>
      </c>
    </row>
    <row r="40" hidden="1" spans="1:21">
      <c r="A40" s="103">
        <v>36</v>
      </c>
      <c r="B40" s="111" t="s">
        <v>1051</v>
      </c>
      <c r="C40" s="72">
        <v>81.76</v>
      </c>
      <c r="D40" s="73">
        <v>2530</v>
      </c>
      <c r="E40" s="73">
        <f t="shared" si="1"/>
        <v>206853</v>
      </c>
      <c r="F40" s="74" t="s">
        <v>1052</v>
      </c>
      <c r="G40" s="87">
        <v>206853</v>
      </c>
      <c r="H40" s="87">
        <f t="shared" si="2"/>
        <v>0</v>
      </c>
      <c r="I40" s="86"/>
      <c r="J40" s="86">
        <f>VLOOKUP(B40,'多浪一期账面房号及收款金额-分公司'!$A$2:$B$436,2,0)</f>
        <v>206853</v>
      </c>
      <c r="K40" s="87">
        <f t="shared" si="4"/>
        <v>0</v>
      </c>
      <c r="L40" s="127"/>
      <c r="M40" s="127"/>
      <c r="P40" s="50">
        <v>206853</v>
      </c>
      <c r="R40" s="50">
        <f t="shared" si="7"/>
        <v>0</v>
      </c>
      <c r="S40" s="101">
        <f t="shared" si="3"/>
        <v>-9850.14285714287</v>
      </c>
      <c r="T40" s="101">
        <f t="shared" si="5"/>
        <v>9850.14285714286</v>
      </c>
      <c r="U40" t="s">
        <v>77</v>
      </c>
    </row>
    <row r="41" hidden="1" spans="1:21">
      <c r="A41" s="103">
        <v>37</v>
      </c>
      <c r="B41" s="111" t="s">
        <v>1053</v>
      </c>
      <c r="C41" s="72">
        <v>81.76</v>
      </c>
      <c r="D41" s="73">
        <v>2500</v>
      </c>
      <c r="E41" s="73">
        <f t="shared" si="1"/>
        <v>204400</v>
      </c>
      <c r="F41" s="74" t="s">
        <v>1054</v>
      </c>
      <c r="G41" s="87">
        <v>204400</v>
      </c>
      <c r="H41" s="87">
        <f t="shared" si="2"/>
        <v>0</v>
      </c>
      <c r="I41" s="86"/>
      <c r="J41" s="86">
        <f>VLOOKUP(B41,'多浪一期账面房号及收款金额-分公司'!$A$2:$B$436,2,0)</f>
        <v>204399.3</v>
      </c>
      <c r="K41" s="87">
        <f t="shared" si="4"/>
        <v>0.700000000011642</v>
      </c>
      <c r="L41" s="127"/>
      <c r="M41" s="127"/>
      <c r="P41" s="50">
        <v>194666</v>
      </c>
      <c r="R41" s="50">
        <f t="shared" si="7"/>
        <v>9733.29999999999</v>
      </c>
      <c r="S41" s="101">
        <f t="shared" si="3"/>
        <v>0</v>
      </c>
      <c r="T41" s="101">
        <f t="shared" si="5"/>
        <v>0</v>
      </c>
      <c r="U41" t="s">
        <v>42</v>
      </c>
    </row>
    <row r="42" hidden="1" spans="1:21">
      <c r="A42" s="103">
        <v>38</v>
      </c>
      <c r="B42" s="111" t="s">
        <v>1055</v>
      </c>
      <c r="C42" s="72">
        <v>82.13</v>
      </c>
      <c r="D42" s="73">
        <v>2500</v>
      </c>
      <c r="E42" s="73">
        <f t="shared" si="1"/>
        <v>205325</v>
      </c>
      <c r="F42" s="74" t="s">
        <v>1056</v>
      </c>
      <c r="G42" s="87">
        <v>205352</v>
      </c>
      <c r="H42" s="87">
        <f t="shared" si="2"/>
        <v>-27</v>
      </c>
      <c r="I42" s="86"/>
      <c r="J42" s="86">
        <f>VLOOKUP(B42,'多浪一期账面房号及收款金额-分公司'!$A$2:$B$436,2,0)</f>
        <v>205351.965</v>
      </c>
      <c r="K42" s="87">
        <f t="shared" si="4"/>
        <v>0.0350000000034925</v>
      </c>
      <c r="L42" s="127"/>
      <c r="M42" s="127"/>
      <c r="P42" s="50">
        <v>195573.3</v>
      </c>
      <c r="R42" s="50">
        <f t="shared" si="7"/>
        <v>9778.66500000001</v>
      </c>
      <c r="S42" s="101">
        <f t="shared" si="3"/>
        <v>0</v>
      </c>
      <c r="T42" s="101">
        <f t="shared" si="5"/>
        <v>0</v>
      </c>
      <c r="U42" t="s">
        <v>42</v>
      </c>
    </row>
    <row r="43" hidden="1" spans="1:21">
      <c r="A43" s="103">
        <v>39</v>
      </c>
      <c r="B43" s="111" t="s">
        <v>1057</v>
      </c>
      <c r="C43" s="72">
        <v>81.76</v>
      </c>
      <c r="D43" s="73">
        <v>2500</v>
      </c>
      <c r="E43" s="73">
        <f t="shared" si="1"/>
        <v>204400</v>
      </c>
      <c r="F43" s="74" t="s">
        <v>1058</v>
      </c>
      <c r="G43" s="87">
        <v>204400</v>
      </c>
      <c r="H43" s="87">
        <f t="shared" si="2"/>
        <v>0</v>
      </c>
      <c r="I43" s="86"/>
      <c r="J43" s="86">
        <f>VLOOKUP(B43,'多浪一期账面房号及收款金额-分公司'!$A$2:$B$436,2,0)</f>
        <v>204399.3</v>
      </c>
      <c r="K43" s="87">
        <f t="shared" si="4"/>
        <v>0.700000000011642</v>
      </c>
      <c r="L43" s="127"/>
      <c r="M43" s="127"/>
      <c r="P43" s="50">
        <v>194666</v>
      </c>
      <c r="R43" s="50">
        <f t="shared" si="7"/>
        <v>9733.29999999999</v>
      </c>
      <c r="S43" s="101">
        <f t="shared" si="3"/>
        <v>0</v>
      </c>
      <c r="T43" s="101">
        <f t="shared" si="5"/>
        <v>0</v>
      </c>
      <c r="U43" t="s">
        <v>42</v>
      </c>
    </row>
    <row r="44" hidden="1" spans="1:21">
      <c r="A44" s="103">
        <v>40</v>
      </c>
      <c r="B44" s="111" t="s">
        <v>1059</v>
      </c>
      <c r="C44" s="72">
        <v>82.13</v>
      </c>
      <c r="D44" s="73">
        <v>2500</v>
      </c>
      <c r="E44" s="73">
        <f t="shared" si="1"/>
        <v>205325</v>
      </c>
      <c r="F44" s="74" t="s">
        <v>1060</v>
      </c>
      <c r="G44" s="87">
        <v>205325</v>
      </c>
      <c r="H44" s="87">
        <f t="shared" si="2"/>
        <v>0</v>
      </c>
      <c r="I44" s="86"/>
      <c r="J44" s="86">
        <f>VLOOKUP(B44,'多浪一期账面房号及收款金额-分公司'!$A$2:$B$436,2,0)</f>
        <v>205325.4</v>
      </c>
      <c r="K44" s="87">
        <f t="shared" si="4"/>
        <v>-0.399999999994179</v>
      </c>
      <c r="L44" s="127"/>
      <c r="M44" s="127"/>
      <c r="P44" s="50">
        <v>195548</v>
      </c>
      <c r="R44" s="50">
        <f t="shared" si="7"/>
        <v>9777.39999999999</v>
      </c>
      <c r="S44" s="101">
        <f t="shared" si="3"/>
        <v>0</v>
      </c>
      <c r="T44" s="101">
        <f t="shared" si="5"/>
        <v>0</v>
      </c>
      <c r="U44" t="s">
        <v>42</v>
      </c>
    </row>
    <row r="45" hidden="1" spans="1:21">
      <c r="A45" s="103">
        <v>41</v>
      </c>
      <c r="B45" s="111" t="s">
        <v>1061</v>
      </c>
      <c r="C45" s="72">
        <v>81.76</v>
      </c>
      <c r="D45" s="73">
        <v>2460</v>
      </c>
      <c r="E45" s="73">
        <f t="shared" si="1"/>
        <v>201130</v>
      </c>
      <c r="F45" s="74" t="s">
        <v>1062</v>
      </c>
      <c r="G45" s="87">
        <v>201130</v>
      </c>
      <c r="H45" s="87">
        <f t="shared" si="2"/>
        <v>0</v>
      </c>
      <c r="I45" s="86"/>
      <c r="J45" s="86">
        <f>VLOOKUP(B45,'多浪一期账面房号及收款金额-分公司'!$A$2:$B$436,2,0)</f>
        <v>201129.6</v>
      </c>
      <c r="K45" s="87">
        <f t="shared" si="4"/>
        <v>0.399999999994179</v>
      </c>
      <c r="L45" s="127"/>
      <c r="M45" s="127"/>
      <c r="P45" s="50">
        <v>191552</v>
      </c>
      <c r="R45" s="50">
        <f t="shared" si="7"/>
        <v>9577.60000000001</v>
      </c>
      <c r="S45" s="101">
        <f t="shared" si="3"/>
        <v>0</v>
      </c>
      <c r="T45" s="101">
        <f t="shared" si="5"/>
        <v>0</v>
      </c>
      <c r="U45" t="s">
        <v>42</v>
      </c>
    </row>
    <row r="46" hidden="1" spans="1:21">
      <c r="A46" s="103">
        <v>42</v>
      </c>
      <c r="B46" s="111" t="s">
        <v>1063</v>
      </c>
      <c r="C46" s="72">
        <v>82.13</v>
      </c>
      <c r="D46" s="73">
        <v>2000</v>
      </c>
      <c r="E46" s="73">
        <f t="shared" si="1"/>
        <v>164260</v>
      </c>
      <c r="F46" s="74" t="s">
        <v>1064</v>
      </c>
      <c r="G46" s="87">
        <v>299774</v>
      </c>
      <c r="H46" s="87">
        <f t="shared" si="2"/>
        <v>-135514</v>
      </c>
      <c r="I46" s="86"/>
      <c r="J46" s="86">
        <f>VLOOKUP(B46,'多浪一期账面房号及收款金额-分公司'!$A$2:$B$436,2,0)</f>
        <v>5000.1</v>
      </c>
      <c r="K46" s="87">
        <f t="shared" si="4"/>
        <v>294773.9</v>
      </c>
      <c r="L46" s="127"/>
      <c r="M46" s="127"/>
      <c r="P46" s="50">
        <v>4762</v>
      </c>
      <c r="R46" s="50">
        <f t="shared" si="7"/>
        <v>238.1</v>
      </c>
      <c r="S46" s="101">
        <f t="shared" si="3"/>
        <v>0</v>
      </c>
      <c r="T46" s="101">
        <f t="shared" si="5"/>
        <v>0</v>
      </c>
      <c r="U46" t="s">
        <v>42</v>
      </c>
    </row>
    <row r="47" hidden="1" spans="1:21">
      <c r="A47" s="103">
        <v>43</v>
      </c>
      <c r="B47" s="111" t="s">
        <v>1065</v>
      </c>
      <c r="C47" s="72">
        <v>81.76</v>
      </c>
      <c r="D47" s="73">
        <v>2250</v>
      </c>
      <c r="E47" s="73">
        <f t="shared" si="1"/>
        <v>183960</v>
      </c>
      <c r="F47" s="74" t="s">
        <v>1066</v>
      </c>
      <c r="G47" s="87">
        <v>183960</v>
      </c>
      <c r="H47" s="87">
        <f t="shared" si="2"/>
        <v>0</v>
      </c>
      <c r="I47" s="86"/>
      <c r="J47" s="86">
        <f>VLOOKUP(B47,'多浪一期账面房号及收款金额-分公司'!$A$2:$B$436,2,0)</f>
        <v>183960</v>
      </c>
      <c r="K47" s="87">
        <f t="shared" si="4"/>
        <v>0</v>
      </c>
      <c r="L47" s="127"/>
      <c r="M47" s="127"/>
      <c r="P47" s="50">
        <v>175200</v>
      </c>
      <c r="R47" s="50">
        <f t="shared" si="7"/>
        <v>8760</v>
      </c>
      <c r="S47" s="101">
        <f t="shared" si="3"/>
        <v>0</v>
      </c>
      <c r="T47" s="101">
        <f t="shared" si="5"/>
        <v>0</v>
      </c>
      <c r="U47" t="s">
        <v>42</v>
      </c>
    </row>
    <row r="48" hidden="1" spans="1:21">
      <c r="A48" s="103">
        <v>44</v>
      </c>
      <c r="B48" s="111" t="s">
        <v>1067</v>
      </c>
      <c r="C48" s="72">
        <v>82.13</v>
      </c>
      <c r="D48" s="73">
        <v>2250</v>
      </c>
      <c r="E48" s="73">
        <f t="shared" si="1"/>
        <v>184793</v>
      </c>
      <c r="F48" s="74" t="s">
        <v>1068</v>
      </c>
      <c r="G48" s="87">
        <v>184793</v>
      </c>
      <c r="H48" s="87">
        <f t="shared" si="2"/>
        <v>0</v>
      </c>
      <c r="I48" s="86"/>
      <c r="J48" s="86">
        <f>VLOOKUP(B48,'多浪一期账面房号及收款金额-分公司'!$A$2:$B$436,2,0)</f>
        <v>184793.7</v>
      </c>
      <c r="K48" s="87">
        <f t="shared" si="4"/>
        <v>-0.700000000011642</v>
      </c>
      <c r="L48" s="127"/>
      <c r="M48" s="127"/>
      <c r="P48" s="50">
        <v>175994</v>
      </c>
      <c r="R48" s="50">
        <f t="shared" si="7"/>
        <v>8799.70000000001</v>
      </c>
      <c r="S48" s="101">
        <f t="shared" si="3"/>
        <v>0</v>
      </c>
      <c r="T48" s="101">
        <f t="shared" si="5"/>
        <v>0</v>
      </c>
      <c r="U48" t="s">
        <v>42</v>
      </c>
    </row>
    <row r="49" hidden="1" spans="1:21">
      <c r="A49" s="103">
        <v>45</v>
      </c>
      <c r="B49" s="111" t="s">
        <v>1069</v>
      </c>
      <c r="C49" s="72">
        <v>81.76</v>
      </c>
      <c r="D49" s="73">
        <v>2928</v>
      </c>
      <c r="E49" s="73">
        <f t="shared" si="1"/>
        <v>239393</v>
      </c>
      <c r="F49" s="74" t="s">
        <v>1070</v>
      </c>
      <c r="G49" s="87">
        <v>239393</v>
      </c>
      <c r="H49" s="87">
        <f t="shared" si="2"/>
        <v>0</v>
      </c>
      <c r="I49" s="86"/>
      <c r="J49" s="86">
        <f>VLOOKUP(B49,'多浪一期账面房号及收款金额-分公司'!$A$2:$B$436,2,0)</f>
        <v>239392.7</v>
      </c>
      <c r="K49" s="87">
        <f t="shared" si="4"/>
        <v>0.299999999988358</v>
      </c>
      <c r="L49" s="127"/>
      <c r="M49" s="127"/>
      <c r="P49" s="50">
        <v>237407</v>
      </c>
      <c r="R49" s="50">
        <f t="shared" si="7"/>
        <v>1985.70000000001</v>
      </c>
      <c r="S49" s="101">
        <f t="shared" si="3"/>
        <v>-9413.95238095237</v>
      </c>
      <c r="T49" s="101">
        <f t="shared" si="5"/>
        <v>9413.95238095237</v>
      </c>
      <c r="U49" t="s">
        <v>77</v>
      </c>
    </row>
    <row r="50" hidden="1" spans="1:21">
      <c r="A50" s="103">
        <v>46</v>
      </c>
      <c r="B50" s="111" t="s">
        <v>1071</v>
      </c>
      <c r="C50" s="72">
        <v>82.13</v>
      </c>
      <c r="D50" s="73">
        <v>2928</v>
      </c>
      <c r="E50" s="73">
        <f t="shared" si="1"/>
        <v>240477</v>
      </c>
      <c r="F50" s="74" t="s">
        <v>1072</v>
      </c>
      <c r="G50" s="87">
        <v>240477</v>
      </c>
      <c r="H50" s="87">
        <f t="shared" si="2"/>
        <v>0</v>
      </c>
      <c r="I50" s="86"/>
      <c r="J50" s="86">
        <f>VLOOKUP(B50,'多浪一期账面房号及收款金额-分公司'!$A$2:$B$436,2,0)</f>
        <v>240477.3</v>
      </c>
      <c r="K50" s="87">
        <f t="shared" si="4"/>
        <v>-0.299999999988358</v>
      </c>
      <c r="L50" s="127"/>
      <c r="M50" s="127"/>
      <c r="P50" s="50">
        <v>229026</v>
      </c>
      <c r="R50" s="50">
        <f t="shared" si="7"/>
        <v>11451.3</v>
      </c>
      <c r="S50" s="101">
        <f t="shared" si="3"/>
        <v>0</v>
      </c>
      <c r="T50" s="101">
        <f t="shared" si="5"/>
        <v>0</v>
      </c>
      <c r="U50" t="s">
        <v>42</v>
      </c>
    </row>
    <row r="51" hidden="1" spans="1:21">
      <c r="A51" s="103">
        <v>47</v>
      </c>
      <c r="B51" s="111" t="s">
        <v>1073</v>
      </c>
      <c r="C51" s="72">
        <v>81.76</v>
      </c>
      <c r="D51" s="73">
        <v>2530</v>
      </c>
      <c r="E51" s="73">
        <f t="shared" si="1"/>
        <v>206853</v>
      </c>
      <c r="F51" s="74" t="s">
        <v>1074</v>
      </c>
      <c r="G51" s="87">
        <v>206853</v>
      </c>
      <c r="H51" s="87">
        <f t="shared" si="2"/>
        <v>0</v>
      </c>
      <c r="I51" s="86"/>
      <c r="J51" s="86">
        <f>VLOOKUP(B51,'多浪一期账面房号及收款金额-分公司'!$A$2:$B$436,2,0)</f>
        <v>206853.15</v>
      </c>
      <c r="K51" s="87">
        <f t="shared" si="4"/>
        <v>-0.149999999994179</v>
      </c>
      <c r="L51" s="127"/>
      <c r="M51" s="127"/>
      <c r="P51" s="50">
        <v>197003</v>
      </c>
      <c r="R51" s="50">
        <f t="shared" si="7"/>
        <v>9850.14999999999</v>
      </c>
      <c r="S51" s="101">
        <f t="shared" si="3"/>
        <v>0</v>
      </c>
      <c r="T51" s="101">
        <f t="shared" si="5"/>
        <v>0</v>
      </c>
      <c r="U51" t="s">
        <v>42</v>
      </c>
    </row>
    <row r="52" hidden="1" spans="1:21">
      <c r="A52" s="103">
        <v>48</v>
      </c>
      <c r="B52" s="111" t="s">
        <v>1075</v>
      </c>
      <c r="C52" s="72">
        <v>82.13</v>
      </c>
      <c r="D52" s="73">
        <v>1550</v>
      </c>
      <c r="E52" s="73">
        <f t="shared" si="1"/>
        <v>127302</v>
      </c>
      <c r="F52" s="74" t="s">
        <v>1076</v>
      </c>
      <c r="G52" s="87">
        <v>127302</v>
      </c>
      <c r="H52" s="87">
        <f t="shared" si="2"/>
        <v>0</v>
      </c>
      <c r="I52" s="86"/>
      <c r="J52" s="86">
        <f>VLOOKUP(B52,'多浪一期账面房号及收款金额-分公司'!$A$2:$B$436,2,0)</f>
        <v>127302</v>
      </c>
      <c r="K52" s="87">
        <f t="shared" si="4"/>
        <v>0</v>
      </c>
      <c r="L52" s="127"/>
      <c r="M52" s="127"/>
      <c r="O52" s="100">
        <f>121240-121240</f>
        <v>0</v>
      </c>
      <c r="P52" s="50">
        <v>121240</v>
      </c>
      <c r="R52" s="50">
        <f t="shared" si="7"/>
        <v>6062</v>
      </c>
      <c r="S52" s="101">
        <f t="shared" si="3"/>
        <v>0</v>
      </c>
      <c r="T52" s="101">
        <f t="shared" si="5"/>
        <v>0</v>
      </c>
      <c r="U52" t="s">
        <v>42</v>
      </c>
    </row>
    <row r="53" hidden="1" spans="1:21">
      <c r="A53" s="103">
        <v>49</v>
      </c>
      <c r="B53" s="109" t="s">
        <v>1077</v>
      </c>
      <c r="C53" s="72">
        <v>99.69</v>
      </c>
      <c r="D53" s="73">
        <v>2500</v>
      </c>
      <c r="E53" s="73">
        <f t="shared" si="1"/>
        <v>249225</v>
      </c>
      <c r="F53" s="74" t="s">
        <v>1078</v>
      </c>
      <c r="G53" s="87">
        <v>249225</v>
      </c>
      <c r="H53" s="87">
        <f t="shared" si="2"/>
        <v>0</v>
      </c>
      <c r="I53" s="86"/>
      <c r="J53" s="86">
        <f>VLOOKUP(B53,'多浪一期账面房号及收款金额-分公司'!$A$2:$B$436,2,0)</f>
        <v>249224.85</v>
      </c>
      <c r="K53" s="87">
        <f t="shared" si="4"/>
        <v>0.149999999994179</v>
      </c>
      <c r="L53" s="127"/>
      <c r="M53" s="127"/>
      <c r="P53" s="50">
        <v>237357</v>
      </c>
      <c r="R53" s="50">
        <f t="shared" si="7"/>
        <v>11867.85</v>
      </c>
      <c r="S53" s="101">
        <f t="shared" si="3"/>
        <v>0</v>
      </c>
      <c r="T53" s="101">
        <f t="shared" si="5"/>
        <v>0</v>
      </c>
      <c r="U53" t="s">
        <v>42</v>
      </c>
    </row>
    <row r="54" hidden="1" spans="1:21">
      <c r="A54" s="103">
        <v>50</v>
      </c>
      <c r="B54" s="110" t="s">
        <v>1079</v>
      </c>
      <c r="C54" s="72">
        <v>89.5</v>
      </c>
      <c r="D54" s="73">
        <v>2492</v>
      </c>
      <c r="E54" s="73">
        <f t="shared" si="1"/>
        <v>223034</v>
      </c>
      <c r="F54" s="74" t="s">
        <v>1080</v>
      </c>
      <c r="G54" s="87">
        <v>223034</v>
      </c>
      <c r="H54" s="87">
        <f t="shared" si="2"/>
        <v>0</v>
      </c>
      <c r="I54" s="86"/>
      <c r="J54" s="86">
        <f>VLOOKUP(B54,'多浪一期账面房号及收款金额-分公司'!$A$2:$B$436,2,0)</f>
        <v>223034.7</v>
      </c>
      <c r="K54" s="87">
        <f t="shared" si="4"/>
        <v>-0.700000000011642</v>
      </c>
      <c r="L54" s="127"/>
      <c r="M54" s="127"/>
      <c r="P54" s="50">
        <v>212414</v>
      </c>
      <c r="R54" s="50">
        <f t="shared" si="7"/>
        <v>10620.7</v>
      </c>
      <c r="S54" s="101">
        <f t="shared" si="3"/>
        <v>0</v>
      </c>
      <c r="T54" s="101">
        <f t="shared" si="5"/>
        <v>0</v>
      </c>
      <c r="U54" t="s">
        <v>42</v>
      </c>
    </row>
    <row r="55" hidden="1" spans="1:21">
      <c r="A55" s="103">
        <v>51</v>
      </c>
      <c r="B55" s="110" t="s">
        <v>1081</v>
      </c>
      <c r="C55" s="72">
        <v>99.69</v>
      </c>
      <c r="D55" s="73">
        <v>2480</v>
      </c>
      <c r="E55" s="73">
        <f t="shared" si="1"/>
        <v>247231</v>
      </c>
      <c r="F55" s="74" t="s">
        <v>1082</v>
      </c>
      <c r="G55" s="87">
        <v>247231</v>
      </c>
      <c r="H55" s="87">
        <f t="shared" si="2"/>
        <v>0</v>
      </c>
      <c r="I55" s="86"/>
      <c r="J55" s="86">
        <f>VLOOKUP(B55,'多浪一期账面房号及收款金额-分公司'!$A$2:$B$436,2,0)</f>
        <v>247230.9</v>
      </c>
      <c r="K55" s="87">
        <f t="shared" si="4"/>
        <v>0.100000000005821</v>
      </c>
      <c r="L55" s="127"/>
      <c r="M55" s="127"/>
      <c r="P55" s="50">
        <v>235458</v>
      </c>
      <c r="R55" s="50">
        <f t="shared" si="7"/>
        <v>11772.9</v>
      </c>
      <c r="S55" s="101">
        <f t="shared" si="3"/>
        <v>0</v>
      </c>
      <c r="T55" s="101">
        <f t="shared" si="5"/>
        <v>0</v>
      </c>
      <c r="U55" t="s">
        <v>42</v>
      </c>
    </row>
    <row r="56" hidden="1" spans="1:21">
      <c r="A56" s="103">
        <v>52</v>
      </c>
      <c r="B56" s="110" t="s">
        <v>1083</v>
      </c>
      <c r="C56" s="72">
        <v>89.5</v>
      </c>
      <c r="D56" s="73">
        <v>2500</v>
      </c>
      <c r="E56" s="73">
        <f t="shared" si="1"/>
        <v>223750</v>
      </c>
      <c r="F56" s="74" t="s">
        <v>1084</v>
      </c>
      <c r="G56" s="87">
        <v>223750</v>
      </c>
      <c r="H56" s="87">
        <f t="shared" si="2"/>
        <v>0</v>
      </c>
      <c r="I56" s="86"/>
      <c r="J56" s="86">
        <v>228750</v>
      </c>
      <c r="K56" s="87">
        <f t="shared" si="4"/>
        <v>-5000</v>
      </c>
      <c r="L56" s="127" t="s">
        <v>1085</v>
      </c>
      <c r="M56" s="127"/>
      <c r="N56" s="100">
        <f>VLOOKUP(B56,[4]Sheet1!$D$5:$N$69,11,0)</f>
        <v>-219940</v>
      </c>
      <c r="O56" s="100">
        <v>223750</v>
      </c>
      <c r="P56" s="50">
        <v>214047</v>
      </c>
      <c r="Q56" s="50">
        <v>213095.24</v>
      </c>
      <c r="R56" s="50">
        <v>10892.85</v>
      </c>
      <c r="S56" s="101">
        <f t="shared" si="3"/>
        <v>-209285.097142857</v>
      </c>
      <c r="T56" s="101">
        <f t="shared" si="5"/>
        <v>0.0071428571427532</v>
      </c>
      <c r="U56" t="s">
        <v>984</v>
      </c>
    </row>
    <row r="57" hidden="1" spans="1:21">
      <c r="A57" s="103">
        <v>53</v>
      </c>
      <c r="B57" s="110" t="s">
        <v>1086</v>
      </c>
      <c r="C57" s="72">
        <v>99.69</v>
      </c>
      <c r="D57" s="73">
        <v>2580</v>
      </c>
      <c r="E57" s="73">
        <f t="shared" si="1"/>
        <v>257200</v>
      </c>
      <c r="F57" s="94" t="s">
        <v>1087</v>
      </c>
      <c r="G57" s="87">
        <v>257200</v>
      </c>
      <c r="H57" s="87">
        <f t="shared" si="2"/>
        <v>0</v>
      </c>
      <c r="I57" s="86"/>
      <c r="J57" s="86">
        <f>VLOOKUP(B57,'多浪一期账面房号及收款金额-分公司'!$A$2:$B$436,2,0)</f>
        <v>257200.65</v>
      </c>
      <c r="K57" s="87">
        <f t="shared" si="4"/>
        <v>-0.649999999994179</v>
      </c>
      <c r="L57" s="127"/>
      <c r="M57" s="127"/>
      <c r="N57" s="100">
        <f>VLOOKUP(B57,[4]Sheet1!$D$5:$N$69,11,0)</f>
        <v>-257200</v>
      </c>
      <c r="O57" s="128">
        <v>244952.38</v>
      </c>
      <c r="P57" s="50">
        <v>244953</v>
      </c>
      <c r="Q57" s="50">
        <v>244952.38</v>
      </c>
      <c r="R57" s="50">
        <v>12247.62</v>
      </c>
      <c r="S57" s="101">
        <f t="shared" si="3"/>
        <v>-244952.38</v>
      </c>
      <c r="T57" s="101">
        <f t="shared" si="5"/>
        <v>0.0299999999988358</v>
      </c>
      <c r="U57" t="s">
        <v>984</v>
      </c>
    </row>
    <row r="58" hidden="1" spans="1:21">
      <c r="A58" s="103">
        <v>54</v>
      </c>
      <c r="B58" s="110" t="s">
        <v>1088</v>
      </c>
      <c r="C58" s="72">
        <v>89.5</v>
      </c>
      <c r="D58" s="73">
        <v>2500</v>
      </c>
      <c r="E58" s="73">
        <f t="shared" si="1"/>
        <v>223750</v>
      </c>
      <c r="F58" s="74" t="s">
        <v>1089</v>
      </c>
      <c r="G58" s="87">
        <v>224750</v>
      </c>
      <c r="H58" s="87">
        <f t="shared" si="2"/>
        <v>-1000</v>
      </c>
      <c r="I58" s="86"/>
      <c r="J58" s="86">
        <v>224750</v>
      </c>
      <c r="K58" s="87">
        <f t="shared" si="4"/>
        <v>0</v>
      </c>
      <c r="L58" s="127"/>
      <c r="M58" s="127"/>
      <c r="P58" s="50">
        <v>214047</v>
      </c>
      <c r="R58" s="50">
        <v>10703</v>
      </c>
      <c r="S58" s="101">
        <f t="shared" si="3"/>
        <v>0.619047619024059</v>
      </c>
      <c r="T58" s="101">
        <f t="shared" si="5"/>
        <v>-0.619047619047706</v>
      </c>
      <c r="U58" t="s">
        <v>42</v>
      </c>
    </row>
    <row r="59" hidden="1" spans="1:21">
      <c r="A59" s="103">
        <v>55</v>
      </c>
      <c r="B59" s="110" t="s">
        <v>1090</v>
      </c>
      <c r="C59" s="72">
        <v>99.69</v>
      </c>
      <c r="D59" s="73">
        <v>2200</v>
      </c>
      <c r="E59" s="73">
        <f t="shared" si="1"/>
        <v>219318</v>
      </c>
      <c r="F59" s="74" t="s">
        <v>1091</v>
      </c>
      <c r="G59" s="87">
        <v>219318</v>
      </c>
      <c r="H59" s="87">
        <f t="shared" si="2"/>
        <v>0</v>
      </c>
      <c r="I59" s="86"/>
      <c r="J59" s="86">
        <v>219318</v>
      </c>
      <c r="K59" s="87">
        <f t="shared" si="4"/>
        <v>0</v>
      </c>
      <c r="L59" s="127"/>
      <c r="M59" s="127"/>
      <c r="P59" s="50">
        <v>208875</v>
      </c>
      <c r="R59" s="50">
        <v>10443</v>
      </c>
      <c r="S59" s="101">
        <f t="shared" si="3"/>
        <v>-0.714285714289872</v>
      </c>
      <c r="T59" s="101">
        <f t="shared" si="5"/>
        <v>0.714285714286234</v>
      </c>
      <c r="U59" t="s">
        <v>42</v>
      </c>
    </row>
    <row r="60" hidden="1" spans="1:21">
      <c r="A60" s="103">
        <v>56</v>
      </c>
      <c r="B60" s="110" t="s">
        <v>1092</v>
      </c>
      <c r="C60" s="72">
        <v>89.5</v>
      </c>
      <c r="D60" s="73">
        <v>2200</v>
      </c>
      <c r="E60" s="73">
        <f t="shared" si="1"/>
        <v>196900</v>
      </c>
      <c r="F60" s="74" t="s">
        <v>1093</v>
      </c>
      <c r="G60" s="87">
        <v>201900</v>
      </c>
      <c r="H60" s="87">
        <f t="shared" si="2"/>
        <v>-5000</v>
      </c>
      <c r="I60" s="86"/>
      <c r="J60" s="86">
        <v>201900</v>
      </c>
      <c r="K60" s="87">
        <f t="shared" si="4"/>
        <v>0</v>
      </c>
      <c r="L60" s="127"/>
      <c r="M60" s="127"/>
      <c r="P60" s="50">
        <v>192286</v>
      </c>
      <c r="R60" s="50">
        <v>9614</v>
      </c>
      <c r="S60" s="101">
        <f t="shared" si="3"/>
        <v>-0.285714285710128</v>
      </c>
      <c r="T60" s="101">
        <f t="shared" si="5"/>
        <v>0.285714285715585</v>
      </c>
      <c r="U60" t="s">
        <v>42</v>
      </c>
    </row>
    <row r="61" hidden="1" spans="1:21">
      <c r="A61" s="103">
        <v>57</v>
      </c>
      <c r="B61" s="110" t="s">
        <v>1094</v>
      </c>
      <c r="C61" s="72">
        <v>99.69</v>
      </c>
      <c r="D61" s="73">
        <v>2100</v>
      </c>
      <c r="E61" s="73">
        <f t="shared" si="1"/>
        <v>209349</v>
      </c>
      <c r="F61" s="94" t="s">
        <v>1095</v>
      </c>
      <c r="G61" s="87">
        <v>209349</v>
      </c>
      <c r="H61" s="87">
        <f t="shared" si="2"/>
        <v>0</v>
      </c>
      <c r="I61" s="86"/>
      <c r="J61" s="86">
        <f>VLOOKUP(B61,'多浪一期账面房号及收款金额-分公司'!$A$2:$B$436,2,0)</f>
        <v>209349</v>
      </c>
      <c r="K61" s="87">
        <f t="shared" si="4"/>
        <v>0</v>
      </c>
      <c r="L61" s="127"/>
      <c r="M61" s="127"/>
      <c r="P61" s="50">
        <v>199380</v>
      </c>
      <c r="R61" s="50">
        <v>9969</v>
      </c>
      <c r="S61" s="101">
        <f t="shared" si="3"/>
        <v>0</v>
      </c>
      <c r="T61" s="101">
        <f t="shared" si="5"/>
        <v>0</v>
      </c>
      <c r="U61" t="s">
        <v>42</v>
      </c>
    </row>
    <row r="62" s="99" customFormat="1" spans="1:21">
      <c r="A62" s="112">
        <v>58</v>
      </c>
      <c r="B62" s="113" t="s">
        <v>1096</v>
      </c>
      <c r="C62" s="114">
        <v>89.5</v>
      </c>
      <c r="D62" s="115">
        <v>2000</v>
      </c>
      <c r="E62" s="115">
        <f t="shared" si="1"/>
        <v>179000</v>
      </c>
      <c r="F62" s="116" t="s">
        <v>1097</v>
      </c>
      <c r="G62" s="95">
        <v>179000</v>
      </c>
      <c r="H62" s="95">
        <f t="shared" si="2"/>
        <v>0</v>
      </c>
      <c r="I62" s="129"/>
      <c r="J62" s="129">
        <f>VLOOKUP(B62,'多浪一期账面房号及收款金额-分公司'!$A$2:$B$436,2,0)</f>
        <v>178999.2015</v>
      </c>
      <c r="K62" s="95">
        <f t="shared" si="4"/>
        <v>0.798500000004424</v>
      </c>
      <c r="L62" s="130"/>
      <c r="M62" s="130"/>
      <c r="N62" s="99">
        <f>VLOOKUP(B62,[4]Sheet1!$D$5:$N$69,11,0)</f>
        <v>9523.81</v>
      </c>
      <c r="O62" s="99">
        <f>39047.62+170476.19-143809.19</f>
        <v>65714.62</v>
      </c>
      <c r="P62" s="131">
        <v>95237</v>
      </c>
      <c r="Q62" s="131">
        <f>39047.62+170476.19-143809.19</f>
        <v>65714.62</v>
      </c>
      <c r="R62" s="131">
        <v>8523.77</v>
      </c>
      <c r="S62" s="131">
        <f t="shared" si="3"/>
        <v>9523.81</v>
      </c>
      <c r="T62" s="131">
        <f t="shared" si="5"/>
        <v>0.00150000000030559</v>
      </c>
      <c r="U62" s="21" t="s">
        <v>1098</v>
      </c>
    </row>
    <row r="63" hidden="1" spans="1:21">
      <c r="A63" s="103">
        <v>59</v>
      </c>
      <c r="B63" s="110" t="s">
        <v>1099</v>
      </c>
      <c r="C63" s="72">
        <v>99.69</v>
      </c>
      <c r="D63" s="73">
        <v>1890</v>
      </c>
      <c r="E63" s="73">
        <f t="shared" si="1"/>
        <v>188414</v>
      </c>
      <c r="F63" s="74" t="s">
        <v>1100</v>
      </c>
      <c r="G63" s="87">
        <v>186914</v>
      </c>
      <c r="H63" s="87">
        <f t="shared" si="2"/>
        <v>1500</v>
      </c>
      <c r="I63" s="86"/>
      <c r="J63" s="86">
        <f>VLOOKUP(B63,'多浪一期账面房号及收款金额-分公司'!$A$2:$B$436,2,0)</f>
        <v>186913.65</v>
      </c>
      <c r="K63" s="87">
        <f t="shared" si="4"/>
        <v>0.350000000005821</v>
      </c>
      <c r="L63" s="127"/>
      <c r="M63" s="127"/>
      <c r="P63" s="50">
        <v>178013</v>
      </c>
      <c r="R63" s="50">
        <v>8901</v>
      </c>
      <c r="S63" s="101">
        <f t="shared" si="3"/>
        <v>0</v>
      </c>
      <c r="T63" s="101">
        <f t="shared" si="5"/>
        <v>-0.350000000000364</v>
      </c>
      <c r="U63" t="s">
        <v>42</v>
      </c>
    </row>
    <row r="64" hidden="1" spans="1:21">
      <c r="A64" s="103">
        <v>60</v>
      </c>
      <c r="B64" s="110" t="s">
        <v>1101</v>
      </c>
      <c r="C64" s="72">
        <v>89.5</v>
      </c>
      <c r="D64" s="73">
        <v>1800</v>
      </c>
      <c r="E64" s="73">
        <f t="shared" si="1"/>
        <v>161100</v>
      </c>
      <c r="F64" s="74" t="s">
        <v>1102</v>
      </c>
      <c r="G64" s="87">
        <v>161100</v>
      </c>
      <c r="H64" s="87">
        <f t="shared" si="2"/>
        <v>0</v>
      </c>
      <c r="I64" s="86"/>
      <c r="J64" s="86">
        <f>VLOOKUP(B64,'多浪一期账面房号及收款金额-分公司'!$A$2:$B$436,2,0)</f>
        <v>170704.8</v>
      </c>
      <c r="K64" s="87">
        <f t="shared" si="4"/>
        <v>-9604.79999999999</v>
      </c>
      <c r="L64" s="132" t="s">
        <v>1103</v>
      </c>
      <c r="M64" s="127"/>
      <c r="O64" s="100">
        <v>153428</v>
      </c>
      <c r="P64" s="50">
        <v>9148</v>
      </c>
      <c r="Q64" s="50">
        <v>153428</v>
      </c>
      <c r="R64" s="50">
        <f>Q64*0.05+457</f>
        <v>8128.4</v>
      </c>
      <c r="S64" s="101">
        <f t="shared" si="3"/>
        <v>0</v>
      </c>
      <c r="T64" s="101">
        <f t="shared" si="5"/>
        <v>0.399999999999636</v>
      </c>
      <c r="U64" t="s">
        <v>42</v>
      </c>
    </row>
    <row r="65" hidden="1" spans="1:21">
      <c r="A65" s="103">
        <v>61</v>
      </c>
      <c r="B65" s="110" t="s">
        <v>1104</v>
      </c>
      <c r="C65" s="72">
        <v>89.5</v>
      </c>
      <c r="D65" s="73">
        <v>2400</v>
      </c>
      <c r="E65" s="73">
        <f t="shared" si="1"/>
        <v>214800</v>
      </c>
      <c r="F65" s="74" t="s">
        <v>1105</v>
      </c>
      <c r="G65" s="87">
        <v>214800</v>
      </c>
      <c r="H65" s="87">
        <f t="shared" si="2"/>
        <v>0</v>
      </c>
      <c r="I65" s="86"/>
      <c r="J65" s="86">
        <f>VLOOKUP(B65,'多浪一期账面房号及收款金额-分公司'!$A$2:$B$436,2,0)</f>
        <v>215801.0505</v>
      </c>
      <c r="K65" s="87">
        <f t="shared" si="4"/>
        <v>-1001.05050000001</v>
      </c>
      <c r="L65" s="132" t="s">
        <v>1106</v>
      </c>
      <c r="M65" s="127"/>
      <c r="O65" s="100">
        <f>204571.43+0.38</f>
        <v>204571.81</v>
      </c>
      <c r="P65" s="50">
        <v>953</v>
      </c>
      <c r="Q65" s="50">
        <f>204571.43+0.38</f>
        <v>204571.81</v>
      </c>
      <c r="R65" s="50">
        <f>Q65*0.05+47</f>
        <v>10275.5905</v>
      </c>
      <c r="S65" s="101">
        <f t="shared" si="3"/>
        <v>0</v>
      </c>
      <c r="T65" s="101">
        <f t="shared" si="5"/>
        <v>0.649999999999636</v>
      </c>
      <c r="U65" t="s">
        <v>42</v>
      </c>
    </row>
    <row r="66" hidden="1" spans="1:21">
      <c r="A66" s="103">
        <v>62</v>
      </c>
      <c r="B66" s="110" t="s">
        <v>1107</v>
      </c>
      <c r="C66" s="72">
        <v>101.54</v>
      </c>
      <c r="D66" s="73">
        <f>E66/C66</f>
        <v>2480</v>
      </c>
      <c r="E66" s="73">
        <v>251819.2</v>
      </c>
      <c r="F66" s="74" t="s">
        <v>1108</v>
      </c>
      <c r="G66" s="87">
        <v>251819</v>
      </c>
      <c r="H66" s="87">
        <f t="shared" si="2"/>
        <v>0.200000000011642</v>
      </c>
      <c r="I66" s="86">
        <v>251819</v>
      </c>
      <c r="J66" s="86"/>
      <c r="K66" s="87">
        <f t="shared" si="4"/>
        <v>0</v>
      </c>
      <c r="L66" s="127"/>
      <c r="M66" s="127"/>
      <c r="S66" s="101">
        <f>I66/1.05-P66-Q66</f>
        <v>239827.619047619</v>
      </c>
      <c r="T66" s="101">
        <f>I66/1.05*0.05-R66</f>
        <v>11991.380952381</v>
      </c>
      <c r="U66" t="s">
        <v>1109</v>
      </c>
    </row>
    <row r="67" hidden="1" spans="1:21">
      <c r="A67" s="103">
        <v>63</v>
      </c>
      <c r="B67" s="110" t="s">
        <v>1110</v>
      </c>
      <c r="C67" s="72">
        <v>89.5</v>
      </c>
      <c r="D67" s="73">
        <v>2492</v>
      </c>
      <c r="E67" s="73">
        <f t="shared" si="1"/>
        <v>223034</v>
      </c>
      <c r="F67" s="74" t="s">
        <v>1111</v>
      </c>
      <c r="G67" s="87">
        <v>223000</v>
      </c>
      <c r="H67" s="87">
        <f t="shared" si="2"/>
        <v>34</v>
      </c>
      <c r="I67" s="86"/>
      <c r="J67" s="86">
        <f>VLOOKUP(B67,'多浪一期账面房号及收款金额-分公司'!$A$2:$B$436,2,0)</f>
        <v>223000.05</v>
      </c>
      <c r="K67" s="87">
        <f t="shared" si="4"/>
        <v>-0.0499999999883585</v>
      </c>
      <c r="L67" s="127"/>
      <c r="M67" s="127"/>
      <c r="N67" s="100">
        <f>[4]Sheet1!$N$41</f>
        <v>-127762</v>
      </c>
      <c r="O67" s="100">
        <v>223000</v>
      </c>
      <c r="P67" s="50">
        <v>117143</v>
      </c>
      <c r="Q67" s="50">
        <v>212380.95</v>
      </c>
      <c r="R67" s="50">
        <v>10619.05</v>
      </c>
      <c r="S67" s="101">
        <f t="shared" si="3"/>
        <v>-117142.95</v>
      </c>
      <c r="T67" s="101">
        <f t="shared" si="5"/>
        <v>0</v>
      </c>
      <c r="U67" t="s">
        <v>984</v>
      </c>
    </row>
    <row r="68" hidden="1" spans="1:21">
      <c r="A68" s="103">
        <v>64</v>
      </c>
      <c r="B68" s="110" t="s">
        <v>1112</v>
      </c>
      <c r="C68" s="72">
        <v>101.54</v>
      </c>
      <c r="D68" s="73">
        <v>2500</v>
      </c>
      <c r="E68" s="73">
        <f t="shared" si="1"/>
        <v>253850</v>
      </c>
      <c r="F68" s="74" t="s">
        <v>1113</v>
      </c>
      <c r="G68" s="87">
        <v>103850</v>
      </c>
      <c r="H68" s="87">
        <f t="shared" si="2"/>
        <v>150000</v>
      </c>
      <c r="I68" s="86"/>
      <c r="J68" s="86">
        <f>VLOOKUP(B68,'多浪一期账面房号及收款金额-分公司'!$A$2:$B$436,2,0)</f>
        <v>103850</v>
      </c>
      <c r="K68" s="87">
        <f t="shared" si="4"/>
        <v>0</v>
      </c>
      <c r="L68" s="127"/>
      <c r="M68" s="127"/>
      <c r="N68" s="100">
        <f>VLOOKUP(B68,[4]Sheet1!$D$5:$N$69,11,0)</f>
        <v>0</v>
      </c>
      <c r="O68" s="100">
        <f>-9524+103850+150000</f>
        <v>244326</v>
      </c>
      <c r="P68" s="50">
        <v>9524</v>
      </c>
      <c r="Q68" s="50">
        <f>-9524+241761.9</f>
        <v>232237.9</v>
      </c>
      <c r="R68" s="50">
        <v>12088.1</v>
      </c>
      <c r="S68" s="101">
        <f>E68/1.05-P68-Q68</f>
        <v>0.00476190476911142</v>
      </c>
      <c r="T68" s="101">
        <f>E68/1.05*0.05-R68</f>
        <v>-0.00476190476183547</v>
      </c>
      <c r="U68" t="s">
        <v>42</v>
      </c>
    </row>
    <row r="69" hidden="1" spans="1:21">
      <c r="A69" s="103">
        <v>65</v>
      </c>
      <c r="B69" s="110" t="s">
        <v>1114</v>
      </c>
      <c r="C69" s="72">
        <v>89.5</v>
      </c>
      <c r="D69" s="73">
        <v>2560</v>
      </c>
      <c r="E69" s="73">
        <f t="shared" ref="E69:E132" si="8">ROUND(IF(F69&lt;&gt;0,C69*D69,0),0)</f>
        <v>229120</v>
      </c>
      <c r="F69" s="74" t="s">
        <v>1115</v>
      </c>
      <c r="G69" s="87">
        <v>229120</v>
      </c>
      <c r="H69" s="87">
        <f t="shared" ref="H69:H132" si="9">E69-G69</f>
        <v>0</v>
      </c>
      <c r="I69" s="86"/>
      <c r="J69" s="86">
        <f>VLOOKUP(B69,'多浪一期账面房号及收款金额-分公司'!$A$2:$B$436,2,0)</f>
        <v>229120.5</v>
      </c>
      <c r="K69" s="87">
        <f t="shared" si="4"/>
        <v>-0.5</v>
      </c>
      <c r="L69" s="127"/>
      <c r="M69" s="127"/>
      <c r="P69" s="50">
        <v>218210</v>
      </c>
      <c r="R69" s="50">
        <v>10910</v>
      </c>
      <c r="S69" s="101">
        <f t="shared" ref="S69:S132" si="10">J69/1.05-P69-Q69</f>
        <v>0</v>
      </c>
      <c r="T69" s="101">
        <f t="shared" si="5"/>
        <v>0.5</v>
      </c>
      <c r="U69" t="s">
        <v>42</v>
      </c>
    </row>
    <row r="70" hidden="1" spans="1:21">
      <c r="A70" s="103">
        <v>66</v>
      </c>
      <c r="B70" s="110" t="s">
        <v>1116</v>
      </c>
      <c r="C70" s="72">
        <v>101.54</v>
      </c>
      <c r="D70" s="73">
        <f>G70/C70</f>
        <v>2400</v>
      </c>
      <c r="E70" s="73">
        <f t="shared" si="8"/>
        <v>243696</v>
      </c>
      <c r="F70" s="74" t="s">
        <v>1117</v>
      </c>
      <c r="G70" s="87">
        <v>243696</v>
      </c>
      <c r="H70" s="87">
        <f t="shared" si="9"/>
        <v>0</v>
      </c>
      <c r="I70" s="86"/>
      <c r="J70" s="86">
        <f>VLOOKUP(B70,'多浪一期账面房号及收款金额-分公司'!$A$2:$B$436,2,0)</f>
        <v>243696.6</v>
      </c>
      <c r="K70" s="87">
        <f t="shared" ref="K70:K133" si="11">G70-I70-J70</f>
        <v>-0.600000000005821</v>
      </c>
      <c r="L70" s="127"/>
      <c r="M70" s="127"/>
      <c r="P70" s="50">
        <v>232092</v>
      </c>
      <c r="R70" s="50">
        <v>11604</v>
      </c>
      <c r="S70" s="101">
        <f t="shared" si="10"/>
        <v>0</v>
      </c>
      <c r="T70" s="101">
        <f t="shared" si="5"/>
        <v>0.600000000000364</v>
      </c>
      <c r="U70" t="s">
        <v>42</v>
      </c>
    </row>
    <row r="71" hidden="1" spans="1:21">
      <c r="A71" s="103">
        <v>67</v>
      </c>
      <c r="B71" s="110" t="s">
        <v>1118</v>
      </c>
      <c r="C71" s="72">
        <v>89.5</v>
      </c>
      <c r="D71" s="73">
        <v>2200</v>
      </c>
      <c r="E71" s="73">
        <f t="shared" si="8"/>
        <v>196900</v>
      </c>
      <c r="F71" s="135" t="s">
        <v>1119</v>
      </c>
      <c r="G71" s="87">
        <v>196900</v>
      </c>
      <c r="H71" s="87">
        <f t="shared" si="9"/>
        <v>0</v>
      </c>
      <c r="I71" s="86"/>
      <c r="J71" s="86">
        <f>VLOOKUP(B71,'多浪一期账面房号及收款金额-分公司'!$A$2:$B$436,2,0)</f>
        <v>196900.2</v>
      </c>
      <c r="K71" s="87">
        <f t="shared" si="11"/>
        <v>-0.200000000011642</v>
      </c>
      <c r="L71" s="127"/>
      <c r="M71" s="127"/>
      <c r="P71" s="50">
        <v>187524</v>
      </c>
      <c r="R71" s="50">
        <v>9376</v>
      </c>
      <c r="S71" s="101">
        <f t="shared" si="10"/>
        <v>0</v>
      </c>
      <c r="T71" s="101">
        <f t="shared" si="5"/>
        <v>0.200000000000728</v>
      </c>
      <c r="U71" t="s">
        <v>42</v>
      </c>
    </row>
    <row r="72" hidden="1" spans="1:21">
      <c r="A72" s="103">
        <v>68</v>
      </c>
      <c r="B72" s="110" t="s">
        <v>1120</v>
      </c>
      <c r="C72" s="72">
        <v>101.54</v>
      </c>
      <c r="D72" s="73">
        <v>2200</v>
      </c>
      <c r="E72" s="73">
        <f t="shared" si="8"/>
        <v>223388</v>
      </c>
      <c r="F72" s="135" t="s">
        <v>1121</v>
      </c>
      <c r="G72" s="87">
        <v>223388</v>
      </c>
      <c r="H72" s="87">
        <f t="shared" si="9"/>
        <v>0</v>
      </c>
      <c r="I72" s="86"/>
      <c r="J72" s="86">
        <f>VLOOKUP(B72,'多浪一期账面房号及收款金额-分公司'!$A$2:$B$436,2,0)</f>
        <v>228388.65</v>
      </c>
      <c r="K72" s="87">
        <f t="shared" si="11"/>
        <v>-5000.64999999999</v>
      </c>
      <c r="L72" s="127" t="s">
        <v>1122</v>
      </c>
      <c r="M72" s="127"/>
      <c r="N72" s="100">
        <f>VLOOKUP(B72,[4]Sheet1!$D$5:$N$69,11,0)</f>
        <v>0.52</v>
      </c>
      <c r="O72" s="100">
        <v>212750.48</v>
      </c>
      <c r="P72" s="50">
        <v>4762</v>
      </c>
      <c r="Q72" s="50">
        <v>212750.48</v>
      </c>
      <c r="R72" s="50">
        <f>Q72*0.05+238</f>
        <v>10875.524</v>
      </c>
      <c r="S72" s="101">
        <f t="shared" si="10"/>
        <v>0.519999999960419</v>
      </c>
      <c r="T72" s="101">
        <f t="shared" ref="T72:T135" si="12">J72/1.05*0.05-R72</f>
        <v>0.126000000000204</v>
      </c>
      <c r="U72" t="s">
        <v>42</v>
      </c>
    </row>
    <row r="73" hidden="1" spans="1:21">
      <c r="A73" s="103">
        <v>69</v>
      </c>
      <c r="B73" s="110" t="s">
        <v>1123</v>
      </c>
      <c r="C73" s="72">
        <v>89.5</v>
      </c>
      <c r="D73" s="73">
        <v>2000</v>
      </c>
      <c r="E73" s="73">
        <f t="shared" si="8"/>
        <v>179000</v>
      </c>
      <c r="F73" s="135" t="s">
        <v>1124</v>
      </c>
      <c r="G73" s="87">
        <v>179000</v>
      </c>
      <c r="H73" s="87">
        <f t="shared" si="9"/>
        <v>0</v>
      </c>
      <c r="I73" s="86"/>
      <c r="J73" s="86">
        <f>VLOOKUP(B73,'多浪一期账面房号及收款金额-分公司'!$A$2:$B$436,2,0)</f>
        <v>178999.8</v>
      </c>
      <c r="K73" s="87">
        <f t="shared" si="11"/>
        <v>0.200000000011642</v>
      </c>
      <c r="L73" s="127"/>
      <c r="M73" s="127"/>
      <c r="P73" s="50">
        <v>170476</v>
      </c>
      <c r="R73" s="50">
        <v>8524</v>
      </c>
      <c r="S73" s="101">
        <f t="shared" si="10"/>
        <v>0</v>
      </c>
      <c r="T73" s="101">
        <f t="shared" si="12"/>
        <v>-0.200000000000728</v>
      </c>
      <c r="U73" t="s">
        <v>42</v>
      </c>
    </row>
    <row r="74" hidden="1" spans="1:21">
      <c r="A74" s="103">
        <v>70</v>
      </c>
      <c r="B74" s="111" t="s">
        <v>1125</v>
      </c>
      <c r="C74" s="72">
        <v>101.54</v>
      </c>
      <c r="D74" s="73">
        <v>1949</v>
      </c>
      <c r="E74" s="73">
        <f t="shared" si="8"/>
        <v>197901</v>
      </c>
      <c r="F74" s="135" t="s">
        <v>1126</v>
      </c>
      <c r="G74" s="87">
        <v>197901</v>
      </c>
      <c r="H74" s="87">
        <f t="shared" si="9"/>
        <v>0</v>
      </c>
      <c r="I74" s="86"/>
      <c r="J74" s="86">
        <f>VLOOKUP(B74,'多浪一期账面房号及收款金额-分公司'!$A$2:$B$436,2,0)</f>
        <v>197900.85</v>
      </c>
      <c r="K74" s="87">
        <f t="shared" si="11"/>
        <v>0.149999999994179</v>
      </c>
      <c r="L74" s="127"/>
      <c r="M74" s="127"/>
      <c r="P74" s="50">
        <v>188477</v>
      </c>
      <c r="R74" s="50">
        <v>9424</v>
      </c>
      <c r="S74" s="101">
        <f t="shared" si="10"/>
        <v>0</v>
      </c>
      <c r="T74" s="101">
        <f t="shared" si="12"/>
        <v>-0.149999999999636</v>
      </c>
      <c r="U74" t="s">
        <v>42</v>
      </c>
    </row>
    <row r="75" hidden="1" spans="1:21">
      <c r="A75" s="103">
        <v>71</v>
      </c>
      <c r="B75" s="111" t="s">
        <v>1127</v>
      </c>
      <c r="C75" s="72">
        <v>89.5</v>
      </c>
      <c r="D75" s="73">
        <v>1900</v>
      </c>
      <c r="E75" s="73">
        <f t="shared" si="8"/>
        <v>170050</v>
      </c>
      <c r="F75" s="135" t="s">
        <v>1128</v>
      </c>
      <c r="G75" s="87">
        <v>170050</v>
      </c>
      <c r="H75" s="87">
        <f t="shared" si="9"/>
        <v>0</v>
      </c>
      <c r="I75" s="86"/>
      <c r="J75" s="86">
        <f>VLOOKUP(B75,'多浪一期账面房号及收款金额-分公司'!$A$2:$B$436,2,0)</f>
        <v>170049.6</v>
      </c>
      <c r="K75" s="87">
        <f t="shared" si="11"/>
        <v>0.399999999994179</v>
      </c>
      <c r="L75" s="127"/>
      <c r="M75" s="127"/>
      <c r="P75" s="50">
        <v>161952</v>
      </c>
      <c r="R75" s="50">
        <v>8098</v>
      </c>
      <c r="S75" s="101">
        <f t="shared" si="10"/>
        <v>0</v>
      </c>
      <c r="T75" s="101">
        <f t="shared" si="12"/>
        <v>-0.399999999999636</v>
      </c>
      <c r="U75" t="s">
        <v>42</v>
      </c>
    </row>
    <row r="76" s="99" customFormat="1" spans="1:21">
      <c r="A76" s="112">
        <v>72</v>
      </c>
      <c r="B76" s="136" t="s">
        <v>1129</v>
      </c>
      <c r="C76" s="114">
        <v>101.54</v>
      </c>
      <c r="D76" s="115">
        <v>1739.2456</v>
      </c>
      <c r="E76" s="115">
        <f t="shared" si="8"/>
        <v>176603</v>
      </c>
      <c r="F76" s="137" t="s">
        <v>1130</v>
      </c>
      <c r="G76" s="95">
        <v>176603</v>
      </c>
      <c r="H76" s="95">
        <f t="shared" si="9"/>
        <v>0</v>
      </c>
      <c r="I76" s="129"/>
      <c r="J76" s="129">
        <f>VLOOKUP(B76,'多浪一期账面房号及收款金额-分公司'!$A$2:$B$436,2,0)</f>
        <v>176602.65</v>
      </c>
      <c r="K76" s="95">
        <f t="shared" si="11"/>
        <v>0.350000000005821</v>
      </c>
      <c r="L76" s="130"/>
      <c r="M76" s="130"/>
      <c r="N76" s="99">
        <f>VLOOKUP(B76,[4]Sheet1!$D$5:$N$69,11,0)</f>
        <v>12381</v>
      </c>
      <c r="P76" s="131">
        <v>155812</v>
      </c>
      <c r="Q76" s="131"/>
      <c r="R76" s="131">
        <v>8409.65</v>
      </c>
      <c r="S76" s="131">
        <f t="shared" si="10"/>
        <v>12381</v>
      </c>
      <c r="T76" s="131">
        <f t="shared" si="12"/>
        <v>0</v>
      </c>
      <c r="U76" s="21" t="s">
        <v>1098</v>
      </c>
    </row>
    <row r="77" hidden="1" spans="1:21">
      <c r="A77" s="103">
        <v>73</v>
      </c>
      <c r="B77" s="111" t="s">
        <v>1131</v>
      </c>
      <c r="C77" s="72">
        <v>101.54</v>
      </c>
      <c r="D77" s="73">
        <v>2560</v>
      </c>
      <c r="E77" s="73">
        <f t="shared" si="8"/>
        <v>259942</v>
      </c>
      <c r="F77" s="135" t="s">
        <v>1132</v>
      </c>
      <c r="G77" s="87">
        <v>259942</v>
      </c>
      <c r="H77" s="87">
        <f t="shared" si="9"/>
        <v>0</v>
      </c>
      <c r="I77" s="86"/>
      <c r="J77" s="86">
        <f>VLOOKUP(B77,'多浪一期账面房号及收款金额-分公司'!$A$2:$B$436,2,0)</f>
        <v>259942.2</v>
      </c>
      <c r="K77" s="87">
        <f t="shared" si="11"/>
        <v>-0.200000000011642</v>
      </c>
      <c r="L77" s="127"/>
      <c r="M77" s="127"/>
      <c r="P77" s="50">
        <v>247564</v>
      </c>
      <c r="R77" s="50">
        <v>12378</v>
      </c>
      <c r="S77" s="101">
        <f t="shared" si="10"/>
        <v>0</v>
      </c>
      <c r="T77" s="101">
        <f t="shared" si="12"/>
        <v>0.200000000000728</v>
      </c>
      <c r="U77" t="s">
        <v>42</v>
      </c>
    </row>
    <row r="78" hidden="1" spans="1:21">
      <c r="A78" s="103">
        <v>74</v>
      </c>
      <c r="B78" s="111" t="s">
        <v>1133</v>
      </c>
      <c r="C78" s="72">
        <v>89.5</v>
      </c>
      <c r="D78" s="73">
        <v>2460</v>
      </c>
      <c r="E78" s="73">
        <f t="shared" si="8"/>
        <v>220170</v>
      </c>
      <c r="F78" s="135" t="s">
        <v>1134</v>
      </c>
      <c r="G78" s="87">
        <v>226750</v>
      </c>
      <c r="H78" s="87">
        <f t="shared" si="9"/>
        <v>-6580</v>
      </c>
      <c r="I78" s="86"/>
      <c r="J78" s="86">
        <f>VLOOKUP(B78,'多浪一期账面房号及收款金额-分公司'!$A$2:$B$436,2,0)</f>
        <v>226749.6</v>
      </c>
      <c r="K78" s="87">
        <f t="shared" si="11"/>
        <v>0.399999999994179</v>
      </c>
      <c r="L78" s="127"/>
      <c r="M78" s="127"/>
      <c r="N78" s="100">
        <f>VLOOKUP(B78,[4]Sheet1!$D$5:$N$69,11,0)</f>
        <v>-10655</v>
      </c>
      <c r="O78" s="100">
        <v>223750</v>
      </c>
      <c r="P78" s="50">
        <v>2857</v>
      </c>
      <c r="Q78" s="50">
        <v>213095.24</v>
      </c>
      <c r="R78" s="50">
        <f>Q78*0.05+143</f>
        <v>10797.762</v>
      </c>
      <c r="S78" s="101">
        <f t="shared" si="10"/>
        <v>-0.239999999990687</v>
      </c>
      <c r="T78" s="101">
        <f t="shared" si="12"/>
        <v>-0.162000000000262</v>
      </c>
      <c r="U78" t="s">
        <v>42</v>
      </c>
    </row>
    <row r="79" hidden="1" spans="1:21">
      <c r="A79" s="103">
        <v>75</v>
      </c>
      <c r="B79" s="111" t="s">
        <v>1135</v>
      </c>
      <c r="C79" s="72">
        <v>101.54</v>
      </c>
      <c r="D79" s="73">
        <v>2400</v>
      </c>
      <c r="E79" s="73">
        <f t="shared" si="8"/>
        <v>243696</v>
      </c>
      <c r="F79" s="135" t="s">
        <v>1136</v>
      </c>
      <c r="G79" s="87">
        <v>253696</v>
      </c>
      <c r="H79" s="87">
        <f t="shared" si="9"/>
        <v>-10000</v>
      </c>
      <c r="I79" s="86"/>
      <c r="J79" s="86">
        <f>VLOOKUP(B79,'多浪一期账面房号及收款金额-分公司'!$A$2:$B$436,2,0)</f>
        <v>253695.75</v>
      </c>
      <c r="K79" s="87">
        <f t="shared" si="11"/>
        <v>0.25</v>
      </c>
      <c r="L79" s="127"/>
      <c r="M79" s="127"/>
      <c r="P79" s="50">
        <v>241615</v>
      </c>
      <c r="R79" s="50">
        <v>12081</v>
      </c>
      <c r="S79" s="101">
        <f t="shared" si="10"/>
        <v>0</v>
      </c>
      <c r="T79" s="101">
        <f t="shared" si="12"/>
        <v>-0.25</v>
      </c>
      <c r="U79" t="s">
        <v>42</v>
      </c>
    </row>
    <row r="80" hidden="1" spans="1:21">
      <c r="A80" s="103">
        <v>76</v>
      </c>
      <c r="B80" s="111" t="s">
        <v>1137</v>
      </c>
      <c r="C80" s="72">
        <v>89.5</v>
      </c>
      <c r="D80" s="73">
        <v>2500</v>
      </c>
      <c r="E80" s="73">
        <f t="shared" si="8"/>
        <v>223750</v>
      </c>
      <c r="F80" s="135" t="s">
        <v>1138</v>
      </c>
      <c r="G80" s="87">
        <v>223750</v>
      </c>
      <c r="H80" s="87">
        <f t="shared" si="9"/>
        <v>0</v>
      </c>
      <c r="I80" s="86"/>
      <c r="J80" s="86">
        <f>VLOOKUP(B80,'多浪一期账面房号及收款金额-分公司'!$A$2:$B$436,2,0)</f>
        <v>223749.75</v>
      </c>
      <c r="K80" s="87">
        <f t="shared" si="11"/>
        <v>0.25</v>
      </c>
      <c r="L80" s="127"/>
      <c r="M80" s="127"/>
      <c r="O80" s="100">
        <f>VLOOKUP(B80,[2]信息汇总表!$M$2:$T$816,8,0)</f>
        <v>223750</v>
      </c>
      <c r="P80" s="50">
        <v>213095</v>
      </c>
      <c r="R80" s="50">
        <v>10655</v>
      </c>
      <c r="S80" s="101">
        <f t="shared" si="10"/>
        <v>0</v>
      </c>
      <c r="T80" s="101">
        <f t="shared" si="12"/>
        <v>-0.25</v>
      </c>
      <c r="U80" t="s">
        <v>42</v>
      </c>
    </row>
    <row r="81" hidden="1" spans="1:21">
      <c r="A81" s="103">
        <v>77</v>
      </c>
      <c r="B81" s="111" t="s">
        <v>1139</v>
      </c>
      <c r="C81" s="72">
        <v>101.54</v>
      </c>
      <c r="D81" s="73">
        <v>2500</v>
      </c>
      <c r="E81" s="73">
        <f t="shared" si="8"/>
        <v>253850</v>
      </c>
      <c r="F81" s="135" t="s">
        <v>1140</v>
      </c>
      <c r="G81" s="87">
        <v>254850</v>
      </c>
      <c r="H81" s="87">
        <f t="shared" si="9"/>
        <v>-1000</v>
      </c>
      <c r="I81" s="86"/>
      <c r="J81" s="86">
        <f>VLOOKUP(B81,'多浪一期账面房号及收款金额-分公司'!$A$2:$B$436,2,0)</f>
        <v>254849.7</v>
      </c>
      <c r="K81" s="87">
        <f t="shared" si="11"/>
        <v>0.299999999988358</v>
      </c>
      <c r="L81" s="127"/>
      <c r="M81" s="127"/>
      <c r="O81" s="100">
        <v>241762</v>
      </c>
      <c r="P81" s="50">
        <v>952</v>
      </c>
      <c r="Q81" s="50">
        <v>241762</v>
      </c>
      <c r="R81" s="50">
        <f>Q81*0.05+48</f>
        <v>12136.1</v>
      </c>
      <c r="S81" s="101">
        <f t="shared" si="10"/>
        <v>0</v>
      </c>
      <c r="T81" s="101">
        <f t="shared" si="12"/>
        <v>-0.399999999999636</v>
      </c>
      <c r="U81" t="s">
        <v>42</v>
      </c>
    </row>
    <row r="82" hidden="1" spans="1:21">
      <c r="A82" s="103">
        <v>78</v>
      </c>
      <c r="B82" s="111" t="s">
        <v>1141</v>
      </c>
      <c r="C82" s="72">
        <v>89.5</v>
      </c>
      <c r="D82" s="73">
        <v>2400</v>
      </c>
      <c r="E82" s="73">
        <f t="shared" si="8"/>
        <v>214800</v>
      </c>
      <c r="F82" s="135" t="s">
        <v>1142</v>
      </c>
      <c r="G82" s="87">
        <v>214800</v>
      </c>
      <c r="H82" s="87">
        <f t="shared" si="9"/>
        <v>0</v>
      </c>
      <c r="I82" s="86"/>
      <c r="J82" s="86">
        <f>VLOOKUP(B82,'多浪一期账面房号及收款金额-分公司'!$A$2:$B$436,2,0)-2000</f>
        <v>204800.65</v>
      </c>
      <c r="K82" s="87">
        <f t="shared" si="11"/>
        <v>9999.35000000001</v>
      </c>
      <c r="L82" s="127"/>
      <c r="M82" s="127"/>
      <c r="O82" s="100">
        <f>195048</f>
        <v>195048</v>
      </c>
      <c r="P82" s="50">
        <v>1905</v>
      </c>
      <c r="Q82" s="50">
        <v>195048</v>
      </c>
      <c r="R82" s="50">
        <v>9847</v>
      </c>
      <c r="S82" s="101">
        <f>E82/1.05-P82-Q82</f>
        <v>7618.42857142855</v>
      </c>
      <c r="T82" s="101">
        <f>E82/1.05*0.05-R82</f>
        <v>381.571428571428</v>
      </c>
      <c r="U82" t="s">
        <v>564</v>
      </c>
    </row>
    <row r="83" hidden="1" spans="1:21">
      <c r="A83" s="103">
        <v>79</v>
      </c>
      <c r="B83" s="111" t="s">
        <v>1143</v>
      </c>
      <c r="C83" s="72">
        <v>101.54</v>
      </c>
      <c r="D83" s="73">
        <v>2350</v>
      </c>
      <c r="E83" s="73">
        <f t="shared" si="8"/>
        <v>238619</v>
      </c>
      <c r="F83" s="135" t="s">
        <v>1144</v>
      </c>
      <c r="G83" s="87">
        <v>238619</v>
      </c>
      <c r="H83" s="87">
        <f t="shared" si="9"/>
        <v>0</v>
      </c>
      <c r="I83" s="86"/>
      <c r="J83" s="86">
        <v>238619</v>
      </c>
      <c r="K83" s="87">
        <f t="shared" si="11"/>
        <v>0</v>
      </c>
      <c r="L83" s="127"/>
      <c r="M83" s="127"/>
      <c r="N83" s="100">
        <f>VLOOKUP(B83,[4]Sheet1!$D$5:$N$69,11,0)</f>
        <v>-11648.1</v>
      </c>
      <c r="O83" s="100">
        <f>952.38+238619</f>
        <v>239571.38</v>
      </c>
      <c r="Q83" s="50">
        <f>952.38+(238619/1.05)</f>
        <v>228208.57047619</v>
      </c>
      <c r="R83" s="50">
        <v>22058.97</v>
      </c>
      <c r="S83" s="101">
        <f t="shared" si="10"/>
        <v>-952.379999999539</v>
      </c>
      <c r="T83" s="101">
        <f t="shared" si="12"/>
        <v>-10696.1604761905</v>
      </c>
      <c r="U83" t="s">
        <v>1145</v>
      </c>
    </row>
    <row r="84" hidden="1" spans="1:21">
      <c r="A84" s="103">
        <v>80</v>
      </c>
      <c r="B84" s="111" t="s">
        <v>1146</v>
      </c>
      <c r="C84" s="72">
        <v>89.5</v>
      </c>
      <c r="D84" s="73">
        <v>2300</v>
      </c>
      <c r="E84" s="73">
        <f t="shared" si="8"/>
        <v>205850</v>
      </c>
      <c r="F84" s="135" t="s">
        <v>1147</v>
      </c>
      <c r="G84" s="87">
        <v>205850</v>
      </c>
      <c r="H84" s="87">
        <f t="shared" si="9"/>
        <v>0</v>
      </c>
      <c r="I84" s="86"/>
      <c r="J84" s="86">
        <f>VLOOKUP(B84,'多浪一期账面房号及收款金额-分公司'!$A$2:$B$436,2,0)</f>
        <v>205850.4</v>
      </c>
      <c r="K84" s="87">
        <f t="shared" si="11"/>
        <v>-0.399999999994179</v>
      </c>
      <c r="L84" s="127"/>
      <c r="M84" s="127"/>
      <c r="P84" s="50">
        <v>196048</v>
      </c>
      <c r="R84" s="50">
        <v>9802</v>
      </c>
      <c r="S84" s="101">
        <f t="shared" si="10"/>
        <v>0</v>
      </c>
      <c r="T84" s="101">
        <f t="shared" si="12"/>
        <v>0.399999999999636</v>
      </c>
      <c r="U84" t="s">
        <v>42</v>
      </c>
    </row>
    <row r="85" hidden="1" spans="1:21">
      <c r="A85" s="103">
        <v>81</v>
      </c>
      <c r="B85" s="111" t="s">
        <v>1148</v>
      </c>
      <c r="C85" s="72">
        <v>101.54</v>
      </c>
      <c r="D85" s="73">
        <v>2098</v>
      </c>
      <c r="E85" s="73">
        <f t="shared" si="8"/>
        <v>213031</v>
      </c>
      <c r="F85" s="135" t="s">
        <v>1149</v>
      </c>
      <c r="G85" s="87">
        <v>213034</v>
      </c>
      <c r="H85" s="87">
        <f t="shared" si="9"/>
        <v>-3</v>
      </c>
      <c r="I85" s="86"/>
      <c r="J85" s="86">
        <f>VLOOKUP(B85,'多浪一期账面房号及收款金额-分公司'!$A$2:$B$436,2,0)</f>
        <v>213034.5</v>
      </c>
      <c r="K85" s="87">
        <f t="shared" si="11"/>
        <v>-0.5</v>
      </c>
      <c r="L85" s="127"/>
      <c r="M85" s="127"/>
      <c r="P85" s="50">
        <v>202890</v>
      </c>
      <c r="R85" s="50">
        <v>10144</v>
      </c>
      <c r="S85" s="101">
        <f t="shared" si="10"/>
        <v>0</v>
      </c>
      <c r="T85" s="101">
        <f t="shared" si="12"/>
        <v>0.5</v>
      </c>
      <c r="U85" t="s">
        <v>42</v>
      </c>
    </row>
    <row r="86" hidden="1" spans="1:21">
      <c r="A86" s="103">
        <v>82</v>
      </c>
      <c r="B86" s="111" t="s">
        <v>1150</v>
      </c>
      <c r="C86" s="72">
        <v>89.5</v>
      </c>
      <c r="D86" s="73">
        <v>2100</v>
      </c>
      <c r="E86" s="73">
        <f t="shared" si="8"/>
        <v>187950</v>
      </c>
      <c r="F86" s="94" t="s">
        <v>1151</v>
      </c>
      <c r="G86" s="87">
        <v>187950</v>
      </c>
      <c r="H86" s="87">
        <f t="shared" si="9"/>
        <v>0</v>
      </c>
      <c r="I86" s="86"/>
      <c r="J86" s="86">
        <f>VLOOKUP(B86,'多浪一期账面房号及收款金额-分公司'!$A$2:$B$436,2,0)</f>
        <v>187950</v>
      </c>
      <c r="K86" s="87">
        <f t="shared" si="11"/>
        <v>0</v>
      </c>
      <c r="L86" s="127"/>
      <c r="M86" s="127"/>
      <c r="P86" s="50">
        <v>179000</v>
      </c>
      <c r="R86" s="50">
        <v>8950</v>
      </c>
      <c r="S86" s="101">
        <f t="shared" si="10"/>
        <v>0</v>
      </c>
      <c r="T86" s="101">
        <f t="shared" si="12"/>
        <v>0</v>
      </c>
      <c r="U86" t="s">
        <v>42</v>
      </c>
    </row>
    <row r="87" s="99" customFormat="1" spans="1:21">
      <c r="A87" s="112">
        <v>83</v>
      </c>
      <c r="B87" s="136" t="s">
        <v>1152</v>
      </c>
      <c r="C87" s="114">
        <v>101.54</v>
      </c>
      <c r="D87" s="115">
        <v>1739.2456</v>
      </c>
      <c r="E87" s="115">
        <f t="shared" si="8"/>
        <v>176603</v>
      </c>
      <c r="F87" s="137" t="s">
        <v>1153</v>
      </c>
      <c r="G87" s="95">
        <v>176603</v>
      </c>
      <c r="H87" s="95">
        <f t="shared" si="9"/>
        <v>0</v>
      </c>
      <c r="I87" s="129"/>
      <c r="J87" s="129">
        <v>176603</v>
      </c>
      <c r="K87" s="95">
        <f t="shared" si="11"/>
        <v>0</v>
      </c>
      <c r="L87" s="130"/>
      <c r="M87" s="130"/>
      <c r="N87" s="99">
        <f>VLOOKUP(B87,[4]Sheet1!$D$5:$N$69,11,0)</f>
        <v>2857</v>
      </c>
      <c r="P87" s="131">
        <v>165337</v>
      </c>
      <c r="Q87" s="131"/>
      <c r="R87" s="131">
        <v>8409</v>
      </c>
      <c r="S87" s="131">
        <f t="shared" si="10"/>
        <v>2856.33333333331</v>
      </c>
      <c r="T87" s="131">
        <f t="shared" si="12"/>
        <v>0.66666666666606</v>
      </c>
      <c r="U87" s="21" t="s">
        <v>1109</v>
      </c>
    </row>
    <row r="88" hidden="1" spans="1:21">
      <c r="A88" s="103">
        <v>84</v>
      </c>
      <c r="B88" s="111" t="s">
        <v>1154</v>
      </c>
      <c r="C88" s="72">
        <v>89.5</v>
      </c>
      <c r="D88" s="73">
        <v>1788</v>
      </c>
      <c r="E88" s="73">
        <f t="shared" si="8"/>
        <v>160026</v>
      </c>
      <c r="F88" s="135" t="s">
        <v>1155</v>
      </c>
      <c r="G88" s="87">
        <v>160026</v>
      </c>
      <c r="H88" s="87">
        <f t="shared" si="9"/>
        <v>0</v>
      </c>
      <c r="I88" s="86"/>
      <c r="J88" s="86">
        <f>VLOOKUP(B88,'多浪一期账面房号及收款金额-分公司'!$A$2:$B$436,2,0)</f>
        <v>160025.25</v>
      </c>
      <c r="K88" s="87">
        <f t="shared" si="11"/>
        <v>0.75</v>
      </c>
      <c r="L88" s="127"/>
      <c r="M88" s="127"/>
      <c r="P88" s="50">
        <v>152405</v>
      </c>
      <c r="R88" s="50">
        <v>7621</v>
      </c>
      <c r="S88" s="101">
        <f t="shared" si="10"/>
        <v>0</v>
      </c>
      <c r="T88" s="101">
        <f t="shared" si="12"/>
        <v>-0.75</v>
      </c>
      <c r="U88" t="s">
        <v>42</v>
      </c>
    </row>
    <row r="89" hidden="1" spans="1:21">
      <c r="A89" s="103">
        <v>85</v>
      </c>
      <c r="B89" s="111" t="s">
        <v>1156</v>
      </c>
      <c r="C89" s="72">
        <v>89.5</v>
      </c>
      <c r="D89" s="73">
        <v>2500</v>
      </c>
      <c r="E89" s="73">
        <f t="shared" si="8"/>
        <v>223750</v>
      </c>
      <c r="F89" s="135" t="s">
        <v>1157</v>
      </c>
      <c r="G89" s="87">
        <v>223750</v>
      </c>
      <c r="H89" s="87">
        <f t="shared" si="9"/>
        <v>0</v>
      </c>
      <c r="I89" s="86"/>
      <c r="J89" s="86">
        <f>VLOOKUP(B89,'多浪一期账面房号及收款金额-分公司'!$A$2:$B$436,2,0)</f>
        <v>223749.75</v>
      </c>
      <c r="K89" s="87">
        <f t="shared" si="11"/>
        <v>0.25</v>
      </c>
      <c r="L89" s="127"/>
      <c r="M89" s="127"/>
      <c r="P89" s="50">
        <v>213095</v>
      </c>
      <c r="R89" s="50">
        <v>10655</v>
      </c>
      <c r="S89" s="101">
        <f t="shared" si="10"/>
        <v>0</v>
      </c>
      <c r="T89" s="101">
        <f t="shared" si="12"/>
        <v>-0.25</v>
      </c>
      <c r="U89" t="s">
        <v>42</v>
      </c>
    </row>
    <row r="90" hidden="1" spans="1:21">
      <c r="A90" s="103">
        <v>86</v>
      </c>
      <c r="B90" s="111" t="s">
        <v>1158</v>
      </c>
      <c r="C90" s="103">
        <v>89.5</v>
      </c>
      <c r="D90" s="73">
        <v>2450</v>
      </c>
      <c r="E90" s="73">
        <f t="shared" si="8"/>
        <v>219275</v>
      </c>
      <c r="F90" s="135" t="s">
        <v>1159</v>
      </c>
      <c r="G90" s="87">
        <v>219275</v>
      </c>
      <c r="H90" s="87">
        <f t="shared" si="9"/>
        <v>0</v>
      </c>
      <c r="I90" s="86"/>
      <c r="J90" s="86">
        <f>VLOOKUP(B90,'多浪一期账面房号及收款金额-分公司'!$A$2:$B$436,2,0)</f>
        <v>219275.7</v>
      </c>
      <c r="K90" s="87">
        <f t="shared" si="11"/>
        <v>-0.700000000011642</v>
      </c>
      <c r="L90" s="127"/>
      <c r="M90" s="127"/>
      <c r="N90" s="100">
        <f>VLOOKUP(B90,[4]Sheet1!$D$5:$N$69,11,0)</f>
        <v>-219275</v>
      </c>
      <c r="O90" s="100">
        <v>219275</v>
      </c>
      <c r="P90" s="50">
        <v>208834</v>
      </c>
      <c r="Q90" s="50">
        <v>208833.33</v>
      </c>
      <c r="R90" s="50">
        <v>10441.67</v>
      </c>
      <c r="S90" s="101">
        <f t="shared" si="10"/>
        <v>-208833.33</v>
      </c>
      <c r="T90" s="101">
        <f t="shared" si="12"/>
        <v>0.0300000000006548</v>
      </c>
      <c r="U90" t="s">
        <v>984</v>
      </c>
    </row>
    <row r="91" hidden="1" spans="1:21">
      <c r="A91" s="103">
        <v>87</v>
      </c>
      <c r="B91" s="111" t="s">
        <v>1160</v>
      </c>
      <c r="C91" s="72">
        <v>89.5</v>
      </c>
      <c r="D91" s="73">
        <v>2400</v>
      </c>
      <c r="E91" s="73">
        <f t="shared" si="8"/>
        <v>214800</v>
      </c>
      <c r="F91" s="135" t="s">
        <v>1161</v>
      </c>
      <c r="G91" s="87">
        <v>214800</v>
      </c>
      <c r="H91" s="87">
        <f t="shared" si="9"/>
        <v>0</v>
      </c>
      <c r="I91" s="86"/>
      <c r="J91" s="86">
        <f>VLOOKUP(B91,'多浪一期账面房号及收款金额-分公司'!$A$2:$B$436,2,0)</f>
        <v>214800.306</v>
      </c>
      <c r="K91" s="87">
        <f t="shared" si="11"/>
        <v>-0.306000000011409</v>
      </c>
      <c r="L91" s="127"/>
      <c r="M91" s="127"/>
      <c r="O91" s="100">
        <f>214800-19752</f>
        <v>195048</v>
      </c>
      <c r="P91" s="50">
        <v>9524</v>
      </c>
      <c r="Q91" s="50">
        <f>214800-19752.28</f>
        <v>195047.72</v>
      </c>
      <c r="R91" s="50">
        <f>Q91*0.05+476</f>
        <v>10228.386</v>
      </c>
      <c r="S91" s="101">
        <f t="shared" si="10"/>
        <v>0</v>
      </c>
      <c r="T91" s="101">
        <f t="shared" si="12"/>
        <v>0.200000000000728</v>
      </c>
      <c r="U91" t="s">
        <v>42</v>
      </c>
    </row>
    <row r="92" hidden="1" spans="1:21">
      <c r="A92" s="103">
        <v>88</v>
      </c>
      <c r="B92" s="111" t="s">
        <v>1162</v>
      </c>
      <c r="C92" s="103">
        <v>89.5</v>
      </c>
      <c r="D92" s="73">
        <v>2500</v>
      </c>
      <c r="E92" s="73">
        <f t="shared" si="8"/>
        <v>223750</v>
      </c>
      <c r="F92" s="135" t="s">
        <v>1163</v>
      </c>
      <c r="G92" s="87">
        <v>223750</v>
      </c>
      <c r="H92" s="87">
        <f t="shared" si="9"/>
        <v>0</v>
      </c>
      <c r="I92" s="86"/>
      <c r="J92" s="86">
        <f>VLOOKUP(B92,'多浪一期账面房号及收款金额-分公司'!$A$2:$B$436,2,0)</f>
        <v>223749.75</v>
      </c>
      <c r="K92" s="87">
        <f t="shared" si="11"/>
        <v>0.25</v>
      </c>
      <c r="L92" s="127"/>
      <c r="M92" s="127"/>
      <c r="P92" s="50">
        <v>213095</v>
      </c>
      <c r="R92" s="50">
        <v>10655</v>
      </c>
      <c r="S92" s="101">
        <f t="shared" si="10"/>
        <v>0</v>
      </c>
      <c r="T92" s="101">
        <f t="shared" si="12"/>
        <v>-0.25</v>
      </c>
      <c r="U92" t="s">
        <v>42</v>
      </c>
    </row>
    <row r="93" hidden="1" spans="1:21">
      <c r="A93" s="103">
        <v>89</v>
      </c>
      <c r="B93" s="111" t="s">
        <v>1164</v>
      </c>
      <c r="C93" s="72">
        <v>89.5</v>
      </c>
      <c r="D93" s="73">
        <v>2560</v>
      </c>
      <c r="E93" s="73">
        <f t="shared" si="8"/>
        <v>229120</v>
      </c>
      <c r="F93" s="135" t="s">
        <v>1165</v>
      </c>
      <c r="G93" s="87">
        <v>229120</v>
      </c>
      <c r="H93" s="87">
        <f t="shared" si="9"/>
        <v>0</v>
      </c>
      <c r="I93" s="86"/>
      <c r="J93" s="86">
        <f>VLOOKUP(B93,'多浪一期账面房号及收款金额-分公司'!$A$2:$B$436,2,0)</f>
        <v>229120.5</v>
      </c>
      <c r="K93" s="87">
        <f t="shared" si="11"/>
        <v>-0.5</v>
      </c>
      <c r="L93" s="127"/>
      <c r="M93" s="127"/>
      <c r="P93" s="50">
        <v>218210</v>
      </c>
      <c r="R93" s="50">
        <v>10910</v>
      </c>
      <c r="S93" s="101">
        <f t="shared" si="10"/>
        <v>0</v>
      </c>
      <c r="T93" s="101">
        <f t="shared" si="12"/>
        <v>0.5</v>
      </c>
      <c r="U93" t="s">
        <v>42</v>
      </c>
    </row>
    <row r="94" hidden="1" spans="1:21">
      <c r="A94" s="103">
        <v>90</v>
      </c>
      <c r="B94" s="111" t="s">
        <v>1166</v>
      </c>
      <c r="C94" s="103">
        <v>89.5</v>
      </c>
      <c r="D94" s="73">
        <v>2560</v>
      </c>
      <c r="E94" s="73">
        <f t="shared" si="8"/>
        <v>229120</v>
      </c>
      <c r="F94" s="135" t="s">
        <v>1167</v>
      </c>
      <c r="G94" s="87">
        <v>229120</v>
      </c>
      <c r="H94" s="87">
        <f t="shared" si="9"/>
        <v>0</v>
      </c>
      <c r="I94" s="86"/>
      <c r="J94" s="86">
        <f>VLOOKUP(B94,'多浪一期账面房号及收款金额-分公司'!$A$2:$B$436,2,0)</f>
        <v>229120.5</v>
      </c>
      <c r="K94" s="87">
        <f t="shared" si="11"/>
        <v>-0.5</v>
      </c>
      <c r="L94" s="127"/>
      <c r="M94" s="127"/>
      <c r="P94" s="50">
        <v>218210</v>
      </c>
      <c r="R94" s="50">
        <v>10910</v>
      </c>
      <c r="S94" s="101">
        <f t="shared" si="10"/>
        <v>0</v>
      </c>
      <c r="T94" s="101">
        <f t="shared" si="12"/>
        <v>0.5</v>
      </c>
      <c r="U94" t="s">
        <v>42</v>
      </c>
    </row>
    <row r="95" hidden="1" spans="1:21">
      <c r="A95" s="103">
        <v>91</v>
      </c>
      <c r="B95" s="111" t="s">
        <v>1168</v>
      </c>
      <c r="C95" s="72">
        <v>89.5</v>
      </c>
      <c r="D95" s="73">
        <v>2300</v>
      </c>
      <c r="E95" s="73">
        <f t="shared" si="8"/>
        <v>205850</v>
      </c>
      <c r="F95" s="135" t="s">
        <v>1169</v>
      </c>
      <c r="G95" s="87">
        <v>205850</v>
      </c>
      <c r="H95" s="87">
        <f t="shared" si="9"/>
        <v>0</v>
      </c>
      <c r="I95" s="86"/>
      <c r="J95" s="86">
        <f>VLOOKUP(B95,'多浪一期账面房号及收款金额-分公司'!$A$2:$B$436,2,0)</f>
        <v>205850.4</v>
      </c>
      <c r="K95" s="87">
        <f t="shared" si="11"/>
        <v>-0.399999999994179</v>
      </c>
      <c r="L95" s="127"/>
      <c r="M95" s="127"/>
      <c r="P95" s="50">
        <v>196048</v>
      </c>
      <c r="R95" s="50">
        <v>9802</v>
      </c>
      <c r="S95" s="101">
        <f t="shared" si="10"/>
        <v>0</v>
      </c>
      <c r="T95" s="101">
        <f t="shared" si="12"/>
        <v>0.399999999999636</v>
      </c>
      <c r="U95" t="s">
        <v>42</v>
      </c>
    </row>
    <row r="96" hidden="1" spans="1:21">
      <c r="A96" s="103">
        <v>92</v>
      </c>
      <c r="B96" s="111" t="s">
        <v>1170</v>
      </c>
      <c r="C96" s="103">
        <v>89.5</v>
      </c>
      <c r="D96" s="73">
        <v>2300</v>
      </c>
      <c r="E96" s="73">
        <f t="shared" si="8"/>
        <v>205850</v>
      </c>
      <c r="F96" s="135" t="s">
        <v>1171</v>
      </c>
      <c r="G96" s="87">
        <v>207850</v>
      </c>
      <c r="H96" s="87">
        <f t="shared" si="9"/>
        <v>-2000</v>
      </c>
      <c r="I96" s="86"/>
      <c r="J96" s="86">
        <f>VLOOKUP(B96,'多浪一期账面房号及收款金额-分公司'!$A$2:$B$436,2,0)</f>
        <v>207849.6</v>
      </c>
      <c r="K96" s="87">
        <f t="shared" si="11"/>
        <v>0.399999999994179</v>
      </c>
      <c r="L96" s="127"/>
      <c r="M96" s="127"/>
      <c r="P96" s="50">
        <v>197952</v>
      </c>
      <c r="R96" s="50">
        <v>9898</v>
      </c>
      <c r="S96" s="101">
        <f t="shared" si="10"/>
        <v>0</v>
      </c>
      <c r="T96" s="101">
        <f t="shared" si="12"/>
        <v>-0.399999999999636</v>
      </c>
      <c r="U96" t="s">
        <v>42</v>
      </c>
    </row>
    <row r="97" hidden="1" spans="1:21">
      <c r="A97" s="103">
        <v>93</v>
      </c>
      <c r="B97" s="111" t="s">
        <v>1172</v>
      </c>
      <c r="C97" s="72">
        <v>89.5</v>
      </c>
      <c r="D97" s="73">
        <v>2100</v>
      </c>
      <c r="E97" s="73">
        <f t="shared" si="8"/>
        <v>187950</v>
      </c>
      <c r="F97" s="94" t="s">
        <v>1173</v>
      </c>
      <c r="G97" s="87">
        <v>187950</v>
      </c>
      <c r="H97" s="87">
        <f t="shared" si="9"/>
        <v>0</v>
      </c>
      <c r="I97" s="86"/>
      <c r="J97" s="86">
        <f>VLOOKUP(B97,'多浪一期账面房号及收款金额-分公司'!$A$2:$B$436,2,0)</f>
        <v>187950</v>
      </c>
      <c r="K97" s="87">
        <f t="shared" si="11"/>
        <v>0</v>
      </c>
      <c r="L97" s="127"/>
      <c r="M97" s="127"/>
      <c r="P97" s="50">
        <v>179000</v>
      </c>
      <c r="R97" s="50">
        <v>8950</v>
      </c>
      <c r="S97" s="101">
        <f t="shared" si="10"/>
        <v>0</v>
      </c>
      <c r="T97" s="101">
        <f t="shared" si="12"/>
        <v>0</v>
      </c>
      <c r="U97" t="s">
        <v>42</v>
      </c>
    </row>
    <row r="98" hidden="1" spans="1:21">
      <c r="A98" s="103">
        <v>94</v>
      </c>
      <c r="B98" s="111" t="s">
        <v>1174</v>
      </c>
      <c r="C98" s="103">
        <v>89.5</v>
      </c>
      <c r="D98" s="73">
        <v>2100</v>
      </c>
      <c r="E98" s="73">
        <f t="shared" si="8"/>
        <v>187950</v>
      </c>
      <c r="F98" s="135" t="s">
        <v>1175</v>
      </c>
      <c r="G98" s="87">
        <v>187950</v>
      </c>
      <c r="H98" s="87">
        <f t="shared" si="9"/>
        <v>0</v>
      </c>
      <c r="I98" s="86"/>
      <c r="J98" s="86">
        <f>VLOOKUP(B98,'多浪一期账面房号及收款金额-分公司'!$A$2:$B$436,2,0)</f>
        <v>187950.357</v>
      </c>
      <c r="K98" s="87">
        <f t="shared" si="11"/>
        <v>-0.356999999989057</v>
      </c>
      <c r="L98" s="127"/>
      <c r="M98" s="127"/>
      <c r="P98" s="50">
        <v>179000.34</v>
      </c>
      <c r="R98" s="50">
        <v>8949.66</v>
      </c>
      <c r="S98" s="101">
        <f t="shared" si="10"/>
        <v>0</v>
      </c>
      <c r="T98" s="101">
        <f t="shared" si="12"/>
        <v>0.356999999999971</v>
      </c>
      <c r="U98" t="s">
        <v>42</v>
      </c>
    </row>
    <row r="99" hidden="1" spans="1:21">
      <c r="A99" s="103">
        <v>95</v>
      </c>
      <c r="B99" s="111" t="s">
        <v>1176</v>
      </c>
      <c r="C99" s="72">
        <v>89.5</v>
      </c>
      <c r="D99" s="73">
        <v>1890</v>
      </c>
      <c r="E99" s="73">
        <f t="shared" si="8"/>
        <v>169155</v>
      </c>
      <c r="F99" s="135" t="s">
        <v>1177</v>
      </c>
      <c r="G99" s="87">
        <v>170155</v>
      </c>
      <c r="H99" s="87">
        <f t="shared" si="9"/>
        <v>-1000</v>
      </c>
      <c r="I99" s="86"/>
      <c r="J99" s="86">
        <v>170155</v>
      </c>
      <c r="K99" s="87">
        <f t="shared" si="11"/>
        <v>0</v>
      </c>
      <c r="L99" s="127"/>
      <c r="M99" s="127"/>
      <c r="N99" s="100">
        <f>VLOOKUP(B99,[4]Sheet1!$D$5:$N$69,11,0)</f>
        <v>-169155</v>
      </c>
      <c r="O99" s="100">
        <v>169155</v>
      </c>
      <c r="P99" s="50">
        <v>162052</v>
      </c>
      <c r="Q99" s="50">
        <v>161100</v>
      </c>
      <c r="R99" s="50">
        <v>16159</v>
      </c>
      <c r="S99" s="101">
        <f t="shared" si="10"/>
        <v>-161099.619047619</v>
      </c>
      <c r="T99" s="101">
        <f t="shared" si="12"/>
        <v>-8056.38095238095</v>
      </c>
      <c r="U99" t="s">
        <v>1145</v>
      </c>
    </row>
    <row r="100" hidden="1" spans="1:21">
      <c r="A100" s="103">
        <v>96</v>
      </c>
      <c r="B100" s="111" t="s">
        <v>1178</v>
      </c>
      <c r="C100" s="103">
        <v>89.5</v>
      </c>
      <c r="D100" s="73">
        <v>1888</v>
      </c>
      <c r="E100" s="73">
        <f t="shared" si="8"/>
        <v>168976</v>
      </c>
      <c r="F100" s="135" t="s">
        <v>1179</v>
      </c>
      <c r="G100" s="87">
        <v>168976</v>
      </c>
      <c r="H100" s="87">
        <f t="shared" si="9"/>
        <v>0</v>
      </c>
      <c r="I100" s="86"/>
      <c r="J100" s="86">
        <f>VLOOKUP(B100,'多浪一期账面房号及收款金额-分公司'!$A$2:$B$436,2,0)</f>
        <v>168976.5</v>
      </c>
      <c r="K100" s="87">
        <f t="shared" si="11"/>
        <v>-0.5</v>
      </c>
      <c r="L100" s="127"/>
      <c r="M100" s="127"/>
      <c r="P100" s="50">
        <v>160930</v>
      </c>
      <c r="R100" s="50">
        <v>8046</v>
      </c>
      <c r="S100" s="101">
        <f t="shared" si="10"/>
        <v>0</v>
      </c>
      <c r="T100" s="101">
        <f t="shared" si="12"/>
        <v>0.5</v>
      </c>
      <c r="U100" t="s">
        <v>42</v>
      </c>
    </row>
    <row r="101" hidden="1" spans="1:21">
      <c r="A101" s="103">
        <v>97</v>
      </c>
      <c r="B101" s="111" t="s">
        <v>1180</v>
      </c>
      <c r="C101" s="72">
        <v>89.5</v>
      </c>
      <c r="D101" s="73">
        <v>2416</v>
      </c>
      <c r="E101" s="73">
        <f t="shared" si="8"/>
        <v>216232</v>
      </c>
      <c r="F101" s="135" t="s">
        <v>1181</v>
      </c>
      <c r="G101" s="87">
        <v>216232</v>
      </c>
      <c r="H101" s="87">
        <f t="shared" si="9"/>
        <v>0</v>
      </c>
      <c r="I101" s="86"/>
      <c r="J101" s="86">
        <f>VLOOKUP(B101,'多浪一期账面房号及收款金额-分公司'!$A$2:$B$436,2,0)</f>
        <v>216231.75</v>
      </c>
      <c r="K101" s="87">
        <f t="shared" si="11"/>
        <v>0.25</v>
      </c>
      <c r="L101" s="127"/>
      <c r="M101" s="127"/>
      <c r="N101" s="100">
        <f>[4]Sheet1!$N$11</f>
        <v>-216232</v>
      </c>
      <c r="O101" s="100">
        <v>216232</v>
      </c>
      <c r="P101" s="50">
        <v>205935</v>
      </c>
      <c r="Q101" s="50">
        <v>205935.24</v>
      </c>
      <c r="R101" s="50">
        <v>10296.76</v>
      </c>
      <c r="S101" s="101">
        <f t="shared" si="10"/>
        <v>-205935.24</v>
      </c>
      <c r="T101" s="101">
        <f t="shared" si="12"/>
        <v>-0.0100000000002183</v>
      </c>
      <c r="U101" t="s">
        <v>984</v>
      </c>
    </row>
    <row r="102" hidden="1" spans="1:21">
      <c r="A102" s="103">
        <v>98</v>
      </c>
      <c r="B102" s="111" t="s">
        <v>1182</v>
      </c>
      <c r="C102" s="72">
        <v>99.69</v>
      </c>
      <c r="D102" s="73">
        <v>2500</v>
      </c>
      <c r="E102" s="73">
        <f t="shared" si="8"/>
        <v>249225</v>
      </c>
      <c r="F102" s="135" t="s">
        <v>1183</v>
      </c>
      <c r="G102" s="87">
        <v>249225</v>
      </c>
      <c r="H102" s="87">
        <f t="shared" si="9"/>
        <v>0</v>
      </c>
      <c r="I102" s="86"/>
      <c r="J102" s="86">
        <f>VLOOKUP(B102,'多浪一期账面房号及收款金额-分公司'!$A$2:$B$436,2,0)</f>
        <v>249224.85</v>
      </c>
      <c r="K102" s="87">
        <f t="shared" si="11"/>
        <v>0.149999999994179</v>
      </c>
      <c r="L102" s="127"/>
      <c r="M102" s="127"/>
      <c r="P102" s="50">
        <v>237357</v>
      </c>
      <c r="R102" s="50">
        <v>11868</v>
      </c>
      <c r="S102" s="101">
        <f t="shared" si="10"/>
        <v>0</v>
      </c>
      <c r="T102" s="101">
        <f t="shared" si="12"/>
        <v>-0.149999999999636</v>
      </c>
      <c r="U102" t="s">
        <v>42</v>
      </c>
    </row>
    <row r="103" hidden="1" spans="1:21">
      <c r="A103" s="103">
        <v>99</v>
      </c>
      <c r="B103" s="111" t="s">
        <v>1184</v>
      </c>
      <c r="C103" s="72">
        <v>89.5</v>
      </c>
      <c r="D103" s="73">
        <v>2500</v>
      </c>
      <c r="E103" s="73">
        <f t="shared" si="8"/>
        <v>223750</v>
      </c>
      <c r="F103" s="135" t="s">
        <v>1185</v>
      </c>
      <c r="G103" s="87">
        <v>223750</v>
      </c>
      <c r="H103" s="87">
        <f t="shared" si="9"/>
        <v>0</v>
      </c>
      <c r="I103" s="86"/>
      <c r="J103" s="86">
        <f>VLOOKUP(B103,'多浪一期账面房号及收款金额-分公司'!$A$2:$B$436,2,0)</f>
        <v>223749.75</v>
      </c>
      <c r="K103" s="87">
        <f t="shared" si="11"/>
        <v>0.25</v>
      </c>
      <c r="L103" s="127"/>
      <c r="M103" s="127"/>
      <c r="O103" s="100">
        <v>19048</v>
      </c>
      <c r="P103" s="50">
        <v>194047</v>
      </c>
      <c r="Q103" s="50">
        <v>19048</v>
      </c>
      <c r="R103" s="50">
        <f>Q103*0.05+9703</f>
        <v>10655.4</v>
      </c>
      <c r="S103" s="101">
        <f t="shared" si="10"/>
        <v>0</v>
      </c>
      <c r="T103" s="101">
        <f t="shared" si="12"/>
        <v>-0.649999999999636</v>
      </c>
      <c r="U103" t="s">
        <v>42</v>
      </c>
    </row>
    <row r="104" hidden="1" spans="1:21">
      <c r="A104" s="103">
        <v>100</v>
      </c>
      <c r="B104" s="111" t="s">
        <v>1186</v>
      </c>
      <c r="C104" s="72">
        <v>99.69</v>
      </c>
      <c r="D104" s="73">
        <v>2500</v>
      </c>
      <c r="E104" s="73">
        <f t="shared" si="8"/>
        <v>249225</v>
      </c>
      <c r="F104" s="135" t="s">
        <v>1187</v>
      </c>
      <c r="G104" s="87">
        <v>249225</v>
      </c>
      <c r="H104" s="87">
        <f t="shared" si="9"/>
        <v>0</v>
      </c>
      <c r="I104" s="86"/>
      <c r="J104" s="86">
        <f>VLOOKUP(B104,'多浪一期账面房号及收款金额-分公司'!$A$2:$B$436,2,0)</f>
        <v>249223.8</v>
      </c>
      <c r="K104" s="87">
        <f t="shared" si="11"/>
        <v>1.20000000001164</v>
      </c>
      <c r="L104" s="127"/>
      <c r="M104" s="127"/>
      <c r="P104" s="50">
        <v>237356</v>
      </c>
      <c r="R104" s="50">
        <v>11869</v>
      </c>
      <c r="S104" s="101">
        <f t="shared" si="10"/>
        <v>0</v>
      </c>
      <c r="T104" s="101">
        <f t="shared" si="12"/>
        <v>-1.20000000000073</v>
      </c>
      <c r="U104" t="s">
        <v>42</v>
      </c>
    </row>
    <row r="105" hidden="1" spans="1:21">
      <c r="A105" s="103">
        <v>101</v>
      </c>
      <c r="B105" s="111" t="s">
        <v>1188</v>
      </c>
      <c r="C105" s="72">
        <v>89.5</v>
      </c>
      <c r="D105" s="73">
        <v>2580</v>
      </c>
      <c r="E105" s="73">
        <f t="shared" si="8"/>
        <v>230910</v>
      </c>
      <c r="F105" s="94" t="s">
        <v>1189</v>
      </c>
      <c r="G105" s="87">
        <v>230910</v>
      </c>
      <c r="H105" s="87">
        <f t="shared" si="9"/>
        <v>0</v>
      </c>
      <c r="I105" s="86"/>
      <c r="J105" s="86">
        <f>VLOOKUP(B105,'多浪一期账面房号及收款金额-分公司'!$A$2:$B$436,2,0)</f>
        <v>230910.75</v>
      </c>
      <c r="K105" s="87">
        <f t="shared" si="11"/>
        <v>-0.75</v>
      </c>
      <c r="L105" s="127"/>
      <c r="M105" s="127"/>
      <c r="P105" s="50">
        <v>219915</v>
      </c>
      <c r="R105" s="50">
        <v>10995</v>
      </c>
      <c r="S105" s="101">
        <f t="shared" si="10"/>
        <v>0</v>
      </c>
      <c r="T105" s="101">
        <f t="shared" si="12"/>
        <v>0.75</v>
      </c>
      <c r="U105" t="s">
        <v>42</v>
      </c>
    </row>
    <row r="106" hidden="1" spans="1:21">
      <c r="A106" s="103">
        <v>102</v>
      </c>
      <c r="B106" s="111" t="s">
        <v>1190</v>
      </c>
      <c r="C106" s="72">
        <v>99.69</v>
      </c>
      <c r="D106" s="73">
        <v>2620</v>
      </c>
      <c r="E106" s="73">
        <f t="shared" si="8"/>
        <v>261188</v>
      </c>
      <c r="F106" s="135" t="s">
        <v>1191</v>
      </c>
      <c r="G106" s="87">
        <v>261188</v>
      </c>
      <c r="H106" s="87">
        <f t="shared" si="9"/>
        <v>0</v>
      </c>
      <c r="I106" s="86"/>
      <c r="J106" s="86">
        <f>VLOOKUP(B106,'多浪一期账面房号及收款金额-分公司'!$A$2:$B$436,2,0)</f>
        <v>261187.5</v>
      </c>
      <c r="K106" s="87">
        <f t="shared" si="11"/>
        <v>0.5</v>
      </c>
      <c r="L106" s="127"/>
      <c r="M106" s="127"/>
      <c r="P106" s="50">
        <v>248750</v>
      </c>
      <c r="R106" s="50">
        <v>12438</v>
      </c>
      <c r="S106" s="101">
        <f t="shared" si="10"/>
        <v>0</v>
      </c>
      <c r="T106" s="101">
        <f t="shared" si="12"/>
        <v>-0.5</v>
      </c>
      <c r="U106" t="s">
        <v>42</v>
      </c>
    </row>
    <row r="107" hidden="1" spans="1:21">
      <c r="A107" s="103">
        <v>103</v>
      </c>
      <c r="B107" s="111" t="s">
        <v>1192</v>
      </c>
      <c r="C107" s="72">
        <v>89.5</v>
      </c>
      <c r="D107" s="73">
        <v>2300</v>
      </c>
      <c r="E107" s="73">
        <f t="shared" si="8"/>
        <v>205850</v>
      </c>
      <c r="F107" s="135" t="s">
        <v>1193</v>
      </c>
      <c r="G107" s="87">
        <v>205850</v>
      </c>
      <c r="H107" s="87">
        <f t="shared" si="9"/>
        <v>0</v>
      </c>
      <c r="I107" s="86"/>
      <c r="J107" s="86">
        <f>VLOOKUP(B107,'多浪一期账面房号及收款金额-分公司'!$A$2:$B$436,2,0)</f>
        <v>205850.4</v>
      </c>
      <c r="K107" s="87">
        <f t="shared" si="11"/>
        <v>-0.399999999994179</v>
      </c>
      <c r="L107" s="127"/>
      <c r="M107" s="127"/>
      <c r="P107" s="50">
        <v>196048</v>
      </c>
      <c r="R107" s="50">
        <v>9802</v>
      </c>
      <c r="S107" s="101">
        <f t="shared" si="10"/>
        <v>0</v>
      </c>
      <c r="T107" s="101">
        <f t="shared" si="12"/>
        <v>0.399999999999636</v>
      </c>
      <c r="U107" t="s">
        <v>42</v>
      </c>
    </row>
    <row r="108" hidden="1" spans="1:21">
      <c r="A108" s="103">
        <v>104</v>
      </c>
      <c r="B108" s="111" t="s">
        <v>1194</v>
      </c>
      <c r="C108" s="72">
        <v>99.69</v>
      </c>
      <c r="D108" s="73">
        <v>2290</v>
      </c>
      <c r="E108" s="73">
        <f t="shared" si="8"/>
        <v>228290</v>
      </c>
      <c r="F108" s="135" t="s">
        <v>1195</v>
      </c>
      <c r="G108" s="87">
        <v>228290</v>
      </c>
      <c r="H108" s="87">
        <f t="shared" si="9"/>
        <v>0</v>
      </c>
      <c r="I108" s="86"/>
      <c r="J108" s="86">
        <f>VLOOKUP(B108,'多浪一期账面房号及收款金额-分公司'!$A$2:$B$436,2,0)</f>
        <v>228289.95</v>
      </c>
      <c r="K108" s="87">
        <f t="shared" si="11"/>
        <v>0.0499999999883585</v>
      </c>
      <c r="L108" s="127"/>
      <c r="M108" s="127"/>
      <c r="P108" s="50">
        <v>217419</v>
      </c>
      <c r="R108" s="50">
        <v>10871</v>
      </c>
      <c r="S108" s="101">
        <f t="shared" si="10"/>
        <v>0</v>
      </c>
      <c r="T108" s="101">
        <f t="shared" si="12"/>
        <v>-0.0499999999992724</v>
      </c>
      <c r="U108" t="s">
        <v>42</v>
      </c>
    </row>
    <row r="109" hidden="1" spans="1:21">
      <c r="A109" s="103">
        <v>105</v>
      </c>
      <c r="B109" s="111" t="s">
        <v>1196</v>
      </c>
      <c r="C109" s="72">
        <v>89.5</v>
      </c>
      <c r="D109" s="73">
        <v>2100</v>
      </c>
      <c r="E109" s="73">
        <f t="shared" si="8"/>
        <v>187950</v>
      </c>
      <c r="F109" s="94" t="s">
        <v>1197</v>
      </c>
      <c r="G109" s="87">
        <v>187950</v>
      </c>
      <c r="H109" s="87">
        <f t="shared" si="9"/>
        <v>0</v>
      </c>
      <c r="I109" s="86"/>
      <c r="J109" s="86">
        <f>VLOOKUP(B109,'多浪一期账面房号及收款金额-分公司'!$A$2:$B$436,2,0)</f>
        <v>187950</v>
      </c>
      <c r="K109" s="87">
        <f t="shared" si="11"/>
        <v>0</v>
      </c>
      <c r="L109" s="127"/>
      <c r="M109" s="127"/>
      <c r="P109" s="50">
        <v>179000</v>
      </c>
      <c r="R109" s="50">
        <v>8950</v>
      </c>
      <c r="S109" s="101">
        <f t="shared" si="10"/>
        <v>0</v>
      </c>
      <c r="T109" s="101">
        <f t="shared" si="12"/>
        <v>0</v>
      </c>
      <c r="U109" t="s">
        <v>42</v>
      </c>
    </row>
    <row r="110" hidden="1" spans="1:21">
      <c r="A110" s="103">
        <v>106</v>
      </c>
      <c r="B110" s="111" t="s">
        <v>1198</v>
      </c>
      <c r="C110" s="72">
        <v>99.69</v>
      </c>
      <c r="D110" s="73">
        <v>2100</v>
      </c>
      <c r="E110" s="73">
        <f t="shared" si="8"/>
        <v>209349</v>
      </c>
      <c r="F110" s="135" t="s">
        <v>1199</v>
      </c>
      <c r="G110" s="87">
        <v>209349</v>
      </c>
      <c r="H110" s="87">
        <f t="shared" si="9"/>
        <v>0</v>
      </c>
      <c r="I110" s="86"/>
      <c r="J110" s="86">
        <f>VLOOKUP(B110,'多浪一期账面房号及收款金额-分公司'!$A$2:$B$436,2,0)</f>
        <v>209347.95</v>
      </c>
      <c r="K110" s="87">
        <f t="shared" si="11"/>
        <v>1.04999999998836</v>
      </c>
      <c r="L110" s="127"/>
      <c r="M110" s="127"/>
      <c r="P110" s="50">
        <v>199379</v>
      </c>
      <c r="R110" s="50">
        <v>9970</v>
      </c>
      <c r="S110" s="101">
        <f t="shared" si="10"/>
        <v>0</v>
      </c>
      <c r="T110" s="101">
        <f t="shared" si="12"/>
        <v>-1.04999999999927</v>
      </c>
      <c r="U110" t="s">
        <v>42</v>
      </c>
    </row>
    <row r="111" hidden="1" spans="1:21">
      <c r="A111" s="103">
        <v>107</v>
      </c>
      <c r="B111" s="111" t="s">
        <v>1200</v>
      </c>
      <c r="C111" s="72">
        <v>89.5</v>
      </c>
      <c r="D111" s="73">
        <v>1788</v>
      </c>
      <c r="E111" s="73">
        <f t="shared" si="8"/>
        <v>160026</v>
      </c>
      <c r="F111" s="135" t="s">
        <v>1201</v>
      </c>
      <c r="G111" s="87">
        <v>160026</v>
      </c>
      <c r="H111" s="87">
        <f t="shared" si="9"/>
        <v>0</v>
      </c>
      <c r="I111" s="86"/>
      <c r="J111" s="86">
        <f>VLOOKUP(B111,'多浪一期账面房号及收款金额-分公司'!$A$2:$B$436,2,0)</f>
        <v>160026.3</v>
      </c>
      <c r="K111" s="87">
        <f t="shared" si="11"/>
        <v>-0.299999999988358</v>
      </c>
      <c r="L111" s="127"/>
      <c r="M111" s="127"/>
      <c r="P111" s="50">
        <v>152406</v>
      </c>
      <c r="R111" s="50">
        <v>7620</v>
      </c>
      <c r="S111" s="101">
        <f t="shared" si="10"/>
        <v>0</v>
      </c>
      <c r="T111" s="101">
        <f t="shared" si="12"/>
        <v>0.299999999999272</v>
      </c>
      <c r="U111" t="s">
        <v>42</v>
      </c>
    </row>
    <row r="112" hidden="1" spans="1:21">
      <c r="A112" s="103">
        <v>108</v>
      </c>
      <c r="B112" s="111" t="s">
        <v>1202</v>
      </c>
      <c r="C112" s="72">
        <v>99.69</v>
      </c>
      <c r="D112" s="73">
        <v>1888</v>
      </c>
      <c r="E112" s="73">
        <f t="shared" si="8"/>
        <v>188215</v>
      </c>
      <c r="F112" s="135" t="s">
        <v>1203</v>
      </c>
      <c r="G112" s="87">
        <v>188215</v>
      </c>
      <c r="H112" s="87">
        <f t="shared" si="9"/>
        <v>0</v>
      </c>
      <c r="I112" s="86"/>
      <c r="J112" s="86">
        <f>VLOOKUP(B112,'多浪一期账面房号及收款金额-分公司'!$A$2:$B$436,2,0)</f>
        <v>188215.65</v>
      </c>
      <c r="K112" s="87">
        <f t="shared" si="11"/>
        <v>-0.649999999994179</v>
      </c>
      <c r="L112" s="127"/>
      <c r="M112" s="127"/>
      <c r="P112" s="50">
        <v>179253</v>
      </c>
      <c r="R112" s="50">
        <v>8962</v>
      </c>
      <c r="S112" s="101">
        <f t="shared" si="10"/>
        <v>0</v>
      </c>
      <c r="T112" s="101">
        <f t="shared" si="12"/>
        <v>0.649999999999636</v>
      </c>
      <c r="U112" t="s">
        <v>42</v>
      </c>
    </row>
    <row r="113" hidden="1" spans="1:21">
      <c r="A113" s="103">
        <v>109</v>
      </c>
      <c r="B113" s="110" t="s">
        <v>1204</v>
      </c>
      <c r="C113" s="72">
        <v>400.36</v>
      </c>
      <c r="D113" s="73"/>
      <c r="E113" s="73">
        <f t="shared" si="8"/>
        <v>0</v>
      </c>
      <c r="F113" s="138"/>
      <c r="G113" s="87">
        <v>0</v>
      </c>
      <c r="H113" s="87">
        <f t="shared" si="9"/>
        <v>0</v>
      </c>
      <c r="I113" s="86"/>
      <c r="J113" s="86"/>
      <c r="K113" s="87">
        <f t="shared" si="11"/>
        <v>0</v>
      </c>
      <c r="L113" s="132" t="s">
        <v>35</v>
      </c>
      <c r="M113" s="127"/>
      <c r="S113" s="101">
        <f t="shared" si="10"/>
        <v>0</v>
      </c>
      <c r="T113" s="101">
        <f t="shared" si="12"/>
        <v>0</v>
      </c>
      <c r="U113" t="s">
        <v>42</v>
      </c>
    </row>
    <row r="114" hidden="1" spans="1:21">
      <c r="A114" s="103">
        <v>110</v>
      </c>
      <c r="B114" s="110" t="s">
        <v>1205</v>
      </c>
      <c r="C114" s="72">
        <v>274.8</v>
      </c>
      <c r="D114" s="73"/>
      <c r="E114" s="73">
        <f t="shared" si="8"/>
        <v>0</v>
      </c>
      <c r="F114" s="138"/>
      <c r="G114" s="87">
        <v>0</v>
      </c>
      <c r="H114" s="87">
        <f t="shared" si="9"/>
        <v>0</v>
      </c>
      <c r="I114" s="86"/>
      <c r="J114" s="86"/>
      <c r="K114" s="87">
        <f t="shared" si="11"/>
        <v>0</v>
      </c>
      <c r="L114" s="132" t="s">
        <v>35</v>
      </c>
      <c r="M114" s="127"/>
      <c r="S114" s="101">
        <f t="shared" si="10"/>
        <v>0</v>
      </c>
      <c r="T114" s="101">
        <f t="shared" si="12"/>
        <v>0</v>
      </c>
      <c r="U114" t="s">
        <v>42</v>
      </c>
    </row>
    <row r="115" hidden="1" spans="1:21">
      <c r="A115" s="103">
        <v>111</v>
      </c>
      <c r="B115" s="110" t="s">
        <v>1206</v>
      </c>
      <c r="C115" s="72">
        <v>37.92</v>
      </c>
      <c r="D115" s="73">
        <v>4500</v>
      </c>
      <c r="E115" s="73">
        <f t="shared" si="8"/>
        <v>170640</v>
      </c>
      <c r="F115" s="135" t="s">
        <v>1207</v>
      </c>
      <c r="G115" s="87">
        <v>170640</v>
      </c>
      <c r="H115" s="87">
        <f t="shared" si="9"/>
        <v>0</v>
      </c>
      <c r="I115" s="86"/>
      <c r="J115" s="86">
        <f>VLOOKUP(B115,'多浪一期账面房号及收款金额-分公司'!$A$2:$B$436,2,0)</f>
        <v>170639.7</v>
      </c>
      <c r="K115" s="87">
        <f t="shared" si="11"/>
        <v>0.299999999988358</v>
      </c>
      <c r="L115" s="127"/>
      <c r="M115" s="127"/>
      <c r="O115" s="100">
        <f>81562+80952</f>
        <v>162514</v>
      </c>
      <c r="Q115" s="50">
        <f>81562+80952</f>
        <v>162514</v>
      </c>
      <c r="R115" s="50">
        <f>Q115*0.05</f>
        <v>8125.7</v>
      </c>
      <c r="S115" s="101">
        <f t="shared" si="10"/>
        <v>0</v>
      </c>
      <c r="T115" s="101">
        <f t="shared" si="12"/>
        <v>0</v>
      </c>
      <c r="U115" t="s">
        <v>42</v>
      </c>
    </row>
    <row r="116" s="99" customFormat="1" spans="1:21">
      <c r="A116" s="112">
        <v>112</v>
      </c>
      <c r="B116" s="113" t="s">
        <v>1208</v>
      </c>
      <c r="C116" s="114">
        <v>73.71</v>
      </c>
      <c r="D116" s="115">
        <v>4500</v>
      </c>
      <c r="E116" s="115">
        <f t="shared" si="8"/>
        <v>331695</v>
      </c>
      <c r="F116" s="137" t="s">
        <v>1207</v>
      </c>
      <c r="G116" s="95">
        <v>331695</v>
      </c>
      <c r="H116" s="95">
        <f t="shared" si="9"/>
        <v>0</v>
      </c>
      <c r="I116" s="129"/>
      <c r="J116" s="129">
        <f>VLOOKUP(B116,'多浪一期账面房号及收款金额-分公司'!$A$2:$B$436,2,0)</f>
        <v>331695</v>
      </c>
      <c r="K116" s="95">
        <f t="shared" si="11"/>
        <v>0</v>
      </c>
      <c r="L116" s="130"/>
      <c r="M116" s="130"/>
      <c r="N116" s="99">
        <f>VLOOKUP(B116,[4]Sheet1!$D$5:$N$69,11,0)</f>
        <v>157143</v>
      </c>
      <c r="O116" s="99">
        <v>158757</v>
      </c>
      <c r="P116" s="131"/>
      <c r="Q116" s="131">
        <v>158757</v>
      </c>
      <c r="R116" s="131">
        <v>15759</v>
      </c>
      <c r="S116" s="131">
        <f t="shared" si="10"/>
        <v>157143</v>
      </c>
      <c r="T116" s="131">
        <f t="shared" si="12"/>
        <v>36</v>
      </c>
      <c r="U116" s="21"/>
    </row>
    <row r="117" s="99" customFormat="1" spans="1:21">
      <c r="A117" s="112">
        <v>113</v>
      </c>
      <c r="B117" s="113" t="s">
        <v>1209</v>
      </c>
      <c r="C117" s="114">
        <v>73.71</v>
      </c>
      <c r="D117" s="115">
        <v>6297.04</v>
      </c>
      <c r="E117" s="115">
        <f t="shared" si="8"/>
        <v>464155</v>
      </c>
      <c r="F117" s="139" t="s">
        <v>1210</v>
      </c>
      <c r="G117" s="95">
        <f>299000+28000</f>
        <v>327000</v>
      </c>
      <c r="H117" s="95">
        <f t="shared" si="9"/>
        <v>137155</v>
      </c>
      <c r="I117" s="129"/>
      <c r="J117" s="129">
        <f>VLOOKUP(B117,'多浪一期账面房号及收款金额-分公司'!$A$2:$B$436,2,0)+阿克苏分公司预收账款!J1945</f>
        <v>327000</v>
      </c>
      <c r="K117" s="95">
        <f t="shared" si="11"/>
        <v>0</v>
      </c>
      <c r="L117" s="130"/>
      <c r="M117" s="130"/>
      <c r="N117" s="99">
        <f>VLOOKUP(B117,[4]Sheet1!$D$5:$N$69,11,0)</f>
        <v>327000</v>
      </c>
      <c r="P117" s="131"/>
      <c r="Q117" s="131"/>
      <c r="R117" s="131"/>
      <c r="S117" s="131">
        <f>E117/1.05-P117-Q117</f>
        <v>442052.380952381</v>
      </c>
      <c r="T117" s="131">
        <f>E117/1.05*0.05-R117</f>
        <v>22102.619047619</v>
      </c>
      <c r="U117" s="21" t="s">
        <v>564</v>
      </c>
    </row>
    <row r="118" s="99" customFormat="1" spans="1:21">
      <c r="A118" s="112">
        <v>114</v>
      </c>
      <c r="B118" s="113" t="s">
        <v>1211</v>
      </c>
      <c r="C118" s="114">
        <v>36.86</v>
      </c>
      <c r="D118" s="115">
        <v>4200</v>
      </c>
      <c r="E118" s="115">
        <f t="shared" si="8"/>
        <v>154812</v>
      </c>
      <c r="F118" s="139" t="s">
        <v>1212</v>
      </c>
      <c r="G118" s="95">
        <v>10000</v>
      </c>
      <c r="H118" s="95">
        <f t="shared" si="9"/>
        <v>144812</v>
      </c>
      <c r="I118" s="129"/>
      <c r="J118" s="129">
        <f>VLOOKUP(B118,'多浪一期账面房号及收款金额-分公司'!$A$2:$B$436,2,0)</f>
        <v>10000</v>
      </c>
      <c r="K118" s="95">
        <f t="shared" si="11"/>
        <v>0</v>
      </c>
      <c r="L118" s="130"/>
      <c r="M118" s="130"/>
      <c r="N118" s="99">
        <f>VLOOKUP(B118,[4]Sheet1!$D$5:$N$69,11,0)</f>
        <v>10000</v>
      </c>
      <c r="P118" s="131"/>
      <c r="Q118" s="131"/>
      <c r="R118" s="131"/>
      <c r="S118" s="131">
        <f>E118/1.05-P118-Q118</f>
        <v>147440</v>
      </c>
      <c r="T118" s="131">
        <f>E118/1.05*0.05-R118</f>
        <v>7372</v>
      </c>
      <c r="U118" s="21" t="s">
        <v>564</v>
      </c>
    </row>
    <row r="119" s="99" customFormat="1" spans="1:21">
      <c r="A119" s="112">
        <v>115</v>
      </c>
      <c r="B119" s="113" t="s">
        <v>1213</v>
      </c>
      <c r="C119" s="114">
        <v>73.71</v>
      </c>
      <c r="D119" s="115">
        <v>4500</v>
      </c>
      <c r="E119" s="115">
        <f t="shared" si="8"/>
        <v>331695</v>
      </c>
      <c r="F119" s="139" t="s">
        <v>1214</v>
      </c>
      <c r="G119" s="95">
        <v>281695</v>
      </c>
      <c r="H119" s="95">
        <f t="shared" si="9"/>
        <v>50000</v>
      </c>
      <c r="I119" s="129"/>
      <c r="J119" s="129">
        <f>VLOOKUP(B119,'多浪一期账面房号及收款金额-分公司'!$A$2:$B$436,2,0)+阿克苏分公司预收账款!J1944</f>
        <v>281695</v>
      </c>
      <c r="K119" s="95">
        <f t="shared" si="11"/>
        <v>0</v>
      </c>
      <c r="L119" s="130"/>
      <c r="M119" s="130"/>
      <c r="N119" s="99">
        <f>VLOOKUP(B119,[4]Sheet1!$D$5:$N$69,11,0)</f>
        <v>281695</v>
      </c>
      <c r="P119" s="131"/>
      <c r="Q119" s="131"/>
      <c r="R119" s="131"/>
      <c r="S119" s="131">
        <f>E119/1.05-P119-Q119</f>
        <v>315900</v>
      </c>
      <c r="T119" s="131">
        <f>E119/1.05*0.05-R119</f>
        <v>15795</v>
      </c>
      <c r="U119" s="21" t="s">
        <v>564</v>
      </c>
    </row>
    <row r="120" hidden="1" spans="1:21">
      <c r="A120" s="103">
        <v>116</v>
      </c>
      <c r="B120" s="110" t="s">
        <v>1215</v>
      </c>
      <c r="C120" s="72">
        <v>73.71</v>
      </c>
      <c r="D120" s="73">
        <v>4290</v>
      </c>
      <c r="E120" s="73">
        <f t="shared" si="8"/>
        <v>0</v>
      </c>
      <c r="F120" s="138"/>
      <c r="G120" s="87">
        <v>0</v>
      </c>
      <c r="H120" s="87">
        <f t="shared" si="9"/>
        <v>0</v>
      </c>
      <c r="I120" s="86"/>
      <c r="J120" s="86"/>
      <c r="K120" s="87">
        <f t="shared" si="11"/>
        <v>0</v>
      </c>
      <c r="L120" s="127"/>
      <c r="M120" s="127"/>
      <c r="S120" s="101">
        <f t="shared" si="10"/>
        <v>0</v>
      </c>
      <c r="T120" s="101">
        <f t="shared" si="12"/>
        <v>0</v>
      </c>
      <c r="U120" t="s">
        <v>42</v>
      </c>
    </row>
    <row r="121" hidden="1" spans="1:21">
      <c r="A121" s="103">
        <v>117</v>
      </c>
      <c r="B121" s="110" t="s">
        <v>1216</v>
      </c>
      <c r="C121" s="72">
        <v>51.03</v>
      </c>
      <c r="D121" s="73">
        <v>4000</v>
      </c>
      <c r="E121" s="73">
        <f t="shared" si="8"/>
        <v>0</v>
      </c>
      <c r="F121" s="138"/>
      <c r="G121" s="87">
        <v>0</v>
      </c>
      <c r="H121" s="87">
        <f t="shared" si="9"/>
        <v>0</v>
      </c>
      <c r="I121" s="86"/>
      <c r="J121" s="86"/>
      <c r="K121" s="87">
        <f t="shared" si="11"/>
        <v>0</v>
      </c>
      <c r="L121" s="127"/>
      <c r="M121" s="127"/>
      <c r="S121" s="101">
        <f t="shared" si="10"/>
        <v>0</v>
      </c>
      <c r="T121" s="101">
        <f t="shared" si="12"/>
        <v>0</v>
      </c>
      <c r="U121" t="s">
        <v>42</v>
      </c>
    </row>
    <row r="122" hidden="1" spans="1:21">
      <c r="A122" s="103">
        <v>118</v>
      </c>
      <c r="B122" s="110" t="s">
        <v>1217</v>
      </c>
      <c r="C122" s="72">
        <v>116.02</v>
      </c>
      <c r="D122" s="73">
        <v>3890</v>
      </c>
      <c r="E122" s="73">
        <f t="shared" si="8"/>
        <v>0</v>
      </c>
      <c r="F122" s="138"/>
      <c r="G122" s="87">
        <v>0</v>
      </c>
      <c r="H122" s="87">
        <f t="shared" si="9"/>
        <v>0</v>
      </c>
      <c r="I122" s="86"/>
      <c r="J122" s="86"/>
      <c r="K122" s="87">
        <f t="shared" si="11"/>
        <v>0</v>
      </c>
      <c r="L122" s="127"/>
      <c r="M122" s="127"/>
      <c r="S122" s="101">
        <f t="shared" si="10"/>
        <v>0</v>
      </c>
      <c r="T122" s="101">
        <f t="shared" si="12"/>
        <v>0</v>
      </c>
      <c r="U122" t="s">
        <v>42</v>
      </c>
    </row>
    <row r="123" hidden="1" spans="1:21">
      <c r="A123" s="103">
        <v>119</v>
      </c>
      <c r="B123" s="110" t="s">
        <v>1218</v>
      </c>
      <c r="C123" s="72">
        <v>46.58</v>
      </c>
      <c r="D123" s="73"/>
      <c r="E123" s="73">
        <f t="shared" si="8"/>
        <v>0</v>
      </c>
      <c r="F123" s="138"/>
      <c r="G123" s="87">
        <v>0</v>
      </c>
      <c r="H123" s="87">
        <f t="shared" si="9"/>
        <v>0</v>
      </c>
      <c r="I123" s="86"/>
      <c r="J123" s="86"/>
      <c r="K123" s="87">
        <f t="shared" si="11"/>
        <v>0</v>
      </c>
      <c r="L123" s="132" t="s">
        <v>35</v>
      </c>
      <c r="M123" s="127"/>
      <c r="S123" s="101">
        <f t="shared" si="10"/>
        <v>0</v>
      </c>
      <c r="T123" s="101">
        <f t="shared" si="12"/>
        <v>0</v>
      </c>
      <c r="U123" t="s">
        <v>42</v>
      </c>
    </row>
    <row r="124" hidden="1" spans="1:21">
      <c r="A124" s="103">
        <v>120</v>
      </c>
      <c r="B124" s="110" t="s">
        <v>1219</v>
      </c>
      <c r="C124" s="72">
        <v>27.14</v>
      </c>
      <c r="D124" s="73"/>
      <c r="E124" s="73">
        <f t="shared" si="8"/>
        <v>0</v>
      </c>
      <c r="F124" s="138"/>
      <c r="G124" s="87">
        <v>0</v>
      </c>
      <c r="H124" s="87">
        <f t="shared" si="9"/>
        <v>0</v>
      </c>
      <c r="I124" s="86"/>
      <c r="J124" s="86"/>
      <c r="K124" s="87">
        <f t="shared" si="11"/>
        <v>0</v>
      </c>
      <c r="L124" s="132" t="s">
        <v>35</v>
      </c>
      <c r="M124" s="127"/>
      <c r="S124" s="101">
        <f t="shared" si="10"/>
        <v>0</v>
      </c>
      <c r="T124" s="101">
        <f t="shared" si="12"/>
        <v>0</v>
      </c>
      <c r="U124" t="s">
        <v>42</v>
      </c>
    </row>
    <row r="125" hidden="1" spans="1:21">
      <c r="A125" s="103">
        <v>121</v>
      </c>
      <c r="B125" s="110" t="s">
        <v>1220</v>
      </c>
      <c r="C125" s="72">
        <v>723.46</v>
      </c>
      <c r="D125" s="73"/>
      <c r="E125" s="73">
        <f t="shared" si="8"/>
        <v>0</v>
      </c>
      <c r="F125" s="138"/>
      <c r="G125" s="87">
        <v>0</v>
      </c>
      <c r="H125" s="87">
        <f t="shared" si="9"/>
        <v>0</v>
      </c>
      <c r="I125" s="86"/>
      <c r="J125" s="86"/>
      <c r="K125" s="87">
        <f t="shared" si="11"/>
        <v>0</v>
      </c>
      <c r="L125" s="127"/>
      <c r="M125" s="127"/>
      <c r="S125" s="101">
        <f t="shared" si="10"/>
        <v>0</v>
      </c>
      <c r="T125" s="101">
        <f t="shared" si="12"/>
        <v>0</v>
      </c>
      <c r="U125" t="s">
        <v>42</v>
      </c>
    </row>
    <row r="126" hidden="1" spans="1:21">
      <c r="A126" s="103">
        <v>122</v>
      </c>
      <c r="B126" s="110" t="s">
        <v>1221</v>
      </c>
      <c r="C126" s="72">
        <v>45.14</v>
      </c>
      <c r="D126" s="73"/>
      <c r="E126" s="73">
        <f t="shared" si="8"/>
        <v>0</v>
      </c>
      <c r="F126" s="138"/>
      <c r="G126" s="87">
        <v>0</v>
      </c>
      <c r="H126" s="87">
        <f t="shared" si="9"/>
        <v>0</v>
      </c>
      <c r="I126" s="86"/>
      <c r="J126" s="86"/>
      <c r="K126" s="87">
        <f t="shared" si="11"/>
        <v>0</v>
      </c>
      <c r="L126" s="127"/>
      <c r="M126" s="127"/>
      <c r="S126" s="101">
        <f t="shared" si="10"/>
        <v>0</v>
      </c>
      <c r="T126" s="101">
        <f t="shared" si="12"/>
        <v>0</v>
      </c>
      <c r="U126" t="s">
        <v>42</v>
      </c>
    </row>
    <row r="127" hidden="1" spans="1:21">
      <c r="A127" s="103">
        <v>123</v>
      </c>
      <c r="B127" s="110" t="s">
        <v>1222</v>
      </c>
      <c r="C127" s="72">
        <v>72.63</v>
      </c>
      <c r="D127" s="73"/>
      <c r="E127" s="73">
        <f t="shared" si="8"/>
        <v>0</v>
      </c>
      <c r="F127" s="138"/>
      <c r="G127" s="87">
        <v>0</v>
      </c>
      <c r="H127" s="87">
        <f t="shared" si="9"/>
        <v>0</v>
      </c>
      <c r="I127" s="86"/>
      <c r="J127" s="86"/>
      <c r="K127" s="87">
        <f t="shared" si="11"/>
        <v>0</v>
      </c>
      <c r="L127" s="127"/>
      <c r="M127" s="127"/>
      <c r="S127" s="101">
        <f t="shared" si="10"/>
        <v>0</v>
      </c>
      <c r="T127" s="101">
        <f t="shared" si="12"/>
        <v>0</v>
      </c>
      <c r="U127" t="s">
        <v>42</v>
      </c>
    </row>
    <row r="128" hidden="1" spans="1:21">
      <c r="A128" s="103">
        <v>124</v>
      </c>
      <c r="B128" s="110" t="s">
        <v>1223</v>
      </c>
      <c r="C128" s="72">
        <v>79.35</v>
      </c>
      <c r="D128" s="73"/>
      <c r="E128" s="73">
        <f t="shared" si="8"/>
        <v>0</v>
      </c>
      <c r="F128" s="138"/>
      <c r="G128" s="87">
        <v>0</v>
      </c>
      <c r="H128" s="87">
        <f t="shared" si="9"/>
        <v>0</v>
      </c>
      <c r="I128" s="86"/>
      <c r="J128" s="86"/>
      <c r="K128" s="87">
        <f t="shared" si="11"/>
        <v>0</v>
      </c>
      <c r="L128" s="132" t="s">
        <v>35</v>
      </c>
      <c r="M128" s="127"/>
      <c r="S128" s="101">
        <f t="shared" si="10"/>
        <v>0</v>
      </c>
      <c r="T128" s="101">
        <f t="shared" si="12"/>
        <v>0</v>
      </c>
      <c r="U128" t="s">
        <v>42</v>
      </c>
    </row>
    <row r="129" hidden="1" spans="1:21">
      <c r="A129" s="103">
        <v>125</v>
      </c>
      <c r="B129" s="110" t="s">
        <v>1224</v>
      </c>
      <c r="C129" s="140">
        <v>41.9</v>
      </c>
      <c r="D129" s="73">
        <v>5500</v>
      </c>
      <c r="E129" s="73">
        <f t="shared" si="8"/>
        <v>230450</v>
      </c>
      <c r="F129" s="135" t="s">
        <v>1225</v>
      </c>
      <c r="G129" s="87">
        <v>206085</v>
      </c>
      <c r="H129" s="87">
        <f t="shared" si="9"/>
        <v>24365</v>
      </c>
      <c r="I129" s="86"/>
      <c r="J129" s="86">
        <f>'多浪一期账面房号及收款金额-分公司'!B188</f>
        <v>206084.55</v>
      </c>
      <c r="K129" s="87">
        <f t="shared" si="11"/>
        <v>0.450000000011642</v>
      </c>
      <c r="L129" s="127"/>
      <c r="M129" s="127"/>
      <c r="P129" s="50">
        <v>196271</v>
      </c>
      <c r="R129" s="50">
        <v>9814</v>
      </c>
      <c r="S129" s="101">
        <f t="shared" si="10"/>
        <v>0</v>
      </c>
      <c r="T129" s="101">
        <f t="shared" si="12"/>
        <v>-0.450000000000728</v>
      </c>
      <c r="U129" t="s">
        <v>42</v>
      </c>
    </row>
    <row r="130" hidden="1" spans="1:20">
      <c r="A130" s="103">
        <v>126</v>
      </c>
      <c r="B130" s="110" t="s">
        <v>1226</v>
      </c>
      <c r="C130" s="140">
        <v>37.78</v>
      </c>
      <c r="D130" s="73">
        <v>5500</v>
      </c>
      <c r="E130" s="73">
        <f t="shared" si="8"/>
        <v>207790</v>
      </c>
      <c r="F130" s="135" t="s">
        <v>1227</v>
      </c>
      <c r="G130" s="87">
        <v>191420</v>
      </c>
      <c r="H130" s="87">
        <f t="shared" si="9"/>
        <v>16370</v>
      </c>
      <c r="I130" s="86"/>
      <c r="J130" s="86">
        <f>VLOOKUP(B130,'多浪一期账面房号及收款金额-分公司'!$A$2:$B$436,2,0)+'多浪一期账面房号及收款金额-分公司'!B189</f>
        <v>191419.75</v>
      </c>
      <c r="K130" s="87">
        <f t="shared" si="11"/>
        <v>0.25</v>
      </c>
      <c r="L130" s="127"/>
      <c r="M130" s="127"/>
      <c r="N130" s="100">
        <f>VLOOKUP(B130,[4]Sheet1!$D$5:$N$69,11,0)</f>
        <v>-202215</v>
      </c>
      <c r="O130" s="100">
        <v>207790</v>
      </c>
      <c r="P130" s="50">
        <v>176995</v>
      </c>
      <c r="Q130" s="50">
        <f>207790/1.05</f>
        <v>197895.238095238</v>
      </c>
      <c r="S130" s="101">
        <f>E130/1.05-P130-Q130</f>
        <v>-176995</v>
      </c>
      <c r="T130" s="101">
        <f>E130/1.05*0.05-R130</f>
        <v>9894.7619047619</v>
      </c>
    </row>
    <row r="131" hidden="1" spans="1:20">
      <c r="A131" s="103">
        <v>127</v>
      </c>
      <c r="B131" s="110" t="s">
        <v>1228</v>
      </c>
      <c r="C131" s="140">
        <v>37.78</v>
      </c>
      <c r="D131" s="73">
        <v>5500</v>
      </c>
      <c r="E131" s="73">
        <f t="shared" si="8"/>
        <v>207790</v>
      </c>
      <c r="F131" s="135" t="s">
        <v>1227</v>
      </c>
      <c r="G131" s="87">
        <v>191420</v>
      </c>
      <c r="H131" s="87">
        <f t="shared" si="9"/>
        <v>16370</v>
      </c>
      <c r="I131" s="86"/>
      <c r="J131" s="86">
        <f>VLOOKUP(B131,'多浪一期账面房号及收款金额-分公司'!$A$2:$B$436,2,0)+'多浪一期账面房号及收款金额-分公司'!B190</f>
        <v>191419.75</v>
      </c>
      <c r="K131" s="87">
        <f t="shared" si="11"/>
        <v>0.25</v>
      </c>
      <c r="L131" s="127"/>
      <c r="M131" s="127"/>
      <c r="N131" s="100">
        <f>VLOOKUP(B131,[4]Sheet1!$D$5:$N$69,11,0)</f>
        <v>-202215</v>
      </c>
      <c r="O131" s="100">
        <v>207790</v>
      </c>
      <c r="P131" s="50">
        <v>176995</v>
      </c>
      <c r="Q131" s="50">
        <f>207790/1.05</f>
        <v>197895.238095238</v>
      </c>
      <c r="S131" s="101">
        <f>E131/1.05-P131-Q131</f>
        <v>-176995</v>
      </c>
      <c r="T131" s="101">
        <f>E131/1.05*0.05-R131</f>
        <v>9894.7619047619</v>
      </c>
    </row>
    <row r="132" hidden="1" spans="1:21">
      <c r="A132" s="103">
        <v>128</v>
      </c>
      <c r="B132" s="110" t="s">
        <v>1229</v>
      </c>
      <c r="C132" s="140">
        <v>38.63</v>
      </c>
      <c r="D132" s="73">
        <v>6000</v>
      </c>
      <c r="E132" s="73">
        <f t="shared" si="8"/>
        <v>231780</v>
      </c>
      <c r="F132" s="135" t="s">
        <v>1230</v>
      </c>
      <c r="G132" s="87">
        <v>207300</v>
      </c>
      <c r="H132" s="87">
        <f t="shared" si="9"/>
        <v>24480</v>
      </c>
      <c r="I132" s="86"/>
      <c r="J132" s="86">
        <f>'多浪一期账面房号及收款金额-分公司'!B191</f>
        <v>207300.5865</v>
      </c>
      <c r="K132" s="87">
        <f t="shared" si="11"/>
        <v>-0.586500000004889</v>
      </c>
      <c r="L132" s="127"/>
      <c r="M132" s="127"/>
      <c r="O132" s="100">
        <f>159333.33+197428.57-168856.77</f>
        <v>187905.13</v>
      </c>
      <c r="P132" s="50">
        <v>9524</v>
      </c>
      <c r="Q132" s="50">
        <f>159333.33+197428.57-168856.77</f>
        <v>187905.13</v>
      </c>
      <c r="R132" s="50">
        <f>Q132*0.05+476</f>
        <v>9871.2565</v>
      </c>
      <c r="S132" s="101">
        <f t="shared" si="10"/>
        <v>0</v>
      </c>
      <c r="T132" s="101">
        <f t="shared" si="12"/>
        <v>0.200000000000728</v>
      </c>
      <c r="U132" t="s">
        <v>42</v>
      </c>
    </row>
    <row r="133" hidden="1" spans="1:21">
      <c r="A133" s="103">
        <v>129</v>
      </c>
      <c r="B133" s="110" t="s">
        <v>1231</v>
      </c>
      <c r="C133" s="140">
        <v>38.63</v>
      </c>
      <c r="D133" s="73">
        <v>5500</v>
      </c>
      <c r="E133" s="73">
        <f t="shared" ref="E133:E196" si="13">ROUND(IF(F133&lt;&gt;0,C133*D133,0),0)</f>
        <v>212465</v>
      </c>
      <c r="F133" s="135" t="s">
        <v>1232</v>
      </c>
      <c r="G133" s="87">
        <v>212465</v>
      </c>
      <c r="H133" s="87">
        <f t="shared" ref="H133:H196" si="14">E133-G133</f>
        <v>0</v>
      </c>
      <c r="I133" s="86"/>
      <c r="J133" s="86">
        <f>'多浪一期账面房号及收款金额-分公司'!B192</f>
        <v>212464.8</v>
      </c>
      <c r="K133" s="87">
        <f t="shared" si="11"/>
        <v>0.200000000011642</v>
      </c>
      <c r="L133" s="127"/>
      <c r="M133" s="127"/>
      <c r="O133" s="100">
        <v>203416</v>
      </c>
      <c r="Q133" s="50">
        <v>202347.62</v>
      </c>
      <c r="R133" s="50">
        <f>Q133*0.05</f>
        <v>10117.381</v>
      </c>
      <c r="S133" s="101">
        <f t="shared" ref="S133:S196" si="15">J133/1.05-P133-Q133</f>
        <v>-0.191428571444703</v>
      </c>
      <c r="T133" s="101">
        <f t="shared" si="12"/>
        <v>-0.00957142857077997</v>
      </c>
      <c r="U133" t="s">
        <v>42</v>
      </c>
    </row>
    <row r="134" hidden="1" spans="1:21">
      <c r="A134" s="103">
        <v>130</v>
      </c>
      <c r="B134" s="110" t="s">
        <v>1233</v>
      </c>
      <c r="C134" s="140">
        <v>37.78</v>
      </c>
      <c r="D134" s="73">
        <v>5697</v>
      </c>
      <c r="E134" s="73">
        <f t="shared" si="13"/>
        <v>215233</v>
      </c>
      <c r="F134" s="135" t="s">
        <v>1234</v>
      </c>
      <c r="G134" s="87">
        <v>192500</v>
      </c>
      <c r="H134" s="87">
        <f t="shared" si="14"/>
        <v>22733</v>
      </c>
      <c r="I134" s="86"/>
      <c r="J134" s="86">
        <f>'多浪一期账面房号及收款金额-分公司'!B193</f>
        <v>192499.65</v>
      </c>
      <c r="K134" s="87">
        <f t="shared" ref="K134:K197" si="16">G134-I134-J134</f>
        <v>0.350000000005821</v>
      </c>
      <c r="L134" s="127"/>
      <c r="M134" s="127"/>
      <c r="P134" s="50">
        <v>183333</v>
      </c>
      <c r="R134" s="50">
        <v>9167</v>
      </c>
      <c r="S134" s="101">
        <f t="shared" si="15"/>
        <v>0</v>
      </c>
      <c r="T134" s="101">
        <f t="shared" si="12"/>
        <v>-0.350000000000364</v>
      </c>
      <c r="U134" t="s">
        <v>42</v>
      </c>
    </row>
    <row r="135" hidden="1" spans="1:21">
      <c r="A135" s="103">
        <v>131</v>
      </c>
      <c r="B135" s="110" t="s">
        <v>1235</v>
      </c>
      <c r="C135" s="140">
        <v>37.78</v>
      </c>
      <c r="D135" s="73">
        <v>5697</v>
      </c>
      <c r="E135" s="73">
        <f t="shared" si="13"/>
        <v>215233</v>
      </c>
      <c r="F135" s="135" t="s">
        <v>1234</v>
      </c>
      <c r="G135" s="87">
        <v>192500</v>
      </c>
      <c r="H135" s="87">
        <f t="shared" si="14"/>
        <v>22733</v>
      </c>
      <c r="I135" s="86"/>
      <c r="J135" s="86">
        <f>'多浪一期账面房号及收款金额-分公司'!B194</f>
        <v>192499.65</v>
      </c>
      <c r="K135" s="87">
        <f t="shared" si="16"/>
        <v>0.350000000005821</v>
      </c>
      <c r="L135" s="127"/>
      <c r="M135" s="127"/>
      <c r="P135" s="50">
        <v>183333</v>
      </c>
      <c r="R135" s="50">
        <v>9167</v>
      </c>
      <c r="S135" s="101">
        <f t="shared" si="15"/>
        <v>0</v>
      </c>
      <c r="T135" s="101">
        <f t="shared" si="12"/>
        <v>-0.350000000000364</v>
      </c>
      <c r="U135" t="s">
        <v>42</v>
      </c>
    </row>
    <row r="136" hidden="1" spans="1:21">
      <c r="A136" s="103">
        <v>132</v>
      </c>
      <c r="B136" s="110" t="s">
        <v>1236</v>
      </c>
      <c r="C136" s="140">
        <v>38.63</v>
      </c>
      <c r="D136" s="73">
        <v>5789</v>
      </c>
      <c r="E136" s="73">
        <f t="shared" si="13"/>
        <v>223629</v>
      </c>
      <c r="F136" s="135" t="s">
        <v>1237</v>
      </c>
      <c r="G136" s="87">
        <v>200000</v>
      </c>
      <c r="H136" s="87">
        <f t="shared" si="14"/>
        <v>23629</v>
      </c>
      <c r="I136" s="86"/>
      <c r="J136" s="86">
        <f>'多浪一期账面房号及收款金额-分公司'!B195</f>
        <v>199999.8</v>
      </c>
      <c r="K136" s="87">
        <f t="shared" si="16"/>
        <v>0.200000000011642</v>
      </c>
      <c r="L136" s="127"/>
      <c r="M136" s="127"/>
      <c r="P136" s="50">
        <v>190476</v>
      </c>
      <c r="R136" s="50">
        <v>9524</v>
      </c>
      <c r="S136" s="101">
        <f t="shared" si="15"/>
        <v>0</v>
      </c>
      <c r="T136" s="101">
        <f t="shared" ref="T136:T199" si="17">J136/1.05*0.05-R136</f>
        <v>-0.200000000000728</v>
      </c>
      <c r="U136" t="s">
        <v>42</v>
      </c>
    </row>
    <row r="137" hidden="1" spans="1:21">
      <c r="A137" s="103">
        <v>133</v>
      </c>
      <c r="B137" s="110" t="s">
        <v>1238</v>
      </c>
      <c r="C137" s="140">
        <v>38.63</v>
      </c>
      <c r="D137" s="73">
        <v>5586.11</v>
      </c>
      <c r="E137" s="73">
        <f t="shared" si="13"/>
        <v>215791</v>
      </c>
      <c r="F137" s="135" t="s">
        <v>1239</v>
      </c>
      <c r="G137" s="87">
        <v>193000</v>
      </c>
      <c r="H137" s="87">
        <f t="shared" si="14"/>
        <v>22791</v>
      </c>
      <c r="I137" s="86"/>
      <c r="J137" s="86">
        <f>'多浪一期账面房号及收款金额-分公司'!B196</f>
        <v>193000.5</v>
      </c>
      <c r="K137" s="87">
        <f t="shared" si="16"/>
        <v>-0.5</v>
      </c>
      <c r="L137" s="127"/>
      <c r="M137" s="127"/>
      <c r="P137" s="50">
        <v>183810</v>
      </c>
      <c r="R137" s="50">
        <v>9190</v>
      </c>
      <c r="S137" s="101">
        <f t="shared" si="15"/>
        <v>0</v>
      </c>
      <c r="T137" s="101">
        <f t="shared" si="17"/>
        <v>0.5</v>
      </c>
      <c r="U137" t="s">
        <v>42</v>
      </c>
    </row>
    <row r="138" hidden="1" spans="1:21">
      <c r="A138" s="103">
        <v>134</v>
      </c>
      <c r="B138" s="110" t="s">
        <v>1240</v>
      </c>
      <c r="C138" s="140">
        <v>37.78</v>
      </c>
      <c r="D138" s="73">
        <v>6000</v>
      </c>
      <c r="E138" s="73">
        <f t="shared" si="13"/>
        <v>226680</v>
      </c>
      <c r="F138" s="135" t="s">
        <v>1241</v>
      </c>
      <c r="G138" s="87">
        <v>202740</v>
      </c>
      <c r="H138" s="87">
        <f t="shared" si="14"/>
        <v>23940</v>
      </c>
      <c r="I138" s="86"/>
      <c r="J138" s="86">
        <f>VLOOKUP(B138,'多浪一期账面房号及收款金额-分公司'!$A$2:$B$436,2,0)</f>
        <v>242740</v>
      </c>
      <c r="K138" s="87">
        <f t="shared" si="16"/>
        <v>-40000</v>
      </c>
      <c r="L138" s="132" t="s">
        <v>1242</v>
      </c>
      <c r="M138" s="127"/>
      <c r="O138" s="100">
        <v>47619.05</v>
      </c>
      <c r="P138" s="50">
        <f>[3]sheet1!$K$395+[3]sheet1!$K$356</f>
        <v>183562</v>
      </c>
      <c r="Q138" s="50">
        <v>47619.05</v>
      </c>
      <c r="R138" s="50">
        <v>11558.95</v>
      </c>
      <c r="S138" s="101">
        <f t="shared" si="15"/>
        <v>-0.097619047635817</v>
      </c>
      <c r="T138" s="101">
        <f t="shared" si="17"/>
        <v>0.0976190476176271</v>
      </c>
      <c r="U138" t="s">
        <v>42</v>
      </c>
    </row>
    <row r="139" s="99" customFormat="1" spans="1:21">
      <c r="A139" s="112">
        <v>135</v>
      </c>
      <c r="B139" s="113" t="s">
        <v>1243</v>
      </c>
      <c r="C139" s="141">
        <v>37.78</v>
      </c>
      <c r="D139" s="115">
        <v>6000</v>
      </c>
      <c r="E139" s="115">
        <f t="shared" si="13"/>
        <v>226680</v>
      </c>
      <c r="F139" s="137" t="s">
        <v>1241</v>
      </c>
      <c r="G139" s="95">
        <v>202740</v>
      </c>
      <c r="H139" s="95">
        <f t="shared" si="14"/>
        <v>23940</v>
      </c>
      <c r="I139" s="129"/>
      <c r="J139" s="129">
        <f>VLOOKUP(B139,'多浪一期账面房号及收款金额-分公司'!$A$2:$B$436,2,0)</f>
        <v>152740</v>
      </c>
      <c r="K139" s="95">
        <f t="shared" si="16"/>
        <v>50000</v>
      </c>
      <c r="L139" s="148" t="s">
        <v>1242</v>
      </c>
      <c r="M139" s="130"/>
      <c r="N139" s="99">
        <f>[4]Sheet1!$N$22</f>
        <v>47619</v>
      </c>
      <c r="P139" s="131">
        <v>97847</v>
      </c>
      <c r="Q139" s="131"/>
      <c r="R139" s="131">
        <v>7274</v>
      </c>
      <c r="S139" s="131">
        <f>N139</f>
        <v>47619</v>
      </c>
      <c r="T139" s="131">
        <v>0</v>
      </c>
      <c r="U139" s="21" t="s">
        <v>1098</v>
      </c>
    </row>
    <row r="140" s="99" customFormat="1" ht="25.5" spans="1:21">
      <c r="A140" s="112">
        <v>136</v>
      </c>
      <c r="B140" s="113" t="s">
        <v>1244</v>
      </c>
      <c r="C140" s="141">
        <v>41.9</v>
      </c>
      <c r="D140" s="115">
        <v>6138.24</v>
      </c>
      <c r="E140" s="115">
        <f t="shared" si="13"/>
        <v>257192</v>
      </c>
      <c r="F140" s="142" t="s">
        <v>1245</v>
      </c>
      <c r="G140" s="95">
        <v>230000</v>
      </c>
      <c r="H140" s="95">
        <f t="shared" si="14"/>
        <v>27192</v>
      </c>
      <c r="I140" s="129"/>
      <c r="J140" s="129">
        <f>VLOOKUP(B140,'多浪一期账面房号及收款金额-分公司'!$A$2:$B$436,2,0)</f>
        <v>230000.001</v>
      </c>
      <c r="K140" s="95">
        <f t="shared" si="16"/>
        <v>-0.00099999998928979</v>
      </c>
      <c r="L140" s="130"/>
      <c r="M140" s="130"/>
      <c r="N140" s="99">
        <f>[4]Sheet1!$N$21</f>
        <v>57143</v>
      </c>
      <c r="O140" s="99">
        <v>19047.62</v>
      </c>
      <c r="P140" s="131">
        <v>142857</v>
      </c>
      <c r="Q140" s="131">
        <v>19047.62</v>
      </c>
      <c r="R140" s="131">
        <f>10952</f>
        <v>10952</v>
      </c>
      <c r="S140" s="131">
        <f t="shared" si="15"/>
        <v>57143</v>
      </c>
      <c r="T140" s="131">
        <f t="shared" si="17"/>
        <v>0.380999999999403</v>
      </c>
      <c r="U140" s="21" t="s">
        <v>1098</v>
      </c>
    </row>
    <row r="141" hidden="1" spans="1:21">
      <c r="A141" s="103">
        <v>137</v>
      </c>
      <c r="B141" s="110" t="s">
        <v>1246</v>
      </c>
      <c r="C141" s="103">
        <v>88.33</v>
      </c>
      <c r="D141" s="73"/>
      <c r="E141" s="73">
        <f t="shared" si="13"/>
        <v>0</v>
      </c>
      <c r="F141" s="138"/>
      <c r="G141" s="87">
        <v>0</v>
      </c>
      <c r="H141" s="87">
        <f t="shared" si="14"/>
        <v>0</v>
      </c>
      <c r="I141" s="86"/>
      <c r="J141" s="86"/>
      <c r="K141" s="87">
        <f t="shared" si="16"/>
        <v>0</v>
      </c>
      <c r="L141" s="127"/>
      <c r="M141" s="127"/>
      <c r="S141" s="101">
        <f t="shared" si="15"/>
        <v>0</v>
      </c>
      <c r="T141" s="101">
        <f t="shared" si="17"/>
        <v>0</v>
      </c>
      <c r="U141" t="s">
        <v>42</v>
      </c>
    </row>
    <row r="142" hidden="1" spans="1:21">
      <c r="A142" s="103">
        <v>138</v>
      </c>
      <c r="B142" s="111" t="s">
        <v>1247</v>
      </c>
      <c r="C142" s="143">
        <v>40.08</v>
      </c>
      <c r="D142" s="73">
        <v>6400</v>
      </c>
      <c r="E142" s="73">
        <f t="shared" si="13"/>
        <v>256512</v>
      </c>
      <c r="F142" s="74" t="s">
        <v>1136</v>
      </c>
      <c r="G142" s="87">
        <v>249704</v>
      </c>
      <c r="H142" s="87">
        <f t="shared" si="14"/>
        <v>6808</v>
      </c>
      <c r="I142" s="86"/>
      <c r="J142" s="86">
        <f>'多浪一期账面房号及收款金额-分公司'!B201</f>
        <v>259704</v>
      </c>
      <c r="K142" s="87">
        <f t="shared" si="16"/>
        <v>-10000</v>
      </c>
      <c r="L142" s="132" t="s">
        <v>1242</v>
      </c>
      <c r="M142" s="127"/>
      <c r="N142" s="100">
        <f>VLOOKUP(B142,[4]Sheet1!$D$5:$N$69,11,0)</f>
        <v>0</v>
      </c>
      <c r="O142" s="100">
        <v>95238.04</v>
      </c>
      <c r="P142" s="50">
        <v>152100</v>
      </c>
      <c r="Q142" s="50">
        <f>95238.04</f>
        <v>95238.04</v>
      </c>
      <c r="R142" s="50">
        <v>12367</v>
      </c>
      <c r="S142" s="101">
        <f t="shared" si="15"/>
        <v>-0.897142857153085</v>
      </c>
      <c r="T142" s="101">
        <f t="shared" si="17"/>
        <v>-0.142857142856883</v>
      </c>
      <c r="U142" t="s">
        <v>42</v>
      </c>
    </row>
    <row r="143" hidden="1" spans="1:21">
      <c r="A143" s="103">
        <v>139</v>
      </c>
      <c r="B143" s="111" t="s">
        <v>1248</v>
      </c>
      <c r="C143" s="143">
        <v>41.9</v>
      </c>
      <c r="D143" s="73">
        <v>6300</v>
      </c>
      <c r="E143" s="73">
        <f t="shared" si="13"/>
        <v>263970</v>
      </c>
      <c r="F143" s="74" t="s">
        <v>1249</v>
      </c>
      <c r="G143" s="87">
        <v>236124</v>
      </c>
      <c r="H143" s="87">
        <f t="shared" si="14"/>
        <v>27846</v>
      </c>
      <c r="I143" s="86"/>
      <c r="J143" s="86">
        <f>'多浪一期账面房号及收款金额-分公司'!B202</f>
        <v>236124</v>
      </c>
      <c r="K143" s="87">
        <f t="shared" si="16"/>
        <v>0</v>
      </c>
      <c r="L143" s="127"/>
      <c r="M143" s="127"/>
      <c r="P143" s="50">
        <v>224880</v>
      </c>
      <c r="R143" s="50">
        <v>11244</v>
      </c>
      <c r="S143" s="101">
        <f t="shared" si="15"/>
        <v>0</v>
      </c>
      <c r="T143" s="101">
        <f t="shared" si="17"/>
        <v>0</v>
      </c>
      <c r="U143" t="s">
        <v>42</v>
      </c>
    </row>
    <row r="144" hidden="1" spans="1:21">
      <c r="A144" s="103">
        <v>140</v>
      </c>
      <c r="B144" s="111" t="s">
        <v>1250</v>
      </c>
      <c r="C144" s="143">
        <v>37.78</v>
      </c>
      <c r="D144" s="73">
        <v>6200</v>
      </c>
      <c r="E144" s="73">
        <f t="shared" si="13"/>
        <v>234236</v>
      </c>
      <c r="F144" s="74" t="s">
        <v>1249</v>
      </c>
      <c r="G144" s="87">
        <v>209498</v>
      </c>
      <c r="H144" s="87">
        <f t="shared" si="14"/>
        <v>24738</v>
      </c>
      <c r="I144" s="86"/>
      <c r="J144" s="86">
        <f>'多浪一期账面房号及收款金额-分公司'!B203</f>
        <v>209498.1</v>
      </c>
      <c r="K144" s="87">
        <f t="shared" si="16"/>
        <v>-0.100000000005821</v>
      </c>
      <c r="L144" s="127"/>
      <c r="M144" s="127"/>
      <c r="P144" s="50">
        <v>199522</v>
      </c>
      <c r="R144" s="50">
        <v>9976</v>
      </c>
      <c r="S144" s="101">
        <f t="shared" si="15"/>
        <v>0</v>
      </c>
      <c r="T144" s="101">
        <f t="shared" si="17"/>
        <v>0.100000000000364</v>
      </c>
      <c r="U144" t="s">
        <v>42</v>
      </c>
    </row>
    <row r="145" hidden="1" spans="1:21">
      <c r="A145" s="103">
        <v>141</v>
      </c>
      <c r="B145" s="111" t="s">
        <v>1251</v>
      </c>
      <c r="C145" s="143">
        <v>37.78</v>
      </c>
      <c r="D145" s="73">
        <v>6100</v>
      </c>
      <c r="E145" s="73">
        <f t="shared" si="13"/>
        <v>230458</v>
      </c>
      <c r="F145" s="74" t="s">
        <v>1249</v>
      </c>
      <c r="G145" s="87">
        <v>206119</v>
      </c>
      <c r="H145" s="87">
        <f t="shared" si="14"/>
        <v>24339</v>
      </c>
      <c r="I145" s="86"/>
      <c r="J145" s="86">
        <f>'多浪一期账面房号及收款金额-分公司'!B204</f>
        <v>206119.2</v>
      </c>
      <c r="K145" s="87">
        <f t="shared" si="16"/>
        <v>-0.200000000011642</v>
      </c>
      <c r="L145" s="127"/>
      <c r="M145" s="127"/>
      <c r="P145" s="50">
        <v>196304</v>
      </c>
      <c r="R145" s="50">
        <v>9815</v>
      </c>
      <c r="S145" s="101">
        <f t="shared" si="15"/>
        <v>0</v>
      </c>
      <c r="T145" s="101">
        <f t="shared" si="17"/>
        <v>0.200000000000728</v>
      </c>
      <c r="U145" t="s">
        <v>42</v>
      </c>
    </row>
    <row r="146" hidden="1" spans="1:21">
      <c r="A146" s="103">
        <v>142</v>
      </c>
      <c r="B146" s="111" t="s">
        <v>1252</v>
      </c>
      <c r="C146" s="143">
        <v>38.64</v>
      </c>
      <c r="D146" s="73">
        <v>6200</v>
      </c>
      <c r="E146" s="73">
        <f t="shared" si="13"/>
        <v>239568</v>
      </c>
      <c r="F146" s="74" t="s">
        <v>1253</v>
      </c>
      <c r="G146" s="87">
        <v>214272</v>
      </c>
      <c r="H146" s="87">
        <f t="shared" si="14"/>
        <v>25296</v>
      </c>
      <c r="I146" s="86"/>
      <c r="J146" s="86">
        <f>'多浪一期账面房号及收款金额-分公司'!B205</f>
        <v>214273.5</v>
      </c>
      <c r="K146" s="87">
        <f t="shared" si="16"/>
        <v>-1.5</v>
      </c>
      <c r="L146" s="127"/>
      <c r="M146" s="127"/>
      <c r="P146" s="50">
        <v>204070</v>
      </c>
      <c r="R146" s="50">
        <v>10203.5</v>
      </c>
      <c r="S146" s="101">
        <f t="shared" si="15"/>
        <v>0</v>
      </c>
      <c r="T146" s="101">
        <f t="shared" si="17"/>
        <v>0</v>
      </c>
      <c r="U146" t="s">
        <v>42</v>
      </c>
    </row>
    <row r="147" hidden="1" spans="1:21">
      <c r="A147" s="103">
        <v>143</v>
      </c>
      <c r="B147" s="111" t="s">
        <v>1254</v>
      </c>
      <c r="C147" s="143">
        <v>38.64</v>
      </c>
      <c r="D147" s="73">
        <v>6000</v>
      </c>
      <c r="E147" s="73">
        <f t="shared" si="13"/>
        <v>231840</v>
      </c>
      <c r="F147" s="74" t="s">
        <v>1255</v>
      </c>
      <c r="G147" s="87">
        <v>217360</v>
      </c>
      <c r="H147" s="87">
        <f t="shared" si="14"/>
        <v>14480</v>
      </c>
      <c r="I147" s="86"/>
      <c r="J147" s="86">
        <f>'多浪一期账面房号及收款金额-分公司'!B206</f>
        <v>207359.0505</v>
      </c>
      <c r="K147" s="87">
        <f t="shared" si="16"/>
        <v>10000.9495</v>
      </c>
      <c r="L147" s="132" t="s">
        <v>1256</v>
      </c>
      <c r="M147" s="127"/>
      <c r="O147" s="100">
        <f>9523.81+197485.71-180952.71</f>
        <v>26056.81</v>
      </c>
      <c r="P147" s="50">
        <v>171428</v>
      </c>
      <c r="Q147" s="50">
        <f>9523.81+197485.71-180952.71</f>
        <v>26056.81</v>
      </c>
      <c r="R147" s="50">
        <v>9874.24</v>
      </c>
      <c r="S147" s="101">
        <f t="shared" si="15"/>
        <v>0</v>
      </c>
      <c r="T147" s="101">
        <f t="shared" si="17"/>
        <v>0.000500000000101863</v>
      </c>
      <c r="U147" t="s">
        <v>42</v>
      </c>
    </row>
    <row r="148" hidden="1" spans="1:21">
      <c r="A148" s="103">
        <v>144</v>
      </c>
      <c r="B148" s="111" t="s">
        <v>1257</v>
      </c>
      <c r="C148" s="143">
        <v>37.78</v>
      </c>
      <c r="D148" s="73">
        <v>6066.88</v>
      </c>
      <c r="E148" s="73">
        <f t="shared" si="13"/>
        <v>229207</v>
      </c>
      <c r="F148" s="74" t="s">
        <v>1258</v>
      </c>
      <c r="G148" s="87">
        <v>229207</v>
      </c>
      <c r="H148" s="87">
        <f t="shared" si="14"/>
        <v>0</v>
      </c>
      <c r="I148" s="86"/>
      <c r="J148" s="86">
        <f>'多浪一期账面房号及收款金额-分公司'!B207</f>
        <v>229207.95</v>
      </c>
      <c r="K148" s="87">
        <f t="shared" si="16"/>
        <v>-0.950000000011642</v>
      </c>
      <c r="M148" s="127"/>
      <c r="O148" s="100">
        <f>-195239+229207</f>
        <v>33968</v>
      </c>
      <c r="P148" s="50">
        <v>195239</v>
      </c>
      <c r="Q148" s="50">
        <f>-195239+218292.38</f>
        <v>23053.38</v>
      </c>
      <c r="R148" s="50">
        <f>Q148*0.05+9761.95</f>
        <v>10914.619</v>
      </c>
      <c r="S148" s="101">
        <f t="shared" si="15"/>
        <v>0.905714285709109</v>
      </c>
      <c r="T148" s="101">
        <f t="shared" si="17"/>
        <v>0.045285714286365</v>
      </c>
      <c r="U148" t="s">
        <v>42</v>
      </c>
    </row>
    <row r="149" s="99" customFormat="1" spans="1:21">
      <c r="A149" s="112">
        <v>145</v>
      </c>
      <c r="B149" s="136" t="s">
        <v>1259</v>
      </c>
      <c r="C149" s="144">
        <v>37.78</v>
      </c>
      <c r="D149" s="115">
        <v>6037.29</v>
      </c>
      <c r="E149" s="115">
        <f t="shared" si="13"/>
        <v>228089</v>
      </c>
      <c r="F149" s="145" t="s">
        <v>1260</v>
      </c>
      <c r="G149" s="95">
        <v>204000</v>
      </c>
      <c r="H149" s="95">
        <f t="shared" si="14"/>
        <v>24089</v>
      </c>
      <c r="I149" s="129"/>
      <c r="J149" s="129">
        <f>'多浪一期账面房号及收款金额-分公司'!B208</f>
        <v>204000.3</v>
      </c>
      <c r="K149" s="95">
        <f t="shared" si="16"/>
        <v>-0.299999999988358</v>
      </c>
      <c r="L149" s="130"/>
      <c r="M149" s="130"/>
      <c r="N149" s="99">
        <f>VLOOKUP(B149,[4]Sheet1!$D$5:$N$69,11,0)</f>
        <v>19048</v>
      </c>
      <c r="P149" s="131">
        <v>175238</v>
      </c>
      <c r="Q149" s="131"/>
      <c r="R149" s="131">
        <v>9714.3</v>
      </c>
      <c r="S149" s="131">
        <f t="shared" si="15"/>
        <v>19048</v>
      </c>
      <c r="T149" s="131">
        <f t="shared" si="17"/>
        <v>0</v>
      </c>
      <c r="U149" s="21" t="s">
        <v>1098</v>
      </c>
    </row>
    <row r="150" hidden="1" spans="1:21">
      <c r="A150" s="103">
        <v>146</v>
      </c>
      <c r="B150" s="111" t="s">
        <v>1261</v>
      </c>
      <c r="C150" s="143">
        <v>38.64</v>
      </c>
      <c r="D150" s="73">
        <v>6076.388</v>
      </c>
      <c r="E150" s="73">
        <f t="shared" si="13"/>
        <v>234792</v>
      </c>
      <c r="F150" s="74" t="s">
        <v>1262</v>
      </c>
      <c r="G150" s="87">
        <v>210000</v>
      </c>
      <c r="H150" s="87">
        <f t="shared" si="14"/>
        <v>24792</v>
      </c>
      <c r="I150" s="86"/>
      <c r="J150" s="86">
        <f>'多浪一期账面房号及收款金额-分公司'!B209</f>
        <v>210000</v>
      </c>
      <c r="K150" s="87">
        <f t="shared" si="16"/>
        <v>0</v>
      </c>
      <c r="L150" s="127"/>
      <c r="M150" s="127"/>
      <c r="P150" s="50">
        <v>200000</v>
      </c>
      <c r="R150" s="50">
        <v>10000</v>
      </c>
      <c r="S150" s="101">
        <f t="shared" si="15"/>
        <v>0</v>
      </c>
      <c r="T150" s="101">
        <f t="shared" si="17"/>
        <v>0</v>
      </c>
      <c r="U150" t="s">
        <v>42</v>
      </c>
    </row>
    <row r="151" hidden="1" spans="1:21">
      <c r="A151" s="103">
        <v>147</v>
      </c>
      <c r="B151" s="111" t="s">
        <v>1263</v>
      </c>
      <c r="C151" s="143">
        <v>38.64</v>
      </c>
      <c r="D151" s="73">
        <v>6500</v>
      </c>
      <c r="E151" s="73">
        <f t="shared" si="13"/>
        <v>251160</v>
      </c>
      <c r="F151" s="74" t="s">
        <v>1264</v>
      </c>
      <c r="G151" s="87">
        <v>224640</v>
      </c>
      <c r="H151" s="87">
        <f t="shared" si="14"/>
        <v>26520</v>
      </c>
      <c r="I151" s="86"/>
      <c r="J151" s="86">
        <f>'多浪一期账面房号及收款金额-分公司'!B210</f>
        <v>224640.15</v>
      </c>
      <c r="K151" s="87">
        <f t="shared" si="16"/>
        <v>-0.149999999994179</v>
      </c>
      <c r="L151" s="127"/>
      <c r="M151" s="127"/>
      <c r="N151" s="100">
        <f>[4]Sheet1!$N$18</f>
        <v>0</v>
      </c>
      <c r="O151" s="100">
        <f>213942.86-213942.86-224640+251160-251160+231400</f>
        <v>6760</v>
      </c>
      <c r="P151" s="50">
        <v>213943</v>
      </c>
      <c r="Q151" s="50">
        <f>25257.14-239200+220380.95</f>
        <v>6438.09000000003</v>
      </c>
      <c r="R151" s="50">
        <v>10697</v>
      </c>
      <c r="S151" s="101">
        <f>E151/1.05-P151-Q151</f>
        <v>18818.91</v>
      </c>
      <c r="T151" s="101">
        <f>E151/1.05*0.05-R151</f>
        <v>1263</v>
      </c>
      <c r="U151" t="s">
        <v>564</v>
      </c>
    </row>
    <row r="152" hidden="1" spans="1:21">
      <c r="A152" s="103">
        <v>148</v>
      </c>
      <c r="B152" s="111" t="s">
        <v>1265</v>
      </c>
      <c r="C152" s="143">
        <v>37.78</v>
      </c>
      <c r="D152" s="73">
        <v>5918.9</v>
      </c>
      <c r="E152" s="73">
        <f t="shared" si="13"/>
        <v>223616</v>
      </c>
      <c r="F152" s="74" t="s">
        <v>1234</v>
      </c>
      <c r="G152" s="87">
        <v>200000</v>
      </c>
      <c r="H152" s="87">
        <f t="shared" si="14"/>
        <v>23616</v>
      </c>
      <c r="I152" s="86"/>
      <c r="J152" s="86">
        <f>'多浪一期账面房号及收款金额-分公司'!B211</f>
        <v>199999.8</v>
      </c>
      <c r="K152" s="87">
        <f t="shared" si="16"/>
        <v>0.200000000011642</v>
      </c>
      <c r="L152" s="127"/>
      <c r="M152" s="127"/>
      <c r="P152" s="50">
        <v>190476</v>
      </c>
      <c r="R152" s="50">
        <v>9524</v>
      </c>
      <c r="S152" s="101">
        <f t="shared" si="15"/>
        <v>0</v>
      </c>
      <c r="T152" s="101">
        <f t="shared" si="17"/>
        <v>-0.200000000000728</v>
      </c>
      <c r="U152" t="s">
        <v>42</v>
      </c>
    </row>
    <row r="153" hidden="1" spans="1:21">
      <c r="A153" s="103">
        <v>149</v>
      </c>
      <c r="B153" s="111" t="s">
        <v>1266</v>
      </c>
      <c r="C153" s="143">
        <v>37.78</v>
      </c>
      <c r="D153" s="73">
        <v>5918.9</v>
      </c>
      <c r="E153" s="73">
        <f t="shared" si="13"/>
        <v>223616</v>
      </c>
      <c r="F153" s="74" t="s">
        <v>1234</v>
      </c>
      <c r="G153" s="87">
        <v>200000</v>
      </c>
      <c r="H153" s="87">
        <f t="shared" si="14"/>
        <v>23616</v>
      </c>
      <c r="I153" s="86"/>
      <c r="J153" s="86">
        <f>'多浪一期账面房号及收款金额-分公司'!B212</f>
        <v>194999.7</v>
      </c>
      <c r="K153" s="87">
        <f t="shared" si="16"/>
        <v>5000.29999999999</v>
      </c>
      <c r="L153" s="127" t="s">
        <v>1122</v>
      </c>
      <c r="M153" s="127"/>
      <c r="P153" s="50">
        <v>185714</v>
      </c>
      <c r="R153" s="50">
        <v>9286</v>
      </c>
      <c r="S153" s="101">
        <f t="shared" si="15"/>
        <v>0</v>
      </c>
      <c r="T153" s="101">
        <f t="shared" si="17"/>
        <v>-0.299999999999272</v>
      </c>
      <c r="U153" t="s">
        <v>42</v>
      </c>
    </row>
    <row r="154" hidden="1" spans="1:21">
      <c r="A154" s="103">
        <v>150</v>
      </c>
      <c r="B154" s="111" t="s">
        <v>1267</v>
      </c>
      <c r="C154" s="143">
        <v>41.9</v>
      </c>
      <c r="D154" s="73">
        <v>6083.24</v>
      </c>
      <c r="E154" s="73">
        <f t="shared" si="13"/>
        <v>254888</v>
      </c>
      <c r="F154" s="74" t="s">
        <v>1268</v>
      </c>
      <c r="G154" s="87">
        <v>218000</v>
      </c>
      <c r="H154" s="87">
        <f t="shared" si="14"/>
        <v>36888</v>
      </c>
      <c r="I154" s="86"/>
      <c r="J154" s="86">
        <f>'多浪一期账面房号及收款金额-分公司'!B213</f>
        <v>217999.95</v>
      </c>
      <c r="K154" s="87">
        <f t="shared" si="16"/>
        <v>0.0499999999883585</v>
      </c>
      <c r="L154" s="127"/>
      <c r="M154" s="127"/>
      <c r="P154" s="50">
        <v>207619</v>
      </c>
      <c r="R154" s="50">
        <v>10381</v>
      </c>
      <c r="S154" s="101">
        <f t="shared" si="15"/>
        <v>0</v>
      </c>
      <c r="T154" s="101">
        <f t="shared" si="17"/>
        <v>-0.0499999999992724</v>
      </c>
      <c r="U154" t="s">
        <v>42</v>
      </c>
    </row>
    <row r="155" hidden="1" spans="1:21">
      <c r="A155" s="103">
        <v>151</v>
      </c>
      <c r="B155" s="111" t="s">
        <v>1269</v>
      </c>
      <c r="C155" s="72">
        <v>92.07</v>
      </c>
      <c r="D155" s="73">
        <v>2460</v>
      </c>
      <c r="E155" s="73">
        <f t="shared" si="13"/>
        <v>226492</v>
      </c>
      <c r="F155" s="74" t="s">
        <v>1270</v>
      </c>
      <c r="G155" s="87">
        <v>226492</v>
      </c>
      <c r="H155" s="87">
        <f t="shared" si="14"/>
        <v>0</v>
      </c>
      <c r="I155" s="86"/>
      <c r="J155" s="86">
        <f>VLOOKUP(B155,'多浪一期账面房号及收款金额-分公司'!$A$2:$B$436,2,0)</f>
        <v>226491.3</v>
      </c>
      <c r="K155" s="87">
        <f t="shared" si="16"/>
        <v>0.700000000011642</v>
      </c>
      <c r="L155" s="127"/>
      <c r="M155" s="127"/>
      <c r="P155" s="50">
        <v>215706</v>
      </c>
      <c r="R155" s="50">
        <v>10786</v>
      </c>
      <c r="S155" s="101">
        <f t="shared" si="15"/>
        <v>0</v>
      </c>
      <c r="T155" s="101">
        <f t="shared" si="17"/>
        <v>-0.700000000000728</v>
      </c>
      <c r="U155" t="s">
        <v>42</v>
      </c>
    </row>
    <row r="156" hidden="1" spans="1:21">
      <c r="A156" s="103">
        <v>152</v>
      </c>
      <c r="B156" s="111" t="s">
        <v>1271</v>
      </c>
      <c r="C156" s="72">
        <v>88.35</v>
      </c>
      <c r="D156" s="73">
        <v>2460</v>
      </c>
      <c r="E156" s="73">
        <f t="shared" si="13"/>
        <v>217341</v>
      </c>
      <c r="F156" s="74" t="s">
        <v>1272</v>
      </c>
      <c r="G156" s="87">
        <v>217341</v>
      </c>
      <c r="H156" s="87">
        <f t="shared" si="14"/>
        <v>0</v>
      </c>
      <c r="I156" s="86"/>
      <c r="J156" s="86">
        <f>VLOOKUP(B156,'多浪一期账面房号及收款金额-分公司'!$A$2:$B$436,2,0)</f>
        <v>217340.55</v>
      </c>
      <c r="K156" s="87">
        <f t="shared" si="16"/>
        <v>0.450000000011642</v>
      </c>
      <c r="L156" s="127"/>
      <c r="M156" s="127"/>
      <c r="P156" s="50">
        <v>206991</v>
      </c>
      <c r="R156" s="50">
        <v>10350</v>
      </c>
      <c r="S156" s="101">
        <f t="shared" si="15"/>
        <v>0</v>
      </c>
      <c r="T156" s="101">
        <f t="shared" si="17"/>
        <v>-0.450000000000728</v>
      </c>
      <c r="U156" t="s">
        <v>42</v>
      </c>
    </row>
    <row r="157" hidden="1" spans="1:21">
      <c r="A157" s="103">
        <v>153</v>
      </c>
      <c r="B157" s="111" t="s">
        <v>1273</v>
      </c>
      <c r="C157" s="72">
        <v>94.36</v>
      </c>
      <c r="D157" s="73">
        <v>2500</v>
      </c>
      <c r="E157" s="73">
        <f t="shared" si="13"/>
        <v>235900</v>
      </c>
      <c r="F157" s="74" t="s">
        <v>1274</v>
      </c>
      <c r="G157" s="87">
        <v>235900</v>
      </c>
      <c r="H157" s="87">
        <f t="shared" si="14"/>
        <v>0</v>
      </c>
      <c r="I157" s="86"/>
      <c r="J157" s="86">
        <f>VLOOKUP(B157,'多浪一期账面房号及收款金额-分公司'!$A$2:$B$436,2,0)</f>
        <v>235900.35</v>
      </c>
      <c r="K157" s="87">
        <f t="shared" si="16"/>
        <v>-0.350000000005821</v>
      </c>
      <c r="L157" s="127"/>
      <c r="M157" s="127"/>
      <c r="O157" s="100">
        <v>224667</v>
      </c>
      <c r="Q157" s="50">
        <v>224667</v>
      </c>
      <c r="R157" s="50">
        <f>Q157*0.05</f>
        <v>11233.35</v>
      </c>
      <c r="S157" s="101">
        <f t="shared" si="15"/>
        <v>0</v>
      </c>
      <c r="T157" s="101">
        <f t="shared" si="17"/>
        <v>0</v>
      </c>
      <c r="U157" t="s">
        <v>42</v>
      </c>
    </row>
    <row r="158" hidden="1" spans="1:21">
      <c r="A158" s="103">
        <v>154</v>
      </c>
      <c r="B158" s="111" t="s">
        <v>1275</v>
      </c>
      <c r="C158" s="72">
        <v>88.35</v>
      </c>
      <c r="D158" s="73">
        <v>2600</v>
      </c>
      <c r="E158" s="73">
        <f t="shared" si="13"/>
        <v>229710</v>
      </c>
      <c r="F158" s="94" t="s">
        <v>1276</v>
      </c>
      <c r="G158" s="87">
        <v>229710</v>
      </c>
      <c r="H158" s="87">
        <f t="shared" si="14"/>
        <v>0</v>
      </c>
      <c r="I158" s="86"/>
      <c r="J158" s="86">
        <f>VLOOKUP(B158,'多浪一期账面房号及收款金额-分公司'!$A$2:$B$436,2,0)</f>
        <v>229710.6</v>
      </c>
      <c r="K158" s="87">
        <f t="shared" si="16"/>
        <v>-0.600000000005821</v>
      </c>
      <c r="L158" s="127"/>
      <c r="M158" s="127"/>
      <c r="P158" s="50">
        <v>218772</v>
      </c>
      <c r="R158" s="50">
        <v>10938</v>
      </c>
      <c r="S158" s="101">
        <f t="shared" si="15"/>
        <v>0</v>
      </c>
      <c r="T158" s="101">
        <f t="shared" si="17"/>
        <v>0.600000000000364</v>
      </c>
      <c r="U158" t="s">
        <v>42</v>
      </c>
    </row>
    <row r="159" s="99" customFormat="1" spans="1:21">
      <c r="A159" s="112">
        <v>155</v>
      </c>
      <c r="B159" s="136" t="s">
        <v>1277</v>
      </c>
      <c r="C159" s="114">
        <v>94.36</v>
      </c>
      <c r="D159" s="115">
        <v>2200</v>
      </c>
      <c r="E159" s="115">
        <f t="shared" si="13"/>
        <v>207592</v>
      </c>
      <c r="F159" s="145" t="s">
        <v>1278</v>
      </c>
      <c r="G159" s="95">
        <v>207592</v>
      </c>
      <c r="H159" s="95">
        <f t="shared" si="14"/>
        <v>0</v>
      </c>
      <c r="I159" s="129"/>
      <c r="J159" s="129">
        <f>VLOOKUP(B159,'多浪一期账面房号及收款金额-分公司'!$A$2:$B$436,2,0)</f>
        <v>207592.35</v>
      </c>
      <c r="K159" s="95">
        <f t="shared" si="16"/>
        <v>-0.350000000005821</v>
      </c>
      <c r="L159" s="130"/>
      <c r="M159" s="130"/>
      <c r="N159" s="99">
        <f>VLOOKUP(B159,[4]Sheet1!$D$5:$N$69,11,0)</f>
        <v>132</v>
      </c>
      <c r="O159" s="99">
        <f>207460-207592</f>
        <v>-132</v>
      </c>
      <c r="P159" s="131">
        <v>197707</v>
      </c>
      <c r="Q159" s="131">
        <f>207460/1.05-207592/1.05</f>
        <v>-125.71428571429</v>
      </c>
      <c r="R159" s="131">
        <f>Q159*0.05+9885</f>
        <v>9878.71428571429</v>
      </c>
      <c r="S159" s="131">
        <f>N159/1.05</f>
        <v>125.714285714286</v>
      </c>
      <c r="T159" s="131">
        <f>N159-S159</f>
        <v>6.28571428571429</v>
      </c>
      <c r="U159" s="21" t="s">
        <v>1279</v>
      </c>
    </row>
    <row r="160" hidden="1" spans="1:21">
      <c r="A160" s="103">
        <v>156</v>
      </c>
      <c r="B160" s="111" t="s">
        <v>1280</v>
      </c>
      <c r="C160" s="72">
        <v>88.35</v>
      </c>
      <c r="D160" s="73">
        <v>2200</v>
      </c>
      <c r="E160" s="73">
        <f t="shared" si="13"/>
        <v>194370</v>
      </c>
      <c r="F160" s="74" t="s">
        <v>1281</v>
      </c>
      <c r="G160" s="87">
        <v>194370</v>
      </c>
      <c r="H160" s="87">
        <f t="shared" si="14"/>
        <v>0</v>
      </c>
      <c r="I160" s="86"/>
      <c r="J160" s="86">
        <f>VLOOKUP(B160,'多浪一期账面房号及收款金额-分公司'!$A$2:$B$436,2,0)</f>
        <v>194369.7</v>
      </c>
      <c r="K160" s="87">
        <f t="shared" si="16"/>
        <v>0.299999999988358</v>
      </c>
      <c r="L160" s="127"/>
      <c r="M160" s="127"/>
      <c r="P160" s="50">
        <v>185114</v>
      </c>
      <c r="R160" s="50">
        <v>9256</v>
      </c>
      <c r="S160" s="101">
        <f t="shared" si="15"/>
        <v>0</v>
      </c>
      <c r="T160" s="101">
        <f t="shared" si="17"/>
        <v>-0.299999999999272</v>
      </c>
      <c r="U160" t="s">
        <v>42</v>
      </c>
    </row>
    <row r="161" hidden="1" spans="1:21">
      <c r="A161" s="103">
        <v>157</v>
      </c>
      <c r="B161" s="111" t="s">
        <v>1282</v>
      </c>
      <c r="C161" s="72">
        <v>94.36</v>
      </c>
      <c r="D161" s="73">
        <v>2000</v>
      </c>
      <c r="E161" s="73">
        <f t="shared" si="13"/>
        <v>188720</v>
      </c>
      <c r="F161" s="74" t="s">
        <v>1283</v>
      </c>
      <c r="G161" s="87">
        <v>188720</v>
      </c>
      <c r="H161" s="87">
        <f t="shared" si="14"/>
        <v>0</v>
      </c>
      <c r="I161" s="86"/>
      <c r="J161" s="86">
        <f>VLOOKUP(B161,'多浪一期账面房号及收款金额-分公司'!$A$2:$B$436,2,0)</f>
        <v>188719.65</v>
      </c>
      <c r="K161" s="87">
        <f t="shared" si="16"/>
        <v>0.350000000005821</v>
      </c>
      <c r="L161" s="127"/>
      <c r="M161" s="127"/>
      <c r="P161" s="50">
        <v>179733</v>
      </c>
      <c r="R161" s="50">
        <v>8987</v>
      </c>
      <c r="S161" s="101">
        <f t="shared" si="15"/>
        <v>0</v>
      </c>
      <c r="T161" s="101">
        <f t="shared" si="17"/>
        <v>-0.350000000000364</v>
      </c>
      <c r="U161" t="s">
        <v>42</v>
      </c>
    </row>
    <row r="162" s="99" customFormat="1" spans="1:21">
      <c r="A162" s="112">
        <v>158</v>
      </c>
      <c r="B162" s="136" t="s">
        <v>1284</v>
      </c>
      <c r="C162" s="114">
        <v>88.35</v>
      </c>
      <c r="D162" s="115">
        <v>1890</v>
      </c>
      <c r="E162" s="115">
        <f t="shared" si="13"/>
        <v>166982</v>
      </c>
      <c r="F162" s="145" t="s">
        <v>1285</v>
      </c>
      <c r="G162" s="95">
        <v>166982</v>
      </c>
      <c r="H162" s="95">
        <f t="shared" si="14"/>
        <v>0</v>
      </c>
      <c r="I162" s="129"/>
      <c r="J162" s="129">
        <f>VLOOKUP(B162,'多浪一期账面房号及收款金额-分公司'!$A$2:$B$436,2,0)</f>
        <v>166982.55</v>
      </c>
      <c r="K162" s="95">
        <f t="shared" si="16"/>
        <v>-0.549999999988358</v>
      </c>
      <c r="L162" s="130"/>
      <c r="M162" s="130"/>
      <c r="N162" s="99">
        <f>VLOOKUP(B162,[4]Sheet1!$D$5:$N$69,11,0)</f>
        <v>133</v>
      </c>
      <c r="O162" s="99">
        <f>166849-166982</f>
        <v>-133</v>
      </c>
      <c r="P162" s="131">
        <v>159031</v>
      </c>
      <c r="Q162" s="131">
        <f>166849/1.05+(-166982/1.05)</f>
        <v>-126.666666666657</v>
      </c>
      <c r="R162" s="131">
        <f>Q162*0.05+7951</f>
        <v>7944.66666666667</v>
      </c>
      <c r="S162" s="131">
        <f>N162/1.05</f>
        <v>126.666666666667</v>
      </c>
      <c r="T162" s="131">
        <f>N162-S162</f>
        <v>6.33333333333334</v>
      </c>
      <c r="U162" s="21" t="s">
        <v>1279</v>
      </c>
    </row>
    <row r="163" hidden="1" spans="1:20">
      <c r="A163" s="103">
        <v>159</v>
      </c>
      <c r="B163" s="111" t="s">
        <v>1286</v>
      </c>
      <c r="C163" s="72">
        <v>88.35</v>
      </c>
      <c r="D163" s="73">
        <v>2460</v>
      </c>
      <c r="E163" s="73">
        <f t="shared" si="13"/>
        <v>217341</v>
      </c>
      <c r="F163" s="74" t="s">
        <v>1287</v>
      </c>
      <c r="G163" s="87">
        <v>217341</v>
      </c>
      <c r="H163" s="87">
        <f t="shared" si="14"/>
        <v>0</v>
      </c>
      <c r="I163" s="86"/>
      <c r="J163" s="86">
        <v>217341</v>
      </c>
      <c r="K163" s="87">
        <f t="shared" si="16"/>
        <v>0</v>
      </c>
      <c r="L163" s="127"/>
      <c r="M163" s="127"/>
      <c r="O163" s="128">
        <f>206827.62-206991.43</f>
        <v>-163.809999999998</v>
      </c>
      <c r="P163" s="50">
        <v>206991</v>
      </c>
      <c r="Q163" s="50">
        <f>206827.62-206991.43</f>
        <v>-163.809999999998</v>
      </c>
      <c r="R163" s="50">
        <f>10350</f>
        <v>10350</v>
      </c>
      <c r="S163" s="101">
        <f>E163/1.05-P163-Q163</f>
        <v>164.238571428549</v>
      </c>
      <c r="T163" s="101">
        <f>E163/1.05*0.05-R163</f>
        <v>-0.428571428572468</v>
      </c>
    </row>
    <row r="164" hidden="1" spans="1:20">
      <c r="A164" s="103">
        <v>160</v>
      </c>
      <c r="B164" s="111" t="s">
        <v>1288</v>
      </c>
      <c r="C164" s="72">
        <v>88.35</v>
      </c>
      <c r="D164" s="73">
        <v>2510</v>
      </c>
      <c r="E164" s="73">
        <f t="shared" si="13"/>
        <v>221759</v>
      </c>
      <c r="F164" s="74" t="s">
        <v>1289</v>
      </c>
      <c r="G164" s="87">
        <v>221759</v>
      </c>
      <c r="H164" s="87">
        <f t="shared" si="14"/>
        <v>0</v>
      </c>
      <c r="I164" s="86"/>
      <c r="J164" s="86">
        <v>221759</v>
      </c>
      <c r="K164" s="87">
        <f t="shared" si="16"/>
        <v>0</v>
      </c>
      <c r="L164" s="127"/>
      <c r="M164" s="127"/>
      <c r="N164" s="100">
        <f>VLOOKUP(B164,[4]Sheet1!$D$5:$N$69,11,0)</f>
        <v>0.3</v>
      </c>
      <c r="O164" s="100">
        <f>221583-221759</f>
        <v>-176</v>
      </c>
      <c r="P164" s="50">
        <v>211198</v>
      </c>
      <c r="Q164" s="50">
        <v>-176</v>
      </c>
      <c r="R164" s="50">
        <v>10556</v>
      </c>
      <c r="S164" s="101">
        <f>E164/1.05-P164-Q164</f>
        <v>177.047619047604</v>
      </c>
      <c r="T164" s="101">
        <f>E164/1.05*0.05-R164</f>
        <v>3.95238095238165</v>
      </c>
    </row>
    <row r="165" s="99" customFormat="1" spans="1:21">
      <c r="A165" s="112">
        <v>161</v>
      </c>
      <c r="B165" s="136" t="s">
        <v>1290</v>
      </c>
      <c r="C165" s="114">
        <v>88.35</v>
      </c>
      <c r="D165" s="115">
        <v>2417</v>
      </c>
      <c r="E165" s="115">
        <f t="shared" si="13"/>
        <v>213542</v>
      </c>
      <c r="F165" s="145" t="s">
        <v>1291</v>
      </c>
      <c r="G165" s="95">
        <v>213542</v>
      </c>
      <c r="H165" s="95">
        <f t="shared" si="14"/>
        <v>0</v>
      </c>
      <c r="I165" s="129"/>
      <c r="J165" s="129">
        <v>213542</v>
      </c>
      <c r="K165" s="95">
        <f t="shared" si="16"/>
        <v>0</v>
      </c>
      <c r="L165" s="130"/>
      <c r="M165" s="130"/>
      <c r="N165" s="99">
        <f>VLOOKUP(B165,[4]Sheet1!$D$5:$N$69,11,0)</f>
        <v>169</v>
      </c>
      <c r="O165" s="99">
        <f>-213542+213373</f>
        <v>-169</v>
      </c>
      <c r="P165" s="131">
        <v>203374</v>
      </c>
      <c r="Q165" s="131">
        <v>-161.62</v>
      </c>
      <c r="R165" s="131">
        <f>-7.38+10168</f>
        <v>10160.62</v>
      </c>
      <c r="S165" s="131">
        <f>E165/1.05-P165-Q165</f>
        <v>160.953333333314</v>
      </c>
      <c r="T165" s="131">
        <f>E165/1.05*0.05-R165</f>
        <v>8.04666666666526</v>
      </c>
      <c r="U165" s="21" t="s">
        <v>1279</v>
      </c>
    </row>
    <row r="166" hidden="1" spans="1:21">
      <c r="A166" s="103">
        <v>162</v>
      </c>
      <c r="B166" s="111" t="s">
        <v>1292</v>
      </c>
      <c r="C166" s="72">
        <v>88.35</v>
      </c>
      <c r="D166" s="73">
        <v>2306.81380871534</v>
      </c>
      <c r="E166" s="73">
        <f t="shared" si="13"/>
        <v>203807</v>
      </c>
      <c r="F166" s="74" t="s">
        <v>1293</v>
      </c>
      <c r="G166" s="87">
        <v>203807</v>
      </c>
      <c r="H166" s="87">
        <f t="shared" si="14"/>
        <v>0</v>
      </c>
      <c r="I166" s="86"/>
      <c r="J166" s="86">
        <f>VLOOKUP(B166,'多浪一期账面房号及收款金额-分公司'!$A$2:$B$436,2,0)</f>
        <v>203807.1</v>
      </c>
      <c r="K166" s="87">
        <f t="shared" si="16"/>
        <v>-0.100000000005821</v>
      </c>
      <c r="L166" s="127"/>
      <c r="M166" s="127"/>
      <c r="P166" s="50">
        <v>194102</v>
      </c>
      <c r="R166" s="50">
        <v>9705</v>
      </c>
      <c r="S166" s="101">
        <f t="shared" si="15"/>
        <v>0</v>
      </c>
      <c r="T166" s="101">
        <f t="shared" si="17"/>
        <v>0.100000000000364</v>
      </c>
      <c r="U166" t="s">
        <v>42</v>
      </c>
    </row>
    <row r="167" hidden="1" spans="1:21">
      <c r="A167" s="103">
        <v>163</v>
      </c>
      <c r="B167" s="111" t="s">
        <v>1294</v>
      </c>
      <c r="C167" s="72">
        <v>88.35</v>
      </c>
      <c r="D167" s="73">
        <v>2190</v>
      </c>
      <c r="E167" s="73">
        <f t="shared" si="13"/>
        <v>193487</v>
      </c>
      <c r="F167" s="74" t="s">
        <v>1295</v>
      </c>
      <c r="G167" s="87">
        <v>193487</v>
      </c>
      <c r="H167" s="87">
        <f t="shared" si="14"/>
        <v>0</v>
      </c>
      <c r="I167" s="86"/>
      <c r="J167" s="86">
        <f>VLOOKUP(B167,'多浪一期账面房号及收款金额-分公司'!$A$2:$B$436,2,0)</f>
        <v>193486.65</v>
      </c>
      <c r="K167" s="87">
        <f t="shared" si="16"/>
        <v>0.350000000005821</v>
      </c>
      <c r="L167" s="127"/>
      <c r="M167" s="127"/>
      <c r="P167" s="50">
        <v>184273</v>
      </c>
      <c r="R167" s="50">
        <v>9214</v>
      </c>
      <c r="S167" s="101">
        <f t="shared" si="15"/>
        <v>0</v>
      </c>
      <c r="T167" s="101">
        <f t="shared" si="17"/>
        <v>-0.350000000000364</v>
      </c>
      <c r="U167" t="s">
        <v>42</v>
      </c>
    </row>
    <row r="168" hidden="1" spans="1:21">
      <c r="A168" s="103">
        <v>164</v>
      </c>
      <c r="B168" s="111" t="s">
        <v>1296</v>
      </c>
      <c r="C168" s="72">
        <v>88.35</v>
      </c>
      <c r="D168" s="73">
        <v>2190</v>
      </c>
      <c r="E168" s="73">
        <f t="shared" si="13"/>
        <v>193487</v>
      </c>
      <c r="F168" s="74" t="s">
        <v>1297</v>
      </c>
      <c r="G168" s="87">
        <v>193487</v>
      </c>
      <c r="H168" s="87">
        <f t="shared" si="14"/>
        <v>0</v>
      </c>
      <c r="I168" s="86"/>
      <c r="J168" s="86">
        <f>VLOOKUP(B168,'多浪一期账面房号及收款金额-分公司'!$A$2:$B$436,2,0)</f>
        <v>193486.608</v>
      </c>
      <c r="K168" s="87">
        <f t="shared" si="16"/>
        <v>0.391999999992549</v>
      </c>
      <c r="L168" s="127"/>
      <c r="M168" s="127"/>
      <c r="P168" s="50">
        <v>184272.96</v>
      </c>
      <c r="R168" s="50">
        <v>9213.65</v>
      </c>
      <c r="S168" s="101">
        <f t="shared" si="15"/>
        <v>0</v>
      </c>
      <c r="T168" s="101">
        <f t="shared" si="17"/>
        <v>-0.00200000000040745</v>
      </c>
      <c r="U168" t="s">
        <v>42</v>
      </c>
    </row>
    <row r="169" hidden="1" spans="1:21">
      <c r="A169" s="103">
        <v>165</v>
      </c>
      <c r="B169" s="111" t="s">
        <v>1298</v>
      </c>
      <c r="C169" s="72">
        <v>88.35</v>
      </c>
      <c r="D169" s="73">
        <v>2000</v>
      </c>
      <c r="E169" s="73">
        <f t="shared" si="13"/>
        <v>176700</v>
      </c>
      <c r="F169" s="74" t="s">
        <v>1299</v>
      </c>
      <c r="G169" s="87">
        <v>176700</v>
      </c>
      <c r="H169" s="87">
        <f t="shared" si="14"/>
        <v>0</v>
      </c>
      <c r="I169" s="86"/>
      <c r="J169" s="86">
        <f>VLOOKUP(B169,'多浪一期账面房号及收款金额-分公司'!$A$2:$B$436,2,0)</f>
        <v>176699.25</v>
      </c>
      <c r="K169" s="87">
        <f t="shared" si="16"/>
        <v>0.75</v>
      </c>
      <c r="L169" s="127"/>
      <c r="M169" s="127"/>
      <c r="P169" s="50">
        <v>168285</v>
      </c>
      <c r="R169" s="50">
        <v>8415</v>
      </c>
      <c r="S169" s="101">
        <f t="shared" si="15"/>
        <v>0</v>
      </c>
      <c r="T169" s="101">
        <f t="shared" si="17"/>
        <v>-0.75</v>
      </c>
      <c r="U169" t="s">
        <v>42</v>
      </c>
    </row>
    <row r="170" hidden="1" spans="1:21">
      <c r="A170" s="103">
        <v>166</v>
      </c>
      <c r="B170" s="111" t="s">
        <v>1300</v>
      </c>
      <c r="C170" s="72">
        <v>88.35</v>
      </c>
      <c r="D170" s="73">
        <v>1886</v>
      </c>
      <c r="E170" s="73">
        <f t="shared" si="13"/>
        <v>166628</v>
      </c>
      <c r="F170" s="74" t="s">
        <v>1301</v>
      </c>
      <c r="G170" s="87">
        <v>166628</v>
      </c>
      <c r="H170" s="87">
        <f t="shared" si="14"/>
        <v>0</v>
      </c>
      <c r="I170" s="86"/>
      <c r="J170" s="86">
        <f>VLOOKUP(B170,'多浪一期账面房号及收款金额-分公司'!$A$2:$B$436,2,0)</f>
        <v>166628.7</v>
      </c>
      <c r="K170" s="87">
        <f t="shared" si="16"/>
        <v>-0.700000000011642</v>
      </c>
      <c r="L170" s="127"/>
      <c r="M170" s="127"/>
      <c r="P170" s="50">
        <v>158694</v>
      </c>
      <c r="R170" s="50">
        <v>7934</v>
      </c>
      <c r="S170" s="101">
        <f t="shared" si="15"/>
        <v>0</v>
      </c>
      <c r="T170" s="101">
        <f t="shared" si="17"/>
        <v>0.700000000000728</v>
      </c>
      <c r="U170" t="s">
        <v>42</v>
      </c>
    </row>
    <row r="171" hidden="1" spans="1:21">
      <c r="A171" s="103">
        <v>167</v>
      </c>
      <c r="B171" s="111" t="s">
        <v>1302</v>
      </c>
      <c r="C171" s="72">
        <v>88.35</v>
      </c>
      <c r="D171" s="73">
        <v>2460</v>
      </c>
      <c r="E171" s="73">
        <f t="shared" si="13"/>
        <v>217341</v>
      </c>
      <c r="F171" s="74" t="s">
        <v>1303</v>
      </c>
      <c r="G171" s="87">
        <v>217341</v>
      </c>
      <c r="H171" s="87">
        <f t="shared" si="14"/>
        <v>0</v>
      </c>
      <c r="I171" s="86"/>
      <c r="J171" s="86">
        <f>VLOOKUP(B171,'多浪一期账面房号及收款金额-分公司'!$A$2:$B$436,2,0)</f>
        <v>217340.55</v>
      </c>
      <c r="K171" s="87">
        <f t="shared" si="16"/>
        <v>0.450000000011642</v>
      </c>
      <c r="L171" s="127"/>
      <c r="M171" s="127"/>
      <c r="P171" s="50">
        <v>206991</v>
      </c>
      <c r="R171" s="50">
        <v>10350</v>
      </c>
      <c r="S171" s="101">
        <f t="shared" si="15"/>
        <v>0</v>
      </c>
      <c r="T171" s="101">
        <f t="shared" si="17"/>
        <v>-0.450000000000728</v>
      </c>
      <c r="U171" t="s">
        <v>42</v>
      </c>
    </row>
    <row r="172" hidden="1" spans="1:21">
      <c r="A172" s="103">
        <v>168</v>
      </c>
      <c r="B172" s="111" t="s">
        <v>1304</v>
      </c>
      <c r="C172" s="72">
        <v>92.07</v>
      </c>
      <c r="D172" s="73">
        <v>2460</v>
      </c>
      <c r="E172" s="73">
        <f t="shared" si="13"/>
        <v>226492</v>
      </c>
      <c r="F172" s="74" t="s">
        <v>1305</v>
      </c>
      <c r="G172" s="87">
        <v>226492</v>
      </c>
      <c r="H172" s="87">
        <f t="shared" si="14"/>
        <v>0</v>
      </c>
      <c r="I172" s="86"/>
      <c r="J172" s="86">
        <f>VLOOKUP(B172,'多浪一期账面房号及收款金额-分公司'!$A$2:$B$436,2,0)</f>
        <v>226492.35</v>
      </c>
      <c r="K172" s="87">
        <f t="shared" si="16"/>
        <v>-0.350000000005821</v>
      </c>
      <c r="L172" s="127"/>
      <c r="M172" s="127"/>
      <c r="P172" s="50">
        <v>215707</v>
      </c>
      <c r="R172" s="50">
        <v>10785</v>
      </c>
      <c r="S172" s="101">
        <f t="shared" si="15"/>
        <v>0</v>
      </c>
      <c r="T172" s="101">
        <f t="shared" si="17"/>
        <v>0.350000000000364</v>
      </c>
      <c r="U172" t="s">
        <v>42</v>
      </c>
    </row>
    <row r="173" hidden="1" spans="1:21">
      <c r="A173" s="103">
        <v>169</v>
      </c>
      <c r="B173" s="111" t="s">
        <v>1306</v>
      </c>
      <c r="C173" s="72">
        <v>88.35</v>
      </c>
      <c r="D173" s="73">
        <v>2460</v>
      </c>
      <c r="E173" s="73">
        <f t="shared" si="13"/>
        <v>217341</v>
      </c>
      <c r="F173" s="74" t="s">
        <v>1307</v>
      </c>
      <c r="G173" s="87">
        <v>217341</v>
      </c>
      <c r="H173" s="87">
        <f t="shared" si="14"/>
        <v>0</v>
      </c>
      <c r="I173" s="86"/>
      <c r="J173" s="86">
        <f>VLOOKUP(B173,'多浪一期账面房号及收款金额-分公司'!$A$2:$B$436,2,0)</f>
        <v>217340.55</v>
      </c>
      <c r="K173" s="87">
        <f t="shared" si="16"/>
        <v>0.450000000011642</v>
      </c>
      <c r="L173" s="127"/>
      <c r="M173" s="127"/>
      <c r="P173" s="50">
        <v>206991</v>
      </c>
      <c r="R173" s="50">
        <v>10350</v>
      </c>
      <c r="S173" s="101">
        <f t="shared" si="15"/>
        <v>0</v>
      </c>
      <c r="T173" s="101">
        <f t="shared" si="17"/>
        <v>-0.450000000000728</v>
      </c>
      <c r="U173" t="s">
        <v>42</v>
      </c>
    </row>
    <row r="174" hidden="1" spans="1:21">
      <c r="A174" s="103">
        <v>170</v>
      </c>
      <c r="B174" s="111" t="s">
        <v>1308</v>
      </c>
      <c r="C174" s="72">
        <v>94.36</v>
      </c>
      <c r="D174" s="73">
        <v>2500</v>
      </c>
      <c r="E174" s="73">
        <f t="shared" si="13"/>
        <v>235900</v>
      </c>
      <c r="F174" s="74" t="s">
        <v>1309</v>
      </c>
      <c r="G174" s="87">
        <v>235900</v>
      </c>
      <c r="H174" s="87">
        <f t="shared" si="14"/>
        <v>0</v>
      </c>
      <c r="I174" s="86"/>
      <c r="J174" s="86">
        <f>VLOOKUP(B174,'多浪一期账面房号及收款金额-分公司'!$A$2:$B$436,2,0)</f>
        <v>235900.35</v>
      </c>
      <c r="K174" s="87">
        <f t="shared" si="16"/>
        <v>-0.350000000005821</v>
      </c>
      <c r="L174" s="127"/>
      <c r="M174" s="127"/>
      <c r="P174" s="50">
        <v>224667</v>
      </c>
      <c r="R174" s="50">
        <v>11233</v>
      </c>
      <c r="S174" s="101">
        <f t="shared" si="15"/>
        <v>0</v>
      </c>
      <c r="T174" s="101">
        <f t="shared" si="17"/>
        <v>0.350000000000364</v>
      </c>
      <c r="U174" t="s">
        <v>42</v>
      </c>
    </row>
    <row r="175" hidden="1" spans="1:20">
      <c r="A175" s="103">
        <v>171</v>
      </c>
      <c r="B175" s="111" t="s">
        <v>1310</v>
      </c>
      <c r="C175" s="72">
        <v>88.35</v>
      </c>
      <c r="D175" s="73">
        <v>2190</v>
      </c>
      <c r="E175" s="73">
        <f t="shared" si="13"/>
        <v>193487</v>
      </c>
      <c r="F175" s="74" t="s">
        <v>1311</v>
      </c>
      <c r="G175" s="87">
        <v>193487</v>
      </c>
      <c r="H175" s="87">
        <f t="shared" si="14"/>
        <v>0</v>
      </c>
      <c r="I175" s="86"/>
      <c r="J175" s="86">
        <v>193487</v>
      </c>
      <c r="K175" s="87">
        <f t="shared" si="16"/>
        <v>0</v>
      </c>
      <c r="L175" s="127"/>
      <c r="M175" s="127"/>
      <c r="O175" s="100">
        <f>-193487+193333</f>
        <v>-154</v>
      </c>
      <c r="P175" s="50">
        <v>184273</v>
      </c>
      <c r="Q175" s="50">
        <f>184126.67-184273.33</f>
        <v>-146.659999999974</v>
      </c>
      <c r="R175" s="50">
        <f>9206.33-9213.67+9214</f>
        <v>9206.66</v>
      </c>
      <c r="S175" s="101">
        <f>E175/1.05-P175-Q175</f>
        <v>146.993333333288</v>
      </c>
      <c r="T175" s="101">
        <f>E175/1.05*0.05-R175</f>
        <v>7.00666666666621</v>
      </c>
    </row>
    <row r="176" s="99" customFormat="1" spans="1:21">
      <c r="A176" s="112">
        <v>172</v>
      </c>
      <c r="B176" s="136" t="s">
        <v>1312</v>
      </c>
      <c r="C176" s="114">
        <v>94.36</v>
      </c>
      <c r="D176" s="115">
        <v>2190</v>
      </c>
      <c r="E176" s="115">
        <f t="shared" si="13"/>
        <v>206648</v>
      </c>
      <c r="F176" s="145" t="s">
        <v>1313</v>
      </c>
      <c r="G176" s="95">
        <v>206648</v>
      </c>
      <c r="H176" s="95">
        <f t="shared" si="14"/>
        <v>0</v>
      </c>
      <c r="I176" s="129"/>
      <c r="J176" s="129">
        <f>VLOOKUP(B176,'多浪一期账面房号及收款金额-分公司'!$A$2:$B$436,2,0)</f>
        <v>206785.95</v>
      </c>
      <c r="K176" s="95">
        <f t="shared" si="16"/>
        <v>-137.950000000012</v>
      </c>
      <c r="L176" s="130"/>
      <c r="M176" s="130"/>
      <c r="N176" s="99">
        <f>VLOOKUP(B176,[4]Sheet1!$D$5:$N$69,11,0)</f>
        <v>131</v>
      </c>
      <c r="O176" s="99">
        <v>-131</v>
      </c>
      <c r="P176" s="131">
        <v>196808</v>
      </c>
      <c r="Q176" s="131">
        <v>-124.76</v>
      </c>
      <c r="R176" s="131">
        <f>-6.24+9840</f>
        <v>9833.76</v>
      </c>
      <c r="S176" s="131">
        <f>E176/1.05-P176-Q176</f>
        <v>124.379047619053</v>
      </c>
      <c r="T176" s="131">
        <f>E176/1.05*0.05-R176</f>
        <v>6.6209523809539</v>
      </c>
      <c r="U176" s="21" t="s">
        <v>1279</v>
      </c>
    </row>
    <row r="177" hidden="1" spans="1:21">
      <c r="A177" s="103">
        <v>173</v>
      </c>
      <c r="B177" s="111" t="s">
        <v>1314</v>
      </c>
      <c r="C177" s="72">
        <v>88.35</v>
      </c>
      <c r="D177" s="73">
        <v>1886</v>
      </c>
      <c r="E177" s="73">
        <f t="shared" si="13"/>
        <v>166628</v>
      </c>
      <c r="F177" s="74" t="s">
        <v>1315</v>
      </c>
      <c r="G177" s="87">
        <v>166628</v>
      </c>
      <c r="H177" s="87">
        <f t="shared" si="14"/>
        <v>0</v>
      </c>
      <c r="I177" s="86"/>
      <c r="J177" s="86">
        <f>VLOOKUP(B177,'多浪一期账面房号及收款金额-分公司'!$A$2:$B$436,2,0)</f>
        <v>166627.65</v>
      </c>
      <c r="K177" s="87">
        <f t="shared" si="16"/>
        <v>0.350000000005821</v>
      </c>
      <c r="L177" s="127"/>
      <c r="M177" s="127"/>
      <c r="P177" s="50">
        <v>158693</v>
      </c>
      <c r="R177" s="50">
        <v>7935</v>
      </c>
      <c r="S177" s="101">
        <f t="shared" si="15"/>
        <v>0</v>
      </c>
      <c r="T177" s="101">
        <f t="shared" si="17"/>
        <v>-0.349999999999454</v>
      </c>
      <c r="U177" t="s">
        <v>42</v>
      </c>
    </row>
    <row r="178" hidden="1" spans="1:21">
      <c r="A178" s="103">
        <v>174</v>
      </c>
      <c r="B178" s="111" t="s">
        <v>1316</v>
      </c>
      <c r="C178" s="72">
        <v>94.36</v>
      </c>
      <c r="D178" s="73">
        <v>1886</v>
      </c>
      <c r="E178" s="73">
        <f t="shared" si="13"/>
        <v>177963</v>
      </c>
      <c r="F178" s="74" t="s">
        <v>1317</v>
      </c>
      <c r="G178" s="87">
        <v>177963</v>
      </c>
      <c r="H178" s="87">
        <f t="shared" si="14"/>
        <v>0</v>
      </c>
      <c r="I178" s="86"/>
      <c r="J178" s="86">
        <f>VLOOKUP(B178,'多浪一期账面房号及收款金额-分公司'!$A$2:$B$436,2,0)</f>
        <v>177964.5</v>
      </c>
      <c r="K178" s="87">
        <f t="shared" si="16"/>
        <v>-1.5</v>
      </c>
      <c r="L178" s="127"/>
      <c r="M178" s="127"/>
      <c r="O178" s="100">
        <v>177963</v>
      </c>
      <c r="P178" s="50">
        <v>169490</v>
      </c>
      <c r="R178" s="50">
        <v>8474.5</v>
      </c>
      <c r="S178" s="101">
        <f t="shared" si="15"/>
        <v>0</v>
      </c>
      <c r="T178" s="101">
        <f t="shared" si="17"/>
        <v>0</v>
      </c>
      <c r="U178" t="s">
        <v>42</v>
      </c>
    </row>
    <row r="179" s="99" customFormat="1" ht="12" customHeight="1" spans="1:21">
      <c r="A179" s="112">
        <v>175</v>
      </c>
      <c r="B179" s="136" t="s">
        <v>1318</v>
      </c>
      <c r="C179" s="114">
        <v>42.2</v>
      </c>
      <c r="D179" s="115">
        <v>5800</v>
      </c>
      <c r="E179" s="115">
        <f t="shared" si="13"/>
        <v>244760</v>
      </c>
      <c r="F179" s="146" t="s">
        <v>1319</v>
      </c>
      <c r="G179" s="95">
        <f>124760+33000</f>
        <v>157760</v>
      </c>
      <c r="H179" s="95">
        <f t="shared" si="14"/>
        <v>87000</v>
      </c>
      <c r="I179" s="129"/>
      <c r="J179" s="149">
        <f>'多浪一期账面房号及收款金额-分公司'!B238+阿克苏分公司预收账款!J1940+阿克苏分公司预收账款!J1941</f>
        <v>439640</v>
      </c>
      <c r="K179" s="149">
        <f>G179+G180+G181-J179</f>
        <v>0</v>
      </c>
      <c r="L179" s="130"/>
      <c r="M179" s="130"/>
      <c r="N179" s="150">
        <f>[4]Sheet1!$N$15</f>
        <v>439640</v>
      </c>
      <c r="P179" s="131"/>
      <c r="Q179" s="131"/>
      <c r="R179" s="131"/>
      <c r="S179" s="131">
        <f>E179/1.05-P179-Q179</f>
        <v>233104.761904762</v>
      </c>
      <c r="T179" s="131">
        <f>S179*0.05</f>
        <v>11655.2380952381</v>
      </c>
      <c r="U179" s="21" t="s">
        <v>564</v>
      </c>
    </row>
    <row r="180" s="99" customFormat="1" spans="1:21">
      <c r="A180" s="112">
        <v>176</v>
      </c>
      <c r="B180" s="136" t="s">
        <v>1320</v>
      </c>
      <c r="C180" s="114">
        <v>38.05</v>
      </c>
      <c r="D180" s="115">
        <v>5800</v>
      </c>
      <c r="E180" s="115">
        <f t="shared" si="13"/>
        <v>220690</v>
      </c>
      <c r="F180" s="146" t="s">
        <v>1321</v>
      </c>
      <c r="G180" s="95">
        <f>110690+30250</f>
        <v>140940</v>
      </c>
      <c r="H180" s="95">
        <f t="shared" si="14"/>
        <v>79750</v>
      </c>
      <c r="I180" s="129"/>
      <c r="J180" s="151"/>
      <c r="K180" s="151"/>
      <c r="L180" s="130"/>
      <c r="M180" s="130"/>
      <c r="N180" s="150"/>
      <c r="P180" s="131"/>
      <c r="Q180" s="131"/>
      <c r="R180" s="131"/>
      <c r="S180" s="131">
        <f>E180/1.05-P180-Q180</f>
        <v>210180.952380952</v>
      </c>
      <c r="T180" s="131">
        <f>S180*0.05</f>
        <v>10509.0476190476</v>
      </c>
      <c r="U180" s="21" t="s">
        <v>564</v>
      </c>
    </row>
    <row r="181" s="99" customFormat="1" spans="1:21">
      <c r="A181" s="112">
        <v>177</v>
      </c>
      <c r="B181" s="136" t="s">
        <v>1322</v>
      </c>
      <c r="C181" s="114">
        <v>38.05</v>
      </c>
      <c r="D181" s="115">
        <v>5800</v>
      </c>
      <c r="E181" s="115">
        <f t="shared" si="13"/>
        <v>220690</v>
      </c>
      <c r="F181" s="146" t="s">
        <v>1321</v>
      </c>
      <c r="G181" s="95">
        <f>110690+30250</f>
        <v>140940</v>
      </c>
      <c r="H181" s="95">
        <f t="shared" si="14"/>
        <v>79750</v>
      </c>
      <c r="I181" s="129"/>
      <c r="J181" s="152"/>
      <c r="K181" s="152"/>
      <c r="L181" s="130"/>
      <c r="M181" s="130"/>
      <c r="N181" s="150"/>
      <c r="P181" s="131"/>
      <c r="Q181" s="131"/>
      <c r="R181" s="131"/>
      <c r="S181" s="131">
        <f>E181/1.05-P181-Q181</f>
        <v>210180.952380952</v>
      </c>
      <c r="T181" s="131">
        <f>S181*0.05</f>
        <v>10509.0476190476</v>
      </c>
      <c r="U181" s="21" t="s">
        <v>564</v>
      </c>
    </row>
    <row r="182" hidden="1" spans="1:21">
      <c r="A182" s="103">
        <v>178</v>
      </c>
      <c r="B182" s="111" t="s">
        <v>1323</v>
      </c>
      <c r="C182" s="72">
        <v>38.91</v>
      </c>
      <c r="D182" s="73">
        <v>5900</v>
      </c>
      <c r="E182" s="73">
        <f t="shared" si="13"/>
        <v>229569</v>
      </c>
      <c r="F182" s="74" t="s">
        <v>1324</v>
      </c>
      <c r="G182" s="87">
        <v>229569</v>
      </c>
      <c r="H182" s="87">
        <f t="shared" si="14"/>
        <v>0</v>
      </c>
      <c r="I182" s="86"/>
      <c r="J182" s="86">
        <f>'多浪一期账面房号及收款金额-分公司'!B239</f>
        <v>229568.85</v>
      </c>
      <c r="K182" s="87">
        <f t="shared" si="16"/>
        <v>0.149999999994179</v>
      </c>
      <c r="L182" s="127"/>
      <c r="M182" s="127"/>
      <c r="N182" s="100">
        <f>[4]Sheet1!$N$49</f>
        <v>-10932</v>
      </c>
      <c r="O182" s="100">
        <v>229569</v>
      </c>
      <c r="Q182" s="50">
        <f>229569/1.05</f>
        <v>218637.142857143</v>
      </c>
      <c r="R182" s="50">
        <f t="shared" ref="R182:R187" si="18">Q182*0.05</f>
        <v>10931.8571428572</v>
      </c>
      <c r="S182" s="101">
        <f t="shared" si="15"/>
        <v>-0.142857142986031</v>
      </c>
      <c r="T182" s="101">
        <f t="shared" si="17"/>
        <v>-0.00714285719914187</v>
      </c>
      <c r="U182" t="s">
        <v>42</v>
      </c>
    </row>
    <row r="183" hidden="1" spans="1:21">
      <c r="A183" s="103">
        <v>179</v>
      </c>
      <c r="B183" s="111" t="s">
        <v>1325</v>
      </c>
      <c r="C183" s="72">
        <v>38.91</v>
      </c>
      <c r="D183" s="73">
        <v>6000</v>
      </c>
      <c r="E183" s="73">
        <f t="shared" si="13"/>
        <v>233460</v>
      </c>
      <c r="F183" s="74" t="s">
        <v>1326</v>
      </c>
      <c r="G183" s="87">
        <v>233460</v>
      </c>
      <c r="H183" s="87">
        <f t="shared" si="14"/>
        <v>0</v>
      </c>
      <c r="I183" s="86"/>
      <c r="J183" s="86">
        <f>'多浪一期账面房号及收款金额-分公司'!B240</f>
        <v>233460.003</v>
      </c>
      <c r="K183" s="87">
        <f t="shared" si="16"/>
        <v>-0.0029999999969732</v>
      </c>
      <c r="L183" s="127"/>
      <c r="M183" s="127"/>
      <c r="O183" s="100">
        <f>142342.86+56190.48+23809.52</f>
        <v>222342.86</v>
      </c>
      <c r="Q183" s="50">
        <f>142342.86+56190.48+23809.52</f>
        <v>222342.86</v>
      </c>
      <c r="R183" s="50">
        <f t="shared" si="18"/>
        <v>11117.143</v>
      </c>
      <c r="S183" s="101">
        <f t="shared" si="15"/>
        <v>0</v>
      </c>
      <c r="T183" s="101">
        <f t="shared" si="17"/>
        <v>0</v>
      </c>
      <c r="U183" t="s">
        <v>42</v>
      </c>
    </row>
    <row r="184" hidden="1" spans="1:21">
      <c r="A184" s="103">
        <v>180</v>
      </c>
      <c r="B184" s="111" t="s">
        <v>1327</v>
      </c>
      <c r="C184" s="72">
        <v>38.05</v>
      </c>
      <c r="D184" s="73">
        <f>E184/C184</f>
        <v>6000</v>
      </c>
      <c r="E184" s="73">
        <v>228300</v>
      </c>
      <c r="F184" s="74" t="s">
        <v>1328</v>
      </c>
      <c r="G184" s="87">
        <v>228300</v>
      </c>
      <c r="H184" s="87">
        <f t="shared" si="14"/>
        <v>0</v>
      </c>
      <c r="I184" s="86"/>
      <c r="J184" s="86">
        <f>'多浪一期账面房号及收款金额-分公司'!B241</f>
        <v>228299.9985</v>
      </c>
      <c r="K184" s="87">
        <f t="shared" si="16"/>
        <v>0.00150000001303852</v>
      </c>
      <c r="L184" s="127"/>
      <c r="M184" s="127"/>
      <c r="O184" s="100">
        <f>133333.33+84095.24</f>
        <v>217428.57</v>
      </c>
      <c r="Q184" s="50">
        <f>133333.33+84095.24</f>
        <v>217428.57</v>
      </c>
      <c r="R184" s="50">
        <f t="shared" si="18"/>
        <v>10871.4285</v>
      </c>
      <c r="S184" s="101">
        <f t="shared" si="15"/>
        <v>0</v>
      </c>
      <c r="T184" s="101">
        <f t="shared" si="17"/>
        <v>0</v>
      </c>
      <c r="U184" t="s">
        <v>42</v>
      </c>
    </row>
    <row r="185" s="99" customFormat="1" spans="1:21">
      <c r="A185" s="112">
        <v>181</v>
      </c>
      <c r="B185" s="136" t="s">
        <v>1329</v>
      </c>
      <c r="C185" s="114">
        <v>38.05</v>
      </c>
      <c r="D185" s="115">
        <f>E185/C185</f>
        <v>6500</v>
      </c>
      <c r="E185" s="115">
        <v>247325</v>
      </c>
      <c r="F185" s="145" t="s">
        <v>1330</v>
      </c>
      <c r="G185" s="95">
        <v>247325</v>
      </c>
      <c r="H185" s="95">
        <f t="shared" si="14"/>
        <v>0</v>
      </c>
      <c r="I185" s="129"/>
      <c r="J185" s="129">
        <f>'多浪一期账面房号及收款金额-分公司'!B242</f>
        <v>247325.4</v>
      </c>
      <c r="K185" s="95">
        <f t="shared" si="16"/>
        <v>-0.399999999994179</v>
      </c>
      <c r="L185" s="130"/>
      <c r="M185" s="130"/>
      <c r="N185" s="99">
        <f>[4]Sheet1!$N$48</f>
        <v>235548</v>
      </c>
      <c r="P185" s="131"/>
      <c r="Q185" s="131"/>
      <c r="R185" s="131">
        <v>11777.4</v>
      </c>
      <c r="S185" s="131">
        <f t="shared" si="15"/>
        <v>235548</v>
      </c>
      <c r="T185" s="131">
        <f t="shared" si="17"/>
        <v>0</v>
      </c>
      <c r="U185" s="21" t="s">
        <v>564</v>
      </c>
    </row>
    <row r="186" hidden="1" spans="1:21">
      <c r="A186" s="103">
        <v>182</v>
      </c>
      <c r="B186" s="111" t="s">
        <v>1331</v>
      </c>
      <c r="C186" s="72">
        <v>38.91</v>
      </c>
      <c r="D186" s="147">
        <f t="shared" ref="D186:D191" si="19">E186/C186</f>
        <v>6682.08686712927</v>
      </c>
      <c r="E186" s="73">
        <v>260000</v>
      </c>
      <c r="F186" s="74" t="s">
        <v>1332</v>
      </c>
      <c r="G186" s="87">
        <v>260000</v>
      </c>
      <c r="H186" s="87">
        <f t="shared" si="14"/>
        <v>0</v>
      </c>
      <c r="I186" s="86"/>
      <c r="J186" s="86">
        <f>'多浪一期账面房号及收款金额-分公司'!B243</f>
        <v>259999.95</v>
      </c>
      <c r="K186" s="87">
        <f t="shared" si="16"/>
        <v>0.0499999999883585</v>
      </c>
      <c r="L186" s="127"/>
      <c r="M186" s="127"/>
      <c r="O186" s="100">
        <v>247619</v>
      </c>
      <c r="Q186" s="50">
        <v>247619</v>
      </c>
      <c r="R186" s="50">
        <f t="shared" si="18"/>
        <v>12380.95</v>
      </c>
      <c r="S186" s="101">
        <f t="shared" si="15"/>
        <v>0</v>
      </c>
      <c r="T186" s="101">
        <f t="shared" si="17"/>
        <v>0</v>
      </c>
      <c r="U186" t="s">
        <v>42</v>
      </c>
    </row>
    <row r="187" hidden="1" spans="1:21">
      <c r="A187" s="103">
        <v>183</v>
      </c>
      <c r="B187" s="111" t="s">
        <v>1333</v>
      </c>
      <c r="C187" s="72">
        <v>38.91</v>
      </c>
      <c r="D187" s="147">
        <f t="shared" si="19"/>
        <v>6090.97918272938</v>
      </c>
      <c r="E187" s="73">
        <v>237000</v>
      </c>
      <c r="F187" s="74" t="s">
        <v>1334</v>
      </c>
      <c r="G187" s="87">
        <v>237000</v>
      </c>
      <c r="H187" s="87">
        <f t="shared" si="14"/>
        <v>0</v>
      </c>
      <c r="I187" s="86"/>
      <c r="J187" s="86">
        <f>'多浪一期账面房号及收款金额-分公司'!B244</f>
        <v>237000.5505</v>
      </c>
      <c r="K187" s="87">
        <f t="shared" si="16"/>
        <v>-0.550500000012107</v>
      </c>
      <c r="L187" s="127"/>
      <c r="M187" s="127"/>
      <c r="O187" s="100">
        <f>225714.29+0.52</f>
        <v>225714.81</v>
      </c>
      <c r="Q187" s="50">
        <f>225714.29+0.52</f>
        <v>225714.81</v>
      </c>
      <c r="R187" s="50">
        <f t="shared" si="18"/>
        <v>11285.7405</v>
      </c>
      <c r="S187" s="101">
        <f t="shared" si="15"/>
        <v>0</v>
      </c>
      <c r="T187" s="101">
        <f t="shared" si="17"/>
        <v>0</v>
      </c>
      <c r="U187" t="s">
        <v>42</v>
      </c>
    </row>
    <row r="188" hidden="1" spans="1:21">
      <c r="A188" s="103">
        <v>184</v>
      </c>
      <c r="B188" s="111" t="s">
        <v>1335</v>
      </c>
      <c r="C188" s="72">
        <v>38.05</v>
      </c>
      <c r="D188" s="73">
        <f t="shared" si="19"/>
        <v>6100</v>
      </c>
      <c r="E188" s="73">
        <v>232105</v>
      </c>
      <c r="F188" s="74" t="s">
        <v>1336</v>
      </c>
      <c r="G188" s="87">
        <v>232105</v>
      </c>
      <c r="H188" s="87">
        <f t="shared" si="14"/>
        <v>0</v>
      </c>
      <c r="I188" s="86"/>
      <c r="J188" s="86">
        <f>'多浪一期账面房号及收款金额-分公司'!B245</f>
        <v>232104.6</v>
      </c>
      <c r="K188" s="87">
        <f t="shared" si="16"/>
        <v>0.399999999994179</v>
      </c>
      <c r="L188" s="127"/>
      <c r="M188" s="127"/>
      <c r="P188" s="50">
        <v>221052</v>
      </c>
      <c r="R188" s="50">
        <v>11053</v>
      </c>
      <c r="S188" s="101">
        <f t="shared" si="15"/>
        <v>0</v>
      </c>
      <c r="T188" s="101">
        <f t="shared" si="17"/>
        <v>-0.399999999999636</v>
      </c>
      <c r="U188" t="s">
        <v>42</v>
      </c>
    </row>
    <row r="189" hidden="1" spans="1:21">
      <c r="A189" s="103">
        <v>185</v>
      </c>
      <c r="B189" s="111" t="s">
        <v>1337</v>
      </c>
      <c r="C189" s="72">
        <v>38.05</v>
      </c>
      <c r="D189" s="73">
        <f t="shared" si="19"/>
        <v>6200</v>
      </c>
      <c r="E189" s="73">
        <v>235910</v>
      </c>
      <c r="F189" s="74" t="s">
        <v>1336</v>
      </c>
      <c r="G189" s="87">
        <v>235910</v>
      </c>
      <c r="H189" s="87">
        <f t="shared" si="14"/>
        <v>0</v>
      </c>
      <c r="I189" s="86"/>
      <c r="J189" s="86">
        <f>'多浪一期账面房号及收款金额-分公司'!B246</f>
        <v>235909.8</v>
      </c>
      <c r="K189" s="87">
        <f t="shared" si="16"/>
        <v>0.200000000011642</v>
      </c>
      <c r="L189" s="127"/>
      <c r="M189" s="127"/>
      <c r="P189" s="50">
        <v>224676</v>
      </c>
      <c r="R189" s="50">
        <v>11233.8</v>
      </c>
      <c r="S189" s="101">
        <f t="shared" si="15"/>
        <v>0</v>
      </c>
      <c r="T189" s="101">
        <f t="shared" si="17"/>
        <v>0</v>
      </c>
      <c r="U189" t="s">
        <v>42</v>
      </c>
    </row>
    <row r="190" hidden="1" spans="1:21">
      <c r="A190" s="103">
        <v>186</v>
      </c>
      <c r="B190" s="111" t="s">
        <v>1338</v>
      </c>
      <c r="C190" s="72">
        <v>42.5</v>
      </c>
      <c r="D190" s="73">
        <f t="shared" si="19"/>
        <v>6400</v>
      </c>
      <c r="E190" s="73">
        <v>272000</v>
      </c>
      <c r="F190" s="74" t="s">
        <v>1324</v>
      </c>
      <c r="G190" s="87">
        <v>272000</v>
      </c>
      <c r="H190" s="87">
        <f t="shared" si="14"/>
        <v>0</v>
      </c>
      <c r="I190" s="86"/>
      <c r="J190" s="86">
        <f>'多浪一期账面房号及收款金额-分公司'!B247</f>
        <v>272000.4</v>
      </c>
      <c r="K190" s="87">
        <f t="shared" si="16"/>
        <v>-0.400000000023283</v>
      </c>
      <c r="L190" s="127"/>
      <c r="M190" s="127"/>
      <c r="N190" s="100">
        <f>[4]Sheet1!$N$25</f>
        <v>-12952</v>
      </c>
      <c r="O190" s="100">
        <v>272000</v>
      </c>
      <c r="Q190" s="50">
        <f>272000/1.05</f>
        <v>259047.619047619</v>
      </c>
      <c r="R190" s="50">
        <f>Q190*0.05</f>
        <v>12952.380952381</v>
      </c>
      <c r="S190" s="101">
        <f t="shared" si="15"/>
        <v>0.380952381005045</v>
      </c>
      <c r="T190" s="101">
        <f t="shared" si="17"/>
        <v>0.0190476190018671</v>
      </c>
      <c r="U190" t="s">
        <v>42</v>
      </c>
    </row>
    <row r="191" hidden="1" spans="1:21">
      <c r="A191" s="103">
        <v>187</v>
      </c>
      <c r="B191" s="111" t="s">
        <v>1339</v>
      </c>
      <c r="C191" s="72">
        <v>40.41</v>
      </c>
      <c r="D191" s="73">
        <f t="shared" si="19"/>
        <v>6500</v>
      </c>
      <c r="E191" s="73">
        <v>262665</v>
      </c>
      <c r="F191" s="74" t="s">
        <v>1340</v>
      </c>
      <c r="G191" s="87">
        <v>262665</v>
      </c>
      <c r="H191" s="87">
        <f t="shared" si="14"/>
        <v>0</v>
      </c>
      <c r="I191" s="86"/>
      <c r="J191" s="86">
        <f>'多浪一期账面房号及收款金额-分公司'!B248</f>
        <v>262665.9</v>
      </c>
      <c r="K191" s="87">
        <f t="shared" si="16"/>
        <v>-0.900000000023283</v>
      </c>
      <c r="L191" s="127"/>
      <c r="M191" s="127"/>
      <c r="P191" s="50">
        <v>250158</v>
      </c>
      <c r="R191" s="50">
        <v>12507.8</v>
      </c>
      <c r="S191" s="101">
        <f t="shared" si="15"/>
        <v>0</v>
      </c>
      <c r="T191" s="101">
        <f t="shared" si="17"/>
        <v>0.100000000002183</v>
      </c>
      <c r="U191" t="s">
        <v>42</v>
      </c>
    </row>
    <row r="192" hidden="1" spans="1:21">
      <c r="A192" s="103">
        <v>188</v>
      </c>
      <c r="B192" s="111" t="s">
        <v>1341</v>
      </c>
      <c r="C192" s="72">
        <v>92.13</v>
      </c>
      <c r="D192" s="73">
        <v>2460</v>
      </c>
      <c r="E192" s="73">
        <f t="shared" si="13"/>
        <v>226640</v>
      </c>
      <c r="F192" s="74" t="s">
        <v>1342</v>
      </c>
      <c r="G192" s="87">
        <v>226640</v>
      </c>
      <c r="H192" s="87">
        <f t="shared" si="14"/>
        <v>0</v>
      </c>
      <c r="I192" s="86"/>
      <c r="J192" s="86">
        <f>VLOOKUP(B192,'多浪一期账面房号及收款金额-分公司'!$A$2:$B$436,2,0)</f>
        <v>226640.4</v>
      </c>
      <c r="K192" s="87">
        <f t="shared" si="16"/>
        <v>-0.399999999994179</v>
      </c>
      <c r="L192" s="127"/>
      <c r="M192" s="127"/>
      <c r="P192" s="50">
        <v>215848</v>
      </c>
      <c r="R192" s="50">
        <v>10792</v>
      </c>
      <c r="S192" s="101">
        <f t="shared" si="15"/>
        <v>0</v>
      </c>
      <c r="T192" s="101">
        <f t="shared" si="17"/>
        <v>0.399999999999636</v>
      </c>
      <c r="U192" t="s">
        <v>42</v>
      </c>
    </row>
    <row r="193" hidden="1" spans="1:21">
      <c r="A193" s="103">
        <v>189</v>
      </c>
      <c r="B193" s="111" t="s">
        <v>1343</v>
      </c>
      <c r="C193" s="72">
        <v>88.4</v>
      </c>
      <c r="D193" s="73">
        <v>2460</v>
      </c>
      <c r="E193" s="73">
        <f t="shared" si="13"/>
        <v>217464</v>
      </c>
      <c r="F193" s="74" t="s">
        <v>1344</v>
      </c>
      <c r="G193" s="87">
        <v>217464</v>
      </c>
      <c r="H193" s="87">
        <f t="shared" si="14"/>
        <v>0</v>
      </c>
      <c r="I193" s="86"/>
      <c r="J193" s="86">
        <f>VLOOKUP(B193,'多浪一期账面房号及收款金额-分公司'!$A$2:$B$436,2,0)</f>
        <v>217464.45</v>
      </c>
      <c r="K193" s="87">
        <f t="shared" si="16"/>
        <v>-0.450000000011642</v>
      </c>
      <c r="L193" s="127"/>
      <c r="M193" s="127"/>
      <c r="P193" s="50">
        <v>207109</v>
      </c>
      <c r="R193" s="50">
        <v>10355</v>
      </c>
      <c r="S193" s="101">
        <f t="shared" si="15"/>
        <v>0</v>
      </c>
      <c r="T193" s="101">
        <f t="shared" si="17"/>
        <v>0.450000000000728</v>
      </c>
      <c r="U193" t="s">
        <v>42</v>
      </c>
    </row>
    <row r="194" hidden="1" spans="1:21">
      <c r="A194" s="103">
        <v>190</v>
      </c>
      <c r="B194" s="111" t="s">
        <v>1345</v>
      </c>
      <c r="C194" s="72">
        <v>94.43</v>
      </c>
      <c r="D194" s="73">
        <v>2460</v>
      </c>
      <c r="E194" s="73">
        <f t="shared" si="13"/>
        <v>232298</v>
      </c>
      <c r="F194" s="74" t="s">
        <v>1346</v>
      </c>
      <c r="G194" s="87">
        <v>232298</v>
      </c>
      <c r="H194" s="87">
        <f t="shared" si="14"/>
        <v>0</v>
      </c>
      <c r="I194" s="86"/>
      <c r="J194" s="86">
        <f>VLOOKUP(B194,'多浪一期账面房号及收款金额-分公司'!$A$2:$B$436,2,0)</f>
        <v>232298.85</v>
      </c>
      <c r="K194" s="87">
        <f t="shared" si="16"/>
        <v>-0.850000000005821</v>
      </c>
      <c r="L194" s="127"/>
      <c r="M194" s="127"/>
      <c r="P194" s="50">
        <v>221237</v>
      </c>
      <c r="R194" s="50">
        <v>11061</v>
      </c>
      <c r="S194" s="101">
        <f t="shared" si="15"/>
        <v>0</v>
      </c>
      <c r="T194" s="101">
        <f t="shared" si="17"/>
        <v>0.850000000000364</v>
      </c>
      <c r="U194" t="s">
        <v>42</v>
      </c>
    </row>
    <row r="195" hidden="1" spans="1:21">
      <c r="A195" s="103">
        <v>191</v>
      </c>
      <c r="B195" s="111" t="s">
        <v>1347</v>
      </c>
      <c r="C195" s="72">
        <v>88.4</v>
      </c>
      <c r="D195" s="73">
        <v>2460</v>
      </c>
      <c r="E195" s="73">
        <f t="shared" si="13"/>
        <v>217464</v>
      </c>
      <c r="F195" s="74" t="s">
        <v>1348</v>
      </c>
      <c r="G195" s="87">
        <v>217464</v>
      </c>
      <c r="H195" s="87">
        <f t="shared" si="14"/>
        <v>0</v>
      </c>
      <c r="I195" s="86"/>
      <c r="J195" s="86">
        <f>VLOOKUP(B195,'多浪一期账面房号及收款金额-分公司'!$A$2:$B$436,2,0)</f>
        <v>217464.135</v>
      </c>
      <c r="K195" s="87">
        <f t="shared" si="16"/>
        <v>-0.135000000009313</v>
      </c>
      <c r="L195" s="127"/>
      <c r="M195" s="127"/>
      <c r="P195" s="50">
        <v>207108.7</v>
      </c>
      <c r="R195" s="50">
        <v>10355.3</v>
      </c>
      <c r="S195" s="101">
        <f t="shared" si="15"/>
        <v>0</v>
      </c>
      <c r="T195" s="101">
        <f t="shared" si="17"/>
        <v>0.135000000002037</v>
      </c>
      <c r="U195" t="s">
        <v>42</v>
      </c>
    </row>
    <row r="196" hidden="1" spans="1:21">
      <c r="A196" s="103">
        <v>192</v>
      </c>
      <c r="B196" s="111" t="s">
        <v>1349</v>
      </c>
      <c r="C196" s="72">
        <v>94.43</v>
      </c>
      <c r="D196" s="73">
        <v>2200</v>
      </c>
      <c r="E196" s="73">
        <f t="shared" si="13"/>
        <v>207746</v>
      </c>
      <c r="F196" s="74" t="s">
        <v>1350</v>
      </c>
      <c r="G196" s="87">
        <v>207746</v>
      </c>
      <c r="H196" s="87">
        <f t="shared" si="14"/>
        <v>0</v>
      </c>
      <c r="I196" s="86"/>
      <c r="J196" s="86">
        <f>VLOOKUP(B196,'多浪一期账面房号及收款金额-分公司'!$A$2:$B$436,2,0)</f>
        <v>207745.65</v>
      </c>
      <c r="K196" s="87">
        <f t="shared" si="16"/>
        <v>0.350000000005821</v>
      </c>
      <c r="L196" s="127"/>
      <c r="M196" s="127"/>
      <c r="P196" s="50">
        <v>197853</v>
      </c>
      <c r="R196" s="50">
        <v>9893</v>
      </c>
      <c r="S196" s="101">
        <f t="shared" si="15"/>
        <v>0</v>
      </c>
      <c r="T196" s="101">
        <f t="shared" si="17"/>
        <v>-0.349999999998545</v>
      </c>
      <c r="U196" t="s">
        <v>42</v>
      </c>
    </row>
    <row r="197" hidden="1" spans="1:21">
      <c r="A197" s="103">
        <v>193</v>
      </c>
      <c r="B197" s="111" t="s">
        <v>1351</v>
      </c>
      <c r="C197" s="72">
        <v>88.4</v>
      </c>
      <c r="D197" s="73">
        <v>2186</v>
      </c>
      <c r="E197" s="73">
        <f t="shared" ref="E197:E260" si="20">ROUND(IF(F197&lt;&gt;0,C197*D197,0),0)</f>
        <v>193242</v>
      </c>
      <c r="F197" s="74" t="s">
        <v>1352</v>
      </c>
      <c r="G197" s="87">
        <v>193242</v>
      </c>
      <c r="H197" s="87">
        <f t="shared" ref="H197:H249" si="21">E197-G197</f>
        <v>0</v>
      </c>
      <c r="I197" s="86"/>
      <c r="J197" s="86">
        <f>VLOOKUP(B197,'多浪一期账面房号及收款金额-分公司'!$A$2:$B$436,2,0)</f>
        <v>193243.05</v>
      </c>
      <c r="K197" s="87">
        <f t="shared" si="16"/>
        <v>-1.04999999998836</v>
      </c>
      <c r="L197" s="127"/>
      <c r="M197" s="127"/>
      <c r="P197" s="50">
        <v>184041</v>
      </c>
      <c r="R197" s="50">
        <v>9201</v>
      </c>
      <c r="S197" s="101">
        <f t="shared" ref="S197:S260" si="22">J197/1.05-P197-Q197</f>
        <v>0</v>
      </c>
      <c r="T197" s="101">
        <f t="shared" si="17"/>
        <v>1.04999999999927</v>
      </c>
      <c r="U197" t="s">
        <v>42</v>
      </c>
    </row>
    <row r="198" hidden="1" spans="1:21">
      <c r="A198" s="103">
        <v>194</v>
      </c>
      <c r="B198" s="111" t="s">
        <v>1353</v>
      </c>
      <c r="C198" s="72">
        <v>94.43</v>
      </c>
      <c r="D198" s="73">
        <v>1950</v>
      </c>
      <c r="E198" s="73">
        <f t="shared" si="20"/>
        <v>184139</v>
      </c>
      <c r="F198" s="74" t="s">
        <v>1354</v>
      </c>
      <c r="G198" s="87">
        <v>184139</v>
      </c>
      <c r="H198" s="87">
        <f t="shared" si="21"/>
        <v>0</v>
      </c>
      <c r="I198" s="86"/>
      <c r="J198" s="86">
        <f>VLOOKUP(B198,'多浪一期账面房号及收款金额-分公司'!$A$2:$B$436,2,0)</f>
        <v>184139.55</v>
      </c>
      <c r="K198" s="87">
        <f t="shared" ref="K198:K261" si="23">G198-I198-J198</f>
        <v>-0.549999999988358</v>
      </c>
      <c r="L198" s="127"/>
      <c r="M198" s="127"/>
      <c r="P198" s="50">
        <v>175371</v>
      </c>
      <c r="R198" s="50">
        <v>8768</v>
      </c>
      <c r="S198" s="101">
        <f t="shared" si="22"/>
        <v>0</v>
      </c>
      <c r="T198" s="101">
        <f t="shared" si="17"/>
        <v>0.549999999999272</v>
      </c>
      <c r="U198" t="s">
        <v>42</v>
      </c>
    </row>
    <row r="199" hidden="1" spans="1:21">
      <c r="A199" s="103">
        <v>195</v>
      </c>
      <c r="B199" s="111" t="s">
        <v>1355</v>
      </c>
      <c r="C199" s="72">
        <v>88.4</v>
      </c>
      <c r="D199" s="73">
        <v>1950</v>
      </c>
      <c r="E199" s="73">
        <f t="shared" si="20"/>
        <v>172380</v>
      </c>
      <c r="F199" s="74" t="s">
        <v>1356</v>
      </c>
      <c r="G199" s="87">
        <v>172380</v>
      </c>
      <c r="H199" s="87">
        <f t="shared" si="21"/>
        <v>0</v>
      </c>
      <c r="I199" s="86"/>
      <c r="J199" s="86">
        <f>VLOOKUP(B199,'多浪一期账面房号及收款金额-分公司'!$A$2:$B$436,2,0)</f>
        <v>172379.697</v>
      </c>
      <c r="K199" s="87">
        <f t="shared" si="23"/>
        <v>0.303000000014435</v>
      </c>
      <c r="L199" s="127"/>
      <c r="M199" s="127"/>
      <c r="P199" s="50">
        <v>164171.14</v>
      </c>
      <c r="R199" s="50">
        <v>8208.86</v>
      </c>
      <c r="S199" s="101">
        <f t="shared" si="22"/>
        <v>0</v>
      </c>
      <c r="T199" s="101">
        <f t="shared" si="17"/>
        <v>-0.303000000001703</v>
      </c>
      <c r="U199" t="s">
        <v>42</v>
      </c>
    </row>
    <row r="200" hidden="1" spans="1:21">
      <c r="A200" s="103">
        <v>196</v>
      </c>
      <c r="B200" s="111" t="s">
        <v>1357</v>
      </c>
      <c r="C200" s="72">
        <v>94.43</v>
      </c>
      <c r="D200" s="73">
        <v>1550</v>
      </c>
      <c r="E200" s="73">
        <f t="shared" si="20"/>
        <v>146367</v>
      </c>
      <c r="F200" s="74" t="s">
        <v>1358</v>
      </c>
      <c r="G200" s="87">
        <v>151367</v>
      </c>
      <c r="H200" s="87">
        <f t="shared" si="21"/>
        <v>-5000</v>
      </c>
      <c r="I200" s="86"/>
      <c r="J200" s="86">
        <f>VLOOKUP(B200,'多浪一期账面房号及收款金额-分公司'!$A$2:$B$436,2,0)</f>
        <v>151366.95</v>
      </c>
      <c r="K200" s="87">
        <f t="shared" si="23"/>
        <v>0.0499999999883585</v>
      </c>
      <c r="L200" s="127"/>
      <c r="M200" s="127"/>
      <c r="P200" s="50">
        <v>144159</v>
      </c>
      <c r="R200" s="50">
        <v>7208</v>
      </c>
      <c r="S200" s="101">
        <f t="shared" si="22"/>
        <v>0</v>
      </c>
      <c r="T200" s="101">
        <f t="shared" ref="T200:T263" si="24">J200/1.05*0.05-R200</f>
        <v>-0.0499999999992724</v>
      </c>
      <c r="U200" t="s">
        <v>42</v>
      </c>
    </row>
    <row r="201" hidden="1" spans="1:21">
      <c r="A201" s="103">
        <v>197</v>
      </c>
      <c r="B201" s="111" t="s">
        <v>1359</v>
      </c>
      <c r="C201" s="72">
        <v>88.4</v>
      </c>
      <c r="D201" s="73">
        <v>1550</v>
      </c>
      <c r="E201" s="73">
        <f t="shared" si="20"/>
        <v>137020</v>
      </c>
      <c r="F201" s="74" t="s">
        <v>1360</v>
      </c>
      <c r="G201" s="87">
        <v>137020</v>
      </c>
      <c r="H201" s="87">
        <f t="shared" si="21"/>
        <v>0</v>
      </c>
      <c r="I201" s="86"/>
      <c r="J201" s="86">
        <f>VLOOKUP(B201,'多浪一期账面房号及收款金额-分公司'!$A$2:$B$436,2,0)</f>
        <v>137019.75</v>
      </c>
      <c r="K201" s="87">
        <f t="shared" si="23"/>
        <v>0.25</v>
      </c>
      <c r="L201" s="127"/>
      <c r="M201" s="127"/>
      <c r="P201" s="50">
        <v>130495</v>
      </c>
      <c r="R201" s="50">
        <v>6525</v>
      </c>
      <c r="S201" s="101">
        <f t="shared" si="22"/>
        <v>0</v>
      </c>
      <c r="T201" s="101">
        <f t="shared" si="24"/>
        <v>-0.25</v>
      </c>
      <c r="U201" t="s">
        <v>42</v>
      </c>
    </row>
    <row r="202" hidden="1" spans="1:21">
      <c r="A202" s="103">
        <v>198</v>
      </c>
      <c r="B202" s="111" t="s">
        <v>1361</v>
      </c>
      <c r="C202" s="72">
        <v>88.4</v>
      </c>
      <c r="D202" s="73">
        <v>2460</v>
      </c>
      <c r="E202" s="73">
        <f t="shared" si="20"/>
        <v>217464</v>
      </c>
      <c r="F202" s="74" t="s">
        <v>1362</v>
      </c>
      <c r="G202" s="87">
        <v>217464</v>
      </c>
      <c r="H202" s="87">
        <f t="shared" si="21"/>
        <v>0</v>
      </c>
      <c r="I202" s="86"/>
      <c r="J202" s="86">
        <f>VLOOKUP(B202,'多浪一期账面房号及收款金额-分公司'!$A$2:$B$436,2,0)</f>
        <v>217464.45</v>
      </c>
      <c r="K202" s="87">
        <f t="shared" si="23"/>
        <v>-0.450000000011642</v>
      </c>
      <c r="L202" s="127"/>
      <c r="M202" s="127"/>
      <c r="P202" s="50">
        <v>207109</v>
      </c>
      <c r="R202" s="50">
        <v>10355</v>
      </c>
      <c r="S202" s="101">
        <f t="shared" si="22"/>
        <v>0</v>
      </c>
      <c r="T202" s="101">
        <f t="shared" si="24"/>
        <v>0.450000000000728</v>
      </c>
      <c r="U202" t="s">
        <v>42</v>
      </c>
    </row>
    <row r="203" hidden="1" spans="1:21">
      <c r="A203" s="103">
        <v>199</v>
      </c>
      <c r="B203" s="111" t="s">
        <v>1363</v>
      </c>
      <c r="C203" s="72">
        <v>88.4</v>
      </c>
      <c r="D203" s="73">
        <v>2460</v>
      </c>
      <c r="E203" s="73">
        <f t="shared" si="20"/>
        <v>217464</v>
      </c>
      <c r="F203" s="74" t="s">
        <v>1364</v>
      </c>
      <c r="G203" s="87">
        <v>217464</v>
      </c>
      <c r="H203" s="87">
        <f t="shared" si="21"/>
        <v>0</v>
      </c>
      <c r="I203" s="86"/>
      <c r="J203" s="86">
        <f>VLOOKUP(B203,'多浪一期账面房号及收款金额-分公司'!$A$2:$B$436,2,0)</f>
        <v>217464.45</v>
      </c>
      <c r="K203" s="87">
        <f t="shared" si="23"/>
        <v>-0.450000000011642</v>
      </c>
      <c r="L203" s="127"/>
      <c r="M203" s="127"/>
      <c r="P203" s="50">
        <v>207109</v>
      </c>
      <c r="R203" s="50">
        <v>10355</v>
      </c>
      <c r="S203" s="101">
        <f t="shared" si="22"/>
        <v>0</v>
      </c>
      <c r="T203" s="101">
        <f t="shared" si="24"/>
        <v>0.450000000000728</v>
      </c>
      <c r="U203" t="s">
        <v>42</v>
      </c>
    </row>
    <row r="204" hidden="1" spans="1:21">
      <c r="A204" s="103">
        <v>200</v>
      </c>
      <c r="B204" s="111" t="s">
        <v>1365</v>
      </c>
      <c r="C204" s="72">
        <v>88.4</v>
      </c>
      <c r="D204" s="73">
        <v>2500</v>
      </c>
      <c r="E204" s="73">
        <f t="shared" si="20"/>
        <v>221000</v>
      </c>
      <c r="F204" s="74" t="s">
        <v>1366</v>
      </c>
      <c r="G204" s="87">
        <v>221000</v>
      </c>
      <c r="H204" s="87">
        <f t="shared" si="21"/>
        <v>0</v>
      </c>
      <c r="I204" s="86"/>
      <c r="J204" s="86">
        <f>VLOOKUP(B204,'多浪一期账面房号及收款金额-分公司'!$A$2:$B$436,2,0)</f>
        <v>221000.85</v>
      </c>
      <c r="K204" s="87">
        <f t="shared" si="23"/>
        <v>-0.850000000005821</v>
      </c>
      <c r="L204" s="127"/>
      <c r="M204" s="127"/>
      <c r="P204" s="50">
        <v>210477</v>
      </c>
      <c r="R204" s="50">
        <v>10523</v>
      </c>
      <c r="S204" s="101">
        <f t="shared" si="22"/>
        <v>0</v>
      </c>
      <c r="T204" s="101">
        <f t="shared" si="24"/>
        <v>0.850000000000364</v>
      </c>
      <c r="U204" t="s">
        <v>42</v>
      </c>
    </row>
    <row r="205" hidden="1" spans="1:20">
      <c r="A205" s="103">
        <v>201</v>
      </c>
      <c r="B205" s="111" t="s">
        <v>1367</v>
      </c>
      <c r="C205" s="72">
        <v>88.4</v>
      </c>
      <c r="D205" s="73">
        <v>2492</v>
      </c>
      <c r="E205" s="73">
        <f t="shared" si="20"/>
        <v>220293</v>
      </c>
      <c r="F205" s="74" t="s">
        <v>1368</v>
      </c>
      <c r="G205" s="87">
        <v>220293</v>
      </c>
      <c r="H205" s="87">
        <f t="shared" si="21"/>
        <v>0</v>
      </c>
      <c r="I205" s="86"/>
      <c r="J205" s="86">
        <f>VLOOKUP(B205,'多浪一期账面房号及收款金额-分公司'!$A$2:$B$436,2,0)</f>
        <v>220292.9925</v>
      </c>
      <c r="K205" s="87">
        <f t="shared" si="23"/>
        <v>0.00750000000698492</v>
      </c>
      <c r="L205" s="127"/>
      <c r="M205" s="127"/>
      <c r="N205" s="100">
        <f>VLOOKUP(B205,[4]Sheet1!$D$5:$N$69,11,0)</f>
        <v>-19048</v>
      </c>
      <c r="O205" s="100">
        <f>95517.14+114285.71</f>
        <v>209802.85</v>
      </c>
      <c r="P205" s="50">
        <v>19048</v>
      </c>
      <c r="Q205" s="50">
        <f>95517.14+114285.71</f>
        <v>209802.85</v>
      </c>
      <c r="R205" s="50">
        <f>Q205*0.05+952</f>
        <v>11442.1425</v>
      </c>
      <c r="S205" s="101">
        <f t="shared" si="22"/>
        <v>-19048</v>
      </c>
      <c r="T205" s="101">
        <f t="shared" si="24"/>
        <v>-952</v>
      </c>
    </row>
    <row r="206" hidden="1" spans="1:21">
      <c r="A206" s="103">
        <v>202</v>
      </c>
      <c r="B206" s="111" t="s">
        <v>1369</v>
      </c>
      <c r="C206" s="72">
        <v>88.4</v>
      </c>
      <c r="D206" s="73">
        <v>2250</v>
      </c>
      <c r="E206" s="73">
        <f t="shared" si="20"/>
        <v>198900</v>
      </c>
      <c r="F206" s="74" t="s">
        <v>1370</v>
      </c>
      <c r="G206" s="87">
        <v>198900</v>
      </c>
      <c r="H206" s="87">
        <f t="shared" si="21"/>
        <v>0</v>
      </c>
      <c r="I206" s="86"/>
      <c r="J206" s="86">
        <f>VLOOKUP(B206,'多浪一期账面房号及收款金额-分公司'!$A$2:$B$436,2,0)</f>
        <v>198900.45</v>
      </c>
      <c r="K206" s="87">
        <f t="shared" si="23"/>
        <v>-0.450000000011642</v>
      </c>
      <c r="L206" s="127"/>
      <c r="M206" s="127"/>
      <c r="P206" s="50">
        <v>189429</v>
      </c>
      <c r="R206" s="50">
        <v>9471</v>
      </c>
      <c r="S206" s="101">
        <f t="shared" si="22"/>
        <v>0</v>
      </c>
      <c r="T206" s="101">
        <f t="shared" si="24"/>
        <v>0.450000000000728</v>
      </c>
      <c r="U206" t="s">
        <v>42</v>
      </c>
    </row>
    <row r="207" hidden="1" spans="1:21">
      <c r="A207" s="103">
        <v>203</v>
      </c>
      <c r="B207" s="111" t="s">
        <v>1371</v>
      </c>
      <c r="C207" s="72">
        <v>88.4</v>
      </c>
      <c r="D207" s="73">
        <v>2200</v>
      </c>
      <c r="E207" s="73">
        <f t="shared" si="20"/>
        <v>194480</v>
      </c>
      <c r="F207" s="74" t="s">
        <v>1372</v>
      </c>
      <c r="G207" s="87">
        <v>194480</v>
      </c>
      <c r="H207" s="87">
        <f t="shared" si="21"/>
        <v>0</v>
      </c>
      <c r="I207" s="86"/>
      <c r="J207" s="86">
        <f>VLOOKUP(B207,'多浪一期账面房号及收款金额-分公司'!$A$2:$B$436,2,0)</f>
        <v>194479.95</v>
      </c>
      <c r="K207" s="87">
        <f t="shared" si="23"/>
        <v>0.0499999999883585</v>
      </c>
      <c r="L207" s="127"/>
      <c r="M207" s="127"/>
      <c r="P207" s="50">
        <v>185219</v>
      </c>
      <c r="R207" s="50">
        <v>9261</v>
      </c>
      <c r="S207" s="101">
        <f t="shared" si="22"/>
        <v>0</v>
      </c>
      <c r="T207" s="101">
        <f t="shared" si="24"/>
        <v>-0.0499999999992724</v>
      </c>
      <c r="U207" t="s">
        <v>42</v>
      </c>
    </row>
    <row r="208" hidden="1" spans="1:21">
      <c r="A208" s="103">
        <v>204</v>
      </c>
      <c r="B208" s="111" t="s">
        <v>1373</v>
      </c>
      <c r="C208" s="72">
        <v>88.4</v>
      </c>
      <c r="D208" s="73">
        <v>1950</v>
      </c>
      <c r="E208" s="73">
        <f t="shared" si="20"/>
        <v>172380</v>
      </c>
      <c r="F208" s="74" t="s">
        <v>1374</v>
      </c>
      <c r="G208" s="87">
        <v>172380</v>
      </c>
      <c r="H208" s="87">
        <f t="shared" si="21"/>
        <v>0</v>
      </c>
      <c r="I208" s="86"/>
      <c r="J208" s="86">
        <f>VLOOKUP(B208,'多浪一期账面房号及收款金额-分公司'!$A$2:$B$436,2,0)</f>
        <v>172380.6</v>
      </c>
      <c r="K208" s="87">
        <f t="shared" si="23"/>
        <v>-0.600000000005821</v>
      </c>
      <c r="L208" s="127"/>
      <c r="M208" s="127"/>
      <c r="O208" s="100">
        <v>-531</v>
      </c>
      <c r="P208" s="50">
        <v>164703</v>
      </c>
      <c r="Q208" s="50">
        <v>-531</v>
      </c>
      <c r="R208" s="50">
        <v>8208.6</v>
      </c>
      <c r="S208" s="101">
        <f t="shared" si="22"/>
        <v>0</v>
      </c>
      <c r="T208" s="101">
        <f t="shared" si="24"/>
        <v>0</v>
      </c>
      <c r="U208" t="s">
        <v>42</v>
      </c>
    </row>
    <row r="209" hidden="1" spans="1:21">
      <c r="A209" s="103">
        <v>205</v>
      </c>
      <c r="B209" s="111" t="s">
        <v>1375</v>
      </c>
      <c r="C209" s="72">
        <v>88.4</v>
      </c>
      <c r="D209" s="73">
        <v>1945</v>
      </c>
      <c r="E209" s="73">
        <f t="shared" si="20"/>
        <v>171938</v>
      </c>
      <c r="F209" s="74" t="s">
        <v>1376</v>
      </c>
      <c r="G209" s="87">
        <v>171938</v>
      </c>
      <c r="H209" s="87">
        <f t="shared" si="21"/>
        <v>0</v>
      </c>
      <c r="I209" s="86"/>
      <c r="J209" s="86">
        <f>VLOOKUP(B209,'多浪一期账面房号及收款金额-分公司'!$A$2:$B$436,2,0)</f>
        <v>171938.55</v>
      </c>
      <c r="K209" s="87">
        <f t="shared" si="23"/>
        <v>-0.549999999988358</v>
      </c>
      <c r="L209" s="127"/>
      <c r="M209" s="127"/>
      <c r="P209" s="50">
        <v>163751</v>
      </c>
      <c r="R209" s="50">
        <v>8187</v>
      </c>
      <c r="S209" s="101">
        <f t="shared" si="22"/>
        <v>0</v>
      </c>
      <c r="T209" s="101">
        <f t="shared" si="24"/>
        <v>0.549999999999272</v>
      </c>
      <c r="U209" t="s">
        <v>42</v>
      </c>
    </row>
    <row r="210" hidden="1" spans="1:21">
      <c r="A210" s="103">
        <v>206</v>
      </c>
      <c r="B210" s="111" t="s">
        <v>1377</v>
      </c>
      <c r="C210" s="72">
        <v>88.4</v>
      </c>
      <c r="D210" s="73">
        <v>1550</v>
      </c>
      <c r="E210" s="73">
        <f t="shared" si="20"/>
        <v>137020</v>
      </c>
      <c r="F210" s="74" t="s">
        <v>1378</v>
      </c>
      <c r="G210" s="87">
        <v>137020</v>
      </c>
      <c r="H210" s="87">
        <f t="shared" si="21"/>
        <v>0</v>
      </c>
      <c r="I210" s="86"/>
      <c r="J210" s="86">
        <f>VLOOKUP(B210,'多浪一期账面房号及收款金额-分公司'!$A$2:$B$436,2,0)</f>
        <v>137020.8</v>
      </c>
      <c r="K210" s="87">
        <f t="shared" si="23"/>
        <v>-0.799999999988358</v>
      </c>
      <c r="L210" s="127"/>
      <c r="M210" s="127"/>
      <c r="P210" s="50">
        <v>130496</v>
      </c>
      <c r="R210" s="50">
        <v>6524</v>
      </c>
      <c r="S210" s="101">
        <f t="shared" si="22"/>
        <v>0</v>
      </c>
      <c r="T210" s="101">
        <f t="shared" si="24"/>
        <v>0.799999999999272</v>
      </c>
      <c r="U210" t="s">
        <v>42</v>
      </c>
    </row>
    <row r="211" hidden="1" spans="1:21">
      <c r="A211" s="103">
        <v>207</v>
      </c>
      <c r="B211" s="111" t="s">
        <v>1379</v>
      </c>
      <c r="C211" s="72">
        <v>88.4</v>
      </c>
      <c r="D211" s="73">
        <v>1600</v>
      </c>
      <c r="E211" s="73">
        <f t="shared" si="20"/>
        <v>141440</v>
      </c>
      <c r="F211" s="74" t="s">
        <v>1380</v>
      </c>
      <c r="G211" s="87">
        <v>141440</v>
      </c>
      <c r="H211" s="87">
        <f t="shared" si="21"/>
        <v>0</v>
      </c>
      <c r="I211" s="86"/>
      <c r="J211" s="86">
        <f>VLOOKUP(B211,'多浪一期账面房号及收款金额-分公司'!$A$2:$B$436,2,0)</f>
        <v>141440.25</v>
      </c>
      <c r="K211" s="87">
        <f t="shared" si="23"/>
        <v>-0.25</v>
      </c>
      <c r="L211" s="127"/>
      <c r="M211" s="127"/>
      <c r="P211" s="50">
        <v>134705</v>
      </c>
      <c r="R211" s="50">
        <v>6735</v>
      </c>
      <c r="S211" s="101">
        <f t="shared" si="22"/>
        <v>0</v>
      </c>
      <c r="T211" s="101">
        <f t="shared" si="24"/>
        <v>0.25</v>
      </c>
      <c r="U211" t="s">
        <v>42</v>
      </c>
    </row>
    <row r="212" hidden="1" spans="1:21">
      <c r="A212" s="103">
        <v>208</v>
      </c>
      <c r="B212" s="111" t="s">
        <v>1381</v>
      </c>
      <c r="C212" s="72">
        <v>88.4</v>
      </c>
      <c r="D212" s="73">
        <v>2460</v>
      </c>
      <c r="E212" s="73">
        <f t="shared" si="20"/>
        <v>217464</v>
      </c>
      <c r="F212" s="74" t="s">
        <v>1382</v>
      </c>
      <c r="G212" s="87">
        <v>217464</v>
      </c>
      <c r="H212" s="87">
        <f t="shared" si="21"/>
        <v>0</v>
      </c>
      <c r="I212" s="86"/>
      <c r="J212" s="86">
        <f>VLOOKUP(B212,'多浪一期账面房号及收款金额-分公司'!$A$2:$B$436,2,0)</f>
        <v>217464.45</v>
      </c>
      <c r="K212" s="87">
        <f t="shared" si="23"/>
        <v>-0.450000000011642</v>
      </c>
      <c r="L212" s="127"/>
      <c r="M212" s="127"/>
      <c r="P212" s="50">
        <v>207109</v>
      </c>
      <c r="R212" s="50">
        <v>10355</v>
      </c>
      <c r="S212" s="101">
        <f t="shared" si="22"/>
        <v>0</v>
      </c>
      <c r="T212" s="101">
        <f t="shared" si="24"/>
        <v>0.450000000000728</v>
      </c>
      <c r="U212" t="s">
        <v>42</v>
      </c>
    </row>
    <row r="213" hidden="1" spans="1:21">
      <c r="A213" s="103">
        <v>209</v>
      </c>
      <c r="B213" s="111" t="s">
        <v>1383</v>
      </c>
      <c r="C213" s="72">
        <v>92.13</v>
      </c>
      <c r="D213" s="73">
        <v>2460</v>
      </c>
      <c r="E213" s="73">
        <f t="shared" si="20"/>
        <v>226640</v>
      </c>
      <c r="F213" s="74" t="s">
        <v>1384</v>
      </c>
      <c r="G213" s="87">
        <v>226640</v>
      </c>
      <c r="H213" s="87">
        <f t="shared" si="21"/>
        <v>0</v>
      </c>
      <c r="I213" s="86"/>
      <c r="J213" s="86">
        <f>VLOOKUP(B213,'多浪一期账面房号及收款金额-分公司'!$A$2:$B$436,2,0)</f>
        <v>226639.35</v>
      </c>
      <c r="K213" s="87">
        <f t="shared" si="23"/>
        <v>0.649999999994179</v>
      </c>
      <c r="L213" s="127"/>
      <c r="M213" s="127"/>
      <c r="P213" s="50">
        <v>215847</v>
      </c>
      <c r="R213" s="50">
        <v>10793</v>
      </c>
      <c r="S213" s="101">
        <f t="shared" si="22"/>
        <v>0</v>
      </c>
      <c r="T213" s="101">
        <f t="shared" si="24"/>
        <v>-0.649999999999636</v>
      </c>
      <c r="U213" t="s">
        <v>42</v>
      </c>
    </row>
    <row r="214" hidden="1" spans="1:21">
      <c r="A214" s="103">
        <v>210</v>
      </c>
      <c r="B214" s="111" t="s">
        <v>1385</v>
      </c>
      <c r="C214" s="72">
        <v>88.4</v>
      </c>
      <c r="D214" s="73">
        <v>2420</v>
      </c>
      <c r="E214" s="73">
        <f t="shared" si="20"/>
        <v>213928</v>
      </c>
      <c r="F214" s="74" t="s">
        <v>1386</v>
      </c>
      <c r="G214" s="87">
        <v>213928</v>
      </c>
      <c r="H214" s="87">
        <f t="shared" si="21"/>
        <v>0</v>
      </c>
      <c r="I214" s="86"/>
      <c r="J214" s="86">
        <f>VLOOKUP(B214,'多浪一期账面房号及收款金额-分公司'!$A$2:$B$436,2,0)</f>
        <v>213927</v>
      </c>
      <c r="K214" s="87">
        <f t="shared" si="23"/>
        <v>1</v>
      </c>
      <c r="L214" s="127"/>
      <c r="M214" s="127"/>
      <c r="P214" s="50">
        <v>203740</v>
      </c>
      <c r="R214" s="50">
        <v>10188</v>
      </c>
      <c r="S214" s="101">
        <f t="shared" si="22"/>
        <v>0</v>
      </c>
      <c r="T214" s="101">
        <f t="shared" si="24"/>
        <v>-1</v>
      </c>
      <c r="U214" t="s">
        <v>42</v>
      </c>
    </row>
    <row r="215" hidden="1" spans="1:21">
      <c r="A215" s="103">
        <v>211</v>
      </c>
      <c r="B215" s="111" t="s">
        <v>1387</v>
      </c>
      <c r="C215" s="72">
        <v>94.43</v>
      </c>
      <c r="D215" s="73">
        <v>2450</v>
      </c>
      <c r="E215" s="73">
        <f t="shared" si="20"/>
        <v>231354</v>
      </c>
      <c r="F215" s="74" t="s">
        <v>1388</v>
      </c>
      <c r="G215" s="87">
        <v>231354</v>
      </c>
      <c r="H215" s="87">
        <f t="shared" si="21"/>
        <v>0</v>
      </c>
      <c r="I215" s="86"/>
      <c r="J215" s="86">
        <f>VLOOKUP(B215,'多浪一期账面房号及收款金额-分公司'!$A$2:$B$436,2,0)</f>
        <v>231353.85</v>
      </c>
      <c r="K215" s="87">
        <f t="shared" si="23"/>
        <v>0.149999999994179</v>
      </c>
      <c r="L215" s="127"/>
      <c r="M215" s="127"/>
      <c r="O215" s="100">
        <f>220337.14-0.14</f>
        <v>220337</v>
      </c>
      <c r="Q215" s="50">
        <f>220337.14-0.14</f>
        <v>220337</v>
      </c>
      <c r="R215" s="50">
        <f>Q215*0.05</f>
        <v>11016.85</v>
      </c>
      <c r="S215" s="101">
        <f t="shared" si="22"/>
        <v>0</v>
      </c>
      <c r="T215" s="101">
        <f t="shared" si="24"/>
        <v>0</v>
      </c>
      <c r="U215" t="s">
        <v>42</v>
      </c>
    </row>
    <row r="216" hidden="1" spans="1:21">
      <c r="A216" s="103">
        <v>212</v>
      </c>
      <c r="B216" s="111" t="s">
        <v>1389</v>
      </c>
      <c r="C216" s="72">
        <v>88.4</v>
      </c>
      <c r="D216" s="73">
        <v>2186</v>
      </c>
      <c r="E216" s="73">
        <f t="shared" si="20"/>
        <v>193242</v>
      </c>
      <c r="F216" s="74" t="s">
        <v>1390</v>
      </c>
      <c r="G216" s="87">
        <v>193242</v>
      </c>
      <c r="H216" s="87">
        <f t="shared" si="21"/>
        <v>0</v>
      </c>
      <c r="I216" s="86"/>
      <c r="J216" s="86">
        <f>VLOOKUP(B216,'多浪一期账面房号及收款金额-分公司'!$A$2:$B$436,2,0)</f>
        <v>193242</v>
      </c>
      <c r="K216" s="87">
        <f t="shared" si="23"/>
        <v>0</v>
      </c>
      <c r="L216" s="127"/>
      <c r="M216" s="127"/>
      <c r="P216" s="50">
        <v>184040</v>
      </c>
      <c r="Q216" s="50">
        <v>122804.76</v>
      </c>
      <c r="R216" s="50">
        <v>9202</v>
      </c>
      <c r="S216" s="101">
        <f t="shared" si="22"/>
        <v>-122804.76</v>
      </c>
      <c r="T216" s="101">
        <f t="shared" si="24"/>
        <v>0</v>
      </c>
      <c r="U216" t="s">
        <v>984</v>
      </c>
    </row>
    <row r="217" hidden="1" spans="1:21">
      <c r="A217" s="103">
        <v>213</v>
      </c>
      <c r="B217" s="111" t="s">
        <v>1391</v>
      </c>
      <c r="C217" s="72">
        <v>94.43</v>
      </c>
      <c r="D217" s="73">
        <v>2200</v>
      </c>
      <c r="E217" s="73">
        <f t="shared" si="20"/>
        <v>207746</v>
      </c>
      <c r="F217" s="74" t="s">
        <v>1390</v>
      </c>
      <c r="G217" s="87">
        <v>207746</v>
      </c>
      <c r="H217" s="87">
        <f t="shared" si="21"/>
        <v>0</v>
      </c>
      <c r="I217" s="86"/>
      <c r="J217" s="86">
        <f>VLOOKUP(B217,'多浪一期账面房号及收款金额-分公司'!$A$2:$B$436,2,0)</f>
        <v>210745.5</v>
      </c>
      <c r="K217" s="87">
        <f t="shared" si="23"/>
        <v>-2999.5</v>
      </c>
      <c r="L217" s="127" t="s">
        <v>1392</v>
      </c>
      <c r="M217" s="127"/>
      <c r="O217" s="100">
        <v>180952</v>
      </c>
      <c r="P217" s="50">
        <v>19758</v>
      </c>
      <c r="Q217" s="50">
        <v>180952</v>
      </c>
      <c r="R217" s="50">
        <f>Q217*0.05+988</f>
        <v>10035.6</v>
      </c>
      <c r="S217" s="101">
        <f t="shared" si="22"/>
        <v>0</v>
      </c>
      <c r="T217" s="101">
        <f t="shared" si="24"/>
        <v>-0.100000000000364</v>
      </c>
      <c r="U217" t="s">
        <v>42</v>
      </c>
    </row>
    <row r="218" hidden="1" spans="1:21">
      <c r="A218" s="103">
        <v>214</v>
      </c>
      <c r="B218" s="111" t="s">
        <v>1393</v>
      </c>
      <c r="C218" s="72">
        <v>88.4</v>
      </c>
      <c r="D218" s="73">
        <v>2000</v>
      </c>
      <c r="E218" s="73">
        <f t="shared" si="20"/>
        <v>176800</v>
      </c>
      <c r="F218" s="74" t="s">
        <v>1394</v>
      </c>
      <c r="G218" s="87">
        <v>176800</v>
      </c>
      <c r="H218" s="87">
        <f t="shared" si="21"/>
        <v>0</v>
      </c>
      <c r="I218" s="86"/>
      <c r="J218" s="86">
        <f>VLOOKUP(B218,'多浪一期账面房号及收款金额-分公司'!$A$2:$B$436,2,0)</f>
        <v>176801.1</v>
      </c>
      <c r="K218" s="87">
        <f t="shared" si="23"/>
        <v>-1.10000000000582</v>
      </c>
      <c r="L218" s="127"/>
      <c r="M218" s="127"/>
      <c r="P218" s="50">
        <v>168382</v>
      </c>
      <c r="R218" s="50">
        <v>8418</v>
      </c>
      <c r="S218" s="101">
        <f t="shared" si="22"/>
        <v>0</v>
      </c>
      <c r="T218" s="101">
        <f t="shared" si="24"/>
        <v>1.10000000000036</v>
      </c>
      <c r="U218" t="s">
        <v>42</v>
      </c>
    </row>
    <row r="219" hidden="1" spans="1:21">
      <c r="A219" s="103">
        <v>215</v>
      </c>
      <c r="B219" s="111" t="s">
        <v>1395</v>
      </c>
      <c r="C219" s="72">
        <v>94.43</v>
      </c>
      <c r="D219" s="73">
        <v>2000</v>
      </c>
      <c r="E219" s="73">
        <f t="shared" si="20"/>
        <v>188860</v>
      </c>
      <c r="F219" s="74" t="s">
        <v>1396</v>
      </c>
      <c r="G219" s="87">
        <v>188860</v>
      </c>
      <c r="H219" s="87">
        <f t="shared" si="21"/>
        <v>0</v>
      </c>
      <c r="I219" s="86"/>
      <c r="J219" s="86">
        <f>VLOOKUP(B219,'多浪一期账面房号及收款金额-分公司'!$A$2:$B$436,2,0)</f>
        <v>188860.35</v>
      </c>
      <c r="K219" s="87">
        <f t="shared" si="23"/>
        <v>-0.350000000005821</v>
      </c>
      <c r="L219" s="127"/>
      <c r="M219" s="127"/>
      <c r="P219" s="50">
        <v>179867</v>
      </c>
      <c r="R219" s="50">
        <v>8993</v>
      </c>
      <c r="S219" s="101">
        <f t="shared" si="22"/>
        <v>0</v>
      </c>
      <c r="T219" s="101">
        <f t="shared" si="24"/>
        <v>0.350000000000364</v>
      </c>
      <c r="U219" t="s">
        <v>42</v>
      </c>
    </row>
    <row r="220" hidden="1" spans="1:21">
      <c r="A220" s="103">
        <v>216</v>
      </c>
      <c r="B220" s="111" t="s">
        <v>1397</v>
      </c>
      <c r="C220" s="72">
        <v>88.4</v>
      </c>
      <c r="D220" s="73">
        <v>1550</v>
      </c>
      <c r="E220" s="73">
        <f t="shared" si="20"/>
        <v>137020</v>
      </c>
      <c r="F220" s="74" t="s">
        <v>1398</v>
      </c>
      <c r="G220" s="87">
        <v>137020</v>
      </c>
      <c r="H220" s="87">
        <f t="shared" si="21"/>
        <v>0</v>
      </c>
      <c r="I220" s="86"/>
      <c r="J220" s="86">
        <f>VLOOKUP(B220,'多浪一期账面房号及收款金额-分公司'!$A$2:$B$436,2,0)</f>
        <v>137019.75</v>
      </c>
      <c r="K220" s="87">
        <f t="shared" si="23"/>
        <v>0.25</v>
      </c>
      <c r="L220" s="127"/>
      <c r="M220" s="127"/>
      <c r="P220" s="50">
        <v>130495</v>
      </c>
      <c r="R220" s="50">
        <v>6524.75</v>
      </c>
      <c r="S220" s="101">
        <f t="shared" si="22"/>
        <v>0</v>
      </c>
      <c r="T220" s="101">
        <f t="shared" si="24"/>
        <v>0</v>
      </c>
      <c r="U220" t="s">
        <v>42</v>
      </c>
    </row>
    <row r="221" hidden="1" spans="1:21">
      <c r="A221" s="103">
        <v>217</v>
      </c>
      <c r="B221" s="111" t="s">
        <v>1399</v>
      </c>
      <c r="C221" s="72">
        <v>94.43</v>
      </c>
      <c r="D221" s="73">
        <v>1550</v>
      </c>
      <c r="E221" s="73">
        <f t="shared" si="20"/>
        <v>146367</v>
      </c>
      <c r="F221" s="74" t="s">
        <v>1400</v>
      </c>
      <c r="G221" s="87">
        <v>146367</v>
      </c>
      <c r="H221" s="87">
        <f t="shared" si="21"/>
        <v>0</v>
      </c>
      <c r="I221" s="86"/>
      <c r="J221" s="86">
        <f>VLOOKUP(B221,'多浪一期账面房号及收款金额-分公司'!$A$2:$B$436,2,0)</f>
        <v>146366.85</v>
      </c>
      <c r="K221" s="87">
        <f t="shared" si="23"/>
        <v>0.149999999994179</v>
      </c>
      <c r="L221" s="127"/>
      <c r="M221" s="127"/>
      <c r="P221" s="50">
        <v>139397</v>
      </c>
      <c r="R221" s="50">
        <v>6970</v>
      </c>
      <c r="S221" s="101">
        <f t="shared" si="22"/>
        <v>0</v>
      </c>
      <c r="T221" s="101">
        <f t="shared" si="24"/>
        <v>-0.149999999999636</v>
      </c>
      <c r="U221" t="s">
        <v>42</v>
      </c>
    </row>
    <row r="222" s="99" customFormat="1" spans="1:21">
      <c r="A222" s="112">
        <v>218</v>
      </c>
      <c r="B222" s="113" t="s">
        <v>1401</v>
      </c>
      <c r="C222" s="114">
        <v>42.2</v>
      </c>
      <c r="D222" s="115">
        <v>6000</v>
      </c>
      <c r="E222" s="115">
        <f t="shared" si="20"/>
        <v>253200</v>
      </c>
      <c r="F222" s="137" t="s">
        <v>1402</v>
      </c>
      <c r="G222" s="95">
        <v>253200</v>
      </c>
      <c r="H222" s="95">
        <f t="shared" si="21"/>
        <v>0</v>
      </c>
      <c r="I222" s="129"/>
      <c r="J222" s="129">
        <f>VLOOKUP(B222,'多浪一期账面房号及收款金额-分公司'!$A$2:$B$436,2,0)</f>
        <v>253200.003</v>
      </c>
      <c r="K222" s="95">
        <f t="shared" si="23"/>
        <v>-0.0029999999969732</v>
      </c>
      <c r="L222" s="130"/>
      <c r="M222" s="130"/>
      <c r="N222" s="153">
        <v>241142.86</v>
      </c>
      <c r="O222" s="99">
        <v>241142.86</v>
      </c>
      <c r="P222" s="131"/>
      <c r="Q222" s="131"/>
      <c r="R222" s="131">
        <v>12057.14</v>
      </c>
      <c r="S222" s="131">
        <f t="shared" si="22"/>
        <v>241142.86</v>
      </c>
      <c r="T222" s="131">
        <f t="shared" si="24"/>
        <v>0.00300000000061118</v>
      </c>
      <c r="U222" s="21" t="s">
        <v>42</v>
      </c>
    </row>
    <row r="223" hidden="1" spans="1:21">
      <c r="A223" s="103">
        <v>219</v>
      </c>
      <c r="B223" s="110" t="s">
        <v>1403</v>
      </c>
      <c r="C223" s="72">
        <v>38.05</v>
      </c>
      <c r="D223" s="73">
        <v>5600</v>
      </c>
      <c r="E223" s="73">
        <f t="shared" si="20"/>
        <v>213080</v>
      </c>
      <c r="F223" s="135" t="s">
        <v>1390</v>
      </c>
      <c r="G223" s="87">
        <v>213080</v>
      </c>
      <c r="H223" s="87">
        <f t="shared" si="21"/>
        <v>0</v>
      </c>
      <c r="I223" s="86"/>
      <c r="J223" s="86">
        <f>VLOOKUP(B223,'多浪一期账面房号及收款金额-分公司'!$A$2:$B$436,2,0)</f>
        <v>213079.65</v>
      </c>
      <c r="K223" s="87">
        <f t="shared" si="23"/>
        <v>0.350000000005821</v>
      </c>
      <c r="L223" s="127"/>
      <c r="M223" s="127"/>
      <c r="O223" s="100">
        <v>60076</v>
      </c>
      <c r="P223" s="50">
        <v>142857</v>
      </c>
      <c r="Q223" s="50">
        <v>60076</v>
      </c>
      <c r="R223" s="50">
        <f>Q223*0.05+7143</f>
        <v>10146.8</v>
      </c>
      <c r="S223" s="101">
        <f t="shared" si="22"/>
        <v>0</v>
      </c>
      <c r="T223" s="101">
        <f t="shared" si="24"/>
        <v>-0.149999999997817</v>
      </c>
      <c r="U223" t="s">
        <v>42</v>
      </c>
    </row>
    <row r="224" hidden="1" spans="1:21">
      <c r="A224" s="103">
        <v>220</v>
      </c>
      <c r="B224" s="110" t="s">
        <v>1404</v>
      </c>
      <c r="C224" s="72">
        <v>38.05</v>
      </c>
      <c r="D224" s="73">
        <v>5600</v>
      </c>
      <c r="E224" s="73">
        <f t="shared" si="20"/>
        <v>213080</v>
      </c>
      <c r="F224" s="135" t="s">
        <v>1390</v>
      </c>
      <c r="G224" s="87">
        <v>213080</v>
      </c>
      <c r="H224" s="87">
        <f t="shared" si="21"/>
        <v>0</v>
      </c>
      <c r="I224" s="86"/>
      <c r="J224" s="86">
        <f>VLOOKUP(B224,'多浪一期账面房号及收款金额-分公司'!$A$2:$B$436,2,0)</f>
        <v>213079.65</v>
      </c>
      <c r="K224" s="87">
        <f t="shared" si="23"/>
        <v>0.350000000005821</v>
      </c>
      <c r="L224" s="127"/>
      <c r="M224" s="127"/>
      <c r="P224" s="50">
        <v>202933</v>
      </c>
      <c r="R224" s="50">
        <v>10147</v>
      </c>
      <c r="S224" s="101">
        <f t="shared" si="22"/>
        <v>0</v>
      </c>
      <c r="T224" s="101">
        <f t="shared" si="24"/>
        <v>-0.349999999998545</v>
      </c>
      <c r="U224" t="s">
        <v>42</v>
      </c>
    </row>
    <row r="225" s="99" customFormat="1" spans="1:21">
      <c r="A225" s="112">
        <v>221</v>
      </c>
      <c r="B225" s="113" t="s">
        <v>1405</v>
      </c>
      <c r="C225" s="114">
        <v>38.91</v>
      </c>
      <c r="D225" s="115">
        <v>5600</v>
      </c>
      <c r="E225" s="115">
        <f t="shared" si="20"/>
        <v>217896</v>
      </c>
      <c r="F225" s="139" t="s">
        <v>1406</v>
      </c>
      <c r="G225" s="95">
        <v>5000</v>
      </c>
      <c r="H225" s="95">
        <f t="shared" si="21"/>
        <v>212896</v>
      </c>
      <c r="I225" s="129"/>
      <c r="J225" s="129">
        <f>VLOOKUP(B225,'多浪一期账面房号及收款金额-分公司'!$A$2:$B$436,2,0)</f>
        <v>5000</v>
      </c>
      <c r="K225" s="95">
        <f t="shared" si="23"/>
        <v>0</v>
      </c>
      <c r="L225" s="130"/>
      <c r="M225" s="130"/>
      <c r="N225" s="99">
        <f>VLOOKUP(B225,[4]Sheet1!$D$5:$N$69,11,0)</f>
        <v>5000</v>
      </c>
      <c r="P225" s="131"/>
      <c r="Q225" s="131"/>
      <c r="R225" s="131"/>
      <c r="S225" s="131">
        <f>E225/1.05-P225-Q225</f>
        <v>207520</v>
      </c>
      <c r="T225" s="131">
        <f>E225/1.05*0.05-R225</f>
        <v>10376</v>
      </c>
      <c r="U225" s="21" t="s">
        <v>564</v>
      </c>
    </row>
    <row r="226" s="99" customFormat="1" spans="1:21">
      <c r="A226" s="112">
        <v>222</v>
      </c>
      <c r="B226" s="113" t="s">
        <v>1407</v>
      </c>
      <c r="C226" s="114">
        <v>38.91</v>
      </c>
      <c r="D226" s="115">
        <v>5800</v>
      </c>
      <c r="E226" s="115">
        <f t="shared" si="20"/>
        <v>225678</v>
      </c>
      <c r="F226" s="139" t="s">
        <v>1408</v>
      </c>
      <c r="G226" s="95">
        <f>125678+25000</f>
        <v>150678</v>
      </c>
      <c r="H226" s="95">
        <f t="shared" si="21"/>
        <v>75000</v>
      </c>
      <c r="I226" s="129"/>
      <c r="J226" s="129">
        <f>VLOOKUP(B226,'多浪一期账面房号及收款金额-分公司'!$A$2:$B$436,2,0)+阿克苏分公司预收账款!J1946</f>
        <v>150678</v>
      </c>
      <c r="K226" s="95">
        <f t="shared" si="23"/>
        <v>0</v>
      </c>
      <c r="L226" s="130"/>
      <c r="M226" s="130"/>
      <c r="N226" s="99">
        <f>[4]Sheet1!$N$19</f>
        <v>150678</v>
      </c>
      <c r="P226" s="131"/>
      <c r="Q226" s="131"/>
      <c r="R226" s="131"/>
      <c r="S226" s="131">
        <f>E226/1.05-P226-Q226</f>
        <v>214931.428571429</v>
      </c>
      <c r="T226" s="131">
        <f>S226*0.05</f>
        <v>10746.5714285714</v>
      </c>
      <c r="U226" s="21" t="s">
        <v>564</v>
      </c>
    </row>
    <row r="227" hidden="1" spans="1:21">
      <c r="A227" s="103">
        <v>223</v>
      </c>
      <c r="B227" s="110" t="s">
        <v>1409</v>
      </c>
      <c r="C227" s="72">
        <v>38.05</v>
      </c>
      <c r="D227" s="73">
        <v>5800</v>
      </c>
      <c r="E227" s="73">
        <f t="shared" si="20"/>
        <v>220690</v>
      </c>
      <c r="F227" s="94" t="s">
        <v>1410</v>
      </c>
      <c r="G227" s="87">
        <v>220690</v>
      </c>
      <c r="H227" s="87">
        <f t="shared" si="21"/>
        <v>0</v>
      </c>
      <c r="I227" s="86"/>
      <c r="J227" s="86">
        <f>VLOOKUP(B227,'多浪一期账面房号及收款金额-分公司'!$A$2:$B$436,2,0)</f>
        <v>220690</v>
      </c>
      <c r="K227" s="87">
        <f t="shared" si="23"/>
        <v>0</v>
      </c>
      <c r="L227" s="127"/>
      <c r="M227" s="127"/>
      <c r="O227" s="100">
        <v>220690</v>
      </c>
      <c r="Q227" s="50">
        <f>220690/1.05</f>
        <v>210180.952380952</v>
      </c>
      <c r="R227" s="50">
        <f t="shared" ref="R227:R230" si="25">Q227*0.05</f>
        <v>10509.0476190476</v>
      </c>
      <c r="S227" s="101">
        <f t="shared" si="22"/>
        <v>3.78349795937538e-10</v>
      </c>
      <c r="T227" s="101">
        <f t="shared" si="24"/>
        <v>1.81898940354586e-11</v>
      </c>
      <c r="U227" t="s">
        <v>42</v>
      </c>
    </row>
    <row r="228" hidden="1" spans="1:21">
      <c r="A228" s="103">
        <v>224</v>
      </c>
      <c r="B228" s="110" t="s">
        <v>1411</v>
      </c>
      <c r="C228" s="72">
        <v>38.05</v>
      </c>
      <c r="D228" s="73">
        <v>5800</v>
      </c>
      <c r="E228" s="73">
        <f t="shared" si="20"/>
        <v>220690</v>
      </c>
      <c r="F228" s="94" t="s">
        <v>1412</v>
      </c>
      <c r="G228" s="87">
        <v>220690</v>
      </c>
      <c r="H228" s="87">
        <f t="shared" si="21"/>
        <v>0</v>
      </c>
      <c r="I228" s="86"/>
      <c r="J228" s="86">
        <f>VLOOKUP(B228,'多浪一期账面房号及收款金额-分公司'!$A$2:$B$436,2,0)</f>
        <v>220690</v>
      </c>
      <c r="K228" s="87">
        <f t="shared" si="23"/>
        <v>0</v>
      </c>
      <c r="L228" s="127"/>
      <c r="M228" s="127"/>
      <c r="O228" s="100">
        <v>220690</v>
      </c>
      <c r="Q228" s="50">
        <f>220690/1.05</f>
        <v>210180.952380952</v>
      </c>
      <c r="R228" s="50">
        <f t="shared" si="25"/>
        <v>10509.0476190476</v>
      </c>
      <c r="S228" s="101">
        <f t="shared" si="22"/>
        <v>3.78349795937538e-10</v>
      </c>
      <c r="T228" s="101">
        <f t="shared" si="24"/>
        <v>1.81898940354586e-11</v>
      </c>
      <c r="U228" t="s">
        <v>42</v>
      </c>
    </row>
    <row r="229" s="99" customFormat="1" spans="1:21">
      <c r="A229" s="112">
        <v>225</v>
      </c>
      <c r="B229" s="113" t="s">
        <v>1413</v>
      </c>
      <c r="C229" s="114">
        <v>38.91</v>
      </c>
      <c r="D229" s="115">
        <v>5800</v>
      </c>
      <c r="E229" s="115">
        <f t="shared" si="20"/>
        <v>225678</v>
      </c>
      <c r="F229" s="139" t="s">
        <v>1406</v>
      </c>
      <c r="G229" s="95">
        <f>107896+102896</f>
        <v>210792</v>
      </c>
      <c r="H229" s="95">
        <f t="shared" si="21"/>
        <v>14886</v>
      </c>
      <c r="I229" s="129"/>
      <c r="J229" s="129">
        <f>VLOOKUP(B229,'多浪一期账面房号及收款金额-分公司'!$A$2:$B$436,2,0)</f>
        <v>107896</v>
      </c>
      <c r="K229" s="95">
        <f t="shared" si="23"/>
        <v>102896</v>
      </c>
      <c r="L229" s="130"/>
      <c r="M229" s="130"/>
      <c r="N229" s="99">
        <f>VLOOKUP(B229,[4]Sheet1!$D$5:$N$69,11,0)</f>
        <v>107896</v>
      </c>
      <c r="P229" s="131"/>
      <c r="Q229" s="131"/>
      <c r="R229" s="131"/>
      <c r="S229" s="131">
        <f>E229/1.05-P229-Q229</f>
        <v>214931.428571429</v>
      </c>
      <c r="T229" s="131">
        <f>S229*0.05</f>
        <v>10746.5714285714</v>
      </c>
      <c r="U229" s="21" t="s">
        <v>564</v>
      </c>
    </row>
    <row r="230" hidden="1" spans="1:21">
      <c r="A230" s="103">
        <v>226</v>
      </c>
      <c r="B230" s="110" t="s">
        <v>1414</v>
      </c>
      <c r="C230" s="72">
        <v>38.91</v>
      </c>
      <c r="D230" s="73">
        <v>5900</v>
      </c>
      <c r="E230" s="73">
        <f t="shared" si="20"/>
        <v>229569</v>
      </c>
      <c r="F230" s="135" t="s">
        <v>1415</v>
      </c>
      <c r="G230" s="87">
        <v>229569</v>
      </c>
      <c r="H230" s="87">
        <f t="shared" si="21"/>
        <v>0</v>
      </c>
      <c r="I230" s="86"/>
      <c r="J230" s="86">
        <f>VLOOKUP(B230,'多浪一期账面房号及收款金额-分公司'!$A$2:$B$436,2,0)</f>
        <v>229569</v>
      </c>
      <c r="K230" s="87">
        <f t="shared" si="23"/>
        <v>0</v>
      </c>
      <c r="L230" s="127"/>
      <c r="M230" s="127"/>
      <c r="O230" s="100">
        <v>229569</v>
      </c>
      <c r="Q230" s="50">
        <f>229569/1.05</f>
        <v>218637.142857143</v>
      </c>
      <c r="R230" s="50">
        <f>Q230*0.05</f>
        <v>10931.8571428572</v>
      </c>
      <c r="S230" s="101">
        <f t="shared" si="22"/>
        <v>0</v>
      </c>
      <c r="T230" s="101">
        <f t="shared" si="24"/>
        <v>-5.63886715099216e-11</v>
      </c>
      <c r="U230" t="s">
        <v>42</v>
      </c>
    </row>
    <row r="231" hidden="1" spans="1:21">
      <c r="A231" s="103">
        <v>227</v>
      </c>
      <c r="B231" s="110" t="s">
        <v>1416</v>
      </c>
      <c r="C231" s="72">
        <v>38.05</v>
      </c>
      <c r="D231" s="73">
        <v>5800</v>
      </c>
      <c r="E231" s="73">
        <f t="shared" si="20"/>
        <v>220690</v>
      </c>
      <c r="F231" s="135" t="s">
        <v>1417</v>
      </c>
      <c r="G231" s="87">
        <v>220690</v>
      </c>
      <c r="H231" s="87">
        <f t="shared" si="21"/>
        <v>0</v>
      </c>
      <c r="I231" s="86"/>
      <c r="J231" s="86">
        <f>VLOOKUP(B231,'多浪一期账面房号及收款金额-分公司'!$A$2:$B$436,2,0)</f>
        <v>220690.05</v>
      </c>
      <c r="K231" s="87">
        <f t="shared" si="23"/>
        <v>-0.0499999999883585</v>
      </c>
      <c r="L231" s="127"/>
      <c r="M231" s="127"/>
      <c r="P231" s="50">
        <v>210181</v>
      </c>
      <c r="R231" s="50">
        <v>10509</v>
      </c>
      <c r="S231" s="101">
        <f t="shared" si="22"/>
        <v>0</v>
      </c>
      <c r="T231" s="101">
        <f t="shared" si="24"/>
        <v>0.0499999999992724</v>
      </c>
      <c r="U231" t="s">
        <v>42</v>
      </c>
    </row>
    <row r="232" hidden="1" spans="1:21">
      <c r="A232" s="103">
        <v>228</v>
      </c>
      <c r="B232" s="110" t="s">
        <v>1418</v>
      </c>
      <c r="C232" s="72">
        <v>38.05</v>
      </c>
      <c r="D232" s="73">
        <v>5500</v>
      </c>
      <c r="E232" s="73">
        <f t="shared" si="20"/>
        <v>209275</v>
      </c>
      <c r="F232" s="135" t="s">
        <v>1417</v>
      </c>
      <c r="G232" s="87">
        <v>209275</v>
      </c>
      <c r="H232" s="87">
        <f t="shared" si="21"/>
        <v>0</v>
      </c>
      <c r="I232" s="86"/>
      <c r="J232" s="86">
        <f>VLOOKUP(B232,'多浪一期账面房号及收款金额-分公司'!$A$2:$B$436,2,0)</f>
        <v>209275.5</v>
      </c>
      <c r="K232" s="87">
        <f t="shared" si="23"/>
        <v>-0.5</v>
      </c>
      <c r="L232" s="127"/>
      <c r="M232" s="127"/>
      <c r="P232" s="50">
        <v>199310</v>
      </c>
      <c r="R232" s="50">
        <v>9965</v>
      </c>
      <c r="S232" s="101">
        <f t="shared" si="22"/>
        <v>0</v>
      </c>
      <c r="T232" s="101">
        <f t="shared" si="24"/>
        <v>0.5</v>
      </c>
      <c r="U232" t="s">
        <v>42</v>
      </c>
    </row>
    <row r="233" s="99" customFormat="1" spans="1:21">
      <c r="A233" s="112">
        <v>229</v>
      </c>
      <c r="B233" s="113" t="s">
        <v>1419</v>
      </c>
      <c r="C233" s="114">
        <v>42.2</v>
      </c>
      <c r="D233" s="115">
        <v>5600</v>
      </c>
      <c r="E233" s="115">
        <f t="shared" si="20"/>
        <v>236320</v>
      </c>
      <c r="F233" s="139" t="s">
        <v>1420</v>
      </c>
      <c r="G233" s="95">
        <v>10000</v>
      </c>
      <c r="H233" s="95">
        <f t="shared" si="21"/>
        <v>226320</v>
      </c>
      <c r="I233" s="129"/>
      <c r="J233" s="129">
        <f>VLOOKUP(B233,'多浪一期账面房号及收款金额-分公司'!$A$2:$B$436,2,0)</f>
        <v>10000</v>
      </c>
      <c r="K233" s="95">
        <f t="shared" si="23"/>
        <v>0</v>
      </c>
      <c r="L233" s="130"/>
      <c r="M233" s="130"/>
      <c r="N233" s="99">
        <f>VLOOKUP(B233,[4]Sheet1!$D$5:$N$69,11,0)</f>
        <v>10000</v>
      </c>
      <c r="P233" s="131"/>
      <c r="Q233" s="131"/>
      <c r="R233" s="131"/>
      <c r="S233" s="131">
        <f>E233/1.05-P233-Q233</f>
        <v>225066.666666667</v>
      </c>
      <c r="T233" s="131">
        <f>S233*0.05</f>
        <v>11253.3333333333</v>
      </c>
      <c r="U233" s="21" t="s">
        <v>564</v>
      </c>
    </row>
    <row r="234" hidden="1" spans="1:21">
      <c r="A234" s="103">
        <v>230</v>
      </c>
      <c r="B234" s="110" t="s">
        <v>1421</v>
      </c>
      <c r="C234" s="72">
        <v>72.96</v>
      </c>
      <c r="D234" s="73">
        <v>5482.46</v>
      </c>
      <c r="E234" s="73">
        <f t="shared" si="20"/>
        <v>400000</v>
      </c>
      <c r="F234" s="135" t="s">
        <v>1422</v>
      </c>
      <c r="G234" s="87">
        <v>400000</v>
      </c>
      <c r="H234" s="87">
        <f t="shared" si="21"/>
        <v>0</v>
      </c>
      <c r="I234" s="86"/>
      <c r="J234" s="86">
        <f>VLOOKUP(B234,'多浪一期账面房号及收款金额-分公司'!$A$2:$B$436,2,0)</f>
        <v>399999.6</v>
      </c>
      <c r="K234" s="87">
        <f t="shared" si="23"/>
        <v>0.400000000023283</v>
      </c>
      <c r="L234" s="127"/>
      <c r="M234" s="127"/>
      <c r="P234" s="50">
        <v>380952</v>
      </c>
      <c r="R234" s="50">
        <v>19048</v>
      </c>
      <c r="S234" s="101">
        <f t="shared" si="22"/>
        <v>0</v>
      </c>
      <c r="T234" s="101">
        <f t="shared" si="24"/>
        <v>-0.400000000001455</v>
      </c>
      <c r="U234" t="s">
        <v>42</v>
      </c>
    </row>
    <row r="235" hidden="1" spans="1:21">
      <c r="A235" s="103">
        <v>231</v>
      </c>
      <c r="B235" s="110" t="s">
        <v>1423</v>
      </c>
      <c r="C235" s="72">
        <v>92.12</v>
      </c>
      <c r="D235" s="73">
        <v>2460</v>
      </c>
      <c r="E235" s="73">
        <f t="shared" si="20"/>
        <v>226615</v>
      </c>
      <c r="F235" s="135" t="s">
        <v>1424</v>
      </c>
      <c r="G235" s="87">
        <v>226615</v>
      </c>
      <c r="H235" s="87">
        <f t="shared" si="21"/>
        <v>0</v>
      </c>
      <c r="I235" s="86"/>
      <c r="J235" s="86">
        <f>VLOOKUP(B235,'多浪一期账面房号及收款金额-分公司'!$A$2:$B$436,2,0)</f>
        <v>226615.2</v>
      </c>
      <c r="K235" s="87">
        <f t="shared" si="23"/>
        <v>-0.200000000011642</v>
      </c>
      <c r="L235" s="127"/>
      <c r="M235" s="127"/>
      <c r="P235" s="50">
        <v>215824</v>
      </c>
      <c r="R235" s="50">
        <v>10791</v>
      </c>
      <c r="S235" s="101">
        <f t="shared" si="22"/>
        <v>0</v>
      </c>
      <c r="T235" s="101">
        <f t="shared" si="24"/>
        <v>0.200000000000728</v>
      </c>
      <c r="U235" t="s">
        <v>42</v>
      </c>
    </row>
    <row r="236" hidden="1" spans="1:21">
      <c r="A236" s="103">
        <v>232</v>
      </c>
      <c r="B236" s="110" t="s">
        <v>1425</v>
      </c>
      <c r="C236" s="72">
        <v>88.4</v>
      </c>
      <c r="D236" s="73">
        <v>2000</v>
      </c>
      <c r="E236" s="73">
        <f t="shared" si="20"/>
        <v>176800</v>
      </c>
      <c r="F236" s="135" t="s">
        <v>1426</v>
      </c>
      <c r="G236" s="87">
        <v>176800</v>
      </c>
      <c r="H236" s="87">
        <f t="shared" si="21"/>
        <v>0</v>
      </c>
      <c r="I236" s="86"/>
      <c r="J236" s="86">
        <f>VLOOKUP(B236,'多浪一期账面房号及收款金额-分公司'!$A$2:$B$436,2,0)</f>
        <v>220999.8</v>
      </c>
      <c r="K236" s="87">
        <f t="shared" si="23"/>
        <v>-44199.8</v>
      </c>
      <c r="L236" s="127"/>
      <c r="M236" s="127"/>
      <c r="P236" s="50">
        <v>210476</v>
      </c>
      <c r="R236" s="50">
        <v>10524</v>
      </c>
      <c r="S236" s="101">
        <f t="shared" si="22"/>
        <v>0</v>
      </c>
      <c r="T236" s="101">
        <f t="shared" si="24"/>
        <v>-0.200000000000728</v>
      </c>
      <c r="U236" t="s">
        <v>42</v>
      </c>
    </row>
    <row r="237" hidden="1" spans="1:21">
      <c r="A237" s="103">
        <v>233</v>
      </c>
      <c r="B237" s="110" t="s">
        <v>1427</v>
      </c>
      <c r="C237" s="72">
        <v>94.42</v>
      </c>
      <c r="D237" s="73">
        <v>2450</v>
      </c>
      <c r="E237" s="73">
        <f t="shared" si="20"/>
        <v>231329</v>
      </c>
      <c r="F237" s="135" t="s">
        <v>1428</v>
      </c>
      <c r="G237" s="87">
        <v>231329</v>
      </c>
      <c r="H237" s="87">
        <f t="shared" si="21"/>
        <v>0</v>
      </c>
      <c r="I237" s="86"/>
      <c r="J237" s="86">
        <f>VLOOKUP(B237,'多浪一期账面房号及收款金额-分公司'!$A$2:$B$436,2,0)</f>
        <v>231329.7</v>
      </c>
      <c r="K237" s="87">
        <f t="shared" si="23"/>
        <v>-0.700000000011642</v>
      </c>
      <c r="L237" s="127"/>
      <c r="M237" s="127"/>
      <c r="O237" s="100">
        <f>295881.9+220313.33+-348738.23</f>
        <v>167457</v>
      </c>
      <c r="P237" s="50">
        <v>52857</v>
      </c>
      <c r="Q237" s="50">
        <f>295881.9+220313.33-348738.23</f>
        <v>167457</v>
      </c>
      <c r="R237" s="50">
        <v>11015.07</v>
      </c>
      <c r="S237" s="101">
        <f t="shared" si="22"/>
        <v>0</v>
      </c>
      <c r="T237" s="101">
        <f t="shared" si="24"/>
        <v>0.630000000001019</v>
      </c>
      <c r="U237" t="s">
        <v>42</v>
      </c>
    </row>
    <row r="238" hidden="1" spans="1:21">
      <c r="A238" s="103">
        <v>234</v>
      </c>
      <c r="B238" s="110" t="s">
        <v>1429</v>
      </c>
      <c r="C238" s="103">
        <v>88.4</v>
      </c>
      <c r="D238" s="73">
        <v>2610</v>
      </c>
      <c r="E238" s="73">
        <f t="shared" si="20"/>
        <v>230724</v>
      </c>
      <c r="F238" s="135" t="s">
        <v>1430</v>
      </c>
      <c r="G238" s="87">
        <v>230724</v>
      </c>
      <c r="H238" s="87">
        <f t="shared" si="21"/>
        <v>0</v>
      </c>
      <c r="I238" s="86"/>
      <c r="J238" s="86">
        <f>VLOOKUP(B238,'多浪一期账面房号及收款金额-分公司'!$A$2:$B$436,2,0)</f>
        <v>230722.8</v>
      </c>
      <c r="K238" s="87">
        <f t="shared" si="23"/>
        <v>1.20000000001164</v>
      </c>
      <c r="L238" s="127"/>
      <c r="M238" s="127"/>
      <c r="P238" s="50">
        <v>219736</v>
      </c>
      <c r="R238" s="50">
        <v>10987</v>
      </c>
      <c r="S238" s="101">
        <f t="shared" si="22"/>
        <v>0</v>
      </c>
      <c r="T238" s="101">
        <f t="shared" si="24"/>
        <v>-0.200000000000728</v>
      </c>
      <c r="U238" t="s">
        <v>42</v>
      </c>
    </row>
    <row r="239" hidden="1" spans="1:21">
      <c r="A239" s="103">
        <v>235</v>
      </c>
      <c r="B239" s="110" t="s">
        <v>1431</v>
      </c>
      <c r="C239" s="103">
        <v>94.42</v>
      </c>
      <c r="D239" s="73">
        <v>2335.27</v>
      </c>
      <c r="E239" s="73">
        <f t="shared" si="20"/>
        <v>0</v>
      </c>
      <c r="F239" s="138"/>
      <c r="G239" s="87">
        <v>0</v>
      </c>
      <c r="H239" s="87">
        <f t="shared" si="21"/>
        <v>0</v>
      </c>
      <c r="I239" s="86"/>
      <c r="J239" s="86"/>
      <c r="K239" s="87">
        <f t="shared" si="23"/>
        <v>0</v>
      </c>
      <c r="L239" s="127"/>
      <c r="M239" s="127"/>
      <c r="S239" s="101">
        <f t="shared" si="22"/>
        <v>0</v>
      </c>
      <c r="T239" s="101">
        <f t="shared" si="24"/>
        <v>0</v>
      </c>
      <c r="U239" t="s">
        <v>42</v>
      </c>
    </row>
    <row r="240" hidden="1" spans="1:21">
      <c r="A240" s="103">
        <v>236</v>
      </c>
      <c r="B240" s="110" t="s">
        <v>1432</v>
      </c>
      <c r="C240" s="72">
        <v>88.4</v>
      </c>
      <c r="D240" s="73">
        <v>2200</v>
      </c>
      <c r="E240" s="73">
        <f t="shared" si="20"/>
        <v>194480</v>
      </c>
      <c r="F240" s="135" t="s">
        <v>1433</v>
      </c>
      <c r="G240" s="87">
        <v>194480</v>
      </c>
      <c r="H240" s="87">
        <f t="shared" si="21"/>
        <v>0</v>
      </c>
      <c r="I240" s="86"/>
      <c r="J240" s="86">
        <f>VLOOKUP(B240,'多浪一期账面房号及收款金额-分公司'!$A$2:$B$436,2,0)</f>
        <v>194479.95</v>
      </c>
      <c r="K240" s="87">
        <f t="shared" si="23"/>
        <v>0.0499999999883585</v>
      </c>
      <c r="L240" s="127"/>
      <c r="M240" s="127"/>
      <c r="P240" s="50">
        <v>185219</v>
      </c>
      <c r="R240" s="50">
        <v>9261</v>
      </c>
      <c r="S240" s="101">
        <f t="shared" si="22"/>
        <v>0</v>
      </c>
      <c r="T240" s="101">
        <f t="shared" si="24"/>
        <v>-0.0499999999992724</v>
      </c>
      <c r="U240" t="s">
        <v>42</v>
      </c>
    </row>
    <row r="241" hidden="1" spans="1:21">
      <c r="A241" s="103">
        <v>237</v>
      </c>
      <c r="B241" s="110" t="s">
        <v>1434</v>
      </c>
      <c r="C241" s="72">
        <v>94.42</v>
      </c>
      <c r="D241" s="73">
        <v>2000</v>
      </c>
      <c r="E241" s="73">
        <f t="shared" si="20"/>
        <v>188840</v>
      </c>
      <c r="F241" s="135" t="s">
        <v>1435</v>
      </c>
      <c r="G241" s="87">
        <v>188840</v>
      </c>
      <c r="H241" s="87">
        <f t="shared" si="21"/>
        <v>0</v>
      </c>
      <c r="I241" s="86"/>
      <c r="J241" s="86">
        <f>VLOOKUP(B241,'多浪一期账面房号及收款金额-分公司'!$A$2:$B$436,2,0)</f>
        <v>188840.4</v>
      </c>
      <c r="K241" s="87">
        <f t="shared" si="23"/>
        <v>-0.399999999994179</v>
      </c>
      <c r="L241" s="127"/>
      <c r="M241" s="127"/>
      <c r="O241" s="100">
        <v>179848</v>
      </c>
      <c r="Q241" s="50">
        <v>179848</v>
      </c>
      <c r="R241" s="50">
        <f>Q241*0.05</f>
        <v>8992.4</v>
      </c>
      <c r="S241" s="101">
        <f t="shared" si="22"/>
        <v>0</v>
      </c>
      <c r="T241" s="101">
        <f t="shared" si="24"/>
        <v>0</v>
      </c>
      <c r="U241" t="s">
        <v>42</v>
      </c>
    </row>
    <row r="242" hidden="1" spans="1:21">
      <c r="A242" s="103">
        <v>238</v>
      </c>
      <c r="B242" s="110" t="s">
        <v>1436</v>
      </c>
      <c r="C242" s="72">
        <v>88.4</v>
      </c>
      <c r="D242" s="73">
        <v>2000</v>
      </c>
      <c r="E242" s="73">
        <f t="shared" si="20"/>
        <v>176800</v>
      </c>
      <c r="F242" s="135" t="s">
        <v>1437</v>
      </c>
      <c r="G242" s="87">
        <v>176800</v>
      </c>
      <c r="H242" s="87">
        <f t="shared" si="21"/>
        <v>0</v>
      </c>
      <c r="I242" s="86"/>
      <c r="J242" s="86">
        <f>VLOOKUP(B242,'多浪一期账面房号及收款金额-分公司'!$A$2:$B$436,2,0)</f>
        <v>182758.8</v>
      </c>
      <c r="K242" s="87">
        <f t="shared" si="23"/>
        <v>-5958.79999999999</v>
      </c>
      <c r="L242" s="127"/>
      <c r="M242" s="127"/>
      <c r="O242" s="100">
        <v>168381</v>
      </c>
      <c r="P242" s="50">
        <v>5675</v>
      </c>
      <c r="Q242" s="50">
        <v>168381</v>
      </c>
      <c r="R242" s="50">
        <f>Q242*0.05+237</f>
        <v>8656.05</v>
      </c>
      <c r="S242" s="101">
        <f t="shared" si="22"/>
        <v>0</v>
      </c>
      <c r="T242" s="101">
        <f t="shared" si="24"/>
        <v>46.75</v>
      </c>
      <c r="U242" t="s">
        <v>42</v>
      </c>
    </row>
    <row r="243" hidden="1" spans="1:21">
      <c r="A243" s="103">
        <v>239</v>
      </c>
      <c r="B243" s="110" t="s">
        <v>1438</v>
      </c>
      <c r="C243" s="72">
        <v>94.42</v>
      </c>
      <c r="D243" s="73">
        <v>1788</v>
      </c>
      <c r="E243" s="73">
        <f t="shared" si="20"/>
        <v>168823</v>
      </c>
      <c r="F243" s="135" t="s">
        <v>1439</v>
      </c>
      <c r="G243" s="87">
        <v>168823</v>
      </c>
      <c r="H243" s="87">
        <f t="shared" si="21"/>
        <v>0</v>
      </c>
      <c r="I243" s="86"/>
      <c r="J243" s="86">
        <f>VLOOKUP(B243,'多浪一期账面房号及收款金额-分公司'!$A$2:$B$436,2,0)</f>
        <v>168822.15</v>
      </c>
      <c r="K243" s="87">
        <f t="shared" si="23"/>
        <v>0.850000000005821</v>
      </c>
      <c r="L243" s="127"/>
      <c r="M243" s="127"/>
      <c r="P243" s="50">
        <v>160783</v>
      </c>
      <c r="R243" s="50">
        <v>8040</v>
      </c>
      <c r="S243" s="101">
        <f t="shared" si="22"/>
        <v>0</v>
      </c>
      <c r="T243" s="101">
        <f t="shared" si="24"/>
        <v>-0.849999999999454</v>
      </c>
      <c r="U243" t="s">
        <v>42</v>
      </c>
    </row>
    <row r="244" hidden="1" spans="1:21">
      <c r="A244" s="103">
        <v>240</v>
      </c>
      <c r="B244" s="110" t="s">
        <v>1440</v>
      </c>
      <c r="C244" s="72">
        <v>88.4</v>
      </c>
      <c r="D244" s="73">
        <v>1788</v>
      </c>
      <c r="E244" s="73">
        <f t="shared" si="20"/>
        <v>158059</v>
      </c>
      <c r="F244" s="135" t="s">
        <v>1441</v>
      </c>
      <c r="G244" s="87">
        <v>158059</v>
      </c>
      <c r="H244" s="87">
        <f t="shared" si="21"/>
        <v>0</v>
      </c>
      <c r="I244" s="86"/>
      <c r="J244" s="86">
        <f>VLOOKUP(B244,'多浪一期账面房号及收款金额-分公司'!$A$2:$B$436,2,0)</f>
        <v>158059.65</v>
      </c>
      <c r="K244" s="87">
        <f t="shared" si="23"/>
        <v>-0.649999999994179</v>
      </c>
      <c r="L244" s="127"/>
      <c r="M244" s="127"/>
      <c r="P244" s="50">
        <v>150533</v>
      </c>
      <c r="R244" s="50">
        <v>7526</v>
      </c>
      <c r="S244" s="101">
        <f t="shared" si="22"/>
        <v>0</v>
      </c>
      <c r="T244" s="101">
        <f t="shared" si="24"/>
        <v>0.650000000000546</v>
      </c>
      <c r="U244" t="s">
        <v>42</v>
      </c>
    </row>
    <row r="245" hidden="1" spans="1:21">
      <c r="A245" s="103">
        <v>241</v>
      </c>
      <c r="B245" s="110" t="s">
        <v>1442</v>
      </c>
      <c r="C245" s="72">
        <v>88.4</v>
      </c>
      <c r="D245" s="73">
        <v>2460</v>
      </c>
      <c r="E245" s="73">
        <f t="shared" si="20"/>
        <v>217464</v>
      </c>
      <c r="F245" s="138">
        <v>1</v>
      </c>
      <c r="G245" s="87">
        <v>0</v>
      </c>
      <c r="H245" s="87">
        <f t="shared" si="21"/>
        <v>217464</v>
      </c>
      <c r="I245" s="86"/>
      <c r="J245" s="86"/>
      <c r="K245" s="87">
        <f t="shared" si="23"/>
        <v>0</v>
      </c>
      <c r="L245" s="127"/>
      <c r="M245" s="127"/>
      <c r="S245" s="101">
        <f t="shared" si="22"/>
        <v>0</v>
      </c>
      <c r="T245" s="101">
        <f t="shared" si="24"/>
        <v>0</v>
      </c>
      <c r="U245" t="s">
        <v>42</v>
      </c>
    </row>
    <row r="246" hidden="1" spans="1:21">
      <c r="A246" s="103">
        <v>242</v>
      </c>
      <c r="B246" s="110" t="s">
        <v>1443</v>
      </c>
      <c r="C246" s="72">
        <v>88.4</v>
      </c>
      <c r="D246" s="73">
        <v>2460</v>
      </c>
      <c r="E246" s="73">
        <f t="shared" si="20"/>
        <v>217464</v>
      </c>
      <c r="F246" s="135" t="s">
        <v>1444</v>
      </c>
      <c r="G246" s="87">
        <v>217464</v>
      </c>
      <c r="H246" s="87">
        <f t="shared" si="21"/>
        <v>0</v>
      </c>
      <c r="I246" s="86"/>
      <c r="J246" s="86">
        <f>VLOOKUP(B246,'多浪一期账面房号及收款金额-分公司'!$A$2:$B$436,2,0)</f>
        <v>217464.45</v>
      </c>
      <c r="K246" s="87">
        <f t="shared" si="23"/>
        <v>-0.450000000011642</v>
      </c>
      <c r="L246" s="127"/>
      <c r="M246" s="127"/>
      <c r="P246" s="50">
        <v>207109</v>
      </c>
      <c r="R246" s="50">
        <v>10355</v>
      </c>
      <c r="S246" s="101">
        <f t="shared" si="22"/>
        <v>0</v>
      </c>
      <c r="T246" s="101">
        <f t="shared" si="24"/>
        <v>0.450000000000728</v>
      </c>
      <c r="U246" t="s">
        <v>42</v>
      </c>
    </row>
    <row r="247" hidden="1" spans="1:21">
      <c r="A247" s="103">
        <v>243</v>
      </c>
      <c r="B247" s="110" t="s">
        <v>1445</v>
      </c>
      <c r="C247" s="72">
        <v>88.4</v>
      </c>
      <c r="D247" s="73">
        <v>2620</v>
      </c>
      <c r="E247" s="73">
        <f t="shared" si="20"/>
        <v>231608</v>
      </c>
      <c r="F247" s="135" t="s">
        <v>1207</v>
      </c>
      <c r="G247" s="87">
        <v>231608</v>
      </c>
      <c r="H247" s="87">
        <f t="shared" si="21"/>
        <v>0</v>
      </c>
      <c r="I247" s="86"/>
      <c r="J247" s="86">
        <f>VLOOKUP(B247,'多浪一期账面房号及收款金额-分公司'!$A$2:$B$436,2,0)</f>
        <v>231607.95</v>
      </c>
      <c r="K247" s="87">
        <f t="shared" si="23"/>
        <v>0.0499999999883585</v>
      </c>
      <c r="L247" s="127"/>
      <c r="M247" s="127"/>
      <c r="P247" s="50">
        <v>220579</v>
      </c>
      <c r="R247" s="50">
        <v>11029</v>
      </c>
      <c r="S247" s="101">
        <f t="shared" si="22"/>
        <v>0</v>
      </c>
      <c r="T247" s="101">
        <f t="shared" si="24"/>
        <v>-0.0499999999992724</v>
      </c>
      <c r="U247" t="s">
        <v>42</v>
      </c>
    </row>
    <row r="248" hidden="1" spans="1:21">
      <c r="A248" s="103">
        <v>244</v>
      </c>
      <c r="B248" s="110" t="s">
        <v>1446</v>
      </c>
      <c r="C248" s="72">
        <v>88.4</v>
      </c>
      <c r="D248" s="73">
        <v>2610</v>
      </c>
      <c r="E248" s="73">
        <f t="shared" si="20"/>
        <v>230724</v>
      </c>
      <c r="F248" s="135" t="s">
        <v>1447</v>
      </c>
      <c r="G248" s="87">
        <v>230724</v>
      </c>
      <c r="H248" s="87">
        <f t="shared" si="21"/>
        <v>0</v>
      </c>
      <c r="I248" s="86"/>
      <c r="J248" s="86">
        <f>VLOOKUP(B248,'多浪一期账面房号及收款金额-分公司'!$A$2:$B$436,2,0)</f>
        <v>230723.85</v>
      </c>
      <c r="K248" s="87">
        <f t="shared" si="23"/>
        <v>0.149999999994179</v>
      </c>
      <c r="L248" s="127"/>
      <c r="M248" s="127"/>
      <c r="P248" s="50">
        <v>219737</v>
      </c>
      <c r="R248" s="50">
        <v>10987</v>
      </c>
      <c r="S248" s="101">
        <f t="shared" si="22"/>
        <v>0</v>
      </c>
      <c r="T248" s="101">
        <f t="shared" si="24"/>
        <v>-0.149999999999636</v>
      </c>
      <c r="U248" t="s">
        <v>42</v>
      </c>
    </row>
    <row r="249" hidden="1" spans="1:21">
      <c r="A249" s="103">
        <v>245</v>
      </c>
      <c r="B249" s="110" t="s">
        <v>1448</v>
      </c>
      <c r="C249" s="72">
        <v>88.4</v>
      </c>
      <c r="D249" s="73">
        <v>2200</v>
      </c>
      <c r="E249" s="73">
        <f t="shared" si="20"/>
        <v>194480</v>
      </c>
      <c r="F249" s="135" t="s">
        <v>1449</v>
      </c>
      <c r="G249" s="87">
        <v>194480</v>
      </c>
      <c r="H249" s="87">
        <f t="shared" si="21"/>
        <v>0</v>
      </c>
      <c r="I249" s="86"/>
      <c r="J249" s="86">
        <f>VLOOKUP(B249,'多浪一期账面房号及收款金额-分公司'!$A$2:$B$436,2,0)</f>
        <v>194479.95</v>
      </c>
      <c r="K249" s="87">
        <f t="shared" si="23"/>
        <v>0.0499999999883585</v>
      </c>
      <c r="L249" s="127"/>
      <c r="M249" s="127"/>
      <c r="P249" s="50">
        <v>185219</v>
      </c>
      <c r="R249" s="50">
        <v>9261</v>
      </c>
      <c r="S249" s="101">
        <f t="shared" si="22"/>
        <v>0</v>
      </c>
      <c r="T249" s="101">
        <f t="shared" si="24"/>
        <v>-0.0499999999992724</v>
      </c>
      <c r="U249" t="s">
        <v>42</v>
      </c>
    </row>
    <row r="250" hidden="1" spans="1:21">
      <c r="A250" s="103">
        <v>246</v>
      </c>
      <c r="B250" s="110" t="s">
        <v>1450</v>
      </c>
      <c r="C250" s="72">
        <v>88.4</v>
      </c>
      <c r="D250" s="73">
        <v>2200</v>
      </c>
      <c r="E250" s="73">
        <f t="shared" si="20"/>
        <v>194480</v>
      </c>
      <c r="F250" s="135" t="s">
        <v>1451</v>
      </c>
      <c r="G250" s="87">
        <v>194480</v>
      </c>
      <c r="H250" s="87">
        <f t="shared" ref="H250:H256" si="26">E250-G250</f>
        <v>0</v>
      </c>
      <c r="I250" s="86"/>
      <c r="J250" s="86">
        <f>VLOOKUP(B250,'多浪一期账面房号及收款金额-分公司'!$A$2:$B$436,2,0)</f>
        <v>194479.95</v>
      </c>
      <c r="K250" s="87">
        <f t="shared" si="23"/>
        <v>0.0499999999883585</v>
      </c>
      <c r="L250" s="127"/>
      <c r="M250" s="127"/>
      <c r="P250" s="50">
        <v>185219</v>
      </c>
      <c r="R250" s="50">
        <v>9261</v>
      </c>
      <c r="S250" s="101">
        <f t="shared" si="22"/>
        <v>0</v>
      </c>
      <c r="T250" s="101">
        <f t="shared" si="24"/>
        <v>-0.0499999999992724</v>
      </c>
      <c r="U250" t="s">
        <v>42</v>
      </c>
    </row>
    <row r="251" hidden="1" spans="1:21">
      <c r="A251" s="103">
        <v>247</v>
      </c>
      <c r="B251" s="110" t="s">
        <v>1452</v>
      </c>
      <c r="C251" s="72">
        <v>88.4</v>
      </c>
      <c r="D251" s="73">
        <v>2000</v>
      </c>
      <c r="E251" s="73">
        <f t="shared" si="20"/>
        <v>176800</v>
      </c>
      <c r="F251" s="135" t="s">
        <v>1453</v>
      </c>
      <c r="G251" s="87">
        <v>176800</v>
      </c>
      <c r="H251" s="87">
        <f t="shared" si="26"/>
        <v>0</v>
      </c>
      <c r="I251" s="86"/>
      <c r="J251" s="86">
        <f>VLOOKUP(B251,'多浪一期账面房号及收款金额-分公司'!$A$2:$B$436,2,0)</f>
        <v>176800.05</v>
      </c>
      <c r="K251" s="87">
        <f t="shared" si="23"/>
        <v>-0.0499999999883585</v>
      </c>
      <c r="L251" s="127"/>
      <c r="M251" s="127"/>
      <c r="P251" s="50">
        <v>168381</v>
      </c>
      <c r="R251" s="50">
        <v>8419</v>
      </c>
      <c r="S251" s="101">
        <f t="shared" si="22"/>
        <v>0</v>
      </c>
      <c r="T251" s="101">
        <f t="shared" si="24"/>
        <v>0.0499999999992724</v>
      </c>
      <c r="U251" t="s">
        <v>42</v>
      </c>
    </row>
    <row r="252" hidden="1" spans="1:21">
      <c r="A252" s="103">
        <v>248</v>
      </c>
      <c r="B252" s="110" t="s">
        <v>1454</v>
      </c>
      <c r="C252" s="72">
        <v>88.4</v>
      </c>
      <c r="D252" s="73">
        <v>2000</v>
      </c>
      <c r="E252" s="73">
        <f t="shared" si="20"/>
        <v>176800</v>
      </c>
      <c r="F252" s="135" t="s">
        <v>1455</v>
      </c>
      <c r="G252" s="87">
        <v>176800</v>
      </c>
      <c r="H252" s="87">
        <f t="shared" si="26"/>
        <v>0</v>
      </c>
      <c r="I252" s="86"/>
      <c r="J252" s="86">
        <f>VLOOKUP(B252,'多浪一期账面房号及收款金额-分公司'!$A$2:$B$436,2,0)</f>
        <v>176800.05</v>
      </c>
      <c r="K252" s="87">
        <f t="shared" si="23"/>
        <v>-0.0499999999883585</v>
      </c>
      <c r="L252" s="127"/>
      <c r="M252" s="127"/>
      <c r="P252" s="50">
        <v>168381</v>
      </c>
      <c r="R252" s="50">
        <v>8419</v>
      </c>
      <c r="S252" s="101">
        <f t="shared" si="22"/>
        <v>0</v>
      </c>
      <c r="T252" s="101">
        <f t="shared" si="24"/>
        <v>0.0499999999992724</v>
      </c>
      <c r="U252" t="s">
        <v>42</v>
      </c>
    </row>
    <row r="253" hidden="1" spans="1:21">
      <c r="A253" s="103">
        <v>249</v>
      </c>
      <c r="B253" s="110" t="s">
        <v>1456</v>
      </c>
      <c r="C253" s="72">
        <v>88.4</v>
      </c>
      <c r="D253" s="73">
        <v>1788</v>
      </c>
      <c r="E253" s="73">
        <f t="shared" si="20"/>
        <v>158059</v>
      </c>
      <c r="F253" s="135" t="s">
        <v>1457</v>
      </c>
      <c r="G253" s="87">
        <v>158059</v>
      </c>
      <c r="H253" s="87">
        <f t="shared" si="26"/>
        <v>0</v>
      </c>
      <c r="I253" s="86"/>
      <c r="J253" s="86">
        <f>VLOOKUP(B253,'多浪一期账面房号及收款金额-分公司'!$A$2:$B$436,2,0)</f>
        <v>158058.6</v>
      </c>
      <c r="K253" s="87">
        <f t="shared" si="23"/>
        <v>0.399999999994179</v>
      </c>
      <c r="L253" s="127"/>
      <c r="M253" s="127"/>
      <c r="P253" s="50">
        <v>150532</v>
      </c>
      <c r="R253" s="50">
        <v>7527</v>
      </c>
      <c r="S253" s="101">
        <f t="shared" si="22"/>
        <v>0</v>
      </c>
      <c r="T253" s="101">
        <f t="shared" si="24"/>
        <v>-0.399999999999636</v>
      </c>
      <c r="U253" t="s">
        <v>42</v>
      </c>
    </row>
    <row r="254" hidden="1" spans="1:21">
      <c r="A254" s="103">
        <v>250</v>
      </c>
      <c r="B254" s="110" t="s">
        <v>1458</v>
      </c>
      <c r="C254" s="72">
        <v>88.4</v>
      </c>
      <c r="D254" s="73">
        <v>1788</v>
      </c>
      <c r="E254" s="73">
        <f t="shared" si="20"/>
        <v>158059</v>
      </c>
      <c r="F254" s="135" t="s">
        <v>1459</v>
      </c>
      <c r="G254" s="87">
        <v>158059</v>
      </c>
      <c r="H254" s="87">
        <f t="shared" si="26"/>
        <v>0</v>
      </c>
      <c r="I254" s="86"/>
      <c r="J254" s="86">
        <f>VLOOKUP(B254,'多浪一期账面房号及收款金额-分公司'!$A$2:$B$436,2,0)</f>
        <v>158059.65</v>
      </c>
      <c r="K254" s="87">
        <f t="shared" si="23"/>
        <v>-0.649999999994179</v>
      </c>
      <c r="L254" s="127"/>
      <c r="M254" s="127"/>
      <c r="P254" s="50">
        <v>150533</v>
      </c>
      <c r="R254" s="50">
        <v>7526</v>
      </c>
      <c r="S254" s="101">
        <f t="shared" si="22"/>
        <v>0</v>
      </c>
      <c r="T254" s="101">
        <f t="shared" si="24"/>
        <v>0.650000000000546</v>
      </c>
      <c r="U254" t="s">
        <v>42</v>
      </c>
    </row>
    <row r="255" hidden="1" spans="1:21">
      <c r="A255" s="103">
        <v>251</v>
      </c>
      <c r="B255" s="110" t="s">
        <v>1460</v>
      </c>
      <c r="C255" s="72">
        <v>88.4</v>
      </c>
      <c r="D255" s="73">
        <v>2460</v>
      </c>
      <c r="E255" s="73">
        <f t="shared" si="20"/>
        <v>217464</v>
      </c>
      <c r="F255" s="135" t="s">
        <v>1461</v>
      </c>
      <c r="G255" s="87">
        <v>217464</v>
      </c>
      <c r="H255" s="87">
        <f t="shared" si="26"/>
        <v>0</v>
      </c>
      <c r="I255" s="86"/>
      <c r="J255" s="86">
        <f>VLOOKUP(B255,'多浪一期账面房号及收款金额-分公司'!$A$2:$B$436,2,0)</f>
        <v>217463.4</v>
      </c>
      <c r="K255" s="87">
        <f t="shared" si="23"/>
        <v>0.600000000005821</v>
      </c>
      <c r="L255" s="127"/>
      <c r="M255" s="127"/>
      <c r="P255" s="50">
        <v>207108</v>
      </c>
      <c r="R255" s="50">
        <v>10356</v>
      </c>
      <c r="S255" s="101">
        <f t="shared" si="22"/>
        <v>0</v>
      </c>
      <c r="T255" s="101">
        <f t="shared" si="24"/>
        <v>-0.599999999998545</v>
      </c>
      <c r="U255" t="s">
        <v>42</v>
      </c>
    </row>
    <row r="256" hidden="1" spans="1:21">
      <c r="A256" s="103">
        <v>252</v>
      </c>
      <c r="B256" s="110" t="s">
        <v>1462</v>
      </c>
      <c r="C256" s="72">
        <v>92.12</v>
      </c>
      <c r="D256" s="73">
        <v>2500</v>
      </c>
      <c r="E256" s="73">
        <f t="shared" si="20"/>
        <v>230300</v>
      </c>
      <c r="F256" s="135" t="s">
        <v>1463</v>
      </c>
      <c r="G256" s="87">
        <v>230300</v>
      </c>
      <c r="H256" s="87">
        <f t="shared" si="26"/>
        <v>0</v>
      </c>
      <c r="I256" s="86"/>
      <c r="J256" s="86">
        <f>VLOOKUP(B256,'多浪一期账面房号及收款金额-分公司'!$A$2:$B$436,2,0)</f>
        <v>230299.65</v>
      </c>
      <c r="K256" s="87">
        <f t="shared" si="23"/>
        <v>0.350000000005821</v>
      </c>
      <c r="L256" s="127"/>
      <c r="M256" s="127"/>
      <c r="P256" s="50">
        <v>219333</v>
      </c>
      <c r="R256" s="50">
        <v>10967</v>
      </c>
      <c r="S256" s="101">
        <f t="shared" si="22"/>
        <v>0</v>
      </c>
      <c r="T256" s="101">
        <f t="shared" si="24"/>
        <v>-0.350000000000364</v>
      </c>
      <c r="U256" t="s">
        <v>42</v>
      </c>
    </row>
    <row r="257" hidden="1" spans="1:21">
      <c r="A257" s="103">
        <v>253</v>
      </c>
      <c r="B257" s="110" t="s">
        <v>1464</v>
      </c>
      <c r="C257" s="72">
        <v>88.4</v>
      </c>
      <c r="D257" s="73">
        <v>2560</v>
      </c>
      <c r="E257" s="73">
        <f t="shared" si="20"/>
        <v>226304</v>
      </c>
      <c r="F257" s="135" t="s">
        <v>1465</v>
      </c>
      <c r="G257" s="87">
        <v>226304</v>
      </c>
      <c r="H257" s="87">
        <f t="shared" ref="H257:H320" si="27">E257-G257</f>
        <v>0</v>
      </c>
      <c r="I257" s="86"/>
      <c r="J257" s="86">
        <f>VLOOKUP(B257,'多浪一期账面房号及收款金额-分公司'!$A$2:$B$436,2,0)</f>
        <v>226304.4</v>
      </c>
      <c r="K257" s="87">
        <f t="shared" si="23"/>
        <v>-0.399999999994179</v>
      </c>
      <c r="L257" s="127"/>
      <c r="M257" s="127"/>
      <c r="O257" s="100">
        <v>4762</v>
      </c>
      <c r="P257" s="50">
        <v>210766</v>
      </c>
      <c r="Q257" s="50">
        <v>4762</v>
      </c>
      <c r="R257" s="50">
        <f>10538+Q257*0.05</f>
        <v>10776.1</v>
      </c>
      <c r="S257" s="101">
        <f t="shared" si="22"/>
        <v>-2.91038304567337e-11</v>
      </c>
      <c r="T257" s="101">
        <f t="shared" si="24"/>
        <v>0.299999999999272</v>
      </c>
      <c r="U257" t="s">
        <v>42</v>
      </c>
    </row>
    <row r="258" s="99" customFormat="1" spans="1:21">
      <c r="A258" s="112">
        <v>254</v>
      </c>
      <c r="B258" s="113" t="s">
        <v>1466</v>
      </c>
      <c r="C258" s="114">
        <v>94.42</v>
      </c>
      <c r="D258" s="115">
        <v>2560</v>
      </c>
      <c r="E258" s="115">
        <f t="shared" si="20"/>
        <v>241715</v>
      </c>
      <c r="F258" s="137" t="s">
        <v>1467</v>
      </c>
      <c r="G258" s="95">
        <v>234162</v>
      </c>
      <c r="H258" s="95">
        <f t="shared" si="27"/>
        <v>7553</v>
      </c>
      <c r="I258" s="129"/>
      <c r="J258" s="129">
        <f>VLOOKUP(B258,'多浪一期账面房号及收款金额-分公司'!$A$2:$B$436,2,0)</f>
        <v>234162.6</v>
      </c>
      <c r="K258" s="95">
        <f t="shared" si="23"/>
        <v>-0.600000000005821</v>
      </c>
      <c r="L258" s="130"/>
      <c r="M258" s="130"/>
      <c r="N258" s="99">
        <f>VLOOKUP(B258,[4]Sheet1!$D$5:$N$69,11,0)</f>
        <v>223012</v>
      </c>
      <c r="P258" s="131"/>
      <c r="Q258" s="131"/>
      <c r="R258" s="131">
        <v>11150.6</v>
      </c>
      <c r="S258" s="131">
        <f t="shared" si="22"/>
        <v>223012</v>
      </c>
      <c r="T258" s="131">
        <f t="shared" si="24"/>
        <v>0</v>
      </c>
      <c r="U258" s="21" t="s">
        <v>1098</v>
      </c>
    </row>
    <row r="259" hidden="1" spans="1:21">
      <c r="A259" s="103">
        <v>255</v>
      </c>
      <c r="B259" s="110" t="s">
        <v>1468</v>
      </c>
      <c r="C259" s="72">
        <v>88.4</v>
      </c>
      <c r="D259" s="73">
        <v>2300</v>
      </c>
      <c r="E259" s="73">
        <f t="shared" si="20"/>
        <v>203320</v>
      </c>
      <c r="F259" s="135" t="s">
        <v>1469</v>
      </c>
      <c r="G259" s="87">
        <v>206465</v>
      </c>
      <c r="H259" s="87">
        <f t="shared" si="27"/>
        <v>-3145</v>
      </c>
      <c r="I259" s="86"/>
      <c r="J259" s="86">
        <f>VLOOKUP(B259,'多浪一期账面房号及收款金额-分公司'!$A$2:$B$436,2,0)</f>
        <v>206464.398</v>
      </c>
      <c r="K259" s="87">
        <f t="shared" si="23"/>
        <v>0.602000000013504</v>
      </c>
      <c r="L259" s="127"/>
      <c r="M259" s="127"/>
      <c r="O259" s="100">
        <f>122804.76+193638.1-162972.1</f>
        <v>153470.76</v>
      </c>
      <c r="P259" s="50">
        <v>43162</v>
      </c>
      <c r="Q259" s="50">
        <f>193638.1-162972.1+122804.76</f>
        <v>153470.76</v>
      </c>
      <c r="R259" s="50">
        <f>2158+Q259*0.05</f>
        <v>9831.538</v>
      </c>
      <c r="S259" s="101">
        <f t="shared" si="22"/>
        <v>0</v>
      </c>
      <c r="T259" s="101">
        <f t="shared" si="24"/>
        <v>0.0999999999985448</v>
      </c>
      <c r="U259" t="s">
        <v>42</v>
      </c>
    </row>
    <row r="260" hidden="1" spans="1:21">
      <c r="A260" s="103">
        <v>256</v>
      </c>
      <c r="B260" s="110" t="s">
        <v>1470</v>
      </c>
      <c r="C260" s="72">
        <v>94.42</v>
      </c>
      <c r="D260" s="73">
        <v>2300</v>
      </c>
      <c r="E260" s="73">
        <f t="shared" si="20"/>
        <v>217166</v>
      </c>
      <c r="F260" s="135" t="s">
        <v>1471</v>
      </c>
      <c r="G260" s="87">
        <v>217166</v>
      </c>
      <c r="H260" s="87">
        <f t="shared" si="27"/>
        <v>0</v>
      </c>
      <c r="I260" s="86"/>
      <c r="J260" s="86">
        <f>VLOOKUP(B260,'多浪一期账面房号及收款金额-分公司'!$A$2:$B$436,2,0)</f>
        <v>217166.25</v>
      </c>
      <c r="K260" s="87">
        <f t="shared" si="23"/>
        <v>-0.25</v>
      </c>
      <c r="L260" s="127"/>
      <c r="M260" s="127"/>
      <c r="P260" s="50">
        <v>206825</v>
      </c>
      <c r="R260" s="50">
        <v>10341</v>
      </c>
      <c r="S260" s="101">
        <f t="shared" si="22"/>
        <v>0</v>
      </c>
      <c r="T260" s="101">
        <f t="shared" si="24"/>
        <v>0.25</v>
      </c>
      <c r="U260" t="s">
        <v>42</v>
      </c>
    </row>
    <row r="261" hidden="1" spans="1:21">
      <c r="A261" s="103">
        <v>257</v>
      </c>
      <c r="B261" s="110" t="s">
        <v>1472</v>
      </c>
      <c r="C261" s="72">
        <v>88.4</v>
      </c>
      <c r="D261" s="73">
        <v>2000</v>
      </c>
      <c r="E261" s="73">
        <f t="shared" ref="E261:E306" si="28">ROUND(IF(F261&lt;&gt;0,C261*D261,0),0)</f>
        <v>176800</v>
      </c>
      <c r="F261" s="135" t="s">
        <v>1473</v>
      </c>
      <c r="G261" s="87">
        <v>176800</v>
      </c>
      <c r="H261" s="87">
        <f t="shared" si="27"/>
        <v>0</v>
      </c>
      <c r="I261" s="86"/>
      <c r="J261" s="86">
        <f>VLOOKUP(B261,'多浪一期账面房号及收款金额-分公司'!$A$2:$B$436,2,0)</f>
        <v>176799</v>
      </c>
      <c r="K261" s="87">
        <f t="shared" si="23"/>
        <v>1</v>
      </c>
      <c r="L261" s="127"/>
      <c r="M261" s="127"/>
      <c r="P261" s="50">
        <v>168380</v>
      </c>
      <c r="R261" s="50">
        <v>8420</v>
      </c>
      <c r="S261" s="101">
        <f t="shared" ref="S261:S324" si="29">J261/1.05-P261-Q261</f>
        <v>0</v>
      </c>
      <c r="T261" s="101">
        <f t="shared" si="24"/>
        <v>-1</v>
      </c>
      <c r="U261" t="s">
        <v>42</v>
      </c>
    </row>
    <row r="262" hidden="1" spans="1:21">
      <c r="A262" s="103">
        <v>258</v>
      </c>
      <c r="B262" s="110" t="s">
        <v>1474</v>
      </c>
      <c r="C262" s="72">
        <v>94.42</v>
      </c>
      <c r="D262" s="73">
        <v>2100</v>
      </c>
      <c r="E262" s="73">
        <f t="shared" si="28"/>
        <v>198282</v>
      </c>
      <c r="F262" s="135" t="s">
        <v>1475</v>
      </c>
      <c r="G262" s="87">
        <v>198282</v>
      </c>
      <c r="H262" s="87">
        <f t="shared" si="27"/>
        <v>0</v>
      </c>
      <c r="I262" s="86"/>
      <c r="J262" s="86">
        <f>VLOOKUP(B262,'多浪一期账面房号及收款金额-分公司'!$A$2:$B$436,2,0)</f>
        <v>198282</v>
      </c>
      <c r="K262" s="87">
        <f t="shared" ref="K262:K325" si="30">G262-I262-J262</f>
        <v>0</v>
      </c>
      <c r="L262" s="127"/>
      <c r="M262" s="127"/>
      <c r="P262" s="50">
        <v>188840</v>
      </c>
      <c r="R262" s="50">
        <v>9442</v>
      </c>
      <c r="S262" s="101">
        <f t="shared" si="29"/>
        <v>0</v>
      </c>
      <c r="T262" s="101">
        <f t="shared" si="24"/>
        <v>0</v>
      </c>
      <c r="U262" t="s">
        <v>42</v>
      </c>
    </row>
    <row r="263" hidden="1" spans="1:21">
      <c r="A263" s="103">
        <v>259</v>
      </c>
      <c r="B263" s="110" t="s">
        <v>1476</v>
      </c>
      <c r="C263" s="72">
        <v>88.4</v>
      </c>
      <c r="D263" s="73">
        <v>2000</v>
      </c>
      <c r="E263" s="73">
        <f t="shared" si="28"/>
        <v>176800</v>
      </c>
      <c r="F263" s="135" t="s">
        <v>1477</v>
      </c>
      <c r="G263" s="87">
        <v>176800</v>
      </c>
      <c r="H263" s="87">
        <f t="shared" si="27"/>
        <v>0</v>
      </c>
      <c r="I263" s="86"/>
      <c r="J263" s="86">
        <v>176800</v>
      </c>
      <c r="K263" s="87">
        <f t="shared" si="30"/>
        <v>0</v>
      </c>
      <c r="L263" s="132" t="s">
        <v>1478</v>
      </c>
      <c r="M263" s="127"/>
      <c r="N263" s="128">
        <v>-66723</v>
      </c>
      <c r="P263" s="50">
        <v>235104</v>
      </c>
      <c r="R263" s="50">
        <v>8419</v>
      </c>
      <c r="S263" s="101">
        <f t="shared" si="29"/>
        <v>-66723.0476190476</v>
      </c>
      <c r="T263" s="101">
        <f t="shared" si="24"/>
        <v>0.0476190476183547</v>
      </c>
      <c r="U263" t="s">
        <v>1098</v>
      </c>
    </row>
    <row r="264" hidden="1" spans="1:21">
      <c r="A264" s="103">
        <v>260</v>
      </c>
      <c r="B264" s="110" t="s">
        <v>1479</v>
      </c>
      <c r="C264" s="72">
        <v>94.42</v>
      </c>
      <c r="D264" s="73">
        <v>1788</v>
      </c>
      <c r="E264" s="73">
        <f t="shared" si="28"/>
        <v>168823</v>
      </c>
      <c r="F264" s="135" t="s">
        <v>1480</v>
      </c>
      <c r="G264" s="87">
        <v>168823</v>
      </c>
      <c r="H264" s="87">
        <f t="shared" si="27"/>
        <v>0</v>
      </c>
      <c r="I264" s="86"/>
      <c r="J264" s="86">
        <f>VLOOKUP(B264,'多浪一期账面房号及收款金额-分公司'!$A$2:$B$436,2,0)</f>
        <v>168822.15</v>
      </c>
      <c r="K264" s="87">
        <f t="shared" si="30"/>
        <v>0.850000000005821</v>
      </c>
      <c r="L264" s="127"/>
      <c r="M264" s="127"/>
      <c r="P264" s="50">
        <v>160783</v>
      </c>
      <c r="R264" s="50">
        <v>8040</v>
      </c>
      <c r="S264" s="101">
        <f t="shared" si="29"/>
        <v>0</v>
      </c>
      <c r="T264" s="101">
        <f t="shared" ref="T264:T327" si="31">J264/1.05*0.05-R264</f>
        <v>-0.849999999999454</v>
      </c>
      <c r="U264" t="s">
        <v>42</v>
      </c>
    </row>
    <row r="265" hidden="1" spans="1:21">
      <c r="A265" s="103">
        <v>261</v>
      </c>
      <c r="B265" s="109" t="s">
        <v>1481</v>
      </c>
      <c r="C265" s="72">
        <v>90.5</v>
      </c>
      <c r="D265" s="73">
        <v>2500</v>
      </c>
      <c r="E265" s="73">
        <f t="shared" si="28"/>
        <v>226250</v>
      </c>
      <c r="F265" s="135" t="s">
        <v>1482</v>
      </c>
      <c r="G265" s="87">
        <v>226250</v>
      </c>
      <c r="H265" s="87">
        <f t="shared" si="27"/>
        <v>0</v>
      </c>
      <c r="I265" s="86"/>
      <c r="J265" s="86">
        <f>VLOOKUP(B265,'多浪一期账面房号及收款金额-分公司'!$A$2:$B$436,2,0)</f>
        <v>226249.8</v>
      </c>
      <c r="K265" s="87">
        <f t="shared" si="30"/>
        <v>0.200000000011642</v>
      </c>
      <c r="L265" s="127"/>
      <c r="M265" s="127"/>
      <c r="P265" s="50">
        <v>215476</v>
      </c>
      <c r="R265" s="50">
        <v>10774</v>
      </c>
      <c r="S265" s="101">
        <f t="shared" si="29"/>
        <v>0</v>
      </c>
      <c r="T265" s="101">
        <f t="shared" si="31"/>
        <v>-0.200000000000728</v>
      </c>
      <c r="U265" t="s">
        <v>42</v>
      </c>
    </row>
    <row r="266" s="99" customFormat="1" spans="1:21">
      <c r="A266" s="112">
        <v>262</v>
      </c>
      <c r="B266" s="113" t="s">
        <v>1483</v>
      </c>
      <c r="C266" s="114">
        <v>90.08</v>
      </c>
      <c r="D266" s="115">
        <v>2500</v>
      </c>
      <c r="E266" s="115">
        <f t="shared" si="28"/>
        <v>225200</v>
      </c>
      <c r="F266" s="137" t="s">
        <v>1484</v>
      </c>
      <c r="G266" s="95">
        <v>225200</v>
      </c>
      <c r="H266" s="95">
        <f t="shared" si="27"/>
        <v>0</v>
      </c>
      <c r="I266" s="129"/>
      <c r="J266" s="129">
        <f>VLOOKUP(B266,'多浪一期账面房号及收款金额-分公司'!$A$2:$B$436,2,0)</f>
        <v>225200.85</v>
      </c>
      <c r="K266" s="95">
        <f t="shared" si="30"/>
        <v>-0.850000000005821</v>
      </c>
      <c r="L266" s="130"/>
      <c r="M266" s="130"/>
      <c r="N266" s="99">
        <f>VLOOKUP(B266,[4]Sheet1!$D$5:$N$69,11,0)</f>
        <v>19048</v>
      </c>
      <c r="P266" s="131">
        <v>195429</v>
      </c>
      <c r="Q266" s="131"/>
      <c r="R266" s="131">
        <f>9771+952</f>
        <v>10723</v>
      </c>
      <c r="S266" s="131">
        <f t="shared" si="29"/>
        <v>19048</v>
      </c>
      <c r="T266" s="131">
        <f t="shared" si="31"/>
        <v>0.850000000000364</v>
      </c>
      <c r="U266" s="21" t="s">
        <v>1098</v>
      </c>
    </row>
    <row r="267" hidden="1" spans="1:21">
      <c r="A267" s="103">
        <v>263</v>
      </c>
      <c r="B267" s="110" t="s">
        <v>1485</v>
      </c>
      <c r="C267" s="72">
        <v>90.5</v>
      </c>
      <c r="D267" s="73">
        <v>2500</v>
      </c>
      <c r="E267" s="73">
        <f t="shared" si="28"/>
        <v>226250</v>
      </c>
      <c r="F267" s="135" t="s">
        <v>1486</v>
      </c>
      <c r="G267" s="87">
        <v>226250</v>
      </c>
      <c r="H267" s="87">
        <f t="shared" si="27"/>
        <v>0</v>
      </c>
      <c r="I267" s="86"/>
      <c r="J267" s="86">
        <f>VLOOKUP(B267,'多浪一期账面房号及收款金额-分公司'!$A$2:$B$436,2,0)</f>
        <v>226249.8</v>
      </c>
      <c r="K267" s="87">
        <f t="shared" si="30"/>
        <v>0.200000000011642</v>
      </c>
      <c r="L267" s="127"/>
      <c r="M267" s="127"/>
      <c r="P267" s="50">
        <v>215476</v>
      </c>
      <c r="R267" s="50">
        <v>10774</v>
      </c>
      <c r="S267" s="101">
        <f t="shared" si="29"/>
        <v>0</v>
      </c>
      <c r="T267" s="101">
        <f t="shared" si="31"/>
        <v>-0.200000000000728</v>
      </c>
      <c r="U267" t="s">
        <v>42</v>
      </c>
    </row>
    <row r="268" hidden="1" spans="1:21">
      <c r="A268" s="103">
        <v>264</v>
      </c>
      <c r="B268" s="110" t="s">
        <v>1487</v>
      </c>
      <c r="C268" s="72">
        <v>90.08</v>
      </c>
      <c r="D268" s="73">
        <v>2600</v>
      </c>
      <c r="E268" s="73">
        <f t="shared" si="28"/>
        <v>234208</v>
      </c>
      <c r="F268" s="94" t="s">
        <v>1488</v>
      </c>
      <c r="G268" s="87">
        <v>227200</v>
      </c>
      <c r="H268" s="87">
        <f t="shared" si="27"/>
        <v>7008</v>
      </c>
      <c r="I268" s="86"/>
      <c r="J268" s="86">
        <f>VLOOKUP(B268,'多浪一期账面房号及收款金额-分公司'!$A$2:$B$436,2,0)</f>
        <v>235201.05</v>
      </c>
      <c r="K268" s="87">
        <f t="shared" si="30"/>
        <v>-8001.04999999999</v>
      </c>
      <c r="L268" s="127"/>
      <c r="M268" s="127"/>
      <c r="N268" s="100">
        <f>VLOOKUP(B268,[4]Sheet1!$D$5:$N$69,11,0)</f>
        <v>0</v>
      </c>
      <c r="O268" s="100">
        <f>214477+225200-225200</f>
        <v>214477</v>
      </c>
      <c r="P268" s="50">
        <v>9524</v>
      </c>
      <c r="Q268" s="50">
        <f>214477+214476.19-214476.19</f>
        <v>214477</v>
      </c>
      <c r="R268" s="50">
        <f>476+Q268*0.05</f>
        <v>11199.85</v>
      </c>
      <c r="S268" s="101">
        <f t="shared" si="29"/>
        <v>0</v>
      </c>
      <c r="T268" s="101">
        <f t="shared" si="31"/>
        <v>0.199999999998909</v>
      </c>
      <c r="U268" t="s">
        <v>42</v>
      </c>
    </row>
    <row r="269" hidden="1" spans="1:21">
      <c r="A269" s="103">
        <v>265</v>
      </c>
      <c r="B269" s="110" t="s">
        <v>1489</v>
      </c>
      <c r="C269" s="72">
        <v>90.5</v>
      </c>
      <c r="D269" s="73">
        <v>2400</v>
      </c>
      <c r="E269" s="73">
        <f t="shared" si="28"/>
        <v>217200</v>
      </c>
      <c r="F269" s="94" t="s">
        <v>1490</v>
      </c>
      <c r="G269" s="87">
        <v>217200</v>
      </c>
      <c r="H269" s="87">
        <f t="shared" si="27"/>
        <v>0</v>
      </c>
      <c r="I269" s="86"/>
      <c r="J269" s="86">
        <f>VLOOKUP(B269,'多浪一期账面房号及收款金额-分公司'!$A$2:$B$436,2,0)</f>
        <v>219200.3415</v>
      </c>
      <c r="K269" s="87">
        <f t="shared" si="30"/>
        <v>-2000.34150000001</v>
      </c>
      <c r="L269" s="127"/>
      <c r="M269" s="127"/>
      <c r="O269" s="100">
        <f>44952.38+142857.14+14285.71+206857.14-202095.14</f>
        <v>206857.23</v>
      </c>
      <c r="P269" s="50">
        <v>1905</v>
      </c>
      <c r="Q269" s="50">
        <f>44952.38+142857.14+14285.71+206857.14-202095.14</f>
        <v>206857.23</v>
      </c>
      <c r="R269" s="50">
        <f>95+Q269*0.05</f>
        <v>10437.8615</v>
      </c>
      <c r="S269" s="101">
        <f t="shared" si="29"/>
        <v>0</v>
      </c>
      <c r="T269" s="101">
        <f t="shared" si="31"/>
        <v>0.25</v>
      </c>
      <c r="U269" t="s">
        <v>42</v>
      </c>
    </row>
    <row r="270" hidden="1" spans="1:21">
      <c r="A270" s="103">
        <v>266</v>
      </c>
      <c r="B270" s="110" t="s">
        <v>1491</v>
      </c>
      <c r="C270" s="72">
        <v>90.08</v>
      </c>
      <c r="D270" s="73">
        <v>2470</v>
      </c>
      <c r="E270" s="73">
        <f t="shared" si="28"/>
        <v>222498</v>
      </c>
      <c r="F270" s="135" t="s">
        <v>1492</v>
      </c>
      <c r="G270" s="87">
        <v>222498</v>
      </c>
      <c r="H270" s="87">
        <f t="shared" si="27"/>
        <v>0</v>
      </c>
      <c r="I270" s="86"/>
      <c r="J270" s="86">
        <f>VLOOKUP(B270,'多浪一期账面房号及收款金额-分公司'!$A$2:$B$436,2,0)</f>
        <v>222498.15</v>
      </c>
      <c r="K270" s="87">
        <f t="shared" si="30"/>
        <v>-0.149999999994179</v>
      </c>
      <c r="L270" s="127"/>
      <c r="M270" s="127"/>
      <c r="P270" s="50">
        <v>211903</v>
      </c>
      <c r="R270" s="50">
        <v>10595</v>
      </c>
      <c r="S270" s="101">
        <f t="shared" si="29"/>
        <v>0</v>
      </c>
      <c r="T270" s="101">
        <f t="shared" si="31"/>
        <v>0.150000000001455</v>
      </c>
      <c r="U270" t="s">
        <v>42</v>
      </c>
    </row>
    <row r="271" hidden="1" spans="1:21">
      <c r="A271" s="103">
        <v>267</v>
      </c>
      <c r="B271" s="110" t="s">
        <v>1493</v>
      </c>
      <c r="C271" s="72">
        <v>90.5</v>
      </c>
      <c r="D271" s="73">
        <v>2200</v>
      </c>
      <c r="E271" s="73">
        <f t="shared" si="28"/>
        <v>199100</v>
      </c>
      <c r="F271" s="135" t="s">
        <v>1494</v>
      </c>
      <c r="G271" s="87">
        <v>199100</v>
      </c>
      <c r="H271" s="87">
        <f t="shared" si="27"/>
        <v>0</v>
      </c>
      <c r="I271" s="86"/>
      <c r="J271" s="86">
        <f>VLOOKUP(B271,'多浪一期账面房号及收款金额-分公司'!$A$2:$B$436,2,0)</f>
        <v>199099.95</v>
      </c>
      <c r="K271" s="87">
        <f t="shared" si="30"/>
        <v>0.0499999999883585</v>
      </c>
      <c r="L271" s="127"/>
      <c r="M271" s="127"/>
      <c r="P271" s="50">
        <v>189619</v>
      </c>
      <c r="R271" s="50">
        <v>9481</v>
      </c>
      <c r="S271" s="101">
        <f t="shared" si="29"/>
        <v>0</v>
      </c>
      <c r="T271" s="101">
        <f t="shared" si="31"/>
        <v>-0.0499999999992724</v>
      </c>
      <c r="U271" t="s">
        <v>42</v>
      </c>
    </row>
    <row r="272" hidden="1" spans="1:21">
      <c r="A272" s="103">
        <v>268</v>
      </c>
      <c r="B272" s="110" t="s">
        <v>1495</v>
      </c>
      <c r="C272" s="72">
        <v>90.08</v>
      </c>
      <c r="D272" s="73">
        <v>2200</v>
      </c>
      <c r="E272" s="73">
        <f t="shared" si="28"/>
        <v>198176</v>
      </c>
      <c r="F272" s="135" t="s">
        <v>1496</v>
      </c>
      <c r="G272" s="87">
        <v>198176</v>
      </c>
      <c r="H272" s="87">
        <f t="shared" si="27"/>
        <v>0</v>
      </c>
      <c r="I272" s="86"/>
      <c r="J272" s="86">
        <f>VLOOKUP(B272,'多浪一期账面房号及收款金额-分公司'!$A$2:$B$436,2,0)</f>
        <v>198175.95</v>
      </c>
      <c r="K272" s="87">
        <f t="shared" si="30"/>
        <v>0.0499999999883585</v>
      </c>
      <c r="L272" s="127"/>
      <c r="M272" s="127"/>
      <c r="P272" s="50">
        <v>188739</v>
      </c>
      <c r="R272" s="50">
        <v>9437</v>
      </c>
      <c r="S272" s="101">
        <f t="shared" si="29"/>
        <v>0</v>
      </c>
      <c r="T272" s="101">
        <f t="shared" si="31"/>
        <v>-0.0499999999992724</v>
      </c>
      <c r="U272" t="s">
        <v>42</v>
      </c>
    </row>
    <row r="273" hidden="1" spans="1:21">
      <c r="A273" s="103">
        <v>269</v>
      </c>
      <c r="B273" s="110" t="s">
        <v>1497</v>
      </c>
      <c r="C273" s="72">
        <v>90.5</v>
      </c>
      <c r="D273" s="73">
        <v>1900</v>
      </c>
      <c r="E273" s="73">
        <f t="shared" si="28"/>
        <v>171950</v>
      </c>
      <c r="F273" s="135" t="s">
        <v>1498</v>
      </c>
      <c r="G273" s="87">
        <v>171950</v>
      </c>
      <c r="H273" s="87">
        <f t="shared" si="27"/>
        <v>0</v>
      </c>
      <c r="I273" s="86"/>
      <c r="J273" s="86">
        <f>VLOOKUP(B273,'多浪一期账面房号及收款金额-分公司'!$A$2:$B$436,2,0)</f>
        <v>171950.1</v>
      </c>
      <c r="K273" s="87">
        <f t="shared" si="30"/>
        <v>-0.100000000005821</v>
      </c>
      <c r="L273" s="127"/>
      <c r="M273" s="127"/>
      <c r="N273" s="100">
        <f>VLOOKUP(B273,[4]Sheet1!$D$5:$N$69,11,0)</f>
        <v>-52902.29</v>
      </c>
      <c r="O273" s="100">
        <f>44714.29+171950</f>
        <v>216664.29</v>
      </c>
      <c r="P273" s="50">
        <v>6571</v>
      </c>
      <c r="Q273" s="50">
        <f>44714.29+171950/1.05</f>
        <v>208476.194761905</v>
      </c>
      <c r="R273" s="50">
        <v>8516.65</v>
      </c>
      <c r="S273" s="101">
        <f t="shared" si="29"/>
        <v>-51285.194761905</v>
      </c>
      <c r="T273" s="101">
        <f t="shared" si="31"/>
        <v>-328.549999999999</v>
      </c>
      <c r="U273" s="21"/>
    </row>
    <row r="274" hidden="1" spans="1:21">
      <c r="A274" s="103">
        <v>270</v>
      </c>
      <c r="B274" s="110" t="s">
        <v>1499</v>
      </c>
      <c r="C274" s="72">
        <v>90.08</v>
      </c>
      <c r="D274" s="73">
        <v>1980</v>
      </c>
      <c r="E274" s="73">
        <f t="shared" si="28"/>
        <v>178358</v>
      </c>
      <c r="F274" s="135" t="s">
        <v>1500</v>
      </c>
      <c r="G274" s="87">
        <v>178358</v>
      </c>
      <c r="H274" s="87">
        <f t="shared" si="27"/>
        <v>0</v>
      </c>
      <c r="I274" s="86"/>
      <c r="J274" s="86">
        <f>VLOOKUP(B274,'多浪一期账面房号及收款金额-分公司'!$A$2:$B$436,2,0)</f>
        <v>178358.25</v>
      </c>
      <c r="K274" s="87">
        <f t="shared" si="30"/>
        <v>-0.25</v>
      </c>
      <c r="L274" s="127"/>
      <c r="M274" s="127"/>
      <c r="P274" s="50">
        <v>169865</v>
      </c>
      <c r="R274" s="50">
        <f t="shared" ref="R274:R277" si="32">P274*0.05</f>
        <v>8493.25</v>
      </c>
      <c r="S274" s="101">
        <f t="shared" si="29"/>
        <v>0</v>
      </c>
      <c r="T274" s="101">
        <f t="shared" si="31"/>
        <v>0</v>
      </c>
      <c r="U274" t="s">
        <v>42</v>
      </c>
    </row>
    <row r="275" hidden="1" spans="1:21">
      <c r="A275" s="103">
        <v>271</v>
      </c>
      <c r="B275" s="110" t="s">
        <v>1501</v>
      </c>
      <c r="C275" s="72">
        <v>90.08</v>
      </c>
      <c r="D275" s="73">
        <v>2460</v>
      </c>
      <c r="E275" s="73">
        <f t="shared" si="28"/>
        <v>221597</v>
      </c>
      <c r="F275" s="135" t="s">
        <v>1502</v>
      </c>
      <c r="G275" s="87">
        <v>221597</v>
      </c>
      <c r="H275" s="87">
        <f t="shared" si="27"/>
        <v>0</v>
      </c>
      <c r="I275" s="86"/>
      <c r="J275" s="86">
        <f>VLOOKUP(B275,'多浪一期账面房号及收款金额-分公司'!$A$2:$B$436,2,0)</f>
        <v>221597.25</v>
      </c>
      <c r="K275" s="87">
        <f t="shared" si="30"/>
        <v>-0.25</v>
      </c>
      <c r="L275" s="127"/>
      <c r="M275" s="127"/>
      <c r="P275" s="50">
        <v>211045</v>
      </c>
      <c r="R275" s="50">
        <f t="shared" si="32"/>
        <v>10552.25</v>
      </c>
      <c r="S275" s="101">
        <f t="shared" si="29"/>
        <v>0</v>
      </c>
      <c r="T275" s="101">
        <f t="shared" si="31"/>
        <v>0</v>
      </c>
      <c r="U275" t="s">
        <v>42</v>
      </c>
    </row>
    <row r="276" hidden="1" spans="1:21">
      <c r="A276" s="103">
        <v>272</v>
      </c>
      <c r="B276" s="110" t="s">
        <v>1503</v>
      </c>
      <c r="C276" s="72">
        <v>90.5</v>
      </c>
      <c r="D276" s="73">
        <v>2600</v>
      </c>
      <c r="E276" s="73">
        <f t="shared" si="28"/>
        <v>235300</v>
      </c>
      <c r="F276" s="135" t="s">
        <v>1504</v>
      </c>
      <c r="G276" s="87">
        <v>235300</v>
      </c>
      <c r="H276" s="87">
        <f t="shared" si="27"/>
        <v>0</v>
      </c>
      <c r="I276" s="86"/>
      <c r="J276" s="86">
        <f>VLOOKUP(B276,'多浪一期账面房号及收款金额-分公司'!$A$2:$B$436,2,0)</f>
        <v>235299.25</v>
      </c>
      <c r="K276" s="87">
        <f t="shared" si="30"/>
        <v>0.75</v>
      </c>
      <c r="L276" s="127"/>
      <c r="M276" s="127"/>
      <c r="N276" s="100">
        <f>VLOOKUP(B276,[4]Sheet1!$D$5:$N$69,11,0)</f>
        <v>-76729</v>
      </c>
      <c r="O276" s="100">
        <v>235300</v>
      </c>
      <c r="P276" s="50">
        <v>71714</v>
      </c>
      <c r="Q276" s="50">
        <f>235300/1.05</f>
        <v>224095.238095238</v>
      </c>
      <c r="R276" s="50">
        <v>5015</v>
      </c>
      <c r="S276" s="101">
        <f t="shared" si="29"/>
        <v>-71714.7142857142</v>
      </c>
      <c r="T276" s="101">
        <f t="shared" si="31"/>
        <v>6189.72619047619</v>
      </c>
      <c r="U276" s="21"/>
    </row>
    <row r="277" hidden="1" spans="1:21">
      <c r="A277" s="103">
        <v>273</v>
      </c>
      <c r="B277" s="110" t="s">
        <v>1505</v>
      </c>
      <c r="C277" s="72">
        <v>90.08</v>
      </c>
      <c r="D277" s="73">
        <v>2560</v>
      </c>
      <c r="E277" s="73">
        <f t="shared" si="28"/>
        <v>230605</v>
      </c>
      <c r="F277" s="135" t="s">
        <v>1506</v>
      </c>
      <c r="G277" s="87">
        <v>220605</v>
      </c>
      <c r="H277" s="87">
        <f t="shared" si="27"/>
        <v>10000</v>
      </c>
      <c r="I277" s="86"/>
      <c r="J277" s="86">
        <f>VLOOKUP(B277,'多浪一期账面房号及收款金额-分公司'!$A$2:$B$436,2,0)</f>
        <v>220606.05</v>
      </c>
      <c r="K277" s="87">
        <f t="shared" si="30"/>
        <v>-1.04999999998836</v>
      </c>
      <c r="L277" s="127"/>
      <c r="M277" s="127"/>
      <c r="P277" s="50">
        <v>210101</v>
      </c>
      <c r="R277" s="50">
        <f t="shared" si="32"/>
        <v>10505.05</v>
      </c>
      <c r="S277" s="101">
        <f t="shared" si="29"/>
        <v>0</v>
      </c>
      <c r="T277" s="101">
        <f t="shared" si="31"/>
        <v>0</v>
      </c>
      <c r="U277" t="s">
        <v>42</v>
      </c>
    </row>
    <row r="278" hidden="1" spans="1:21">
      <c r="A278" s="103">
        <v>274</v>
      </c>
      <c r="B278" s="110" t="s">
        <v>1507</v>
      </c>
      <c r="C278" s="72">
        <v>90.5</v>
      </c>
      <c r="D278" s="73">
        <v>2500</v>
      </c>
      <c r="E278" s="73">
        <f t="shared" si="28"/>
        <v>226250</v>
      </c>
      <c r="F278" s="135" t="s">
        <v>1508</v>
      </c>
      <c r="G278" s="87">
        <v>226250</v>
      </c>
      <c r="H278" s="87">
        <f t="shared" si="27"/>
        <v>0</v>
      </c>
      <c r="I278" s="86"/>
      <c r="J278" s="86">
        <f>VLOOKUP(B278,'多浪一期账面房号及收款金额-分公司'!$A$2:$B$436,2,0)</f>
        <v>226249.8</v>
      </c>
      <c r="K278" s="87">
        <f t="shared" si="30"/>
        <v>0.200000000011642</v>
      </c>
      <c r="L278" s="127"/>
      <c r="M278" s="127"/>
      <c r="O278" s="100">
        <f>215476.19-50714.19</f>
        <v>164762</v>
      </c>
      <c r="P278" s="50">
        <v>50714</v>
      </c>
      <c r="Q278" s="50">
        <f>215476.19-50714.19</f>
        <v>164762</v>
      </c>
      <c r="R278" s="50">
        <f>Q278*0.05+2536</f>
        <v>10774.1</v>
      </c>
      <c r="S278" s="101">
        <f t="shared" si="29"/>
        <v>0</v>
      </c>
      <c r="T278" s="101">
        <f t="shared" si="31"/>
        <v>-0.300000000001091</v>
      </c>
      <c r="U278" t="s">
        <v>42</v>
      </c>
    </row>
    <row r="279" hidden="1" spans="1:21">
      <c r="A279" s="103">
        <v>275</v>
      </c>
      <c r="B279" s="110" t="s">
        <v>1509</v>
      </c>
      <c r="C279" s="72">
        <v>90.08</v>
      </c>
      <c r="D279" s="73">
        <v>2438.9</v>
      </c>
      <c r="E279" s="73">
        <f t="shared" si="28"/>
        <v>219696</v>
      </c>
      <c r="F279" s="135" t="s">
        <v>1510</v>
      </c>
      <c r="G279" s="87">
        <v>217192</v>
      </c>
      <c r="H279" s="87">
        <f t="shared" si="27"/>
        <v>2504</v>
      </c>
      <c r="I279" s="86"/>
      <c r="J279" s="86">
        <f>VLOOKUP(B279,'多浪一期账面房号及收款金额-分公司'!$A$2:$B$436,2,0)</f>
        <v>217191.45</v>
      </c>
      <c r="K279" s="87">
        <f t="shared" si="30"/>
        <v>0.549999999988358</v>
      </c>
      <c r="L279" s="127"/>
      <c r="M279" s="127"/>
      <c r="P279" s="50">
        <v>206849</v>
      </c>
      <c r="R279" s="50">
        <f t="shared" ref="R279:R285" si="33">P279*0.05</f>
        <v>10342.45</v>
      </c>
      <c r="S279" s="101">
        <f t="shared" si="29"/>
        <v>0</v>
      </c>
      <c r="T279" s="101">
        <f t="shared" si="31"/>
        <v>0</v>
      </c>
      <c r="U279" t="s">
        <v>42</v>
      </c>
    </row>
    <row r="280" hidden="1" spans="1:21">
      <c r="A280" s="103">
        <v>276</v>
      </c>
      <c r="B280" s="110" t="s">
        <v>1511</v>
      </c>
      <c r="C280" s="72">
        <v>90.5</v>
      </c>
      <c r="D280" s="73">
        <v>2610</v>
      </c>
      <c r="E280" s="73">
        <f t="shared" si="28"/>
        <v>236205</v>
      </c>
      <c r="F280" s="94" t="s">
        <v>1512</v>
      </c>
      <c r="G280" s="87">
        <v>236205</v>
      </c>
      <c r="H280" s="87">
        <f t="shared" si="27"/>
        <v>0</v>
      </c>
      <c r="I280" s="86"/>
      <c r="J280" s="86">
        <f>VLOOKUP(B280,'多浪一期账面房号及收款金额-分公司'!$A$2:$B$436,2,0)</f>
        <v>236204.85</v>
      </c>
      <c r="K280" s="87">
        <f t="shared" si="30"/>
        <v>0.149999999994179</v>
      </c>
      <c r="L280" s="127"/>
      <c r="M280" s="127"/>
      <c r="P280" s="50">
        <v>224957</v>
      </c>
      <c r="R280" s="50">
        <f t="shared" si="33"/>
        <v>11247.85</v>
      </c>
      <c r="S280" s="101">
        <f t="shared" si="29"/>
        <v>0</v>
      </c>
      <c r="T280" s="101">
        <f t="shared" si="31"/>
        <v>0</v>
      </c>
      <c r="U280" t="s">
        <v>42</v>
      </c>
    </row>
    <row r="281" hidden="1" spans="1:21">
      <c r="A281" s="103">
        <v>277</v>
      </c>
      <c r="B281" s="110" t="s">
        <v>1513</v>
      </c>
      <c r="C281" s="72">
        <v>90.08</v>
      </c>
      <c r="D281" s="73">
        <v>2200</v>
      </c>
      <c r="E281" s="73">
        <f t="shared" si="28"/>
        <v>198176</v>
      </c>
      <c r="F281" s="135" t="s">
        <v>1514</v>
      </c>
      <c r="G281" s="87">
        <v>198176</v>
      </c>
      <c r="H281" s="87">
        <f t="shared" si="27"/>
        <v>0</v>
      </c>
      <c r="I281" s="86"/>
      <c r="J281" s="86">
        <f>VLOOKUP(B281,'多浪一期账面房号及收款金额-分公司'!$A$2:$B$436,2,0)</f>
        <v>198175.95</v>
      </c>
      <c r="K281" s="87">
        <f t="shared" si="30"/>
        <v>0.0499999999883585</v>
      </c>
      <c r="L281" s="127"/>
      <c r="M281" s="127"/>
      <c r="P281" s="50">
        <v>188739</v>
      </c>
      <c r="R281" s="50">
        <f t="shared" si="33"/>
        <v>9436.95</v>
      </c>
      <c r="S281" s="101">
        <f t="shared" si="29"/>
        <v>0</v>
      </c>
      <c r="T281" s="101">
        <f t="shared" si="31"/>
        <v>0</v>
      </c>
      <c r="U281" t="s">
        <v>42</v>
      </c>
    </row>
    <row r="282" hidden="1" spans="1:21">
      <c r="A282" s="103">
        <v>278</v>
      </c>
      <c r="B282" s="110" t="s">
        <v>1515</v>
      </c>
      <c r="C282" s="72">
        <v>90.5</v>
      </c>
      <c r="D282" s="73">
        <v>2200</v>
      </c>
      <c r="E282" s="73">
        <f t="shared" si="28"/>
        <v>199100</v>
      </c>
      <c r="F282" s="135" t="s">
        <v>1516</v>
      </c>
      <c r="G282" s="87">
        <v>199100</v>
      </c>
      <c r="H282" s="87">
        <f t="shared" si="27"/>
        <v>0</v>
      </c>
      <c r="I282" s="86"/>
      <c r="J282" s="86">
        <f>VLOOKUP(B282,'多浪一期账面房号及收款金额-分公司'!$A$2:$B$436,2,0)</f>
        <v>199099.95</v>
      </c>
      <c r="K282" s="87">
        <f t="shared" si="30"/>
        <v>0.0499999999883585</v>
      </c>
      <c r="L282" s="127"/>
      <c r="M282" s="127"/>
      <c r="P282" s="50">
        <v>189619</v>
      </c>
      <c r="R282" s="50">
        <f t="shared" si="33"/>
        <v>9480.95</v>
      </c>
      <c r="S282" s="101">
        <f t="shared" si="29"/>
        <v>0</v>
      </c>
      <c r="T282" s="101">
        <f t="shared" si="31"/>
        <v>0</v>
      </c>
      <c r="U282" t="s">
        <v>42</v>
      </c>
    </row>
    <row r="283" hidden="1" spans="1:21">
      <c r="A283" s="103">
        <v>279</v>
      </c>
      <c r="B283" s="110" t="s">
        <v>1517</v>
      </c>
      <c r="C283" s="72">
        <v>90.08</v>
      </c>
      <c r="D283" s="73">
        <v>2000</v>
      </c>
      <c r="E283" s="73">
        <f t="shared" si="28"/>
        <v>180160</v>
      </c>
      <c r="F283" s="135" t="s">
        <v>1518</v>
      </c>
      <c r="G283" s="87">
        <v>180160</v>
      </c>
      <c r="H283" s="87">
        <f t="shared" si="27"/>
        <v>0</v>
      </c>
      <c r="I283" s="86"/>
      <c r="J283" s="86">
        <f>VLOOKUP(B283,'多浪一期账面房号及收款金额-分公司'!$A$2:$B$436,2,0)</f>
        <v>180160.05</v>
      </c>
      <c r="K283" s="87">
        <f t="shared" si="30"/>
        <v>-0.0499999999883585</v>
      </c>
      <c r="L283" s="127"/>
      <c r="M283" s="127"/>
      <c r="P283" s="50">
        <v>171581</v>
      </c>
      <c r="R283" s="50">
        <f t="shared" si="33"/>
        <v>8579.05</v>
      </c>
      <c r="S283" s="101">
        <f t="shared" si="29"/>
        <v>0</v>
      </c>
      <c r="T283" s="101">
        <f t="shared" si="31"/>
        <v>0</v>
      </c>
      <c r="U283" t="s">
        <v>42</v>
      </c>
    </row>
    <row r="284" hidden="1" spans="1:21">
      <c r="A284" s="103">
        <v>280</v>
      </c>
      <c r="B284" s="111" t="s">
        <v>1519</v>
      </c>
      <c r="C284" s="72">
        <v>90.5</v>
      </c>
      <c r="D284" s="73">
        <v>2100</v>
      </c>
      <c r="E284" s="73">
        <f t="shared" si="28"/>
        <v>190050</v>
      </c>
      <c r="F284" s="135" t="s">
        <v>1520</v>
      </c>
      <c r="G284" s="87">
        <v>190050</v>
      </c>
      <c r="H284" s="87">
        <f t="shared" si="27"/>
        <v>0</v>
      </c>
      <c r="I284" s="86"/>
      <c r="J284" s="86">
        <f>VLOOKUP(B284,'多浪一期账面房号及收款金额-分公司'!$A$2:$B$436,2,0)</f>
        <v>190051.05</v>
      </c>
      <c r="K284" s="87">
        <f t="shared" si="30"/>
        <v>-1.04999999998836</v>
      </c>
      <c r="L284" s="127"/>
      <c r="M284" s="127"/>
      <c r="P284" s="50">
        <v>181001</v>
      </c>
      <c r="R284" s="50">
        <f t="shared" si="33"/>
        <v>9050.05</v>
      </c>
      <c r="S284" s="101">
        <f t="shared" si="29"/>
        <v>0</v>
      </c>
      <c r="T284" s="101">
        <f t="shared" si="31"/>
        <v>0</v>
      </c>
      <c r="U284" t="s">
        <v>42</v>
      </c>
    </row>
    <row r="285" hidden="1" spans="1:21">
      <c r="A285" s="103">
        <v>281</v>
      </c>
      <c r="B285" s="111" t="s">
        <v>1521</v>
      </c>
      <c r="C285" s="72">
        <v>90.25</v>
      </c>
      <c r="D285" s="73">
        <v>2437.67</v>
      </c>
      <c r="E285" s="73">
        <f t="shared" si="28"/>
        <v>220000</v>
      </c>
      <c r="F285" s="74" t="s">
        <v>1522</v>
      </c>
      <c r="G285" s="87">
        <v>220000</v>
      </c>
      <c r="H285" s="87">
        <f t="shared" si="27"/>
        <v>0</v>
      </c>
      <c r="I285" s="86"/>
      <c r="J285" s="86">
        <f>VLOOKUP(B285,'多浪一期账面房号及收款金额-分公司'!$A$2:$B$436,2,0)</f>
        <v>220000.2</v>
      </c>
      <c r="K285" s="87">
        <f t="shared" si="30"/>
        <v>-0.200000000011642</v>
      </c>
      <c r="L285" s="127"/>
      <c r="M285" s="127"/>
      <c r="P285" s="50">
        <v>209524</v>
      </c>
      <c r="R285" s="50">
        <f t="shared" si="33"/>
        <v>10476.2</v>
      </c>
      <c r="S285" s="101">
        <f t="shared" si="29"/>
        <v>0</v>
      </c>
      <c r="T285" s="101">
        <f t="shared" si="31"/>
        <v>0</v>
      </c>
      <c r="U285" t="s">
        <v>42</v>
      </c>
    </row>
    <row r="286" s="99" customFormat="1" spans="1:21">
      <c r="A286" s="112">
        <v>282</v>
      </c>
      <c r="B286" s="136" t="s">
        <v>1523</v>
      </c>
      <c r="C286" s="114">
        <v>89.83</v>
      </c>
      <c r="D286" s="115">
        <v>2600</v>
      </c>
      <c r="E286" s="115">
        <f t="shared" si="28"/>
        <v>233558</v>
      </c>
      <c r="F286" s="145" t="s">
        <v>1524</v>
      </c>
      <c r="G286" s="95">
        <v>211592</v>
      </c>
      <c r="H286" s="95">
        <f t="shared" si="27"/>
        <v>21966</v>
      </c>
      <c r="I286" s="129"/>
      <c r="J286" s="129">
        <f>VLOOKUP(B286,'多浪一期账面房号及收款金额-分公司'!$A$2:$B$436,2,0)</f>
        <v>211591.6005</v>
      </c>
      <c r="K286" s="95">
        <f t="shared" si="30"/>
        <v>0.399499999999534</v>
      </c>
      <c r="L286" s="130"/>
      <c r="M286" s="130"/>
      <c r="N286" s="99">
        <f>VLOOKUP(B286,[4]Sheet1!$D$5:$N$69,11,0)</f>
        <v>43420.81</v>
      </c>
      <c r="O286" s="99">
        <v>157143</v>
      </c>
      <c r="P286" s="131">
        <v>952</v>
      </c>
      <c r="Q286" s="131">
        <v>157143</v>
      </c>
      <c r="R286" s="131">
        <v>10075.79</v>
      </c>
      <c r="S286" s="131">
        <f t="shared" si="29"/>
        <v>43420.81</v>
      </c>
      <c r="T286" s="131">
        <f t="shared" si="31"/>
        <v>0.000500000000101863</v>
      </c>
      <c r="U286" s="21" t="s">
        <v>1098</v>
      </c>
    </row>
    <row r="287" hidden="1" spans="1:21">
      <c r="A287" s="103">
        <v>283</v>
      </c>
      <c r="B287" s="111" t="s">
        <v>1525</v>
      </c>
      <c r="C287" s="72">
        <v>90.25</v>
      </c>
      <c r="D287" s="73">
        <v>2480</v>
      </c>
      <c r="E287" s="73">
        <f t="shared" si="28"/>
        <v>223820</v>
      </c>
      <c r="F287" s="74" t="s">
        <v>1526</v>
      </c>
      <c r="G287" s="87">
        <v>223820</v>
      </c>
      <c r="H287" s="87">
        <f t="shared" si="27"/>
        <v>0</v>
      </c>
      <c r="I287" s="86"/>
      <c r="J287" s="86">
        <f>VLOOKUP(B287,'多浪一期账面房号及收款金额-分公司'!$A$2:$B$436,2,0)</f>
        <v>223820.1</v>
      </c>
      <c r="K287" s="87">
        <f t="shared" si="30"/>
        <v>-0.100000000005821</v>
      </c>
      <c r="L287" s="127"/>
      <c r="M287" s="127"/>
      <c r="P287" s="50">
        <v>213162</v>
      </c>
      <c r="R287" s="50">
        <f t="shared" ref="R287:R294" si="34">P287*0.05</f>
        <v>10658.1</v>
      </c>
      <c r="S287" s="101">
        <f t="shared" si="29"/>
        <v>0</v>
      </c>
      <c r="T287" s="101">
        <f t="shared" si="31"/>
        <v>0</v>
      </c>
      <c r="U287" t="s">
        <v>42</v>
      </c>
    </row>
    <row r="288" hidden="1" spans="1:21">
      <c r="A288" s="103">
        <v>284</v>
      </c>
      <c r="B288" s="111" t="s">
        <v>1527</v>
      </c>
      <c r="C288" s="72">
        <v>89.83</v>
      </c>
      <c r="D288" s="73">
        <v>2500</v>
      </c>
      <c r="E288" s="73">
        <f t="shared" si="28"/>
        <v>224575</v>
      </c>
      <c r="F288" s="74" t="s">
        <v>1528</v>
      </c>
      <c r="G288" s="87">
        <v>224575</v>
      </c>
      <c r="H288" s="87">
        <f t="shared" si="27"/>
        <v>0</v>
      </c>
      <c r="I288" s="86"/>
      <c r="J288" s="86">
        <f>VLOOKUP(B288,'多浪一期账面房号及收款金额-分公司'!$A$2:$B$436,2,0)</f>
        <v>224575.05</v>
      </c>
      <c r="K288" s="87">
        <f t="shared" si="30"/>
        <v>-0.0499999999883585</v>
      </c>
      <c r="L288" s="127"/>
      <c r="M288" s="127"/>
      <c r="P288" s="50">
        <v>213881</v>
      </c>
      <c r="R288" s="50">
        <f t="shared" si="34"/>
        <v>10694.05</v>
      </c>
      <c r="S288" s="101">
        <f t="shared" si="29"/>
        <v>0</v>
      </c>
      <c r="T288" s="101">
        <f t="shared" si="31"/>
        <v>0</v>
      </c>
      <c r="U288" t="s">
        <v>42</v>
      </c>
    </row>
    <row r="289" hidden="1" spans="1:21">
      <c r="A289" s="103">
        <v>285</v>
      </c>
      <c r="B289" s="111" t="s">
        <v>1529</v>
      </c>
      <c r="C289" s="72">
        <v>90.25</v>
      </c>
      <c r="D289" s="73">
        <v>2500</v>
      </c>
      <c r="E289" s="73">
        <f t="shared" si="28"/>
        <v>225625</v>
      </c>
      <c r="F289" s="74" t="s">
        <v>1530</v>
      </c>
      <c r="G289" s="87">
        <v>225625</v>
      </c>
      <c r="H289" s="87">
        <f t="shared" si="27"/>
        <v>0</v>
      </c>
      <c r="I289" s="86"/>
      <c r="J289" s="86">
        <f>VLOOKUP(B289,'多浪一期账面房号及收款金额-分公司'!$A$2:$B$436,2,0)</f>
        <v>225625.05</v>
      </c>
      <c r="K289" s="87">
        <f t="shared" si="30"/>
        <v>-0.0499999999883585</v>
      </c>
      <c r="L289" s="127"/>
      <c r="M289" s="127"/>
      <c r="P289" s="50">
        <v>214881</v>
      </c>
      <c r="R289" s="50">
        <f t="shared" si="34"/>
        <v>10744.05</v>
      </c>
      <c r="S289" s="101">
        <f t="shared" si="29"/>
        <v>0</v>
      </c>
      <c r="T289" s="101">
        <f t="shared" si="31"/>
        <v>0</v>
      </c>
      <c r="U289" t="s">
        <v>42</v>
      </c>
    </row>
    <row r="290" hidden="1" spans="1:21">
      <c r="A290" s="103">
        <v>286</v>
      </c>
      <c r="B290" s="111" t="s">
        <v>1531</v>
      </c>
      <c r="C290" s="72">
        <v>89.83</v>
      </c>
      <c r="D290" s="73">
        <v>2460</v>
      </c>
      <c r="E290" s="73">
        <f t="shared" si="28"/>
        <v>220982</v>
      </c>
      <c r="F290" s="74" t="s">
        <v>1532</v>
      </c>
      <c r="G290" s="87">
        <v>220982</v>
      </c>
      <c r="H290" s="87">
        <f t="shared" si="27"/>
        <v>0</v>
      </c>
      <c r="I290" s="86"/>
      <c r="J290" s="86">
        <f>VLOOKUP(B290,'多浪一期账面房号及收款金额-分公司'!$A$2:$B$436,2,0)</f>
        <v>220981.95</v>
      </c>
      <c r="K290" s="87">
        <f t="shared" si="30"/>
        <v>0.0499999999883585</v>
      </c>
      <c r="L290" s="127"/>
      <c r="M290" s="127"/>
      <c r="P290" s="50">
        <v>210459</v>
      </c>
      <c r="R290" s="50">
        <f t="shared" si="34"/>
        <v>10522.95</v>
      </c>
      <c r="S290" s="101">
        <f t="shared" si="29"/>
        <v>0</v>
      </c>
      <c r="T290" s="101">
        <f t="shared" si="31"/>
        <v>0</v>
      </c>
      <c r="U290" t="s">
        <v>42</v>
      </c>
    </row>
    <row r="291" hidden="1" spans="1:21">
      <c r="A291" s="103">
        <v>287</v>
      </c>
      <c r="B291" s="111" t="s">
        <v>1533</v>
      </c>
      <c r="C291" s="72">
        <v>90.25</v>
      </c>
      <c r="D291" s="73">
        <v>2190</v>
      </c>
      <c r="E291" s="73">
        <f t="shared" si="28"/>
        <v>197648</v>
      </c>
      <c r="F291" s="74" t="s">
        <v>1534</v>
      </c>
      <c r="G291" s="87">
        <v>197648</v>
      </c>
      <c r="H291" s="87">
        <f t="shared" si="27"/>
        <v>0</v>
      </c>
      <c r="I291" s="86"/>
      <c r="J291" s="86">
        <f>VLOOKUP(B291,'多浪一期账面房号及收款金额-分公司'!$A$2:$B$436,2,0)</f>
        <v>197647.8</v>
      </c>
      <c r="K291" s="87">
        <f t="shared" si="30"/>
        <v>0.200000000011642</v>
      </c>
      <c r="L291" s="127"/>
      <c r="M291" s="127"/>
      <c r="P291" s="50">
        <v>188236</v>
      </c>
      <c r="R291" s="50">
        <f t="shared" si="34"/>
        <v>9411.8</v>
      </c>
      <c r="S291" s="101">
        <f t="shared" si="29"/>
        <v>0</v>
      </c>
      <c r="T291" s="101">
        <f t="shared" si="31"/>
        <v>0</v>
      </c>
      <c r="U291" t="s">
        <v>42</v>
      </c>
    </row>
    <row r="292" hidden="1" spans="1:21">
      <c r="A292" s="103">
        <v>288</v>
      </c>
      <c r="B292" s="111" t="s">
        <v>1535</v>
      </c>
      <c r="C292" s="72">
        <v>89.83</v>
      </c>
      <c r="D292" s="73">
        <v>2190</v>
      </c>
      <c r="E292" s="73">
        <f t="shared" si="28"/>
        <v>196728</v>
      </c>
      <c r="F292" s="74" t="s">
        <v>1536</v>
      </c>
      <c r="G292" s="87">
        <v>196728</v>
      </c>
      <c r="H292" s="87">
        <f t="shared" si="27"/>
        <v>0</v>
      </c>
      <c r="I292" s="86"/>
      <c r="J292" s="86">
        <f>VLOOKUP(B292,'多浪一期账面房号及收款金额-分公司'!$A$2:$B$436,2,0)</f>
        <v>196728</v>
      </c>
      <c r="K292" s="87">
        <f t="shared" si="30"/>
        <v>0</v>
      </c>
      <c r="L292" s="127"/>
      <c r="M292" s="127"/>
      <c r="P292" s="50">
        <v>187360</v>
      </c>
      <c r="R292" s="50">
        <f t="shared" si="34"/>
        <v>9368</v>
      </c>
      <c r="S292" s="101">
        <f t="shared" si="29"/>
        <v>0</v>
      </c>
      <c r="T292" s="101">
        <f t="shared" si="31"/>
        <v>0</v>
      </c>
      <c r="U292" t="s">
        <v>42</v>
      </c>
    </row>
    <row r="293" hidden="1" spans="1:21">
      <c r="A293" s="103">
        <v>289</v>
      </c>
      <c r="B293" s="111" t="s">
        <v>1537</v>
      </c>
      <c r="C293" s="72">
        <v>90.25</v>
      </c>
      <c r="D293" s="73">
        <v>1895</v>
      </c>
      <c r="E293" s="73">
        <f t="shared" si="28"/>
        <v>171024</v>
      </c>
      <c r="F293" s="74" t="s">
        <v>1538</v>
      </c>
      <c r="G293" s="87">
        <v>43024</v>
      </c>
      <c r="H293" s="87">
        <f t="shared" si="27"/>
        <v>128000</v>
      </c>
      <c r="I293" s="86"/>
      <c r="J293" s="86">
        <f>VLOOKUP(B293,'多浪一期账面房号及收款金额-分公司'!$A$2:$B$436,2,0)</f>
        <v>43023.75</v>
      </c>
      <c r="K293" s="87">
        <f t="shared" si="30"/>
        <v>0.25</v>
      </c>
      <c r="L293" s="127"/>
      <c r="M293" s="127"/>
      <c r="P293" s="50">
        <v>40975</v>
      </c>
      <c r="R293" s="50">
        <f t="shared" si="34"/>
        <v>2048.75</v>
      </c>
      <c r="S293" s="101">
        <f t="shared" si="29"/>
        <v>0</v>
      </c>
      <c r="T293" s="101">
        <f t="shared" si="31"/>
        <v>0</v>
      </c>
      <c r="U293" t="s">
        <v>42</v>
      </c>
    </row>
    <row r="294" hidden="1" spans="1:21">
      <c r="A294" s="103">
        <v>290</v>
      </c>
      <c r="B294" s="111" t="s">
        <v>1539</v>
      </c>
      <c r="C294" s="72">
        <v>89.83</v>
      </c>
      <c r="D294" s="73">
        <v>2000</v>
      </c>
      <c r="E294" s="73">
        <f t="shared" si="28"/>
        <v>179660</v>
      </c>
      <c r="F294" s="74" t="s">
        <v>1540</v>
      </c>
      <c r="G294" s="87">
        <v>179660</v>
      </c>
      <c r="H294" s="87">
        <f t="shared" si="27"/>
        <v>0</v>
      </c>
      <c r="I294" s="86"/>
      <c r="J294" s="86">
        <f>VLOOKUP(B294,'多浪一期账面房号及收款金额-分公司'!$A$2:$B$436,2,0)</f>
        <v>179659.2</v>
      </c>
      <c r="K294" s="87">
        <f t="shared" si="30"/>
        <v>0.799999999988358</v>
      </c>
      <c r="L294" s="127"/>
      <c r="M294" s="127"/>
      <c r="P294" s="50">
        <v>171104</v>
      </c>
      <c r="R294" s="50">
        <f t="shared" si="34"/>
        <v>8555.2</v>
      </c>
      <c r="S294" s="101">
        <f t="shared" si="29"/>
        <v>0</v>
      </c>
      <c r="T294" s="101">
        <f t="shared" si="31"/>
        <v>0</v>
      </c>
      <c r="U294" t="s">
        <v>42</v>
      </c>
    </row>
    <row r="295" hidden="1" spans="1:21">
      <c r="A295" s="103">
        <v>291</v>
      </c>
      <c r="B295" s="111" t="s">
        <v>1541</v>
      </c>
      <c r="C295" s="72">
        <v>89.83</v>
      </c>
      <c r="D295" s="73">
        <v>2400</v>
      </c>
      <c r="E295" s="73">
        <f t="shared" ref="E295:E301" si="35">ROUND(IF(F295&lt;&gt;0,C295*D295,0),0)</f>
        <v>215592</v>
      </c>
      <c r="F295" s="74" t="s">
        <v>1542</v>
      </c>
      <c r="G295" s="87">
        <v>215592</v>
      </c>
      <c r="H295" s="87">
        <f t="shared" si="27"/>
        <v>0</v>
      </c>
      <c r="I295" s="86"/>
      <c r="J295" s="86">
        <f>VLOOKUP(B295,'多浪一期账面房号及收款金额-分公司'!$A$2:$B$436,2,0)</f>
        <v>215592.3</v>
      </c>
      <c r="K295" s="87">
        <f t="shared" si="30"/>
        <v>-0.299999999988358</v>
      </c>
      <c r="L295" s="127"/>
      <c r="M295" s="127"/>
      <c r="O295" s="100">
        <v>205326</v>
      </c>
      <c r="Q295" s="50">
        <v>205326</v>
      </c>
      <c r="R295" s="50">
        <f>Q295*0.05</f>
        <v>10266.3</v>
      </c>
      <c r="S295" s="101">
        <f t="shared" si="29"/>
        <v>0</v>
      </c>
      <c r="T295" s="101">
        <f t="shared" si="31"/>
        <v>0</v>
      </c>
      <c r="U295" t="s">
        <v>42</v>
      </c>
    </row>
    <row r="296" hidden="1" spans="1:21">
      <c r="A296" s="103">
        <v>292</v>
      </c>
      <c r="B296" s="111" t="s">
        <v>1543</v>
      </c>
      <c r="C296" s="72">
        <v>89.83</v>
      </c>
      <c r="D296" s="73">
        <v>2400</v>
      </c>
      <c r="E296" s="73">
        <f t="shared" si="35"/>
        <v>215592</v>
      </c>
      <c r="F296" s="74" t="s">
        <v>1544</v>
      </c>
      <c r="G296" s="87">
        <v>215592</v>
      </c>
      <c r="H296" s="87">
        <f t="shared" si="27"/>
        <v>0</v>
      </c>
      <c r="I296" s="86"/>
      <c r="J296" s="86">
        <f>VLOOKUP(B296,'多浪一期账面房号及收款金额-分公司'!$A$2:$B$436,2,0)</f>
        <v>215591.25</v>
      </c>
      <c r="K296" s="87">
        <f t="shared" si="30"/>
        <v>0.75</v>
      </c>
      <c r="L296" s="127"/>
      <c r="M296" s="127"/>
      <c r="P296" s="50">
        <v>205325</v>
      </c>
      <c r="R296" s="50">
        <f t="shared" ref="R296:R311" si="36">P296*0.05</f>
        <v>10266.25</v>
      </c>
      <c r="S296" s="101">
        <f t="shared" si="29"/>
        <v>0</v>
      </c>
      <c r="T296" s="101">
        <f t="shared" si="31"/>
        <v>0</v>
      </c>
      <c r="U296" t="s">
        <v>42</v>
      </c>
    </row>
    <row r="297" hidden="1" spans="1:21">
      <c r="A297" s="103">
        <v>293</v>
      </c>
      <c r="B297" s="111" t="s">
        <v>1545</v>
      </c>
      <c r="C297" s="72">
        <v>89.83</v>
      </c>
      <c r="D297" s="73">
        <v>2460</v>
      </c>
      <c r="E297" s="73">
        <f t="shared" si="35"/>
        <v>220982</v>
      </c>
      <c r="F297" s="74" t="s">
        <v>1546</v>
      </c>
      <c r="G297" s="87">
        <v>220982</v>
      </c>
      <c r="H297" s="87">
        <f t="shared" si="27"/>
        <v>0</v>
      </c>
      <c r="I297" s="86"/>
      <c r="J297" s="86">
        <f>VLOOKUP(B297,'多浪一期账面房号及收款金额-分公司'!$A$2:$B$436,2,0)</f>
        <v>220982.0025</v>
      </c>
      <c r="K297" s="87">
        <f t="shared" si="30"/>
        <v>-0.00250000000232831</v>
      </c>
      <c r="L297" s="127"/>
      <c r="M297" s="127"/>
      <c r="P297" s="50">
        <v>210459.05</v>
      </c>
      <c r="R297" s="50">
        <f t="shared" si="36"/>
        <v>10522.9525</v>
      </c>
      <c r="S297" s="101">
        <f t="shared" si="29"/>
        <v>0</v>
      </c>
      <c r="T297" s="101">
        <f t="shared" si="31"/>
        <v>0</v>
      </c>
      <c r="U297" t="s">
        <v>42</v>
      </c>
    </row>
    <row r="298" hidden="1" spans="1:21">
      <c r="A298" s="103">
        <v>294</v>
      </c>
      <c r="B298" s="111" t="s">
        <v>1547</v>
      </c>
      <c r="C298" s="72">
        <v>89.83</v>
      </c>
      <c r="D298" s="73">
        <v>2500</v>
      </c>
      <c r="E298" s="73">
        <f t="shared" si="35"/>
        <v>224575</v>
      </c>
      <c r="F298" s="74" t="s">
        <v>1548</v>
      </c>
      <c r="G298" s="87">
        <v>224575</v>
      </c>
      <c r="H298" s="87">
        <f t="shared" si="27"/>
        <v>0</v>
      </c>
      <c r="I298" s="86"/>
      <c r="J298" s="86">
        <f>VLOOKUP(B298,'多浪一期账面房号及收款金额-分公司'!$A$2:$B$436,2,0)</f>
        <v>224575.05</v>
      </c>
      <c r="K298" s="87">
        <f t="shared" si="30"/>
        <v>-0.0499999999883585</v>
      </c>
      <c r="L298" s="127"/>
      <c r="M298" s="127"/>
      <c r="P298" s="50">
        <v>213881</v>
      </c>
      <c r="R298" s="50">
        <f t="shared" si="36"/>
        <v>10694.05</v>
      </c>
      <c r="S298" s="101">
        <f t="shared" si="29"/>
        <v>0</v>
      </c>
      <c r="T298" s="101">
        <f t="shared" si="31"/>
        <v>0</v>
      </c>
      <c r="U298" t="s">
        <v>42</v>
      </c>
    </row>
    <row r="299" hidden="1" spans="1:21">
      <c r="A299" s="103">
        <v>295</v>
      </c>
      <c r="B299" s="111" t="s">
        <v>1549</v>
      </c>
      <c r="C299" s="72">
        <v>89.83</v>
      </c>
      <c r="D299" s="73">
        <v>2449.07</v>
      </c>
      <c r="E299" s="73">
        <f t="shared" si="35"/>
        <v>220000</v>
      </c>
      <c r="F299" s="74" t="s">
        <v>1550</v>
      </c>
      <c r="G299" s="87">
        <v>220000</v>
      </c>
      <c r="H299" s="87">
        <f t="shared" si="27"/>
        <v>0</v>
      </c>
      <c r="I299" s="86"/>
      <c r="J299" s="86">
        <f>VLOOKUP(B299,'多浪一期账面房号及收款金额-分公司'!$A$2:$B$436,2,0)</f>
        <v>220000.2</v>
      </c>
      <c r="K299" s="87">
        <f t="shared" si="30"/>
        <v>-0.200000000011642</v>
      </c>
      <c r="L299" s="127"/>
      <c r="M299" s="127"/>
      <c r="P299" s="50">
        <v>209524</v>
      </c>
      <c r="R299" s="50">
        <f t="shared" si="36"/>
        <v>10476.2</v>
      </c>
      <c r="S299" s="101">
        <f t="shared" si="29"/>
        <v>0</v>
      </c>
      <c r="T299" s="101">
        <f t="shared" si="31"/>
        <v>0</v>
      </c>
      <c r="U299" t="s">
        <v>42</v>
      </c>
    </row>
    <row r="300" hidden="1" spans="1:21">
      <c r="A300" s="103">
        <v>296</v>
      </c>
      <c r="B300" s="111" t="s">
        <v>1551</v>
      </c>
      <c r="C300" s="72">
        <v>89.83</v>
      </c>
      <c r="D300" s="73">
        <v>2460</v>
      </c>
      <c r="E300" s="73">
        <f t="shared" si="35"/>
        <v>220982</v>
      </c>
      <c r="F300" s="74" t="s">
        <v>1552</v>
      </c>
      <c r="G300" s="87">
        <v>220982</v>
      </c>
      <c r="H300" s="87">
        <f t="shared" si="27"/>
        <v>0</v>
      </c>
      <c r="I300" s="86"/>
      <c r="J300" s="86">
        <f>VLOOKUP(B300,'多浪一期账面房号及收款金额-分公司'!$A$2:$B$436,2,0)</f>
        <v>220981.95</v>
      </c>
      <c r="K300" s="87">
        <f t="shared" si="30"/>
        <v>0.0499999999883585</v>
      </c>
      <c r="L300" s="127"/>
      <c r="M300" s="127"/>
      <c r="P300" s="50">
        <v>210459</v>
      </c>
      <c r="R300" s="50">
        <f t="shared" si="36"/>
        <v>10522.95</v>
      </c>
      <c r="S300" s="101">
        <f t="shared" si="29"/>
        <v>0</v>
      </c>
      <c r="T300" s="101">
        <f t="shared" si="31"/>
        <v>0</v>
      </c>
      <c r="U300" t="s">
        <v>42</v>
      </c>
    </row>
    <row r="301" hidden="1" spans="1:21">
      <c r="A301" s="103">
        <v>297</v>
      </c>
      <c r="B301" s="111" t="s">
        <v>1553</v>
      </c>
      <c r="C301" s="72">
        <v>89.83</v>
      </c>
      <c r="D301" s="73">
        <v>2190</v>
      </c>
      <c r="E301" s="73">
        <f t="shared" si="35"/>
        <v>196728</v>
      </c>
      <c r="F301" s="74" t="s">
        <v>1554</v>
      </c>
      <c r="G301" s="87">
        <v>196728</v>
      </c>
      <c r="H301" s="87">
        <f t="shared" si="27"/>
        <v>0</v>
      </c>
      <c r="I301" s="86"/>
      <c r="J301" s="86">
        <f>VLOOKUP(B301,'多浪一期账面房号及收款金额-分公司'!$A$2:$B$436,2,0)</f>
        <v>196728</v>
      </c>
      <c r="K301" s="87">
        <f t="shared" si="30"/>
        <v>0</v>
      </c>
      <c r="L301" s="127"/>
      <c r="M301" s="127"/>
      <c r="P301" s="50">
        <v>187360</v>
      </c>
      <c r="R301" s="50">
        <f t="shared" si="36"/>
        <v>9368</v>
      </c>
      <c r="S301" s="101">
        <f t="shared" si="29"/>
        <v>0</v>
      </c>
      <c r="T301" s="101">
        <f t="shared" si="31"/>
        <v>0</v>
      </c>
      <c r="U301" t="s">
        <v>42</v>
      </c>
    </row>
    <row r="302" hidden="1" spans="1:21">
      <c r="A302" s="103">
        <v>298</v>
      </c>
      <c r="B302" s="111" t="s">
        <v>1555</v>
      </c>
      <c r="C302" s="72">
        <v>89.83</v>
      </c>
      <c r="D302" s="73">
        <v>2186</v>
      </c>
      <c r="E302" s="73">
        <f t="shared" ref="E302:E316" si="37">ROUND(IF(F302&lt;&gt;0,C302*D302,0),0)</f>
        <v>196368</v>
      </c>
      <c r="F302" s="74" t="s">
        <v>1556</v>
      </c>
      <c r="G302" s="87">
        <v>196368</v>
      </c>
      <c r="H302" s="87">
        <f t="shared" si="27"/>
        <v>0</v>
      </c>
      <c r="I302" s="86"/>
      <c r="J302" s="86">
        <f>VLOOKUP(B302,'多浪一期账面房号及收款金额-分公司'!$A$2:$B$436,2,0)</f>
        <v>196367.85</v>
      </c>
      <c r="K302" s="87">
        <f t="shared" si="30"/>
        <v>0.149999999994179</v>
      </c>
      <c r="L302" s="127"/>
      <c r="M302" s="127"/>
      <c r="P302" s="50">
        <v>187017</v>
      </c>
      <c r="R302" s="50">
        <f t="shared" si="36"/>
        <v>9350.85</v>
      </c>
      <c r="S302" s="101">
        <f t="shared" si="29"/>
        <v>0</v>
      </c>
      <c r="T302" s="101">
        <f t="shared" si="31"/>
        <v>0</v>
      </c>
      <c r="U302" t="s">
        <v>42</v>
      </c>
    </row>
    <row r="303" hidden="1" spans="1:21">
      <c r="A303" s="103">
        <v>299</v>
      </c>
      <c r="B303" s="111" t="s">
        <v>1557</v>
      </c>
      <c r="C303" s="72">
        <v>89.83</v>
      </c>
      <c r="D303" s="73">
        <v>1950</v>
      </c>
      <c r="E303" s="73">
        <f t="shared" si="37"/>
        <v>175169</v>
      </c>
      <c r="F303" s="74" t="s">
        <v>1558</v>
      </c>
      <c r="G303" s="87">
        <v>175169</v>
      </c>
      <c r="H303" s="87">
        <f t="shared" si="27"/>
        <v>0</v>
      </c>
      <c r="I303" s="86"/>
      <c r="J303" s="86">
        <f>VLOOKUP(B303,'多浪一期账面房号及收款金额-分公司'!$A$2:$B$436,2,0)</f>
        <v>175169.4</v>
      </c>
      <c r="K303" s="87">
        <f t="shared" si="30"/>
        <v>-0.399999999994179</v>
      </c>
      <c r="L303" s="127"/>
      <c r="M303" s="127"/>
      <c r="P303" s="50">
        <v>166828</v>
      </c>
      <c r="R303" s="50">
        <f t="shared" si="36"/>
        <v>8341.4</v>
      </c>
      <c r="S303" s="101">
        <f t="shared" si="29"/>
        <v>0</v>
      </c>
      <c r="T303" s="101">
        <f t="shared" si="31"/>
        <v>0</v>
      </c>
      <c r="U303" t="s">
        <v>42</v>
      </c>
    </row>
    <row r="304" hidden="1" spans="1:21">
      <c r="A304" s="103">
        <v>300</v>
      </c>
      <c r="B304" s="111" t="s">
        <v>1559</v>
      </c>
      <c r="C304" s="72">
        <v>89.83</v>
      </c>
      <c r="D304" s="73">
        <v>1880</v>
      </c>
      <c r="E304" s="73">
        <f t="shared" si="37"/>
        <v>168880</v>
      </c>
      <c r="F304" s="74" t="s">
        <v>1560</v>
      </c>
      <c r="G304" s="87">
        <v>166880</v>
      </c>
      <c r="H304" s="87">
        <f t="shared" si="27"/>
        <v>2000</v>
      </c>
      <c r="I304" s="86"/>
      <c r="J304" s="86">
        <f>VLOOKUP(B304,'多浪一期账面房号及收款金额-分公司'!$A$2:$B$436,2,0)</f>
        <v>166879.65</v>
      </c>
      <c r="K304" s="87">
        <f t="shared" si="30"/>
        <v>0.350000000005821</v>
      </c>
      <c r="L304" s="127"/>
      <c r="M304" s="127"/>
      <c r="P304" s="50">
        <v>158933</v>
      </c>
      <c r="R304" s="50">
        <f t="shared" si="36"/>
        <v>7946.65</v>
      </c>
      <c r="S304" s="101">
        <f t="shared" si="29"/>
        <v>0</v>
      </c>
      <c r="T304" s="101">
        <f t="shared" si="31"/>
        <v>0</v>
      </c>
      <c r="U304" t="s">
        <v>42</v>
      </c>
    </row>
    <row r="305" hidden="1" spans="1:21">
      <c r="A305" s="103">
        <v>301</v>
      </c>
      <c r="B305" s="111" t="s">
        <v>1561</v>
      </c>
      <c r="C305" s="72">
        <v>89.83</v>
      </c>
      <c r="D305" s="73">
        <v>2550</v>
      </c>
      <c r="E305" s="73">
        <f t="shared" si="37"/>
        <v>229067</v>
      </c>
      <c r="F305" s="74" t="s">
        <v>1562</v>
      </c>
      <c r="G305" s="87">
        <v>229067</v>
      </c>
      <c r="H305" s="87">
        <f t="shared" si="27"/>
        <v>0</v>
      </c>
      <c r="I305" s="86"/>
      <c r="J305" s="86">
        <f>VLOOKUP(B305,'多浪一期账面房号及收款金额-分公司'!$A$2:$B$436,2,0)</f>
        <v>229066.95</v>
      </c>
      <c r="K305" s="87">
        <f t="shared" si="30"/>
        <v>0.0499999999883585</v>
      </c>
      <c r="L305" s="127"/>
      <c r="M305" s="127"/>
      <c r="P305" s="50">
        <v>218159</v>
      </c>
      <c r="R305" s="50">
        <f t="shared" si="36"/>
        <v>10907.95</v>
      </c>
      <c r="S305" s="101">
        <f t="shared" si="29"/>
        <v>0</v>
      </c>
      <c r="T305" s="101">
        <f t="shared" si="31"/>
        <v>0</v>
      </c>
      <c r="U305" t="s">
        <v>42</v>
      </c>
    </row>
    <row r="306" hidden="1" spans="1:21">
      <c r="A306" s="103">
        <v>302</v>
      </c>
      <c r="B306" s="111" t="s">
        <v>1563</v>
      </c>
      <c r="C306" s="72">
        <v>90.25</v>
      </c>
      <c r="D306" s="73">
        <v>2550</v>
      </c>
      <c r="E306" s="73">
        <f t="shared" si="37"/>
        <v>230138</v>
      </c>
      <c r="F306" s="74" t="s">
        <v>1564</v>
      </c>
      <c r="G306" s="87">
        <v>230138</v>
      </c>
      <c r="H306" s="87">
        <f t="shared" si="27"/>
        <v>0</v>
      </c>
      <c r="I306" s="86"/>
      <c r="J306" s="86">
        <f>VLOOKUP(B306,'多浪一期账面房号及收款金额-分公司'!$A$2:$B$436,2,0)</f>
        <v>230139</v>
      </c>
      <c r="K306" s="87">
        <f t="shared" si="30"/>
        <v>-1</v>
      </c>
      <c r="L306" s="127"/>
      <c r="M306" s="127"/>
      <c r="P306" s="50">
        <v>219180</v>
      </c>
      <c r="R306" s="50">
        <f t="shared" si="36"/>
        <v>10959</v>
      </c>
      <c r="S306" s="101">
        <f t="shared" si="29"/>
        <v>0</v>
      </c>
      <c r="T306" s="101">
        <f t="shared" si="31"/>
        <v>0</v>
      </c>
      <c r="U306" t="s">
        <v>42</v>
      </c>
    </row>
    <row r="307" hidden="1" spans="1:21">
      <c r="A307" s="103">
        <v>303</v>
      </c>
      <c r="B307" s="111" t="s">
        <v>1565</v>
      </c>
      <c r="C307" s="72">
        <v>89.83</v>
      </c>
      <c r="D307" s="73">
        <v>2460</v>
      </c>
      <c r="E307" s="73">
        <f t="shared" si="37"/>
        <v>220982</v>
      </c>
      <c r="F307" s="74" t="s">
        <v>1566</v>
      </c>
      <c r="G307" s="87">
        <v>220982</v>
      </c>
      <c r="H307" s="87">
        <f t="shared" si="27"/>
        <v>0</v>
      </c>
      <c r="I307" s="86"/>
      <c r="J307" s="86">
        <f>VLOOKUP(B307,'多浪一期账面房号及收款金额-分公司'!$A$2:$B$436,2,0)</f>
        <v>220983</v>
      </c>
      <c r="K307" s="87">
        <f t="shared" si="30"/>
        <v>-1</v>
      </c>
      <c r="L307" s="127"/>
      <c r="M307" s="127"/>
      <c r="P307" s="50">
        <v>210460</v>
      </c>
      <c r="R307" s="50">
        <f t="shared" si="36"/>
        <v>10523</v>
      </c>
      <c r="S307" s="101">
        <f t="shared" si="29"/>
        <v>0</v>
      </c>
      <c r="T307" s="101">
        <f t="shared" si="31"/>
        <v>0</v>
      </c>
      <c r="U307" t="s">
        <v>42</v>
      </c>
    </row>
    <row r="308" hidden="1" spans="1:21">
      <c r="A308" s="103">
        <v>304</v>
      </c>
      <c r="B308" s="111" t="s">
        <v>1567</v>
      </c>
      <c r="C308" s="72">
        <v>90.25</v>
      </c>
      <c r="D308" s="73">
        <v>2490</v>
      </c>
      <c r="E308" s="73">
        <f t="shared" si="37"/>
        <v>224723</v>
      </c>
      <c r="F308" s="74" t="s">
        <v>1568</v>
      </c>
      <c r="G308" s="87">
        <v>224723</v>
      </c>
      <c r="H308" s="87">
        <f t="shared" si="27"/>
        <v>0</v>
      </c>
      <c r="I308" s="86"/>
      <c r="J308" s="86">
        <f>VLOOKUP(B308,'多浪一期账面房号及收款金额-分公司'!$A$2:$B$436,2,0)</f>
        <v>224723.1</v>
      </c>
      <c r="K308" s="87">
        <f t="shared" si="30"/>
        <v>-0.100000000005821</v>
      </c>
      <c r="L308" s="127"/>
      <c r="M308" s="127"/>
      <c r="P308" s="50">
        <v>214022</v>
      </c>
      <c r="R308" s="50">
        <f t="shared" si="36"/>
        <v>10701.1</v>
      </c>
      <c r="S308" s="101">
        <f t="shared" si="29"/>
        <v>0</v>
      </c>
      <c r="T308" s="101">
        <f t="shared" si="31"/>
        <v>0</v>
      </c>
      <c r="U308" t="s">
        <v>42</v>
      </c>
    </row>
    <row r="309" hidden="1" spans="1:21">
      <c r="A309" s="103">
        <v>305</v>
      </c>
      <c r="B309" s="111" t="s">
        <v>1569</v>
      </c>
      <c r="C309" s="72">
        <v>89.83</v>
      </c>
      <c r="D309" s="73">
        <v>2460</v>
      </c>
      <c r="E309" s="73">
        <f t="shared" ref="E309:E329" si="38">ROUND(IF(F309&lt;&gt;0,C309*D309,0),0)</f>
        <v>220982</v>
      </c>
      <c r="F309" s="74" t="s">
        <v>1570</v>
      </c>
      <c r="G309" s="87">
        <v>220982</v>
      </c>
      <c r="H309" s="87">
        <f t="shared" si="27"/>
        <v>0</v>
      </c>
      <c r="I309" s="86"/>
      <c r="J309" s="86">
        <f>VLOOKUP(B309,'多浪一期账面房号及收款金额-分公司'!$A$2:$B$436,2,0)</f>
        <v>220981.95</v>
      </c>
      <c r="K309" s="87">
        <f t="shared" si="30"/>
        <v>0.0499999999883585</v>
      </c>
      <c r="L309" s="127"/>
      <c r="M309" s="127"/>
      <c r="P309" s="50">
        <v>210459</v>
      </c>
      <c r="R309" s="50">
        <f t="shared" si="36"/>
        <v>10522.95</v>
      </c>
      <c r="S309" s="101">
        <f t="shared" si="29"/>
        <v>0</v>
      </c>
      <c r="T309" s="101">
        <f t="shared" si="31"/>
        <v>0</v>
      </c>
      <c r="U309" t="s">
        <v>42</v>
      </c>
    </row>
    <row r="310" hidden="1" spans="1:21">
      <c r="A310" s="103">
        <v>306</v>
      </c>
      <c r="B310" s="111" t="s">
        <v>1571</v>
      </c>
      <c r="C310" s="72">
        <v>90.25</v>
      </c>
      <c r="D310" s="73">
        <v>2460</v>
      </c>
      <c r="E310" s="73">
        <f t="shared" si="38"/>
        <v>222015</v>
      </c>
      <c r="F310" s="74" t="s">
        <v>1572</v>
      </c>
      <c r="G310" s="87">
        <v>222015</v>
      </c>
      <c r="H310" s="87">
        <f t="shared" si="27"/>
        <v>0</v>
      </c>
      <c r="I310" s="86"/>
      <c r="J310" s="86">
        <f>VLOOKUP(B310,'多浪一期账面房号及收款金额-分公司'!$A$2:$B$436,2,0)</f>
        <v>222014.1</v>
      </c>
      <c r="K310" s="87">
        <f t="shared" si="30"/>
        <v>0.899999999994179</v>
      </c>
      <c r="L310" s="127"/>
      <c r="M310" s="127"/>
      <c r="P310" s="50">
        <v>211442</v>
      </c>
      <c r="R310" s="50">
        <f t="shared" si="36"/>
        <v>10572.1</v>
      </c>
      <c r="S310" s="101">
        <f t="shared" si="29"/>
        <v>0</v>
      </c>
      <c r="T310" s="101">
        <f t="shared" si="31"/>
        <v>0</v>
      </c>
      <c r="U310" t="s">
        <v>42</v>
      </c>
    </row>
    <row r="311" hidden="1" spans="1:21">
      <c r="A311" s="103">
        <v>307</v>
      </c>
      <c r="B311" s="111" t="s">
        <v>1573</v>
      </c>
      <c r="C311" s="72">
        <v>89.83</v>
      </c>
      <c r="D311" s="73">
        <v>2190</v>
      </c>
      <c r="E311" s="73">
        <f t="shared" si="38"/>
        <v>196728</v>
      </c>
      <c r="F311" s="74" t="s">
        <v>1574</v>
      </c>
      <c r="G311" s="87">
        <v>196728</v>
      </c>
      <c r="H311" s="87">
        <f t="shared" si="27"/>
        <v>0</v>
      </c>
      <c r="I311" s="86"/>
      <c r="J311" s="86">
        <f>VLOOKUP(B311,'多浪一期账面房号及收款金额-分公司'!$A$2:$B$436,2,0)</f>
        <v>196728</v>
      </c>
      <c r="K311" s="87">
        <f t="shared" si="30"/>
        <v>0</v>
      </c>
      <c r="L311" s="127"/>
      <c r="M311" s="127"/>
      <c r="P311" s="50">
        <v>187360</v>
      </c>
      <c r="R311" s="50">
        <f t="shared" si="36"/>
        <v>9368</v>
      </c>
      <c r="S311" s="101">
        <f t="shared" si="29"/>
        <v>0</v>
      </c>
      <c r="T311" s="101">
        <f t="shared" si="31"/>
        <v>0</v>
      </c>
      <c r="U311" t="s">
        <v>42</v>
      </c>
    </row>
    <row r="312" hidden="1" spans="1:21">
      <c r="A312" s="103">
        <v>308</v>
      </c>
      <c r="B312" s="111" t="s">
        <v>1575</v>
      </c>
      <c r="C312" s="72">
        <v>90.25</v>
      </c>
      <c r="D312" s="73">
        <v>2225</v>
      </c>
      <c r="E312" s="73">
        <f t="shared" si="38"/>
        <v>200806</v>
      </c>
      <c r="F312" s="74" t="s">
        <v>1576</v>
      </c>
      <c r="G312" s="87">
        <v>200806</v>
      </c>
      <c r="H312" s="87">
        <f t="shared" si="27"/>
        <v>0</v>
      </c>
      <c r="I312" s="86"/>
      <c r="J312" s="86">
        <f>VLOOKUP(B312,'多浪一期账面房号及收款金额-分公司'!$A$2:$B$436,2,0)</f>
        <v>200806.2</v>
      </c>
      <c r="K312" s="87">
        <f t="shared" si="30"/>
        <v>-0.200000000011642</v>
      </c>
      <c r="L312" s="127"/>
      <c r="M312" s="127"/>
      <c r="N312" s="100">
        <f>[4]Sheet1!$N$30</f>
        <v>-200806</v>
      </c>
      <c r="O312" s="100">
        <v>200806</v>
      </c>
      <c r="P312" s="50">
        <v>191244</v>
      </c>
      <c r="Q312" s="50">
        <f>200806/1.05</f>
        <v>191243.80952381</v>
      </c>
      <c r="R312" s="50">
        <f>Q312*0.05</f>
        <v>9562.1904761905</v>
      </c>
      <c r="S312" s="101">
        <f t="shared" si="29"/>
        <v>-191243.80952381</v>
      </c>
      <c r="T312" s="101">
        <f t="shared" si="31"/>
        <v>0.00952380950002407</v>
      </c>
      <c r="U312" t="s">
        <v>984</v>
      </c>
    </row>
    <row r="313" hidden="1" spans="1:21">
      <c r="A313" s="103">
        <v>309</v>
      </c>
      <c r="B313" s="111" t="s">
        <v>1577</v>
      </c>
      <c r="C313" s="72">
        <v>89.83</v>
      </c>
      <c r="D313" s="73">
        <v>1945</v>
      </c>
      <c r="E313" s="73">
        <f t="shared" si="38"/>
        <v>174719</v>
      </c>
      <c r="F313" s="74" t="s">
        <v>1578</v>
      </c>
      <c r="G313" s="87">
        <v>174720</v>
      </c>
      <c r="H313" s="87">
        <f t="shared" si="27"/>
        <v>-1</v>
      </c>
      <c r="I313" s="86"/>
      <c r="J313" s="86">
        <f>VLOOKUP(B313,'多浪一期账面房号及收款金额-分公司'!$A$2:$B$436,2,0)</f>
        <v>174720</v>
      </c>
      <c r="K313" s="87">
        <f t="shared" si="30"/>
        <v>0</v>
      </c>
      <c r="L313" s="127"/>
      <c r="M313" s="127"/>
      <c r="P313" s="50">
        <v>166400</v>
      </c>
      <c r="R313" s="50">
        <f t="shared" ref="R313:R316" si="39">P313*0.05</f>
        <v>8320</v>
      </c>
      <c r="S313" s="101">
        <f t="shared" si="29"/>
        <v>0</v>
      </c>
      <c r="T313" s="101">
        <f t="shared" si="31"/>
        <v>0</v>
      </c>
      <c r="U313" t="s">
        <v>42</v>
      </c>
    </row>
    <row r="314" hidden="1" spans="1:21">
      <c r="A314" s="103">
        <v>310</v>
      </c>
      <c r="B314" s="111" t="s">
        <v>1579</v>
      </c>
      <c r="C314" s="72">
        <v>90.25</v>
      </c>
      <c r="D314" s="73">
        <v>1890</v>
      </c>
      <c r="E314" s="73">
        <f t="shared" si="38"/>
        <v>170573</v>
      </c>
      <c r="F314" s="74" t="s">
        <v>1580</v>
      </c>
      <c r="G314" s="87">
        <v>170573</v>
      </c>
      <c r="H314" s="87">
        <f t="shared" si="27"/>
        <v>0</v>
      </c>
      <c r="I314" s="86"/>
      <c r="J314" s="86">
        <f>VLOOKUP(B314,'多浪一期账面房号及收款金额-分公司'!$A$2:$B$436,2,0)</f>
        <v>170572.5</v>
      </c>
      <c r="K314" s="87">
        <f t="shared" si="30"/>
        <v>0.5</v>
      </c>
      <c r="L314" s="127"/>
      <c r="M314" s="127"/>
      <c r="P314" s="50">
        <v>162450</v>
      </c>
      <c r="R314" s="50">
        <f t="shared" si="39"/>
        <v>8122.5</v>
      </c>
      <c r="S314" s="101">
        <f t="shared" si="29"/>
        <v>0</v>
      </c>
      <c r="T314" s="101">
        <f t="shared" si="31"/>
        <v>0</v>
      </c>
      <c r="U314" t="s">
        <v>42</v>
      </c>
    </row>
    <row r="315" hidden="1" spans="1:20">
      <c r="A315" s="103">
        <v>311</v>
      </c>
      <c r="B315" s="109" t="s">
        <v>1581</v>
      </c>
      <c r="C315" s="72">
        <v>123.59</v>
      </c>
      <c r="D315" s="73">
        <v>2560</v>
      </c>
      <c r="E315" s="73">
        <f t="shared" si="38"/>
        <v>316390</v>
      </c>
      <c r="F315" s="74" t="s">
        <v>1582</v>
      </c>
      <c r="G315" s="87">
        <v>301616</v>
      </c>
      <c r="H315" s="87">
        <f t="shared" si="27"/>
        <v>14774</v>
      </c>
      <c r="I315" s="86"/>
      <c r="J315" s="86">
        <f>VLOOKUP(B315,'多浪一期账面房号及收款金额-分公司'!$A$2:$B$436,2,0)</f>
        <v>296616.2</v>
      </c>
      <c r="K315" s="87">
        <f t="shared" si="30"/>
        <v>4999.79999999999</v>
      </c>
      <c r="L315" s="132" t="s">
        <v>1583</v>
      </c>
      <c r="M315" s="127"/>
      <c r="N315" s="100">
        <f>VLOOKUP(B315,[4]Sheet1!$D$5:$N$69,11,0)</f>
        <v>-5237.81</v>
      </c>
      <c r="O315" s="100">
        <f>4761.81+161616+135000</f>
        <v>301377.81</v>
      </c>
      <c r="Q315" s="50">
        <f>4761.81+153920+(135000/1.05)</f>
        <v>287253.238571429</v>
      </c>
      <c r="R315" s="50">
        <f>7696+(135000/1.05)*0.05</f>
        <v>14124.5714285714</v>
      </c>
      <c r="S315" s="101">
        <f t="shared" si="29"/>
        <v>-4761.61952380993</v>
      </c>
      <c r="T315" s="101">
        <f t="shared" si="31"/>
        <v>0.00952380955277476</v>
      </c>
    </row>
    <row r="316" hidden="1" spans="1:21">
      <c r="A316" s="103">
        <v>312</v>
      </c>
      <c r="B316" s="110" t="s">
        <v>1584</v>
      </c>
      <c r="C316" s="72">
        <v>84.28</v>
      </c>
      <c r="D316" s="73">
        <v>2490</v>
      </c>
      <c r="E316" s="73">
        <f t="shared" si="38"/>
        <v>209857</v>
      </c>
      <c r="F316" s="74" t="s">
        <v>1585</v>
      </c>
      <c r="G316" s="87">
        <v>209857</v>
      </c>
      <c r="H316" s="87">
        <f t="shared" si="27"/>
        <v>0</v>
      </c>
      <c r="I316" s="86"/>
      <c r="J316" s="86">
        <f>VLOOKUP(B316,'多浪一期账面房号及收款金额-分公司'!$A$2:$B$436,2,0)</f>
        <v>209856.15</v>
      </c>
      <c r="K316" s="87">
        <f t="shared" si="30"/>
        <v>0.850000000005821</v>
      </c>
      <c r="L316" s="127"/>
      <c r="M316" s="127"/>
      <c r="P316" s="50">
        <v>199863</v>
      </c>
      <c r="R316" s="50">
        <f t="shared" si="39"/>
        <v>9993.15</v>
      </c>
      <c r="S316" s="101">
        <f t="shared" si="29"/>
        <v>0</v>
      </c>
      <c r="T316" s="101">
        <f t="shared" si="31"/>
        <v>0</v>
      </c>
      <c r="U316" t="s">
        <v>42</v>
      </c>
    </row>
    <row r="317" hidden="1" spans="1:21">
      <c r="A317" s="103">
        <v>313</v>
      </c>
      <c r="B317" s="110" t="s">
        <v>1586</v>
      </c>
      <c r="C317" s="72">
        <v>123.59</v>
      </c>
      <c r="D317" s="73">
        <v>2400</v>
      </c>
      <c r="E317" s="73">
        <f t="shared" si="38"/>
        <v>296616</v>
      </c>
      <c r="F317" s="74" t="s">
        <v>1587</v>
      </c>
      <c r="G317" s="87">
        <v>296616</v>
      </c>
      <c r="H317" s="87">
        <f t="shared" si="27"/>
        <v>0</v>
      </c>
      <c r="I317" s="86"/>
      <c r="J317" s="86">
        <f>VLOOKUP(B317,'多浪一期账面房号及收款金额-分公司'!$A$2:$B$436,2,0)</f>
        <v>299615.8515</v>
      </c>
      <c r="K317" s="87">
        <f t="shared" si="30"/>
        <v>-2999.85149999999</v>
      </c>
      <c r="L317" s="127" t="s">
        <v>1588</v>
      </c>
      <c r="M317" s="127"/>
      <c r="O317" s="100">
        <v>282491.43</v>
      </c>
      <c r="P317" s="50">
        <v>2857</v>
      </c>
      <c r="Q317" s="50">
        <v>282491.43</v>
      </c>
      <c r="R317" s="50">
        <v>14267.42</v>
      </c>
      <c r="S317" s="101">
        <f t="shared" si="29"/>
        <v>0</v>
      </c>
      <c r="T317" s="101">
        <f t="shared" si="31"/>
        <v>0.00150000000030559</v>
      </c>
      <c r="U317" t="s">
        <v>42</v>
      </c>
    </row>
    <row r="318" hidden="1" spans="1:21">
      <c r="A318" s="103">
        <v>314</v>
      </c>
      <c r="B318" s="110" t="s">
        <v>1589</v>
      </c>
      <c r="C318" s="72">
        <v>84.28</v>
      </c>
      <c r="D318" s="73">
        <v>2460</v>
      </c>
      <c r="E318" s="73">
        <f t="shared" si="38"/>
        <v>207329</v>
      </c>
      <c r="F318" s="74" t="s">
        <v>1590</v>
      </c>
      <c r="G318" s="87">
        <v>207329</v>
      </c>
      <c r="H318" s="87">
        <f t="shared" si="27"/>
        <v>0</v>
      </c>
      <c r="I318" s="86"/>
      <c r="J318" s="86">
        <f>VLOOKUP(B318,'多浪一期账面房号及收款金额-分公司'!$A$2:$B$436,2,0)</f>
        <v>207328.8</v>
      </c>
      <c r="K318" s="87">
        <f t="shared" si="30"/>
        <v>0.200000000011642</v>
      </c>
      <c r="L318" s="127"/>
      <c r="M318" s="127"/>
      <c r="P318" s="50">
        <v>197456</v>
      </c>
      <c r="R318" s="50">
        <f t="shared" ref="R318:R324" si="40">P318*0.05</f>
        <v>9872.8</v>
      </c>
      <c r="S318" s="101">
        <f t="shared" si="29"/>
        <v>0</v>
      </c>
      <c r="T318" s="101">
        <f t="shared" si="31"/>
        <v>0</v>
      </c>
      <c r="U318" t="s">
        <v>42</v>
      </c>
    </row>
    <row r="319" hidden="1" spans="1:21">
      <c r="A319" s="103">
        <v>315</v>
      </c>
      <c r="B319" s="110" t="s">
        <v>1591</v>
      </c>
      <c r="C319" s="72">
        <v>123.59</v>
      </c>
      <c r="D319" s="73">
        <v>2460</v>
      </c>
      <c r="E319" s="73">
        <f t="shared" si="38"/>
        <v>304031</v>
      </c>
      <c r="F319" s="74" t="s">
        <v>1592</v>
      </c>
      <c r="G319" s="87">
        <v>92031</v>
      </c>
      <c r="H319" s="87">
        <f t="shared" si="27"/>
        <v>212000</v>
      </c>
      <c r="I319" s="86"/>
      <c r="J319" s="86">
        <f>VLOOKUP(B319,'多浪一期账面房号及收款金额-分公司'!$A$2:$B$436,2,0)</f>
        <v>92031.45</v>
      </c>
      <c r="K319" s="87">
        <f t="shared" si="30"/>
        <v>-0.44999999999709</v>
      </c>
      <c r="L319" s="127"/>
      <c r="M319" s="127"/>
      <c r="P319" s="50">
        <v>87649</v>
      </c>
      <c r="R319" s="50">
        <f t="shared" si="40"/>
        <v>4382.45</v>
      </c>
      <c r="S319" s="101">
        <f t="shared" si="29"/>
        <v>0</v>
      </c>
      <c r="T319" s="101">
        <f t="shared" si="31"/>
        <v>0</v>
      </c>
      <c r="U319" t="s">
        <v>42</v>
      </c>
    </row>
    <row r="320" hidden="1" spans="1:21">
      <c r="A320" s="103">
        <v>316</v>
      </c>
      <c r="B320" s="110" t="s">
        <v>1593</v>
      </c>
      <c r="C320" s="72">
        <v>84.28</v>
      </c>
      <c r="D320" s="73">
        <v>2460</v>
      </c>
      <c r="E320" s="73">
        <f t="shared" si="38"/>
        <v>207329</v>
      </c>
      <c r="F320" s="74" t="s">
        <v>1594</v>
      </c>
      <c r="G320" s="87">
        <v>207329</v>
      </c>
      <c r="H320" s="87">
        <f t="shared" si="27"/>
        <v>0</v>
      </c>
      <c r="I320" s="86"/>
      <c r="J320" s="86">
        <f>VLOOKUP(B320,'多浪一期账面房号及收款金额-分公司'!$A$2:$B$436,2,0)</f>
        <v>207328.8</v>
      </c>
      <c r="K320" s="87">
        <f t="shared" si="30"/>
        <v>0.200000000011642</v>
      </c>
      <c r="L320" s="127"/>
      <c r="M320" s="127"/>
      <c r="P320" s="50">
        <v>197456</v>
      </c>
      <c r="R320" s="50">
        <f t="shared" si="40"/>
        <v>9872.8</v>
      </c>
      <c r="S320" s="101">
        <f t="shared" si="29"/>
        <v>0</v>
      </c>
      <c r="T320" s="101">
        <f t="shared" si="31"/>
        <v>0</v>
      </c>
      <c r="U320" t="s">
        <v>42</v>
      </c>
    </row>
    <row r="321" hidden="1" spans="1:21">
      <c r="A321" s="103">
        <v>317</v>
      </c>
      <c r="B321" s="110" t="s">
        <v>1595</v>
      </c>
      <c r="C321" s="72">
        <v>123.59</v>
      </c>
      <c r="D321" s="73">
        <v>2200</v>
      </c>
      <c r="E321" s="73">
        <f t="shared" si="38"/>
        <v>271898</v>
      </c>
      <c r="F321" s="74" t="s">
        <v>1596</v>
      </c>
      <c r="G321" s="87">
        <v>271898</v>
      </c>
      <c r="H321" s="87">
        <f t="shared" ref="H321:H384" si="41">E321-G321</f>
        <v>0</v>
      </c>
      <c r="I321" s="86"/>
      <c r="J321" s="86">
        <f>VLOOKUP(B321,'多浪一期账面房号及收款金额-分公司'!$A$2:$B$436,2,0)</f>
        <v>271897.5</v>
      </c>
      <c r="K321" s="87">
        <f t="shared" si="30"/>
        <v>0.5</v>
      </c>
      <c r="L321" s="127"/>
      <c r="M321" s="127"/>
      <c r="P321" s="50">
        <v>258950</v>
      </c>
      <c r="R321" s="50">
        <f t="shared" si="40"/>
        <v>12947.5</v>
      </c>
      <c r="S321" s="101">
        <f t="shared" si="29"/>
        <v>0</v>
      </c>
      <c r="T321" s="101">
        <f t="shared" si="31"/>
        <v>0</v>
      </c>
      <c r="U321" t="s">
        <v>42</v>
      </c>
    </row>
    <row r="322" hidden="1" spans="1:21">
      <c r="A322" s="103">
        <v>318</v>
      </c>
      <c r="B322" s="110" t="s">
        <v>1597</v>
      </c>
      <c r="C322" s="72">
        <v>84.28</v>
      </c>
      <c r="D322" s="73">
        <v>2180</v>
      </c>
      <c r="E322" s="73">
        <f t="shared" si="38"/>
        <v>183730</v>
      </c>
      <c r="F322" s="74" t="s">
        <v>1598</v>
      </c>
      <c r="G322" s="87">
        <v>183730</v>
      </c>
      <c r="H322" s="87">
        <f t="shared" si="41"/>
        <v>0</v>
      </c>
      <c r="I322" s="86"/>
      <c r="J322" s="86">
        <f>VLOOKUP(B322,'多浪一期账面房号及收款金额-分公司'!$A$2:$B$436,2,0)</f>
        <v>183729</v>
      </c>
      <c r="K322" s="87">
        <f t="shared" si="30"/>
        <v>1</v>
      </c>
      <c r="L322" s="127"/>
      <c r="M322" s="127"/>
      <c r="P322" s="50">
        <v>174980</v>
      </c>
      <c r="R322" s="50">
        <f t="shared" si="40"/>
        <v>8749</v>
      </c>
      <c r="S322" s="101">
        <f t="shared" si="29"/>
        <v>0</v>
      </c>
      <c r="T322" s="101">
        <f t="shared" si="31"/>
        <v>0</v>
      </c>
      <c r="U322" t="s">
        <v>42</v>
      </c>
    </row>
    <row r="323" hidden="1" spans="1:21">
      <c r="A323" s="103">
        <v>319</v>
      </c>
      <c r="B323" s="110" t="s">
        <v>1599</v>
      </c>
      <c r="C323" s="72">
        <v>123.59</v>
      </c>
      <c r="D323" s="73">
        <v>1950</v>
      </c>
      <c r="E323" s="73">
        <f t="shared" si="38"/>
        <v>241001</v>
      </c>
      <c r="F323" s="74" t="s">
        <v>1600</v>
      </c>
      <c r="G323" s="87">
        <v>241001</v>
      </c>
      <c r="H323" s="87">
        <f t="shared" si="41"/>
        <v>0</v>
      </c>
      <c r="I323" s="86"/>
      <c r="J323" s="86">
        <f>VLOOKUP(B323,'多浪一期账面房号及收款金额-分公司'!$A$2:$B$436,2,0)</f>
        <v>241001.25</v>
      </c>
      <c r="K323" s="87">
        <f t="shared" si="30"/>
        <v>-0.25</v>
      </c>
      <c r="L323" s="127"/>
      <c r="M323" s="127"/>
      <c r="P323" s="50">
        <v>229525</v>
      </c>
      <c r="R323" s="50">
        <f t="shared" si="40"/>
        <v>11476.25</v>
      </c>
      <c r="S323" s="101">
        <f t="shared" si="29"/>
        <v>0</v>
      </c>
      <c r="T323" s="101">
        <f t="shared" si="31"/>
        <v>0</v>
      </c>
      <c r="U323" t="s">
        <v>42</v>
      </c>
    </row>
    <row r="324" hidden="1" spans="1:21">
      <c r="A324" s="103">
        <v>320</v>
      </c>
      <c r="B324" s="110" t="s">
        <v>1601</v>
      </c>
      <c r="C324" s="72">
        <v>84.28</v>
      </c>
      <c r="D324" s="73">
        <v>1900</v>
      </c>
      <c r="E324" s="73">
        <f t="shared" si="38"/>
        <v>160132</v>
      </c>
      <c r="F324" s="74" t="s">
        <v>1602</v>
      </c>
      <c r="G324" s="87">
        <v>160132</v>
      </c>
      <c r="H324" s="87">
        <f t="shared" si="41"/>
        <v>0</v>
      </c>
      <c r="I324" s="86"/>
      <c r="J324" s="86">
        <f>VLOOKUP(B324,'多浪一期账面房号及收款金额-分公司'!$A$2:$B$436,2,0)</f>
        <v>160132.35</v>
      </c>
      <c r="K324" s="87">
        <f t="shared" si="30"/>
        <v>-0.350000000005821</v>
      </c>
      <c r="L324" s="127"/>
      <c r="M324" s="127"/>
      <c r="P324" s="50">
        <v>152507</v>
      </c>
      <c r="R324" s="50">
        <f t="shared" si="40"/>
        <v>7625.35</v>
      </c>
      <c r="S324" s="101">
        <f t="shared" si="29"/>
        <v>0</v>
      </c>
      <c r="T324" s="101">
        <f t="shared" si="31"/>
        <v>0</v>
      </c>
      <c r="U324" t="s">
        <v>42</v>
      </c>
    </row>
    <row r="325" hidden="1" spans="1:21">
      <c r="A325" s="103">
        <v>321</v>
      </c>
      <c r="B325" s="110" t="s">
        <v>1603</v>
      </c>
      <c r="C325" s="72">
        <v>123.59</v>
      </c>
      <c r="D325" s="73">
        <v>1900</v>
      </c>
      <c r="E325" s="73">
        <f t="shared" si="38"/>
        <v>234821</v>
      </c>
      <c r="F325" s="74" t="s">
        <v>1604</v>
      </c>
      <c r="G325" s="87">
        <v>234821</v>
      </c>
      <c r="H325" s="87">
        <f t="shared" si="41"/>
        <v>0</v>
      </c>
      <c r="I325" s="86"/>
      <c r="J325" s="86">
        <f>VLOOKUP(B325,'多浪一期账面房号及收款金额-分公司'!$A$2:$B$436,2,0)</f>
        <v>234820.95</v>
      </c>
      <c r="K325" s="87">
        <f t="shared" si="30"/>
        <v>0.0499999999883585</v>
      </c>
      <c r="L325" s="127"/>
      <c r="M325" s="127"/>
      <c r="O325" s="100">
        <v>223639</v>
      </c>
      <c r="Q325" s="50">
        <v>223639</v>
      </c>
      <c r="R325" s="50">
        <f>Q325*0.05</f>
        <v>11181.95</v>
      </c>
      <c r="S325" s="101">
        <f t="shared" ref="S325:S388" si="42">J325/1.05-P325-Q325</f>
        <v>0</v>
      </c>
      <c r="T325" s="101">
        <f t="shared" si="31"/>
        <v>0</v>
      </c>
      <c r="U325" t="s">
        <v>42</v>
      </c>
    </row>
    <row r="326" hidden="1" spans="1:21">
      <c r="A326" s="103">
        <v>322</v>
      </c>
      <c r="B326" s="110" t="s">
        <v>1605</v>
      </c>
      <c r="C326" s="72">
        <v>84.28</v>
      </c>
      <c r="D326" s="73">
        <v>1550</v>
      </c>
      <c r="E326" s="73">
        <f t="shared" si="38"/>
        <v>130634</v>
      </c>
      <c r="F326" s="74" t="s">
        <v>1606</v>
      </c>
      <c r="G326" s="87">
        <v>130634</v>
      </c>
      <c r="H326" s="87">
        <f t="shared" si="41"/>
        <v>0</v>
      </c>
      <c r="I326" s="86"/>
      <c r="J326" s="86">
        <f>VLOOKUP(B326,'多浪一期账面房号及收款金额-分公司'!$A$2:$B$436,2,0)</f>
        <v>130634.7</v>
      </c>
      <c r="K326" s="87">
        <f t="shared" ref="K326:K389" si="43">G326-I326-J326</f>
        <v>-0.69999999999709</v>
      </c>
      <c r="L326" s="127"/>
      <c r="M326" s="127"/>
      <c r="P326" s="50">
        <v>124414</v>
      </c>
      <c r="R326" s="50">
        <f t="shared" ref="R326:R338" si="44">P326*0.05</f>
        <v>6220.7</v>
      </c>
      <c r="S326" s="101">
        <f t="shared" si="42"/>
        <v>0</v>
      </c>
      <c r="T326" s="101">
        <f t="shared" si="31"/>
        <v>0</v>
      </c>
      <c r="U326" t="s">
        <v>42</v>
      </c>
    </row>
    <row r="327" hidden="1" spans="1:21">
      <c r="A327" s="103">
        <v>323</v>
      </c>
      <c r="B327" s="110" t="s">
        <v>1607</v>
      </c>
      <c r="C327" s="72">
        <v>84.28</v>
      </c>
      <c r="D327" s="73">
        <v>2460</v>
      </c>
      <c r="E327" s="73">
        <f t="shared" si="38"/>
        <v>207329</v>
      </c>
      <c r="F327" s="74" t="s">
        <v>1608</v>
      </c>
      <c r="G327" s="87">
        <v>207329</v>
      </c>
      <c r="H327" s="87">
        <f t="shared" si="41"/>
        <v>0</v>
      </c>
      <c r="I327" s="86"/>
      <c r="J327" s="86">
        <f>VLOOKUP(B327,'多浪一期账面房号及收款金额-分公司'!$A$2:$B$436,2,0)</f>
        <v>207328.8</v>
      </c>
      <c r="K327" s="87">
        <f t="shared" si="43"/>
        <v>0.200000000011642</v>
      </c>
      <c r="L327" s="127"/>
      <c r="M327" s="127"/>
      <c r="P327" s="50">
        <v>197456</v>
      </c>
      <c r="R327" s="50">
        <f t="shared" si="44"/>
        <v>9872.8</v>
      </c>
      <c r="S327" s="101">
        <f t="shared" si="42"/>
        <v>0</v>
      </c>
      <c r="T327" s="101">
        <f t="shared" si="31"/>
        <v>0</v>
      </c>
      <c r="U327" t="s">
        <v>42</v>
      </c>
    </row>
    <row r="328" s="99" customFormat="1" spans="1:21">
      <c r="A328" s="112">
        <v>324</v>
      </c>
      <c r="B328" s="113" t="s">
        <v>1609</v>
      </c>
      <c r="C328" s="114">
        <v>117.8</v>
      </c>
      <c r="D328" s="115">
        <v>2500</v>
      </c>
      <c r="E328" s="115">
        <f t="shared" si="38"/>
        <v>294500</v>
      </c>
      <c r="F328" s="145" t="s">
        <v>1610</v>
      </c>
      <c r="G328" s="95">
        <v>139500</v>
      </c>
      <c r="H328" s="95">
        <f t="shared" si="41"/>
        <v>155000</v>
      </c>
      <c r="I328" s="129"/>
      <c r="J328" s="129">
        <f>VLOOKUP(B328,'多浪一期账面房号及收款金额-分公司'!$A$2:$B$436,2,0)</f>
        <v>139499.85</v>
      </c>
      <c r="K328" s="95">
        <f t="shared" si="43"/>
        <v>0.149999999994179</v>
      </c>
      <c r="L328" s="130"/>
      <c r="M328" s="130"/>
      <c r="N328" s="99">
        <f>VLOOKUP(B328,[4]Sheet1!$D$5:$N$69,11,0)</f>
        <v>19048</v>
      </c>
      <c r="P328" s="131">
        <v>113809</v>
      </c>
      <c r="Q328" s="131"/>
      <c r="R328" s="131">
        <v>6642.85</v>
      </c>
      <c r="S328" s="131">
        <f t="shared" si="42"/>
        <v>19048</v>
      </c>
      <c r="T328" s="131">
        <f t="shared" ref="T328:T391" si="45">J328/1.05*0.05-R328</f>
        <v>0</v>
      </c>
      <c r="U328" s="21" t="s">
        <v>1098</v>
      </c>
    </row>
    <row r="329" hidden="1" spans="1:21">
      <c r="A329" s="103">
        <v>325</v>
      </c>
      <c r="B329" s="110" t="s">
        <v>1611</v>
      </c>
      <c r="C329" s="72">
        <v>84.28</v>
      </c>
      <c r="D329" s="73">
        <v>2460</v>
      </c>
      <c r="E329" s="73">
        <f t="shared" si="38"/>
        <v>207329</v>
      </c>
      <c r="F329" s="74" t="s">
        <v>1612</v>
      </c>
      <c r="G329" s="87">
        <v>207329</v>
      </c>
      <c r="H329" s="87">
        <f t="shared" si="41"/>
        <v>0</v>
      </c>
      <c r="I329" s="86"/>
      <c r="J329" s="86">
        <f>VLOOKUP(B329,'多浪一期账面房号及收款金额-分公司'!$A$2:$B$436,2,0)</f>
        <v>207328.8</v>
      </c>
      <c r="K329" s="87">
        <f t="shared" si="43"/>
        <v>0.200000000011642</v>
      </c>
      <c r="L329" s="127"/>
      <c r="M329" s="127"/>
      <c r="P329" s="50">
        <v>197456</v>
      </c>
      <c r="R329" s="50">
        <f t="shared" si="44"/>
        <v>9872.8</v>
      </c>
      <c r="S329" s="101">
        <f t="shared" si="42"/>
        <v>0</v>
      </c>
      <c r="T329" s="101">
        <f t="shared" si="45"/>
        <v>0</v>
      </c>
      <c r="U329" t="s">
        <v>42</v>
      </c>
    </row>
    <row r="330" hidden="1" spans="1:21">
      <c r="A330" s="103">
        <v>326</v>
      </c>
      <c r="B330" s="110" t="s">
        <v>1613</v>
      </c>
      <c r="C330" s="72">
        <v>117.8</v>
      </c>
      <c r="D330" s="73">
        <v>2610</v>
      </c>
      <c r="E330" s="73">
        <f t="shared" ref="E315:E378" si="46">ROUND(IF(F330&lt;&gt;0,C330*D330,0),0)</f>
        <v>307458</v>
      </c>
      <c r="F330" s="74" t="s">
        <v>1614</v>
      </c>
      <c r="G330" s="87">
        <v>307458</v>
      </c>
      <c r="H330" s="87">
        <f t="shared" si="41"/>
        <v>0</v>
      </c>
      <c r="I330" s="86"/>
      <c r="J330" s="86">
        <f>VLOOKUP(B330,'多浪一期账面房号及收款金额-分公司'!$A$2:$B$436,2,0)</f>
        <v>307457.85</v>
      </c>
      <c r="K330" s="87">
        <f t="shared" si="43"/>
        <v>0.150000000023283</v>
      </c>
      <c r="L330" s="127"/>
      <c r="M330" s="127"/>
      <c r="P330" s="50">
        <v>292817</v>
      </c>
      <c r="R330" s="50">
        <f t="shared" si="44"/>
        <v>14640.85</v>
      </c>
      <c r="S330" s="101">
        <f t="shared" si="42"/>
        <v>0</v>
      </c>
      <c r="T330" s="101">
        <f t="shared" si="45"/>
        <v>0</v>
      </c>
      <c r="U330" t="s">
        <v>42</v>
      </c>
    </row>
    <row r="331" hidden="1" spans="1:21">
      <c r="A331" s="103">
        <v>327</v>
      </c>
      <c r="B331" s="110" t="s">
        <v>1615</v>
      </c>
      <c r="C331" s="72">
        <v>84.28</v>
      </c>
      <c r="D331" s="73">
        <v>2500</v>
      </c>
      <c r="E331" s="73">
        <f t="shared" si="46"/>
        <v>210700</v>
      </c>
      <c r="F331" s="74" t="s">
        <v>1616</v>
      </c>
      <c r="G331" s="87">
        <v>210700</v>
      </c>
      <c r="H331" s="87">
        <f t="shared" si="41"/>
        <v>0</v>
      </c>
      <c r="I331" s="86"/>
      <c r="J331" s="86">
        <f>VLOOKUP(B331,'多浪一期账面房号及收款金额-分公司'!$A$2:$B$436,2,0)</f>
        <v>210700.35</v>
      </c>
      <c r="K331" s="87">
        <f t="shared" si="43"/>
        <v>-0.350000000005821</v>
      </c>
      <c r="L331" s="127"/>
      <c r="M331" s="127"/>
      <c r="P331" s="50">
        <v>200667</v>
      </c>
      <c r="R331" s="50">
        <f t="shared" si="44"/>
        <v>10033.35</v>
      </c>
      <c r="S331" s="101">
        <f t="shared" si="42"/>
        <v>0</v>
      </c>
      <c r="T331" s="101">
        <f t="shared" si="45"/>
        <v>0</v>
      </c>
      <c r="U331" t="s">
        <v>42</v>
      </c>
    </row>
    <row r="332" hidden="1" spans="1:21">
      <c r="A332" s="103">
        <v>328</v>
      </c>
      <c r="B332" s="110" t="s">
        <v>1617</v>
      </c>
      <c r="C332" s="72">
        <v>117.8</v>
      </c>
      <c r="D332" s="73">
        <v>2500</v>
      </c>
      <c r="E332" s="73">
        <f t="shared" si="46"/>
        <v>294500</v>
      </c>
      <c r="F332" s="74" t="s">
        <v>1618</v>
      </c>
      <c r="G332" s="87">
        <v>294500</v>
      </c>
      <c r="H332" s="87">
        <f t="shared" si="41"/>
        <v>0</v>
      </c>
      <c r="I332" s="86"/>
      <c r="J332" s="86">
        <f>VLOOKUP(B332,'多浪一期账面房号及收款金额-分公司'!$A$2:$B$436,2,0)</f>
        <v>294500.85</v>
      </c>
      <c r="K332" s="87">
        <f t="shared" si="43"/>
        <v>-0.849999999976717</v>
      </c>
      <c r="L332" s="127"/>
      <c r="M332" s="127"/>
      <c r="P332" s="50">
        <v>280477</v>
      </c>
      <c r="R332" s="50">
        <f t="shared" si="44"/>
        <v>14023.85</v>
      </c>
      <c r="S332" s="101">
        <f t="shared" si="42"/>
        <v>0</v>
      </c>
      <c r="T332" s="101">
        <f t="shared" si="45"/>
        <v>0</v>
      </c>
      <c r="U332" t="s">
        <v>42</v>
      </c>
    </row>
    <row r="333" hidden="1" spans="1:21">
      <c r="A333" s="103">
        <v>329</v>
      </c>
      <c r="B333" s="110" t="s">
        <v>1619</v>
      </c>
      <c r="C333" s="72">
        <v>84.28</v>
      </c>
      <c r="D333" s="73">
        <v>2180</v>
      </c>
      <c r="E333" s="73">
        <f t="shared" si="46"/>
        <v>183730</v>
      </c>
      <c r="F333" s="74" t="s">
        <v>1620</v>
      </c>
      <c r="G333" s="87">
        <v>183730</v>
      </c>
      <c r="H333" s="87">
        <f t="shared" si="41"/>
        <v>0</v>
      </c>
      <c r="I333" s="86"/>
      <c r="J333" s="86">
        <f>VLOOKUP(B333,'多浪一期账面房号及收款金额-分公司'!$A$2:$B$436,2,0)</f>
        <v>183730.05</v>
      </c>
      <c r="K333" s="87">
        <f t="shared" si="43"/>
        <v>-0.0499999999883585</v>
      </c>
      <c r="L333" s="127"/>
      <c r="M333" s="127"/>
      <c r="P333" s="50">
        <v>174981</v>
      </c>
      <c r="R333" s="50">
        <f t="shared" si="44"/>
        <v>8749.05</v>
      </c>
      <c r="S333" s="101">
        <f t="shared" si="42"/>
        <v>0</v>
      </c>
      <c r="T333" s="101">
        <f t="shared" si="45"/>
        <v>0</v>
      </c>
      <c r="U333" t="s">
        <v>42</v>
      </c>
    </row>
    <row r="334" hidden="1" spans="1:21">
      <c r="A334" s="103">
        <v>330</v>
      </c>
      <c r="B334" s="110" t="s">
        <v>1621</v>
      </c>
      <c r="C334" s="72">
        <v>117.8</v>
      </c>
      <c r="D334" s="73">
        <v>2150</v>
      </c>
      <c r="E334" s="73">
        <f t="shared" si="46"/>
        <v>253270</v>
      </c>
      <c r="F334" s="74" t="s">
        <v>1622</v>
      </c>
      <c r="G334" s="87">
        <v>253270</v>
      </c>
      <c r="H334" s="87">
        <f t="shared" si="41"/>
        <v>0</v>
      </c>
      <c r="I334" s="86"/>
      <c r="J334" s="86">
        <f>VLOOKUP(B334,'多浪一期账面房号及收款金额-分公司'!$A$2:$B$436,2,0)</f>
        <v>253269.45</v>
      </c>
      <c r="K334" s="87">
        <f t="shared" si="43"/>
        <v>0.549999999988358</v>
      </c>
      <c r="L334" s="127"/>
      <c r="M334" s="127"/>
      <c r="P334" s="50">
        <v>241209</v>
      </c>
      <c r="R334" s="50">
        <f t="shared" si="44"/>
        <v>12060.45</v>
      </c>
      <c r="S334" s="101">
        <f t="shared" si="42"/>
        <v>0</v>
      </c>
      <c r="T334" s="101">
        <f t="shared" si="45"/>
        <v>0</v>
      </c>
      <c r="U334" t="s">
        <v>42</v>
      </c>
    </row>
    <row r="335" hidden="1" spans="1:21">
      <c r="A335" s="103">
        <v>331</v>
      </c>
      <c r="B335" s="110" t="s">
        <v>1623</v>
      </c>
      <c r="C335" s="72">
        <v>84.28</v>
      </c>
      <c r="D335" s="73">
        <v>1890</v>
      </c>
      <c r="E335" s="73">
        <f t="shared" si="46"/>
        <v>159289</v>
      </c>
      <c r="F335" s="74" t="s">
        <v>1624</v>
      </c>
      <c r="G335" s="87">
        <v>159289</v>
      </c>
      <c r="H335" s="87">
        <f t="shared" si="41"/>
        <v>0</v>
      </c>
      <c r="I335" s="86"/>
      <c r="J335" s="86">
        <f>VLOOKUP(B335,'多浪一期账面房号及收款金额-分公司'!$A$2:$B$436,2,0)</f>
        <v>159289.2</v>
      </c>
      <c r="K335" s="87">
        <f t="shared" si="43"/>
        <v>-0.200000000011642</v>
      </c>
      <c r="L335" s="127"/>
      <c r="M335" s="127"/>
      <c r="P335" s="50">
        <v>151704</v>
      </c>
      <c r="R335" s="50">
        <f t="shared" si="44"/>
        <v>7585.2</v>
      </c>
      <c r="S335" s="101">
        <f t="shared" si="42"/>
        <v>0</v>
      </c>
      <c r="T335" s="101">
        <f t="shared" si="45"/>
        <v>0</v>
      </c>
      <c r="U335" t="s">
        <v>42</v>
      </c>
    </row>
    <row r="336" s="99" customFormat="1" spans="1:21">
      <c r="A336" s="112">
        <v>332</v>
      </c>
      <c r="B336" s="136" t="s">
        <v>1625</v>
      </c>
      <c r="C336" s="114">
        <v>117.8</v>
      </c>
      <c r="D336" s="115">
        <v>1860</v>
      </c>
      <c r="E336" s="115">
        <f t="shared" si="46"/>
        <v>219108</v>
      </c>
      <c r="F336" s="145" t="s">
        <v>1626</v>
      </c>
      <c r="G336" s="95">
        <v>201108</v>
      </c>
      <c r="H336" s="95">
        <f t="shared" si="41"/>
        <v>18000</v>
      </c>
      <c r="I336" s="129"/>
      <c r="J336" s="129">
        <f>VLOOKUP(B336,'多浪一期账面房号及收款金额-分公司'!$A$2:$B$436,2,0)</f>
        <v>201108.6</v>
      </c>
      <c r="K336" s="95">
        <f t="shared" si="43"/>
        <v>-0.600000000005821</v>
      </c>
      <c r="L336" s="130"/>
      <c r="M336" s="130"/>
      <c r="N336" s="99">
        <f>VLOOKUP(B336,[4]Sheet1!$D$5:$N$69,11,0)</f>
        <v>1905</v>
      </c>
      <c r="P336" s="131">
        <v>189627</v>
      </c>
      <c r="Q336" s="131"/>
      <c r="R336" s="131">
        <v>9576.6</v>
      </c>
      <c r="S336" s="131">
        <f t="shared" si="42"/>
        <v>1905</v>
      </c>
      <c r="T336" s="131">
        <f t="shared" si="45"/>
        <v>0</v>
      </c>
      <c r="U336" s="21" t="s">
        <v>1098</v>
      </c>
    </row>
    <row r="337" hidden="1" spans="1:21">
      <c r="A337" s="103">
        <v>333</v>
      </c>
      <c r="B337" s="111" t="s">
        <v>1627</v>
      </c>
      <c r="C337" s="72">
        <v>84.28</v>
      </c>
      <c r="D337" s="73">
        <v>1550</v>
      </c>
      <c r="E337" s="73">
        <f t="shared" si="46"/>
        <v>130634</v>
      </c>
      <c r="F337" s="74" t="s">
        <v>1628</v>
      </c>
      <c r="G337" s="87">
        <v>130634</v>
      </c>
      <c r="H337" s="87">
        <f t="shared" si="41"/>
        <v>0</v>
      </c>
      <c r="I337" s="86"/>
      <c r="J337" s="86">
        <f>VLOOKUP(B337,'多浪一期账面房号及收款金额-分公司'!$A$2:$B$436,2,0)</f>
        <v>130633.65</v>
      </c>
      <c r="K337" s="87">
        <f t="shared" si="43"/>
        <v>0.350000000005821</v>
      </c>
      <c r="L337" s="127"/>
      <c r="M337" s="127"/>
      <c r="P337" s="50">
        <v>124413</v>
      </c>
      <c r="R337" s="50">
        <f t="shared" si="44"/>
        <v>6220.65</v>
      </c>
      <c r="S337" s="101">
        <f t="shared" si="42"/>
        <v>0</v>
      </c>
      <c r="T337" s="101">
        <f t="shared" si="45"/>
        <v>0</v>
      </c>
      <c r="U337" t="s">
        <v>42</v>
      </c>
    </row>
    <row r="338" hidden="1" spans="1:21">
      <c r="A338" s="103">
        <v>334</v>
      </c>
      <c r="B338" s="111" t="s">
        <v>1629</v>
      </c>
      <c r="C338" s="72">
        <v>117.8</v>
      </c>
      <c r="D338" s="73">
        <v>1550</v>
      </c>
      <c r="E338" s="73">
        <f t="shared" si="46"/>
        <v>182590</v>
      </c>
      <c r="F338" s="74" t="s">
        <v>1630</v>
      </c>
      <c r="G338" s="87">
        <v>182590</v>
      </c>
      <c r="H338" s="87">
        <f t="shared" si="41"/>
        <v>0</v>
      </c>
      <c r="I338" s="86"/>
      <c r="J338" s="86">
        <f>VLOOKUP(B338,'多浪一期账面房号及收款金额-分公司'!$A$2:$B$436,2,0)</f>
        <v>182589.75</v>
      </c>
      <c r="K338" s="87">
        <f t="shared" si="43"/>
        <v>0.25</v>
      </c>
      <c r="L338" s="127"/>
      <c r="M338" s="127"/>
      <c r="P338" s="50">
        <v>173895</v>
      </c>
      <c r="R338" s="50">
        <f t="shared" si="44"/>
        <v>8694.75</v>
      </c>
      <c r="S338" s="101">
        <f t="shared" si="42"/>
        <v>0</v>
      </c>
      <c r="T338" s="101">
        <f t="shared" si="45"/>
        <v>0</v>
      </c>
      <c r="U338" t="s">
        <v>42</v>
      </c>
    </row>
    <row r="339" hidden="1" spans="1:21">
      <c r="A339" s="103">
        <v>335</v>
      </c>
      <c r="B339" s="111" t="s">
        <v>1631</v>
      </c>
      <c r="C339" s="72">
        <v>84.28</v>
      </c>
      <c r="D339" s="73">
        <v>2500</v>
      </c>
      <c r="E339" s="73">
        <f t="shared" si="46"/>
        <v>210700</v>
      </c>
      <c r="F339" s="74" t="s">
        <v>1632</v>
      </c>
      <c r="G339" s="87">
        <v>210700</v>
      </c>
      <c r="H339" s="87">
        <f t="shared" si="41"/>
        <v>0</v>
      </c>
      <c r="I339" s="86"/>
      <c r="J339" s="86">
        <f>VLOOKUP(B339,'多浪一期账面房号及收款金额-分公司'!$A$2:$B$436,2,0)+阿克苏分公司预收账款!J1943</f>
        <v>210700</v>
      </c>
      <c r="K339" s="87">
        <f t="shared" si="43"/>
        <v>0</v>
      </c>
      <c r="L339" s="132"/>
      <c r="M339" s="127"/>
      <c r="N339" s="100">
        <f>VLOOKUP(B339,[4]Sheet1!$D$5:$N$69,11,0)</f>
        <v>0</v>
      </c>
      <c r="O339" s="100">
        <v>210700</v>
      </c>
      <c r="Q339" s="50">
        <f>210700/1.05</f>
        <v>200666.666666667</v>
      </c>
      <c r="R339" s="50">
        <f>Q339*0.05</f>
        <v>10033.3333333334</v>
      </c>
      <c r="S339" s="101">
        <f t="shared" si="42"/>
        <v>-3.49245965480804e-10</v>
      </c>
      <c r="T339" s="101">
        <f t="shared" si="45"/>
        <v>-1.63709046319127e-11</v>
      </c>
      <c r="U339" t="s">
        <v>42</v>
      </c>
    </row>
    <row r="340" hidden="1" spans="1:21">
      <c r="A340" s="103">
        <v>336</v>
      </c>
      <c r="B340" s="111" t="s">
        <v>1633</v>
      </c>
      <c r="C340" s="72">
        <v>123.59</v>
      </c>
      <c r="D340" s="73">
        <v>2350</v>
      </c>
      <c r="E340" s="73">
        <f t="shared" si="46"/>
        <v>290437</v>
      </c>
      <c r="F340" s="74" t="s">
        <v>1634</v>
      </c>
      <c r="G340" s="87">
        <v>290437</v>
      </c>
      <c r="H340" s="87">
        <f t="shared" si="41"/>
        <v>0</v>
      </c>
      <c r="I340" s="86"/>
      <c r="J340" s="86">
        <f>VLOOKUP(B340,'多浪一期账面房号及收款金额-分公司'!$A$2:$B$436,2,0)</f>
        <v>290436.3</v>
      </c>
      <c r="K340" s="87">
        <f t="shared" si="43"/>
        <v>0.700000000011642</v>
      </c>
      <c r="L340" s="127"/>
      <c r="M340" s="127"/>
      <c r="P340" s="50">
        <v>276606</v>
      </c>
      <c r="R340" s="50">
        <f t="shared" ref="R340:R343" si="47">P340*0.05</f>
        <v>13830.3</v>
      </c>
      <c r="S340" s="101">
        <f t="shared" si="42"/>
        <v>0</v>
      </c>
      <c r="T340" s="101">
        <f t="shared" si="45"/>
        <v>0</v>
      </c>
      <c r="U340" t="s">
        <v>42</v>
      </c>
    </row>
    <row r="341" hidden="1" spans="1:21">
      <c r="A341" s="103">
        <v>337</v>
      </c>
      <c r="B341" s="111" t="s">
        <v>1635</v>
      </c>
      <c r="C341" s="72">
        <v>84.28</v>
      </c>
      <c r="D341" s="73">
        <v>2460</v>
      </c>
      <c r="E341" s="73">
        <f t="shared" si="46"/>
        <v>207329</v>
      </c>
      <c r="F341" s="74" t="s">
        <v>1636</v>
      </c>
      <c r="G341" s="87">
        <v>207329</v>
      </c>
      <c r="H341" s="87">
        <f t="shared" si="41"/>
        <v>0</v>
      </c>
      <c r="I341" s="86"/>
      <c r="J341" s="86">
        <f>VLOOKUP(B341,'多浪一期账面房号及收款金额-分公司'!$A$2:$B$436,2,0)</f>
        <v>207328.8</v>
      </c>
      <c r="K341" s="87">
        <f t="shared" si="43"/>
        <v>0.200000000011642</v>
      </c>
      <c r="L341" s="127"/>
      <c r="M341" s="127"/>
      <c r="P341" s="50">
        <v>197456</v>
      </c>
      <c r="R341" s="50">
        <f t="shared" si="47"/>
        <v>9872.8</v>
      </c>
      <c r="S341" s="101">
        <f t="shared" si="42"/>
        <v>0</v>
      </c>
      <c r="T341" s="101">
        <f t="shared" si="45"/>
        <v>0</v>
      </c>
      <c r="U341" t="s">
        <v>42</v>
      </c>
    </row>
    <row r="342" hidden="1" spans="1:21">
      <c r="A342" s="103">
        <v>338</v>
      </c>
      <c r="B342" s="111" t="s">
        <v>1637</v>
      </c>
      <c r="C342" s="72">
        <v>123.59</v>
      </c>
      <c r="D342" s="73">
        <v>2460</v>
      </c>
      <c r="E342" s="73">
        <f t="shared" si="46"/>
        <v>304031</v>
      </c>
      <c r="F342" s="74" t="s">
        <v>1638</v>
      </c>
      <c r="G342" s="87">
        <v>304031</v>
      </c>
      <c r="H342" s="87">
        <f t="shared" si="41"/>
        <v>0</v>
      </c>
      <c r="I342" s="86"/>
      <c r="J342" s="86">
        <f>VLOOKUP(B342,'多浪一期账面房号及收款金额-分公司'!$A$2:$B$436,2,0)</f>
        <v>304030.65</v>
      </c>
      <c r="K342" s="87">
        <f t="shared" si="43"/>
        <v>0.349999999976717</v>
      </c>
      <c r="L342" s="127"/>
      <c r="M342" s="127"/>
      <c r="P342" s="50">
        <v>289553</v>
      </c>
      <c r="R342" s="50">
        <f t="shared" si="47"/>
        <v>14477.65</v>
      </c>
      <c r="S342" s="101">
        <f t="shared" si="42"/>
        <v>0</v>
      </c>
      <c r="T342" s="101">
        <f t="shared" si="45"/>
        <v>0</v>
      </c>
      <c r="U342" t="s">
        <v>42</v>
      </c>
    </row>
    <row r="343" hidden="1" spans="1:21">
      <c r="A343" s="103">
        <v>339</v>
      </c>
      <c r="B343" s="111" t="s">
        <v>1639</v>
      </c>
      <c r="C343" s="72">
        <v>84.28</v>
      </c>
      <c r="D343" s="73">
        <v>2500</v>
      </c>
      <c r="E343" s="73">
        <f t="shared" si="46"/>
        <v>210700</v>
      </c>
      <c r="F343" s="74" t="s">
        <v>1640</v>
      </c>
      <c r="G343" s="87">
        <v>210700</v>
      </c>
      <c r="H343" s="87">
        <f t="shared" si="41"/>
        <v>0</v>
      </c>
      <c r="I343" s="86"/>
      <c r="J343" s="86">
        <f>VLOOKUP(B343,'多浪一期账面房号及收款金额-分公司'!$A$2:$B$436,2,0)</f>
        <v>210699.3</v>
      </c>
      <c r="K343" s="87">
        <f t="shared" si="43"/>
        <v>0.700000000011642</v>
      </c>
      <c r="L343" s="127"/>
      <c r="M343" s="127"/>
      <c r="P343" s="50">
        <v>200666</v>
      </c>
      <c r="R343" s="50">
        <f t="shared" si="47"/>
        <v>10033.3</v>
      </c>
      <c r="S343" s="101">
        <f t="shared" si="42"/>
        <v>0</v>
      </c>
      <c r="T343" s="101">
        <f t="shared" si="45"/>
        <v>0</v>
      </c>
      <c r="U343" t="s">
        <v>42</v>
      </c>
    </row>
    <row r="344" hidden="1" spans="1:21">
      <c r="A344" s="103">
        <v>340</v>
      </c>
      <c r="B344" s="111" t="s">
        <v>1641</v>
      </c>
      <c r="C344" s="72">
        <v>123.59</v>
      </c>
      <c r="D344" s="73">
        <v>2450</v>
      </c>
      <c r="E344" s="73">
        <f t="shared" si="46"/>
        <v>302796</v>
      </c>
      <c r="F344" s="74" t="s">
        <v>1642</v>
      </c>
      <c r="G344" s="87">
        <v>302976</v>
      </c>
      <c r="H344" s="87">
        <f t="shared" si="41"/>
        <v>-180</v>
      </c>
      <c r="I344" s="86"/>
      <c r="J344" s="86">
        <f>VLOOKUP(B344,'多浪一期账面房号及收款金额-分公司'!$A$2:$B$436,2,0)</f>
        <v>302976.45</v>
      </c>
      <c r="K344" s="87">
        <f t="shared" si="43"/>
        <v>-0.450000000011642</v>
      </c>
      <c r="L344" s="127"/>
      <c r="M344" s="127"/>
      <c r="O344" s="100">
        <f>200000+288377.14-199828.14</f>
        <v>288549</v>
      </c>
      <c r="Q344" s="50">
        <f>200000+288377.14-199828.14</f>
        <v>288549</v>
      </c>
      <c r="R344" s="50">
        <f>Q344*0.05</f>
        <v>14427.45</v>
      </c>
      <c r="S344" s="101">
        <f t="shared" si="42"/>
        <v>0</v>
      </c>
      <c r="T344" s="101">
        <f t="shared" si="45"/>
        <v>0</v>
      </c>
      <c r="U344" t="s">
        <v>42</v>
      </c>
    </row>
    <row r="345" hidden="1" spans="1:21">
      <c r="A345" s="103">
        <v>341</v>
      </c>
      <c r="B345" s="111" t="s">
        <v>1643</v>
      </c>
      <c r="C345" s="72">
        <v>84.28</v>
      </c>
      <c r="D345" s="73">
        <v>2180</v>
      </c>
      <c r="E345" s="73">
        <f t="shared" si="46"/>
        <v>183730</v>
      </c>
      <c r="F345" s="74" t="s">
        <v>1644</v>
      </c>
      <c r="G345" s="87">
        <v>183730</v>
      </c>
      <c r="H345" s="87">
        <f t="shared" si="41"/>
        <v>0</v>
      </c>
      <c r="I345" s="86"/>
      <c r="J345" s="86">
        <f>VLOOKUP(B345,'多浪一期账面房号及收款金额-分公司'!$A$2:$B$436,2,0)</f>
        <v>183730.05</v>
      </c>
      <c r="K345" s="87">
        <f t="shared" si="43"/>
        <v>-0.0499999999883585</v>
      </c>
      <c r="L345" s="127"/>
      <c r="M345" s="127"/>
      <c r="P345" s="50">
        <v>174981</v>
      </c>
      <c r="R345" s="50">
        <f t="shared" ref="R345:R349" si="48">P345*0.05</f>
        <v>8749.05</v>
      </c>
      <c r="S345" s="101">
        <f t="shared" si="42"/>
        <v>0</v>
      </c>
      <c r="T345" s="101">
        <f t="shared" si="45"/>
        <v>0</v>
      </c>
      <c r="U345" t="s">
        <v>42</v>
      </c>
    </row>
    <row r="346" hidden="1" spans="1:21">
      <c r="A346" s="103">
        <v>342</v>
      </c>
      <c r="B346" s="111" t="s">
        <v>1645</v>
      </c>
      <c r="C346" s="72">
        <v>123.59</v>
      </c>
      <c r="D346" s="73">
        <v>2200</v>
      </c>
      <c r="E346" s="73">
        <f t="shared" si="46"/>
        <v>271898</v>
      </c>
      <c r="F346" s="74" t="s">
        <v>1646</v>
      </c>
      <c r="G346" s="87">
        <v>271898</v>
      </c>
      <c r="H346" s="87">
        <f t="shared" si="41"/>
        <v>0</v>
      </c>
      <c r="I346" s="86"/>
      <c r="J346" s="86">
        <f>VLOOKUP(B346,'多浪一期账面房号及收款金额-分公司'!$A$2:$B$436,2,0)</f>
        <v>271897.5</v>
      </c>
      <c r="K346" s="87">
        <f t="shared" si="43"/>
        <v>0.5</v>
      </c>
      <c r="L346" s="127"/>
      <c r="M346" s="127"/>
      <c r="P346" s="50">
        <v>258950</v>
      </c>
      <c r="R346" s="50">
        <f t="shared" si="48"/>
        <v>12947.5</v>
      </c>
      <c r="S346" s="101">
        <f t="shared" si="42"/>
        <v>0</v>
      </c>
      <c r="T346" s="101">
        <f t="shared" si="45"/>
        <v>0</v>
      </c>
      <c r="U346" t="s">
        <v>42</v>
      </c>
    </row>
    <row r="347" hidden="1" spans="1:21">
      <c r="A347" s="103">
        <v>343</v>
      </c>
      <c r="B347" s="111" t="s">
        <v>1647</v>
      </c>
      <c r="C347" s="72">
        <v>84.28</v>
      </c>
      <c r="D347" s="73">
        <v>1880</v>
      </c>
      <c r="E347" s="73">
        <f t="shared" si="46"/>
        <v>158446</v>
      </c>
      <c r="F347" s="74" t="s">
        <v>1648</v>
      </c>
      <c r="G347" s="87">
        <v>158447</v>
      </c>
      <c r="H347" s="87">
        <f t="shared" si="41"/>
        <v>-1</v>
      </c>
      <c r="I347" s="86"/>
      <c r="J347" s="86">
        <f>VLOOKUP(B347,'多浪一期账面房号及收款金额-分公司'!$A$2:$B$436,2,0)</f>
        <v>158447.1</v>
      </c>
      <c r="K347" s="87">
        <f t="shared" si="43"/>
        <v>-0.100000000005821</v>
      </c>
      <c r="L347" s="127"/>
      <c r="M347" s="127"/>
      <c r="P347" s="50">
        <v>150902</v>
      </c>
      <c r="R347" s="50">
        <f t="shared" si="48"/>
        <v>7545.1</v>
      </c>
      <c r="S347" s="101">
        <f t="shared" si="42"/>
        <v>0</v>
      </c>
      <c r="T347" s="101">
        <f t="shared" si="45"/>
        <v>0</v>
      </c>
      <c r="U347" t="s">
        <v>42</v>
      </c>
    </row>
    <row r="348" hidden="1" spans="1:21">
      <c r="A348" s="103">
        <v>344</v>
      </c>
      <c r="B348" s="111" t="s">
        <v>1649</v>
      </c>
      <c r="C348" s="72">
        <v>123.59</v>
      </c>
      <c r="D348" s="73">
        <v>2100</v>
      </c>
      <c r="E348" s="73">
        <f t="shared" si="46"/>
        <v>259539</v>
      </c>
      <c r="F348" s="74" t="s">
        <v>1650</v>
      </c>
      <c r="G348" s="87">
        <v>259539</v>
      </c>
      <c r="H348" s="87">
        <f t="shared" si="41"/>
        <v>0</v>
      </c>
      <c r="I348" s="86"/>
      <c r="J348" s="86">
        <f>VLOOKUP(B348,'多浪一期账面房号及收款金额-分公司'!$A$2:$B$436,2,0)</f>
        <v>259539</v>
      </c>
      <c r="K348" s="87">
        <f t="shared" si="43"/>
        <v>0</v>
      </c>
      <c r="L348" s="127"/>
      <c r="M348" s="127"/>
      <c r="P348" s="50">
        <v>247180</v>
      </c>
      <c r="R348" s="50">
        <f t="shared" si="48"/>
        <v>12359</v>
      </c>
      <c r="S348" s="101">
        <f t="shared" si="42"/>
        <v>0</v>
      </c>
      <c r="T348" s="101">
        <f t="shared" si="45"/>
        <v>0</v>
      </c>
      <c r="U348" t="s">
        <v>42</v>
      </c>
    </row>
    <row r="349" hidden="1" spans="1:21">
      <c r="A349" s="103">
        <v>345</v>
      </c>
      <c r="B349" s="111" t="s">
        <v>1651</v>
      </c>
      <c r="C349" s="72">
        <v>84.28</v>
      </c>
      <c r="D349" s="73">
        <v>1550</v>
      </c>
      <c r="E349" s="73">
        <f t="shared" si="46"/>
        <v>130634</v>
      </c>
      <c r="F349" s="74" t="s">
        <v>1652</v>
      </c>
      <c r="G349" s="87">
        <v>130634</v>
      </c>
      <c r="H349" s="87">
        <f t="shared" si="41"/>
        <v>0</v>
      </c>
      <c r="I349" s="86"/>
      <c r="J349" s="86">
        <f>VLOOKUP(B349,'多浪一期账面房号及收款金额-分公司'!$A$2:$B$436,2,0)</f>
        <v>130633.65</v>
      </c>
      <c r="K349" s="87">
        <f t="shared" si="43"/>
        <v>0.350000000005821</v>
      </c>
      <c r="L349" s="127"/>
      <c r="M349" s="127"/>
      <c r="P349" s="50">
        <v>124413</v>
      </c>
      <c r="R349" s="50">
        <f t="shared" si="48"/>
        <v>6220.65</v>
      </c>
      <c r="S349" s="101">
        <f t="shared" si="42"/>
        <v>0</v>
      </c>
      <c r="T349" s="101">
        <f t="shared" si="45"/>
        <v>0</v>
      </c>
      <c r="U349" t="s">
        <v>42</v>
      </c>
    </row>
    <row r="350" s="99" customFormat="1" spans="1:21">
      <c r="A350" s="112">
        <v>346</v>
      </c>
      <c r="B350" s="136" t="s">
        <v>1653</v>
      </c>
      <c r="C350" s="114">
        <v>123.59</v>
      </c>
      <c r="D350" s="115">
        <v>1730</v>
      </c>
      <c r="E350" s="115">
        <f t="shared" si="46"/>
        <v>213811</v>
      </c>
      <c r="F350" s="145" t="s">
        <v>1654</v>
      </c>
      <c r="G350" s="95">
        <v>213811</v>
      </c>
      <c r="H350" s="95">
        <f t="shared" si="41"/>
        <v>0</v>
      </c>
      <c r="I350" s="129"/>
      <c r="J350" s="129">
        <f>VLOOKUP(B350,'多浪一期账面房号及收款金额-分公司'!$A$2:$B$436,2,0)</f>
        <v>213811.5</v>
      </c>
      <c r="K350" s="95">
        <f t="shared" si="43"/>
        <v>-0.5</v>
      </c>
      <c r="L350" s="130"/>
      <c r="M350" s="130"/>
      <c r="N350" s="99">
        <f>VLOOKUP(B350,[4]Sheet1!$D$5:$N$69,11,0)</f>
        <v>203630</v>
      </c>
      <c r="P350" s="131"/>
      <c r="Q350" s="131"/>
      <c r="R350" s="131">
        <v>10181.5</v>
      </c>
      <c r="S350" s="131">
        <f t="shared" si="42"/>
        <v>203630</v>
      </c>
      <c r="T350" s="131">
        <f t="shared" si="45"/>
        <v>0</v>
      </c>
      <c r="U350" s="21" t="s">
        <v>1098</v>
      </c>
    </row>
    <row r="351" hidden="1" spans="1:21">
      <c r="A351" s="103">
        <v>347</v>
      </c>
      <c r="B351" s="111" t="s">
        <v>1655</v>
      </c>
      <c r="C351" s="72">
        <v>101.14</v>
      </c>
      <c r="D351" s="73">
        <v>2400</v>
      </c>
      <c r="E351" s="73">
        <f t="shared" si="46"/>
        <v>242736</v>
      </c>
      <c r="F351" s="74" t="s">
        <v>1656</v>
      </c>
      <c r="G351" s="87">
        <v>242736</v>
      </c>
      <c r="H351" s="87">
        <f t="shared" si="41"/>
        <v>0</v>
      </c>
      <c r="I351" s="86"/>
      <c r="J351" s="86">
        <f>VLOOKUP(B351,'多浪一期账面房号及收款金额-分公司'!$A$2:$B$436,2,0)</f>
        <v>242736.4</v>
      </c>
      <c r="K351" s="87">
        <f t="shared" si="43"/>
        <v>-0.399999999994179</v>
      </c>
      <c r="L351" s="127"/>
      <c r="M351" s="127"/>
      <c r="O351" s="100">
        <f>123809.52+231177.14-123809.14</f>
        <v>231177.52</v>
      </c>
      <c r="P351" s="50">
        <v>-299</v>
      </c>
      <c r="Q351" s="50">
        <f>123809.52+231177.14-123809.14</f>
        <v>231177.52</v>
      </c>
      <c r="R351" s="50">
        <f>Q351*0.05-22</f>
        <v>11536.876</v>
      </c>
      <c r="S351" s="101">
        <f t="shared" si="42"/>
        <v>299.003809523798</v>
      </c>
      <c r="T351" s="101">
        <f t="shared" si="45"/>
        <v>22.0001904761903</v>
      </c>
      <c r="U351" s="21"/>
    </row>
    <row r="352" hidden="1" spans="1:21">
      <c r="A352" s="103">
        <v>348</v>
      </c>
      <c r="B352" s="111" t="s">
        <v>1657</v>
      </c>
      <c r="C352" s="72">
        <v>89.07</v>
      </c>
      <c r="D352" s="73">
        <v>3308</v>
      </c>
      <c r="E352" s="73">
        <f t="shared" si="46"/>
        <v>294644</v>
      </c>
      <c r="F352" s="74" t="s">
        <v>1658</v>
      </c>
      <c r="G352" s="87">
        <v>294644</v>
      </c>
      <c r="H352" s="87">
        <f t="shared" si="41"/>
        <v>0</v>
      </c>
      <c r="I352" s="86"/>
      <c r="J352" s="86">
        <f>VLOOKUP(B352,'多浪一期账面房号及收款金额-分公司'!$A$2:$B$436,2,0)</f>
        <v>294643.65</v>
      </c>
      <c r="K352" s="87">
        <f t="shared" si="43"/>
        <v>0.349999999976717</v>
      </c>
      <c r="L352" s="127"/>
      <c r="M352" s="127"/>
      <c r="P352" s="50">
        <v>280613</v>
      </c>
      <c r="R352" s="50">
        <f t="shared" ref="R352:R358" si="49">P352*0.05</f>
        <v>14030.65</v>
      </c>
      <c r="S352" s="101">
        <f t="shared" si="42"/>
        <v>0</v>
      </c>
      <c r="T352" s="101">
        <f t="shared" si="45"/>
        <v>0</v>
      </c>
      <c r="U352" t="s">
        <v>42</v>
      </c>
    </row>
    <row r="353" hidden="1" spans="1:21">
      <c r="A353" s="103">
        <v>349</v>
      </c>
      <c r="B353" s="111" t="s">
        <v>1659</v>
      </c>
      <c r="C353" s="72">
        <v>101.14</v>
      </c>
      <c r="D353" s="73">
        <v>2158</v>
      </c>
      <c r="E353" s="73">
        <f t="shared" si="46"/>
        <v>218260</v>
      </c>
      <c r="F353" s="74" t="s">
        <v>1660</v>
      </c>
      <c r="G353" s="87">
        <v>218260</v>
      </c>
      <c r="H353" s="87">
        <f t="shared" si="41"/>
        <v>0</v>
      </c>
      <c r="I353" s="86"/>
      <c r="J353" s="86">
        <f>VLOOKUP(B353,'多浪一期账面房号及收款金额-分公司'!$A$2:$B$436,2,0)</f>
        <v>218260.35</v>
      </c>
      <c r="K353" s="87">
        <f t="shared" si="43"/>
        <v>-0.350000000005821</v>
      </c>
      <c r="L353" s="127"/>
      <c r="M353" s="127"/>
      <c r="P353" s="50">
        <v>207867</v>
      </c>
      <c r="R353" s="50">
        <f t="shared" si="49"/>
        <v>10393.35</v>
      </c>
      <c r="S353" s="101">
        <f t="shared" si="42"/>
        <v>0</v>
      </c>
      <c r="T353" s="101">
        <f t="shared" si="45"/>
        <v>0</v>
      </c>
      <c r="U353" t="s">
        <v>42</v>
      </c>
    </row>
    <row r="354" hidden="1" spans="1:21">
      <c r="A354" s="103">
        <v>350</v>
      </c>
      <c r="B354" s="111" t="s">
        <v>1661</v>
      </c>
      <c r="C354" s="72">
        <v>89.07</v>
      </c>
      <c r="D354" s="73">
        <v>3478</v>
      </c>
      <c r="E354" s="73">
        <f t="shared" si="46"/>
        <v>309785</v>
      </c>
      <c r="F354" s="74" t="s">
        <v>1662</v>
      </c>
      <c r="G354" s="87">
        <v>309785</v>
      </c>
      <c r="H354" s="87">
        <f t="shared" si="41"/>
        <v>0</v>
      </c>
      <c r="I354" s="86"/>
      <c r="J354" s="86">
        <f>VLOOKUP(B354,'多浪一期账面房号及收款金额-分公司'!$A$2:$B$436,2,0)</f>
        <v>309784.65</v>
      </c>
      <c r="K354" s="87">
        <f t="shared" si="43"/>
        <v>0.349999999976717</v>
      </c>
      <c r="L354" s="127"/>
      <c r="M354" s="127"/>
      <c r="P354" s="50">
        <v>295033</v>
      </c>
      <c r="R354" s="50">
        <f t="shared" si="49"/>
        <v>14751.65</v>
      </c>
      <c r="S354" s="101">
        <f t="shared" si="42"/>
        <v>0</v>
      </c>
      <c r="T354" s="101">
        <f t="shared" si="45"/>
        <v>0</v>
      </c>
      <c r="U354" t="s">
        <v>42</v>
      </c>
    </row>
    <row r="355" hidden="1" spans="1:21">
      <c r="A355" s="103">
        <v>351</v>
      </c>
      <c r="B355" s="111" t="s">
        <v>1663</v>
      </c>
      <c r="C355" s="72">
        <v>101.14</v>
      </c>
      <c r="D355" s="73">
        <v>2150</v>
      </c>
      <c r="E355" s="73">
        <f t="shared" si="46"/>
        <v>217451</v>
      </c>
      <c r="F355" s="74" t="s">
        <v>1664</v>
      </c>
      <c r="G355" s="87">
        <v>217451</v>
      </c>
      <c r="H355" s="87">
        <f t="shared" si="41"/>
        <v>0</v>
      </c>
      <c r="I355" s="86"/>
      <c r="J355" s="86">
        <f>VLOOKUP(B355,'多浪一期账面房号及收款金额-分公司'!$A$2:$B$436,2,0)</f>
        <v>217450.8</v>
      </c>
      <c r="K355" s="87">
        <f t="shared" si="43"/>
        <v>0.200000000011642</v>
      </c>
      <c r="L355" s="127"/>
      <c r="M355" s="127"/>
      <c r="P355" s="50">
        <v>207096</v>
      </c>
      <c r="R355" s="50">
        <f t="shared" si="49"/>
        <v>10354.8</v>
      </c>
      <c r="S355" s="101">
        <f t="shared" si="42"/>
        <v>0</v>
      </c>
      <c r="T355" s="101">
        <f t="shared" si="45"/>
        <v>0</v>
      </c>
      <c r="U355" t="s">
        <v>42</v>
      </c>
    </row>
    <row r="356" hidden="1" spans="1:21">
      <c r="A356" s="103">
        <v>352</v>
      </c>
      <c r="B356" s="111" t="s">
        <v>1665</v>
      </c>
      <c r="C356" s="72">
        <v>89.07</v>
      </c>
      <c r="D356" s="73"/>
      <c r="E356" s="73">
        <f t="shared" si="46"/>
        <v>0</v>
      </c>
      <c r="F356" s="154"/>
      <c r="G356" s="87">
        <v>0</v>
      </c>
      <c r="H356" s="87">
        <f t="shared" si="41"/>
        <v>0</v>
      </c>
      <c r="I356" s="86"/>
      <c r="J356" s="86"/>
      <c r="K356" s="87">
        <f t="shared" si="43"/>
        <v>0</v>
      </c>
      <c r="L356" s="127"/>
      <c r="M356" s="127"/>
      <c r="R356" s="50">
        <f t="shared" si="49"/>
        <v>0</v>
      </c>
      <c r="S356" s="101">
        <f t="shared" si="42"/>
        <v>0</v>
      </c>
      <c r="T356" s="101">
        <f t="shared" si="45"/>
        <v>0</v>
      </c>
      <c r="U356" t="s">
        <v>42</v>
      </c>
    </row>
    <row r="357" hidden="1" spans="1:21">
      <c r="A357" s="103">
        <v>353</v>
      </c>
      <c r="B357" s="111" t="s">
        <v>1666</v>
      </c>
      <c r="C357" s="72">
        <v>101.14</v>
      </c>
      <c r="D357" s="73">
        <v>3328</v>
      </c>
      <c r="E357" s="73">
        <f t="shared" si="46"/>
        <v>336594</v>
      </c>
      <c r="F357" s="74" t="s">
        <v>1667</v>
      </c>
      <c r="G357" s="87">
        <v>336594</v>
      </c>
      <c r="H357" s="87">
        <f t="shared" si="41"/>
        <v>0</v>
      </c>
      <c r="I357" s="86"/>
      <c r="J357" s="86">
        <f>VLOOKUP(B357,'多浪一期账面房号及收款金额-分公司'!$A$2:$B$436,2,0)</f>
        <v>336594.3</v>
      </c>
      <c r="K357" s="87">
        <f t="shared" si="43"/>
        <v>-0.299999999988358</v>
      </c>
      <c r="L357" s="127"/>
      <c r="M357" s="127"/>
      <c r="P357" s="50">
        <v>320566</v>
      </c>
      <c r="R357" s="50">
        <f t="shared" si="49"/>
        <v>16028.3</v>
      </c>
      <c r="S357" s="101">
        <f t="shared" si="42"/>
        <v>0</v>
      </c>
      <c r="T357" s="101">
        <f t="shared" si="45"/>
        <v>0</v>
      </c>
      <c r="U357" t="s">
        <v>42</v>
      </c>
    </row>
    <row r="358" hidden="1" spans="1:21">
      <c r="A358" s="103">
        <v>354</v>
      </c>
      <c r="B358" s="111" t="s">
        <v>1668</v>
      </c>
      <c r="C358" s="72">
        <v>89.07</v>
      </c>
      <c r="D358" s="73">
        <v>3328</v>
      </c>
      <c r="E358" s="73">
        <f t="shared" si="46"/>
        <v>296425</v>
      </c>
      <c r="F358" s="74" t="s">
        <v>1669</v>
      </c>
      <c r="G358" s="87">
        <v>296425</v>
      </c>
      <c r="H358" s="87">
        <f t="shared" si="41"/>
        <v>0</v>
      </c>
      <c r="I358" s="86"/>
      <c r="J358" s="86">
        <f>VLOOKUP(B358,'多浪一期账面房号及收款金额-分公司'!$A$2:$B$436,2,0)</f>
        <v>296425.5</v>
      </c>
      <c r="K358" s="87">
        <f t="shared" si="43"/>
        <v>-0.5</v>
      </c>
      <c r="L358" s="127"/>
      <c r="M358" s="127"/>
      <c r="P358" s="50">
        <v>282310</v>
      </c>
      <c r="R358" s="50">
        <f t="shared" si="49"/>
        <v>14115.5</v>
      </c>
      <c r="S358" s="101">
        <f t="shared" si="42"/>
        <v>0</v>
      </c>
      <c r="T358" s="101">
        <f t="shared" si="45"/>
        <v>0</v>
      </c>
      <c r="U358" t="s">
        <v>42</v>
      </c>
    </row>
    <row r="359" hidden="1" spans="1:21">
      <c r="A359" s="103">
        <v>355</v>
      </c>
      <c r="B359" s="111" t="s">
        <v>1670</v>
      </c>
      <c r="C359" s="72">
        <v>101.14</v>
      </c>
      <c r="D359" s="73">
        <v>2908</v>
      </c>
      <c r="E359" s="73">
        <f t="shared" si="46"/>
        <v>294115</v>
      </c>
      <c r="F359" s="74" t="s">
        <v>1671</v>
      </c>
      <c r="G359" s="87">
        <v>294115</v>
      </c>
      <c r="H359" s="87">
        <f t="shared" si="41"/>
        <v>0</v>
      </c>
      <c r="I359" s="86"/>
      <c r="J359" s="86">
        <v>294115</v>
      </c>
      <c r="K359" s="87">
        <f t="shared" si="43"/>
        <v>0</v>
      </c>
      <c r="L359" s="127"/>
      <c r="M359" s="127"/>
      <c r="N359" s="100">
        <f>VLOOKUP(B359,[4]Sheet1!$D$5:$N$69,11,0)</f>
        <v>-294115</v>
      </c>
      <c r="O359" s="100">
        <v>294115</v>
      </c>
      <c r="P359" s="50">
        <v>280110</v>
      </c>
      <c r="Q359" s="50">
        <v>280109.52</v>
      </c>
      <c r="R359" s="50">
        <v>14005.48</v>
      </c>
      <c r="S359" s="101">
        <f t="shared" si="42"/>
        <v>-280109.996190476</v>
      </c>
      <c r="T359" s="101">
        <f t="shared" si="45"/>
        <v>-0.00380952380874078</v>
      </c>
      <c r="U359" t="s">
        <v>984</v>
      </c>
    </row>
    <row r="360" hidden="1" spans="1:21">
      <c r="A360" s="103">
        <v>356</v>
      </c>
      <c r="B360" s="111" t="s">
        <v>1672</v>
      </c>
      <c r="C360" s="72">
        <v>89.07</v>
      </c>
      <c r="D360" s="73">
        <v>2928</v>
      </c>
      <c r="E360" s="73">
        <f t="shared" si="46"/>
        <v>260797</v>
      </c>
      <c r="F360" s="74" t="s">
        <v>1673</v>
      </c>
      <c r="G360" s="87">
        <v>260797</v>
      </c>
      <c r="H360" s="87">
        <f t="shared" si="41"/>
        <v>0</v>
      </c>
      <c r="I360" s="86"/>
      <c r="J360" s="86">
        <f>VLOOKUP(B360,'多浪一期账面房号及收款金额-分公司'!$A$2:$B$436,2,0)</f>
        <v>260796.9</v>
      </c>
      <c r="K360" s="87">
        <f t="shared" si="43"/>
        <v>0.100000000005821</v>
      </c>
      <c r="L360" s="127"/>
      <c r="M360" s="127"/>
      <c r="P360" s="50">
        <v>248378</v>
      </c>
      <c r="R360" s="50">
        <f t="shared" ref="R360:R371" si="50">P360*0.05</f>
        <v>12418.9</v>
      </c>
      <c r="S360" s="101">
        <f t="shared" si="42"/>
        <v>0</v>
      </c>
      <c r="T360" s="101">
        <f t="shared" si="45"/>
        <v>0</v>
      </c>
      <c r="U360" t="s">
        <v>42</v>
      </c>
    </row>
    <row r="361" hidden="1" spans="1:21">
      <c r="A361" s="103">
        <v>357</v>
      </c>
      <c r="B361" s="111" t="s">
        <v>1674</v>
      </c>
      <c r="C361" s="72">
        <v>89.07</v>
      </c>
      <c r="D361" s="73">
        <v>3308</v>
      </c>
      <c r="E361" s="73">
        <f t="shared" si="46"/>
        <v>294644</v>
      </c>
      <c r="F361" s="74" t="s">
        <v>1675</v>
      </c>
      <c r="G361" s="87">
        <v>294644</v>
      </c>
      <c r="H361" s="87">
        <f t="shared" si="41"/>
        <v>0</v>
      </c>
      <c r="I361" s="86"/>
      <c r="J361" s="86">
        <v>294644</v>
      </c>
      <c r="K361" s="87">
        <f t="shared" si="43"/>
        <v>0</v>
      </c>
      <c r="L361" s="127"/>
      <c r="M361" s="127"/>
      <c r="N361" s="100">
        <f>VLOOKUP(B361,[4]Sheet1!$D$5:$N$69,11,0)</f>
        <v>-294644</v>
      </c>
      <c r="O361" s="100">
        <v>294644</v>
      </c>
      <c r="P361" s="50">
        <v>280613</v>
      </c>
      <c r="Q361" s="50">
        <f>294644/1.05</f>
        <v>280613.333333333</v>
      </c>
      <c r="R361" s="50">
        <f>Q361*0.05</f>
        <v>14030.6666666667</v>
      </c>
      <c r="S361" s="101">
        <f t="shared" si="42"/>
        <v>-280613</v>
      </c>
      <c r="T361" s="101">
        <f t="shared" si="45"/>
        <v>1.45519152283669e-11</v>
      </c>
      <c r="U361" t="s">
        <v>984</v>
      </c>
    </row>
    <row r="362" hidden="1" spans="1:21">
      <c r="A362" s="103">
        <v>358</v>
      </c>
      <c r="B362" s="109" t="s">
        <v>1676</v>
      </c>
      <c r="C362" s="72">
        <v>89.07</v>
      </c>
      <c r="D362" s="73">
        <v>2090</v>
      </c>
      <c r="E362" s="73">
        <f t="shared" si="46"/>
        <v>186156</v>
      </c>
      <c r="F362" s="74" t="s">
        <v>1677</v>
      </c>
      <c r="G362" s="87">
        <v>186156</v>
      </c>
      <c r="H362" s="87">
        <f t="shared" si="41"/>
        <v>0</v>
      </c>
      <c r="I362" s="86"/>
      <c r="J362" s="86">
        <f>VLOOKUP(B362,'多浪一期账面房号及收款金额-分公司'!$A$2:$B$436,2,0)</f>
        <v>186155.55</v>
      </c>
      <c r="K362" s="87">
        <f t="shared" si="43"/>
        <v>0.450000000011642</v>
      </c>
      <c r="L362" s="127"/>
      <c r="M362" s="127"/>
      <c r="P362" s="50">
        <v>177291</v>
      </c>
      <c r="R362" s="50">
        <f t="shared" si="50"/>
        <v>8864.55</v>
      </c>
      <c r="S362" s="101">
        <f t="shared" si="42"/>
        <v>0</v>
      </c>
      <c r="T362" s="101">
        <f t="shared" si="45"/>
        <v>0</v>
      </c>
      <c r="U362" t="s">
        <v>42</v>
      </c>
    </row>
    <row r="363" hidden="1" spans="1:21">
      <c r="A363" s="103">
        <v>359</v>
      </c>
      <c r="B363" s="111" t="s">
        <v>1678</v>
      </c>
      <c r="C363" s="72">
        <v>89.07</v>
      </c>
      <c r="D363" s="73">
        <v>3368</v>
      </c>
      <c r="E363" s="73">
        <f t="shared" si="46"/>
        <v>299988</v>
      </c>
      <c r="F363" s="74" t="s">
        <v>1679</v>
      </c>
      <c r="G363" s="87">
        <v>299988</v>
      </c>
      <c r="H363" s="87">
        <f t="shared" si="41"/>
        <v>0</v>
      </c>
      <c r="I363" s="86"/>
      <c r="J363" s="86">
        <f>VLOOKUP(B363,'多浪一期账面房号及收款金额-分公司'!$A$2:$B$436,2,0)</f>
        <v>299988.15</v>
      </c>
      <c r="K363" s="87">
        <f t="shared" si="43"/>
        <v>-0.150000000023283</v>
      </c>
      <c r="L363" s="127"/>
      <c r="M363" s="127"/>
      <c r="O363" s="100">
        <f>299988-299988</f>
        <v>0</v>
      </c>
      <c r="P363" s="50">
        <v>285703</v>
      </c>
      <c r="R363" s="50">
        <f t="shared" si="50"/>
        <v>14285.15</v>
      </c>
      <c r="S363" s="101">
        <f t="shared" si="42"/>
        <v>0</v>
      </c>
      <c r="T363" s="101">
        <f t="shared" si="45"/>
        <v>0</v>
      </c>
      <c r="U363" t="s">
        <v>42</v>
      </c>
    </row>
    <row r="364" hidden="1" spans="1:21">
      <c r="A364" s="103">
        <v>360</v>
      </c>
      <c r="B364" s="111" t="s">
        <v>1680</v>
      </c>
      <c r="C364" s="72">
        <v>89.07</v>
      </c>
      <c r="D364" s="73">
        <v>3368</v>
      </c>
      <c r="E364" s="73">
        <f t="shared" si="46"/>
        <v>299988</v>
      </c>
      <c r="F364" s="74" t="s">
        <v>1681</v>
      </c>
      <c r="G364" s="87">
        <v>299988</v>
      </c>
      <c r="H364" s="87">
        <f t="shared" si="41"/>
        <v>0</v>
      </c>
      <c r="I364" s="86"/>
      <c r="J364" s="86">
        <f>VLOOKUP(B364,'多浪一期账面房号及收款金额-分公司'!$A$2:$B$436,2,0)</f>
        <v>299988.15</v>
      </c>
      <c r="K364" s="87">
        <f t="shared" si="43"/>
        <v>-0.150000000023283</v>
      </c>
      <c r="L364" s="127"/>
      <c r="M364" s="127"/>
      <c r="P364" s="50">
        <v>285703</v>
      </c>
      <c r="R364" s="50">
        <f t="shared" si="50"/>
        <v>14285.15</v>
      </c>
      <c r="S364" s="101">
        <f t="shared" si="42"/>
        <v>0</v>
      </c>
      <c r="T364" s="101">
        <f t="shared" si="45"/>
        <v>0</v>
      </c>
      <c r="U364" t="s">
        <v>42</v>
      </c>
    </row>
    <row r="365" hidden="1" spans="1:21">
      <c r="A365" s="103">
        <v>361</v>
      </c>
      <c r="B365" s="111" t="s">
        <v>1682</v>
      </c>
      <c r="C365" s="72">
        <v>89.07</v>
      </c>
      <c r="D365" s="73">
        <v>2250</v>
      </c>
      <c r="E365" s="73">
        <f t="shared" si="46"/>
        <v>200408</v>
      </c>
      <c r="F365" s="74" t="s">
        <v>1683</v>
      </c>
      <c r="G365" s="87">
        <v>200408</v>
      </c>
      <c r="H365" s="87">
        <f t="shared" si="41"/>
        <v>0</v>
      </c>
      <c r="I365" s="86"/>
      <c r="J365" s="86">
        <f>VLOOKUP(B365,'多浪一期账面房号及收款金额-分公司'!$A$2:$B$436,2,0)</f>
        <v>200408.25</v>
      </c>
      <c r="K365" s="87">
        <f t="shared" si="43"/>
        <v>-0.25</v>
      </c>
      <c r="L365" s="127"/>
      <c r="M365" s="127"/>
      <c r="O365" s="100">
        <f>190864.76-190864.76</f>
        <v>0</v>
      </c>
      <c r="P365" s="50">
        <v>190865</v>
      </c>
      <c r="R365" s="50">
        <f t="shared" si="50"/>
        <v>9543.25</v>
      </c>
      <c r="S365" s="101">
        <f t="shared" si="42"/>
        <v>0</v>
      </c>
      <c r="T365" s="101">
        <f t="shared" si="45"/>
        <v>0</v>
      </c>
      <c r="U365" t="s">
        <v>42</v>
      </c>
    </row>
    <row r="366" hidden="1" spans="1:21">
      <c r="A366" s="103">
        <v>362</v>
      </c>
      <c r="B366" s="111" t="s">
        <v>1684</v>
      </c>
      <c r="C366" s="72">
        <v>89.07</v>
      </c>
      <c r="D366" s="73">
        <v>3488</v>
      </c>
      <c r="E366" s="73">
        <f t="shared" si="46"/>
        <v>310676</v>
      </c>
      <c r="F366" s="74" t="s">
        <v>1685</v>
      </c>
      <c r="G366" s="87">
        <v>310676</v>
      </c>
      <c r="H366" s="87">
        <f t="shared" si="41"/>
        <v>0</v>
      </c>
      <c r="I366" s="86"/>
      <c r="J366" s="86">
        <f>VLOOKUP(B366,'多浪一期账面房号及收款金额-分公司'!$A$2:$B$436,2,0)</f>
        <v>310676.1</v>
      </c>
      <c r="K366" s="87">
        <f t="shared" si="43"/>
        <v>-0.0999999999767169</v>
      </c>
      <c r="L366" s="127"/>
      <c r="M366" s="127"/>
      <c r="P366" s="50">
        <v>295882</v>
      </c>
      <c r="R366" s="50">
        <f t="shared" si="50"/>
        <v>14794.1</v>
      </c>
      <c r="S366" s="101">
        <f t="shared" si="42"/>
        <v>0</v>
      </c>
      <c r="T366" s="101">
        <f t="shared" si="45"/>
        <v>0</v>
      </c>
      <c r="U366" t="s">
        <v>42</v>
      </c>
    </row>
    <row r="367" hidden="1" spans="1:21">
      <c r="A367" s="103">
        <v>363</v>
      </c>
      <c r="B367" s="111" t="s">
        <v>1686</v>
      </c>
      <c r="C367" s="72">
        <v>89.07</v>
      </c>
      <c r="D367" s="73">
        <v>2100</v>
      </c>
      <c r="E367" s="73">
        <f t="shared" si="46"/>
        <v>187047</v>
      </c>
      <c r="F367" s="74" t="s">
        <v>1687</v>
      </c>
      <c r="G367" s="87">
        <v>187047</v>
      </c>
      <c r="H367" s="87">
        <f t="shared" si="41"/>
        <v>0</v>
      </c>
      <c r="I367" s="86"/>
      <c r="J367" s="86">
        <f>VLOOKUP(B367,'多浪一期账面房号及收款金额-分公司'!$A$2:$B$436,2,0)</f>
        <v>187047</v>
      </c>
      <c r="K367" s="87">
        <f t="shared" si="43"/>
        <v>0</v>
      </c>
      <c r="L367" s="127"/>
      <c r="M367" s="127"/>
      <c r="O367" s="100">
        <v>178140</v>
      </c>
      <c r="Q367" s="50">
        <v>178140</v>
      </c>
      <c r="R367" s="50">
        <f>Q367*0.05</f>
        <v>8907</v>
      </c>
      <c r="S367" s="101">
        <f t="shared" si="42"/>
        <v>0</v>
      </c>
      <c r="T367" s="101">
        <f t="shared" si="45"/>
        <v>0</v>
      </c>
      <c r="U367" t="s">
        <v>42</v>
      </c>
    </row>
    <row r="368" hidden="1" spans="1:21">
      <c r="A368" s="103">
        <v>364</v>
      </c>
      <c r="B368" s="111" t="s">
        <v>1688</v>
      </c>
      <c r="C368" s="72">
        <v>89.07</v>
      </c>
      <c r="D368" s="73">
        <v>3328</v>
      </c>
      <c r="E368" s="73">
        <f t="shared" si="46"/>
        <v>296425</v>
      </c>
      <c r="F368" s="74" t="s">
        <v>1689</v>
      </c>
      <c r="G368" s="87">
        <v>296425</v>
      </c>
      <c r="H368" s="87">
        <f t="shared" si="41"/>
        <v>0</v>
      </c>
      <c r="I368" s="86"/>
      <c r="J368" s="86">
        <f>VLOOKUP(B368,'多浪一期账面房号及收款金额-分公司'!$A$2:$B$436,2,0)</f>
        <v>296425.5</v>
      </c>
      <c r="K368" s="87">
        <f t="shared" si="43"/>
        <v>-0.5</v>
      </c>
      <c r="L368" s="127"/>
      <c r="M368" s="127"/>
      <c r="P368" s="50">
        <v>282310</v>
      </c>
      <c r="R368" s="50">
        <f t="shared" si="50"/>
        <v>14115.5</v>
      </c>
      <c r="S368" s="101">
        <f t="shared" si="42"/>
        <v>0</v>
      </c>
      <c r="T368" s="101">
        <f t="shared" si="45"/>
        <v>0</v>
      </c>
      <c r="U368" t="s">
        <v>42</v>
      </c>
    </row>
    <row r="369" hidden="1" spans="1:21">
      <c r="A369" s="103">
        <v>365</v>
      </c>
      <c r="B369" s="111" t="s">
        <v>1690</v>
      </c>
      <c r="C369" s="72">
        <v>89.07</v>
      </c>
      <c r="D369" s="73">
        <v>2928</v>
      </c>
      <c r="E369" s="73">
        <f t="shared" si="46"/>
        <v>260797</v>
      </c>
      <c r="F369" s="74" t="s">
        <v>1691</v>
      </c>
      <c r="G369" s="87">
        <v>260797</v>
      </c>
      <c r="H369" s="87">
        <f t="shared" si="41"/>
        <v>0</v>
      </c>
      <c r="I369" s="86"/>
      <c r="J369" s="86">
        <f>VLOOKUP(B369,'多浪一期账面房号及收款金额-分公司'!$A$2:$B$436,2,0)</f>
        <v>260796.9</v>
      </c>
      <c r="K369" s="87">
        <f t="shared" si="43"/>
        <v>0.100000000005821</v>
      </c>
      <c r="L369" s="127"/>
      <c r="M369" s="127"/>
      <c r="O369" s="100">
        <f>248378.1-248378.1</f>
        <v>0</v>
      </c>
      <c r="P369" s="50">
        <v>248378</v>
      </c>
      <c r="R369" s="50">
        <f t="shared" si="50"/>
        <v>12418.9</v>
      </c>
      <c r="S369" s="101">
        <f t="shared" si="42"/>
        <v>0</v>
      </c>
      <c r="T369" s="101">
        <f t="shared" si="45"/>
        <v>0</v>
      </c>
      <c r="U369" t="s">
        <v>42</v>
      </c>
    </row>
    <row r="370" hidden="1" spans="1:21">
      <c r="A370" s="103">
        <v>366</v>
      </c>
      <c r="B370" s="111" t="s">
        <v>1692</v>
      </c>
      <c r="C370" s="72">
        <v>89.07</v>
      </c>
      <c r="D370" s="73">
        <v>2908</v>
      </c>
      <c r="E370" s="73">
        <f t="shared" si="46"/>
        <v>259016</v>
      </c>
      <c r="F370" s="74" t="s">
        <v>1693</v>
      </c>
      <c r="G370" s="87">
        <v>259016</v>
      </c>
      <c r="H370" s="87">
        <f t="shared" si="41"/>
        <v>0</v>
      </c>
      <c r="I370" s="86"/>
      <c r="J370" s="86">
        <f>VLOOKUP(B370,'多浪一期账面房号及收款金额-分公司'!$A$2:$B$436,2,0)</f>
        <v>259016.1</v>
      </c>
      <c r="K370" s="87">
        <f t="shared" si="43"/>
        <v>-0.100000000005821</v>
      </c>
      <c r="L370" s="127"/>
      <c r="M370" s="127"/>
      <c r="O370" s="100">
        <f>246681.9-246681.9</f>
        <v>0</v>
      </c>
      <c r="P370" s="50">
        <v>246682</v>
      </c>
      <c r="R370" s="50">
        <f t="shared" si="50"/>
        <v>12334.1</v>
      </c>
      <c r="S370" s="101">
        <f t="shared" si="42"/>
        <v>0</v>
      </c>
      <c r="T370" s="101">
        <f t="shared" si="45"/>
        <v>0</v>
      </c>
      <c r="U370" t="s">
        <v>42</v>
      </c>
    </row>
    <row r="371" hidden="1" spans="1:21">
      <c r="A371" s="103">
        <v>367</v>
      </c>
      <c r="B371" s="111" t="s">
        <v>1694</v>
      </c>
      <c r="C371" s="72">
        <v>89.07</v>
      </c>
      <c r="D371" s="73">
        <v>2090</v>
      </c>
      <c r="E371" s="73">
        <f t="shared" si="46"/>
        <v>186156</v>
      </c>
      <c r="F371" s="74" t="s">
        <v>1695</v>
      </c>
      <c r="G371" s="87">
        <v>186156</v>
      </c>
      <c r="H371" s="87">
        <f t="shared" si="41"/>
        <v>0</v>
      </c>
      <c r="I371" s="86"/>
      <c r="J371" s="86">
        <f>VLOOKUP(B371,'多浪一期账面房号及收款金额-分公司'!$A$2:$B$436,2,0)</f>
        <v>186155.55</v>
      </c>
      <c r="K371" s="87">
        <f t="shared" si="43"/>
        <v>0.450000000011642</v>
      </c>
      <c r="L371" s="127"/>
      <c r="M371" s="127"/>
      <c r="P371" s="50">
        <v>177291</v>
      </c>
      <c r="R371" s="50">
        <f t="shared" si="50"/>
        <v>8864.55</v>
      </c>
      <c r="S371" s="101">
        <f t="shared" si="42"/>
        <v>0</v>
      </c>
      <c r="T371" s="101">
        <f t="shared" si="45"/>
        <v>0</v>
      </c>
      <c r="U371" t="s">
        <v>42</v>
      </c>
    </row>
    <row r="372" hidden="1" spans="1:21">
      <c r="A372" s="103">
        <v>368</v>
      </c>
      <c r="B372" s="111" t="s">
        <v>1696</v>
      </c>
      <c r="C372" s="72">
        <v>101.14</v>
      </c>
      <c r="D372" s="73">
        <v>3308</v>
      </c>
      <c r="E372" s="73">
        <f t="shared" si="46"/>
        <v>334571</v>
      </c>
      <c r="F372" s="74" t="s">
        <v>1697</v>
      </c>
      <c r="G372" s="87">
        <v>334571</v>
      </c>
      <c r="H372" s="87">
        <f t="shared" si="41"/>
        <v>0</v>
      </c>
      <c r="I372" s="86"/>
      <c r="J372" s="86">
        <f>VLOOKUP(B372,'多浪一期账面房号及收款金额-分公司'!$A$2:$B$436,2,0)</f>
        <v>334570.95</v>
      </c>
      <c r="K372" s="87">
        <f t="shared" si="43"/>
        <v>0.0499999999883585</v>
      </c>
      <c r="L372" s="127"/>
      <c r="M372" s="127"/>
      <c r="N372" s="100">
        <f>[4]Sheet1!$N$9</f>
        <v>-334571</v>
      </c>
      <c r="O372" s="100">
        <v>334571</v>
      </c>
      <c r="P372" s="50">
        <v>318639</v>
      </c>
      <c r="Q372" s="50">
        <f>334571/1.05</f>
        <v>318639.047619048</v>
      </c>
      <c r="R372" s="50">
        <f>Q372*0.05</f>
        <v>15931.9523809524</v>
      </c>
      <c r="S372" s="101">
        <f t="shared" si="42"/>
        <v>-318639.047619048</v>
      </c>
      <c r="T372" s="101">
        <f t="shared" si="45"/>
        <v>-0.00238095239910763</v>
      </c>
      <c r="U372" t="s">
        <v>984</v>
      </c>
    </row>
    <row r="373" hidden="1" spans="1:21">
      <c r="A373" s="103">
        <v>369</v>
      </c>
      <c r="B373" s="111" t="s">
        <v>1698</v>
      </c>
      <c r="C373" s="72">
        <v>89.07</v>
      </c>
      <c r="D373" s="73">
        <v>2160</v>
      </c>
      <c r="E373" s="73">
        <f t="shared" si="46"/>
        <v>192391</v>
      </c>
      <c r="F373" s="74" t="s">
        <v>1699</v>
      </c>
      <c r="G373" s="87">
        <v>192391</v>
      </c>
      <c r="H373" s="87">
        <f t="shared" si="41"/>
        <v>0</v>
      </c>
      <c r="I373" s="86"/>
      <c r="J373" s="86">
        <f>VLOOKUP(B373,'多浪一期账面房号及收款金额-分公司'!$A$2:$B$436,2,0)</f>
        <v>192390.45</v>
      </c>
      <c r="K373" s="87">
        <f t="shared" si="43"/>
        <v>0.549999999988358</v>
      </c>
      <c r="L373" s="127"/>
      <c r="M373" s="127"/>
      <c r="P373" s="50">
        <v>183229</v>
      </c>
      <c r="R373" s="50">
        <f t="shared" ref="R373:R375" si="51">P373*0.05</f>
        <v>9161.45</v>
      </c>
      <c r="S373" s="101">
        <f t="shared" si="42"/>
        <v>0</v>
      </c>
      <c r="T373" s="101">
        <f t="shared" si="45"/>
        <v>0</v>
      </c>
      <c r="U373" t="s">
        <v>42</v>
      </c>
    </row>
    <row r="374" hidden="1" spans="1:21">
      <c r="A374" s="103">
        <v>370</v>
      </c>
      <c r="B374" s="111" t="s">
        <v>1700</v>
      </c>
      <c r="C374" s="72">
        <v>101.14</v>
      </c>
      <c r="D374" s="73">
        <v>2500</v>
      </c>
      <c r="E374" s="73">
        <f t="shared" si="46"/>
        <v>252850</v>
      </c>
      <c r="F374" s="74" t="s">
        <v>1701</v>
      </c>
      <c r="G374" s="87">
        <v>254490</v>
      </c>
      <c r="H374" s="87">
        <f t="shared" si="41"/>
        <v>-1640</v>
      </c>
      <c r="I374" s="86"/>
      <c r="J374" s="86">
        <f>VLOOKUP(B374,'多浪一期账面房号及收款金额-分公司'!$A$2:$B$436,2,0)</f>
        <v>254489.55</v>
      </c>
      <c r="K374" s="87">
        <f t="shared" si="43"/>
        <v>0.450000000011642</v>
      </c>
      <c r="L374" s="127"/>
      <c r="M374" s="127"/>
      <c r="O374" s="100">
        <v>240809</v>
      </c>
      <c r="P374" s="50">
        <v>1562</v>
      </c>
      <c r="Q374" s="50">
        <v>240809</v>
      </c>
      <c r="R374" s="50">
        <f>P374*0.05+12040.75</f>
        <v>12118.85</v>
      </c>
      <c r="S374" s="101">
        <f t="shared" si="42"/>
        <v>0</v>
      </c>
      <c r="T374" s="101">
        <f t="shared" si="45"/>
        <v>-0.300000000001091</v>
      </c>
      <c r="U374" t="s">
        <v>42</v>
      </c>
    </row>
    <row r="375" hidden="1" spans="1:21">
      <c r="A375" s="103">
        <v>371</v>
      </c>
      <c r="B375" s="111" t="s">
        <v>1702</v>
      </c>
      <c r="C375" s="72">
        <v>89.07</v>
      </c>
      <c r="D375" s="73">
        <v>3378</v>
      </c>
      <c r="E375" s="73">
        <f t="shared" si="46"/>
        <v>300878</v>
      </c>
      <c r="F375" s="74" t="s">
        <v>1703</v>
      </c>
      <c r="G375" s="87">
        <v>300878</v>
      </c>
      <c r="H375" s="87">
        <f t="shared" si="41"/>
        <v>0</v>
      </c>
      <c r="I375" s="86"/>
      <c r="J375" s="86">
        <f>VLOOKUP(B375,'多浪一期账面房号及收款金额-分公司'!$A$2:$B$436,2,0)</f>
        <v>300878.55</v>
      </c>
      <c r="K375" s="87">
        <f t="shared" si="43"/>
        <v>-0.549999999988358</v>
      </c>
      <c r="L375" s="127"/>
      <c r="M375" s="127"/>
      <c r="P375" s="50">
        <v>286551</v>
      </c>
      <c r="R375" s="50">
        <f t="shared" si="51"/>
        <v>14327.55</v>
      </c>
      <c r="S375" s="101">
        <f t="shared" si="42"/>
        <v>0</v>
      </c>
      <c r="T375" s="101">
        <f t="shared" si="45"/>
        <v>0</v>
      </c>
      <c r="U375" t="s">
        <v>42</v>
      </c>
    </row>
    <row r="376" hidden="1" spans="1:21">
      <c r="A376" s="103">
        <v>372</v>
      </c>
      <c r="B376" s="111" t="s">
        <v>1704</v>
      </c>
      <c r="C376" s="72">
        <v>101.14</v>
      </c>
      <c r="D376" s="73">
        <v>3378</v>
      </c>
      <c r="E376" s="73">
        <f t="shared" si="46"/>
        <v>341651</v>
      </c>
      <c r="F376" s="74" t="s">
        <v>1705</v>
      </c>
      <c r="G376" s="87">
        <v>252850</v>
      </c>
      <c r="H376" s="87">
        <f t="shared" si="41"/>
        <v>88801</v>
      </c>
      <c r="I376" s="86"/>
      <c r="J376" s="86">
        <f>VLOOKUP(B376,'多浪一期账面房号及收款金额-分公司'!$A$2:$B$436,2,0)</f>
        <v>82850</v>
      </c>
      <c r="K376" s="87">
        <f t="shared" si="43"/>
        <v>170000</v>
      </c>
      <c r="L376" s="132" t="s">
        <v>1706</v>
      </c>
      <c r="M376" s="127"/>
      <c r="N376" s="100">
        <f>VLOOKUP(B376,[4]Sheet1!$D$5:$N$69,11,0)</f>
        <v>0</v>
      </c>
      <c r="O376" s="100">
        <v>252850</v>
      </c>
      <c r="P376" s="50">
        <v>28571</v>
      </c>
      <c r="Q376" s="50">
        <v>240809.52</v>
      </c>
      <c r="R376" s="50">
        <v>12040.48</v>
      </c>
      <c r="S376" s="101">
        <f>G376/1.05-P376-Q376</f>
        <v>-28570.9961904762</v>
      </c>
      <c r="T376" s="101">
        <f>G376/1.05*0.05-R376</f>
        <v>-0.00380952380874078</v>
      </c>
      <c r="U376" t="s">
        <v>984</v>
      </c>
    </row>
    <row r="377" hidden="1" spans="1:21">
      <c r="A377" s="103">
        <v>373</v>
      </c>
      <c r="B377" s="111" t="s">
        <v>1707</v>
      </c>
      <c r="C377" s="72">
        <v>89.07</v>
      </c>
      <c r="D377" s="73">
        <v>3208</v>
      </c>
      <c r="E377" s="73">
        <f t="shared" si="46"/>
        <v>285737</v>
      </c>
      <c r="F377" s="74" t="s">
        <v>1708</v>
      </c>
      <c r="G377" s="87">
        <v>285737</v>
      </c>
      <c r="H377" s="87">
        <f t="shared" si="41"/>
        <v>0</v>
      </c>
      <c r="I377" s="86"/>
      <c r="J377" s="86">
        <f>VLOOKUP(B377,'多浪一期账面房号及收款金额-分公司'!$A$2:$B$436,2,0)</f>
        <v>285736.5</v>
      </c>
      <c r="K377" s="87">
        <f t="shared" si="43"/>
        <v>0.5</v>
      </c>
      <c r="L377" s="127"/>
      <c r="M377" s="127"/>
      <c r="P377" s="50">
        <v>272130</v>
      </c>
      <c r="R377" s="50">
        <f t="shared" ref="R377:R380" si="52">P377*0.05</f>
        <v>13606.5</v>
      </c>
      <c r="S377" s="101">
        <f t="shared" si="42"/>
        <v>0</v>
      </c>
      <c r="T377" s="101">
        <f t="shared" si="45"/>
        <v>0</v>
      </c>
      <c r="U377" t="s">
        <v>42</v>
      </c>
    </row>
    <row r="378" hidden="1" spans="1:21">
      <c r="A378" s="103">
        <v>374</v>
      </c>
      <c r="B378" s="111" t="s">
        <v>1709</v>
      </c>
      <c r="C378" s="72">
        <v>101.14</v>
      </c>
      <c r="D378" s="73">
        <v>3328</v>
      </c>
      <c r="E378" s="73">
        <f t="shared" si="46"/>
        <v>336594</v>
      </c>
      <c r="F378" s="74" t="s">
        <v>1710</v>
      </c>
      <c r="G378" s="87">
        <v>336594</v>
      </c>
      <c r="H378" s="87">
        <f t="shared" si="41"/>
        <v>0</v>
      </c>
      <c r="I378" s="86"/>
      <c r="J378" s="86">
        <f>VLOOKUP(B378,'多浪一期账面房号及收款金额-分公司'!$A$2:$B$436,2,0)</f>
        <v>336594.3</v>
      </c>
      <c r="K378" s="87">
        <f t="shared" si="43"/>
        <v>-0.299999999988358</v>
      </c>
      <c r="L378" s="127"/>
      <c r="M378" s="127"/>
      <c r="P378" s="50">
        <v>320566</v>
      </c>
      <c r="R378" s="50">
        <f t="shared" si="52"/>
        <v>16028.3</v>
      </c>
      <c r="S378" s="101">
        <f t="shared" si="42"/>
        <v>0</v>
      </c>
      <c r="T378" s="101">
        <f t="shared" si="45"/>
        <v>0</v>
      </c>
      <c r="U378" t="s">
        <v>42</v>
      </c>
    </row>
    <row r="379" hidden="1" spans="1:21">
      <c r="A379" s="103">
        <v>375</v>
      </c>
      <c r="B379" s="111" t="s">
        <v>1711</v>
      </c>
      <c r="C379" s="72">
        <v>89.07</v>
      </c>
      <c r="D379" s="73">
        <v>2928</v>
      </c>
      <c r="E379" s="73">
        <f t="shared" ref="E379:E442" si="53">ROUND(IF(F379&lt;&gt;0,C379*D379,0),0)</f>
        <v>260797</v>
      </c>
      <c r="F379" s="74" t="s">
        <v>1712</v>
      </c>
      <c r="G379" s="87">
        <v>260797</v>
      </c>
      <c r="H379" s="87">
        <f t="shared" si="41"/>
        <v>0</v>
      </c>
      <c r="I379" s="86"/>
      <c r="J379" s="86">
        <f>VLOOKUP(B379,'多浪一期账面房号及收款金额-分公司'!$A$2:$B$436,2,0)</f>
        <v>260796.9</v>
      </c>
      <c r="K379" s="87">
        <f t="shared" si="43"/>
        <v>0.100000000005821</v>
      </c>
      <c r="L379" s="127"/>
      <c r="M379" s="127"/>
      <c r="O379" s="100">
        <f>248378.1-248378.1</f>
        <v>0</v>
      </c>
      <c r="P379" s="50">
        <v>248378</v>
      </c>
      <c r="Q379" s="50">
        <f>248378.1-248378.1</f>
        <v>0</v>
      </c>
      <c r="R379" s="50">
        <f t="shared" si="52"/>
        <v>12418.9</v>
      </c>
      <c r="S379" s="101">
        <f t="shared" si="42"/>
        <v>0</v>
      </c>
      <c r="T379" s="101">
        <f t="shared" si="45"/>
        <v>0</v>
      </c>
      <c r="U379" t="s">
        <v>42</v>
      </c>
    </row>
    <row r="380" hidden="1" spans="1:21">
      <c r="A380" s="103">
        <v>376</v>
      </c>
      <c r="B380" s="111" t="s">
        <v>1713</v>
      </c>
      <c r="C380" s="72">
        <v>101.14</v>
      </c>
      <c r="D380" s="73">
        <v>2928</v>
      </c>
      <c r="E380" s="73">
        <f t="shared" si="53"/>
        <v>296138</v>
      </c>
      <c r="F380" s="74" t="s">
        <v>1714</v>
      </c>
      <c r="G380" s="87">
        <v>296138</v>
      </c>
      <c r="H380" s="87">
        <f t="shared" si="41"/>
        <v>0</v>
      </c>
      <c r="I380" s="86"/>
      <c r="J380" s="86">
        <f>VLOOKUP(B380,'多浪一期账面房号及收款金额-分公司'!$A$2:$B$436,2,0)</f>
        <v>296137.8</v>
      </c>
      <c r="K380" s="87">
        <f t="shared" si="43"/>
        <v>0.200000000011642</v>
      </c>
      <c r="L380" s="127"/>
      <c r="M380" s="127"/>
      <c r="N380" s="100">
        <f>VLOOKUP(B380,[4]Sheet1!$D$5:$N$69,11,0)</f>
        <v>-2</v>
      </c>
      <c r="O380" s="100">
        <f>282036.19-282034.19</f>
        <v>2</v>
      </c>
      <c r="P380" s="50">
        <v>282036</v>
      </c>
      <c r="Q380" s="50">
        <v>2</v>
      </c>
      <c r="R380" s="50">
        <f t="shared" si="52"/>
        <v>14101.8</v>
      </c>
      <c r="S380" s="101">
        <f t="shared" si="42"/>
        <v>-2</v>
      </c>
      <c r="T380" s="101">
        <f t="shared" si="45"/>
        <v>0</v>
      </c>
      <c r="U380" t="s">
        <v>1098</v>
      </c>
    </row>
    <row r="381" hidden="1" spans="1:20">
      <c r="A381" s="103">
        <v>377</v>
      </c>
      <c r="B381" s="109" t="s">
        <v>1715</v>
      </c>
      <c r="C381" s="72">
        <v>101.14</v>
      </c>
      <c r="D381" s="73"/>
      <c r="E381" s="73">
        <f t="shared" si="53"/>
        <v>0</v>
      </c>
      <c r="F381" s="74" t="s">
        <v>1716</v>
      </c>
      <c r="G381" s="87">
        <v>0</v>
      </c>
      <c r="H381" s="87">
        <f t="shared" si="41"/>
        <v>0</v>
      </c>
      <c r="I381" s="86"/>
      <c r="J381" s="86"/>
      <c r="K381" s="87">
        <f t="shared" si="43"/>
        <v>0</v>
      </c>
      <c r="L381" s="127"/>
      <c r="M381" s="132" t="s">
        <v>1716</v>
      </c>
      <c r="S381" s="101">
        <f t="shared" si="42"/>
        <v>0</v>
      </c>
      <c r="T381" s="101">
        <f t="shared" si="45"/>
        <v>0</v>
      </c>
    </row>
    <row r="382" hidden="1" spans="1:20">
      <c r="A382" s="103">
        <v>378</v>
      </c>
      <c r="B382" s="110" t="s">
        <v>1717</v>
      </c>
      <c r="C382" s="72">
        <v>89.07</v>
      </c>
      <c r="D382" s="73"/>
      <c r="E382" s="73">
        <f t="shared" si="53"/>
        <v>0</v>
      </c>
      <c r="F382" s="74" t="s">
        <v>1716</v>
      </c>
      <c r="G382" s="87">
        <v>0</v>
      </c>
      <c r="H382" s="87">
        <f t="shared" si="41"/>
        <v>0</v>
      </c>
      <c r="I382" s="86"/>
      <c r="J382" s="86"/>
      <c r="K382" s="87">
        <f t="shared" si="43"/>
        <v>0</v>
      </c>
      <c r="L382" s="127"/>
      <c r="M382" s="132" t="s">
        <v>1716</v>
      </c>
      <c r="S382" s="101">
        <f t="shared" si="42"/>
        <v>0</v>
      </c>
      <c r="T382" s="101">
        <f t="shared" si="45"/>
        <v>0</v>
      </c>
    </row>
    <row r="383" hidden="1" spans="1:20">
      <c r="A383" s="103">
        <v>379</v>
      </c>
      <c r="B383" s="110" t="s">
        <v>1718</v>
      </c>
      <c r="C383" s="72">
        <v>101.14</v>
      </c>
      <c r="D383" s="73"/>
      <c r="E383" s="73">
        <f t="shared" si="53"/>
        <v>0</v>
      </c>
      <c r="F383" s="74" t="s">
        <v>1716</v>
      </c>
      <c r="G383" s="87">
        <v>0</v>
      </c>
      <c r="H383" s="87">
        <f t="shared" si="41"/>
        <v>0</v>
      </c>
      <c r="I383" s="86"/>
      <c r="J383" s="86"/>
      <c r="K383" s="87">
        <f t="shared" si="43"/>
        <v>0</v>
      </c>
      <c r="L383" s="127"/>
      <c r="M383" s="132" t="s">
        <v>1716</v>
      </c>
      <c r="S383" s="101">
        <f t="shared" si="42"/>
        <v>0</v>
      </c>
      <c r="T383" s="101">
        <f t="shared" si="45"/>
        <v>0</v>
      </c>
    </row>
    <row r="384" hidden="1" spans="1:20">
      <c r="A384" s="103">
        <v>380</v>
      </c>
      <c r="B384" s="110" t="s">
        <v>1719</v>
      </c>
      <c r="C384" s="72">
        <v>89.07</v>
      </c>
      <c r="D384" s="73"/>
      <c r="E384" s="73">
        <f t="shared" si="53"/>
        <v>0</v>
      </c>
      <c r="F384" s="74" t="s">
        <v>1716</v>
      </c>
      <c r="G384" s="87">
        <v>0</v>
      </c>
      <c r="H384" s="87">
        <f t="shared" si="41"/>
        <v>0</v>
      </c>
      <c r="I384" s="86"/>
      <c r="J384" s="86"/>
      <c r="K384" s="87">
        <f t="shared" si="43"/>
        <v>0</v>
      </c>
      <c r="L384" s="127"/>
      <c r="M384" s="132" t="s">
        <v>1716</v>
      </c>
      <c r="S384" s="101">
        <f t="shared" si="42"/>
        <v>0</v>
      </c>
      <c r="T384" s="101">
        <f t="shared" si="45"/>
        <v>0</v>
      </c>
    </row>
    <row r="385" hidden="1" spans="1:20">
      <c r="A385" s="103">
        <v>381</v>
      </c>
      <c r="B385" s="110" t="s">
        <v>1720</v>
      </c>
      <c r="C385" s="72">
        <v>101.14</v>
      </c>
      <c r="D385" s="73"/>
      <c r="E385" s="73">
        <f t="shared" si="53"/>
        <v>0</v>
      </c>
      <c r="F385" s="74" t="s">
        <v>1716</v>
      </c>
      <c r="G385" s="87">
        <v>0</v>
      </c>
      <c r="H385" s="87">
        <f t="shared" ref="H385:H448" si="54">E385-G385</f>
        <v>0</v>
      </c>
      <c r="I385" s="86"/>
      <c r="J385" s="86"/>
      <c r="K385" s="87">
        <f t="shared" si="43"/>
        <v>0</v>
      </c>
      <c r="L385" s="127"/>
      <c r="M385" s="132" t="s">
        <v>1716</v>
      </c>
      <c r="S385" s="101">
        <f t="shared" si="42"/>
        <v>0</v>
      </c>
      <c r="T385" s="101">
        <f t="shared" si="45"/>
        <v>0</v>
      </c>
    </row>
    <row r="386" hidden="1" spans="1:20">
      <c r="A386" s="103">
        <v>382</v>
      </c>
      <c r="B386" s="110" t="s">
        <v>1721</v>
      </c>
      <c r="C386" s="72">
        <v>89.07</v>
      </c>
      <c r="D386" s="73"/>
      <c r="E386" s="73">
        <f t="shared" si="53"/>
        <v>0</v>
      </c>
      <c r="F386" s="74" t="s">
        <v>1716</v>
      </c>
      <c r="G386" s="87">
        <v>0</v>
      </c>
      <c r="H386" s="87">
        <f t="shared" si="54"/>
        <v>0</v>
      </c>
      <c r="I386" s="86"/>
      <c r="J386" s="86"/>
      <c r="K386" s="87">
        <f t="shared" si="43"/>
        <v>0</v>
      </c>
      <c r="L386" s="127"/>
      <c r="M386" s="132" t="s">
        <v>1716</v>
      </c>
      <c r="S386" s="101">
        <f t="shared" si="42"/>
        <v>0</v>
      </c>
      <c r="T386" s="101">
        <f t="shared" si="45"/>
        <v>0</v>
      </c>
    </row>
    <row r="387" hidden="1" spans="1:20">
      <c r="A387" s="103">
        <v>383</v>
      </c>
      <c r="B387" s="110" t="s">
        <v>1722</v>
      </c>
      <c r="C387" s="72">
        <v>101.14</v>
      </c>
      <c r="D387" s="73"/>
      <c r="E387" s="73">
        <f t="shared" si="53"/>
        <v>0</v>
      </c>
      <c r="F387" s="74" t="s">
        <v>1716</v>
      </c>
      <c r="G387" s="87">
        <v>0</v>
      </c>
      <c r="H387" s="87">
        <f t="shared" si="54"/>
        <v>0</v>
      </c>
      <c r="I387" s="86"/>
      <c r="J387" s="86"/>
      <c r="K387" s="87">
        <f t="shared" si="43"/>
        <v>0</v>
      </c>
      <c r="L387" s="127"/>
      <c r="M387" s="132" t="s">
        <v>1716</v>
      </c>
      <c r="S387" s="101">
        <f t="shared" si="42"/>
        <v>0</v>
      </c>
      <c r="T387" s="101">
        <f t="shared" si="45"/>
        <v>0</v>
      </c>
    </row>
    <row r="388" hidden="1" spans="1:20">
      <c r="A388" s="103">
        <v>384</v>
      </c>
      <c r="B388" s="110" t="s">
        <v>1723</v>
      </c>
      <c r="C388" s="72">
        <v>89.07</v>
      </c>
      <c r="D388" s="73"/>
      <c r="E388" s="73">
        <f t="shared" si="53"/>
        <v>0</v>
      </c>
      <c r="F388" s="74" t="s">
        <v>1716</v>
      </c>
      <c r="G388" s="87">
        <v>0</v>
      </c>
      <c r="H388" s="87">
        <f t="shared" si="54"/>
        <v>0</v>
      </c>
      <c r="I388" s="86"/>
      <c r="J388" s="86"/>
      <c r="K388" s="87">
        <f t="shared" si="43"/>
        <v>0</v>
      </c>
      <c r="L388" s="127"/>
      <c r="M388" s="132" t="s">
        <v>1716</v>
      </c>
      <c r="S388" s="101">
        <f t="shared" si="42"/>
        <v>0</v>
      </c>
      <c r="T388" s="101">
        <f t="shared" si="45"/>
        <v>0</v>
      </c>
    </row>
    <row r="389" hidden="1" spans="1:20">
      <c r="A389" s="103">
        <v>385</v>
      </c>
      <c r="B389" s="110" t="s">
        <v>1724</v>
      </c>
      <c r="C389" s="103">
        <v>101.14</v>
      </c>
      <c r="D389" s="73"/>
      <c r="E389" s="73">
        <f t="shared" si="53"/>
        <v>0</v>
      </c>
      <c r="F389" s="138" t="s">
        <v>1716</v>
      </c>
      <c r="G389" s="87">
        <v>0</v>
      </c>
      <c r="H389" s="87">
        <f t="shared" si="54"/>
        <v>0</v>
      </c>
      <c r="I389" s="86"/>
      <c r="J389" s="86"/>
      <c r="K389" s="87">
        <f t="shared" si="43"/>
        <v>0</v>
      </c>
      <c r="L389" s="127"/>
      <c r="M389" s="132" t="s">
        <v>1716</v>
      </c>
      <c r="S389" s="101">
        <f t="shared" ref="S389:S452" si="55">J389/1.05-P389-Q389</f>
        <v>0</v>
      </c>
      <c r="T389" s="101">
        <f t="shared" si="45"/>
        <v>0</v>
      </c>
    </row>
    <row r="390" hidden="1" spans="1:20">
      <c r="A390" s="103">
        <v>386</v>
      </c>
      <c r="B390" s="110" t="s">
        <v>1725</v>
      </c>
      <c r="C390" s="72">
        <v>89.07</v>
      </c>
      <c r="D390" s="73"/>
      <c r="E390" s="73">
        <f t="shared" si="53"/>
        <v>0</v>
      </c>
      <c r="F390" s="74" t="s">
        <v>1716</v>
      </c>
      <c r="G390" s="87">
        <v>0</v>
      </c>
      <c r="H390" s="87">
        <f t="shared" si="54"/>
        <v>0</v>
      </c>
      <c r="I390" s="86"/>
      <c r="J390" s="86"/>
      <c r="K390" s="87">
        <f t="shared" ref="K390:K453" si="56">G390-I390-J390</f>
        <v>0</v>
      </c>
      <c r="L390" s="127"/>
      <c r="M390" s="132" t="s">
        <v>1716</v>
      </c>
      <c r="S390" s="101">
        <f t="shared" si="55"/>
        <v>0</v>
      </c>
      <c r="T390" s="101">
        <f t="shared" si="45"/>
        <v>0</v>
      </c>
    </row>
    <row r="391" hidden="1" spans="1:20">
      <c r="A391" s="103">
        <v>387</v>
      </c>
      <c r="B391" s="110" t="s">
        <v>1726</v>
      </c>
      <c r="C391" s="72">
        <v>89.07</v>
      </c>
      <c r="D391" s="73"/>
      <c r="E391" s="73">
        <f t="shared" si="53"/>
        <v>0</v>
      </c>
      <c r="F391" s="74" t="s">
        <v>1716</v>
      </c>
      <c r="G391" s="87">
        <v>0</v>
      </c>
      <c r="H391" s="87">
        <f t="shared" si="54"/>
        <v>0</v>
      </c>
      <c r="I391" s="86"/>
      <c r="J391" s="86"/>
      <c r="K391" s="87">
        <f t="shared" si="56"/>
        <v>0</v>
      </c>
      <c r="L391" s="127"/>
      <c r="M391" s="132" t="s">
        <v>1716</v>
      </c>
      <c r="S391" s="101">
        <f t="shared" si="55"/>
        <v>0</v>
      </c>
      <c r="T391" s="101">
        <f t="shared" si="45"/>
        <v>0</v>
      </c>
    </row>
    <row r="392" hidden="1" spans="1:20">
      <c r="A392" s="103">
        <v>388</v>
      </c>
      <c r="B392" s="110" t="s">
        <v>1727</v>
      </c>
      <c r="C392" s="72">
        <v>89.07</v>
      </c>
      <c r="D392" s="73"/>
      <c r="E392" s="73">
        <f t="shared" si="53"/>
        <v>0</v>
      </c>
      <c r="F392" s="74" t="s">
        <v>1716</v>
      </c>
      <c r="G392" s="87">
        <v>0</v>
      </c>
      <c r="H392" s="87">
        <f t="shared" si="54"/>
        <v>0</v>
      </c>
      <c r="I392" s="86"/>
      <c r="J392" s="86"/>
      <c r="K392" s="87">
        <f t="shared" si="56"/>
        <v>0</v>
      </c>
      <c r="L392" s="127"/>
      <c r="M392" s="132" t="s">
        <v>1716</v>
      </c>
      <c r="S392" s="101">
        <f t="shared" si="55"/>
        <v>0</v>
      </c>
      <c r="T392" s="101">
        <f t="shared" ref="T392:T455" si="57">J392/1.05*0.05-R392</f>
        <v>0</v>
      </c>
    </row>
    <row r="393" hidden="1" spans="1:20">
      <c r="A393" s="103">
        <v>389</v>
      </c>
      <c r="B393" s="110" t="s">
        <v>1728</v>
      </c>
      <c r="C393" s="72">
        <v>89.07</v>
      </c>
      <c r="D393" s="73"/>
      <c r="E393" s="73">
        <f t="shared" si="53"/>
        <v>0</v>
      </c>
      <c r="F393" s="74" t="s">
        <v>1716</v>
      </c>
      <c r="G393" s="87">
        <v>0</v>
      </c>
      <c r="H393" s="87">
        <f t="shared" si="54"/>
        <v>0</v>
      </c>
      <c r="I393" s="86"/>
      <c r="J393" s="86"/>
      <c r="K393" s="87">
        <f t="shared" si="56"/>
        <v>0</v>
      </c>
      <c r="L393" s="127"/>
      <c r="M393" s="132" t="s">
        <v>1716</v>
      </c>
      <c r="S393" s="101">
        <f t="shared" si="55"/>
        <v>0</v>
      </c>
      <c r="T393" s="101">
        <f t="shared" si="57"/>
        <v>0</v>
      </c>
    </row>
    <row r="394" hidden="1" spans="1:20">
      <c r="A394" s="103">
        <v>390</v>
      </c>
      <c r="B394" s="110" t="s">
        <v>1729</v>
      </c>
      <c r="C394" s="72">
        <v>89.07</v>
      </c>
      <c r="D394" s="73"/>
      <c r="E394" s="73">
        <f t="shared" si="53"/>
        <v>0</v>
      </c>
      <c r="F394" s="74" t="s">
        <v>1716</v>
      </c>
      <c r="G394" s="87">
        <v>0</v>
      </c>
      <c r="H394" s="87">
        <f t="shared" si="54"/>
        <v>0</v>
      </c>
      <c r="I394" s="86"/>
      <c r="J394" s="86"/>
      <c r="K394" s="87">
        <f t="shared" si="56"/>
        <v>0</v>
      </c>
      <c r="L394" s="127"/>
      <c r="M394" s="132" t="s">
        <v>1716</v>
      </c>
      <c r="S394" s="101">
        <f t="shared" si="55"/>
        <v>0</v>
      </c>
      <c r="T394" s="101">
        <f t="shared" si="57"/>
        <v>0</v>
      </c>
    </row>
    <row r="395" hidden="1" spans="1:20">
      <c r="A395" s="103">
        <v>391</v>
      </c>
      <c r="B395" s="110" t="s">
        <v>1730</v>
      </c>
      <c r="C395" s="72">
        <v>89.07</v>
      </c>
      <c r="D395" s="73"/>
      <c r="E395" s="73">
        <f t="shared" si="53"/>
        <v>0</v>
      </c>
      <c r="F395" s="74" t="s">
        <v>1716</v>
      </c>
      <c r="G395" s="87">
        <v>0</v>
      </c>
      <c r="H395" s="87">
        <f t="shared" si="54"/>
        <v>0</v>
      </c>
      <c r="I395" s="86"/>
      <c r="J395" s="86"/>
      <c r="K395" s="87">
        <f t="shared" si="56"/>
        <v>0</v>
      </c>
      <c r="L395" s="127"/>
      <c r="M395" s="132" t="s">
        <v>1716</v>
      </c>
      <c r="S395" s="101">
        <f t="shared" si="55"/>
        <v>0</v>
      </c>
      <c r="T395" s="101">
        <f t="shared" si="57"/>
        <v>0</v>
      </c>
    </row>
    <row r="396" hidden="1" spans="1:20">
      <c r="A396" s="103">
        <v>392</v>
      </c>
      <c r="B396" s="110" t="s">
        <v>1731</v>
      </c>
      <c r="C396" s="72">
        <v>89.07</v>
      </c>
      <c r="D396" s="73"/>
      <c r="E396" s="73">
        <f t="shared" si="53"/>
        <v>0</v>
      </c>
      <c r="F396" s="74" t="s">
        <v>1716</v>
      </c>
      <c r="G396" s="87">
        <v>0</v>
      </c>
      <c r="H396" s="87">
        <f t="shared" si="54"/>
        <v>0</v>
      </c>
      <c r="I396" s="86"/>
      <c r="J396" s="86"/>
      <c r="K396" s="87">
        <f t="shared" si="56"/>
        <v>0</v>
      </c>
      <c r="L396" s="127"/>
      <c r="M396" s="132" t="s">
        <v>1716</v>
      </c>
      <c r="S396" s="101">
        <f t="shared" si="55"/>
        <v>0</v>
      </c>
      <c r="T396" s="101">
        <f t="shared" si="57"/>
        <v>0</v>
      </c>
    </row>
    <row r="397" hidden="1" spans="1:20">
      <c r="A397" s="103">
        <v>393</v>
      </c>
      <c r="B397" s="110" t="s">
        <v>1732</v>
      </c>
      <c r="C397" s="72">
        <v>89.07</v>
      </c>
      <c r="D397" s="73"/>
      <c r="E397" s="73">
        <f t="shared" si="53"/>
        <v>0</v>
      </c>
      <c r="F397" s="74" t="s">
        <v>1716</v>
      </c>
      <c r="G397" s="87">
        <v>0</v>
      </c>
      <c r="H397" s="87">
        <f t="shared" si="54"/>
        <v>0</v>
      </c>
      <c r="I397" s="86"/>
      <c r="J397" s="86"/>
      <c r="K397" s="87">
        <f t="shared" si="56"/>
        <v>0</v>
      </c>
      <c r="L397" s="127"/>
      <c r="M397" s="132" t="s">
        <v>1716</v>
      </c>
      <c r="S397" s="101">
        <f t="shared" si="55"/>
        <v>0</v>
      </c>
      <c r="T397" s="101">
        <f t="shared" si="57"/>
        <v>0</v>
      </c>
    </row>
    <row r="398" hidden="1" spans="1:20">
      <c r="A398" s="103">
        <v>394</v>
      </c>
      <c r="B398" s="110" t="s">
        <v>1733</v>
      </c>
      <c r="C398" s="72">
        <v>89.07</v>
      </c>
      <c r="D398" s="73"/>
      <c r="E398" s="73">
        <f t="shared" si="53"/>
        <v>0</v>
      </c>
      <c r="F398" s="74" t="s">
        <v>1716</v>
      </c>
      <c r="G398" s="87">
        <v>0</v>
      </c>
      <c r="H398" s="87">
        <f t="shared" si="54"/>
        <v>0</v>
      </c>
      <c r="I398" s="86"/>
      <c r="J398" s="86"/>
      <c r="K398" s="87">
        <f t="shared" si="56"/>
        <v>0</v>
      </c>
      <c r="L398" s="127"/>
      <c r="M398" s="132" t="s">
        <v>1716</v>
      </c>
      <c r="S398" s="101">
        <f t="shared" si="55"/>
        <v>0</v>
      </c>
      <c r="T398" s="101">
        <f t="shared" si="57"/>
        <v>0</v>
      </c>
    </row>
    <row r="399" hidden="1" spans="1:20">
      <c r="A399" s="103">
        <v>395</v>
      </c>
      <c r="B399" s="110" t="s">
        <v>1734</v>
      </c>
      <c r="C399" s="72">
        <v>89.07</v>
      </c>
      <c r="D399" s="73"/>
      <c r="E399" s="73">
        <f t="shared" si="53"/>
        <v>0</v>
      </c>
      <c r="F399" s="74" t="s">
        <v>1716</v>
      </c>
      <c r="G399" s="87">
        <v>0</v>
      </c>
      <c r="H399" s="87">
        <f t="shared" si="54"/>
        <v>0</v>
      </c>
      <c r="I399" s="86"/>
      <c r="J399" s="86"/>
      <c r="K399" s="87">
        <f t="shared" si="56"/>
        <v>0</v>
      </c>
      <c r="L399" s="127"/>
      <c r="M399" s="132" t="s">
        <v>1716</v>
      </c>
      <c r="S399" s="101">
        <f t="shared" si="55"/>
        <v>0</v>
      </c>
      <c r="T399" s="101">
        <f t="shared" si="57"/>
        <v>0</v>
      </c>
    </row>
    <row r="400" hidden="1" spans="1:20">
      <c r="A400" s="103">
        <v>396</v>
      </c>
      <c r="B400" s="111" t="s">
        <v>1735</v>
      </c>
      <c r="C400" s="72">
        <v>89.07</v>
      </c>
      <c r="D400" s="73"/>
      <c r="E400" s="73">
        <f t="shared" si="53"/>
        <v>0</v>
      </c>
      <c r="F400" s="74" t="s">
        <v>1716</v>
      </c>
      <c r="G400" s="87">
        <v>0</v>
      </c>
      <c r="H400" s="87">
        <f t="shared" si="54"/>
        <v>0</v>
      </c>
      <c r="I400" s="86"/>
      <c r="J400" s="86"/>
      <c r="K400" s="87">
        <f t="shared" si="56"/>
        <v>0</v>
      </c>
      <c r="L400" s="127"/>
      <c r="M400" s="132" t="s">
        <v>1716</v>
      </c>
      <c r="S400" s="101">
        <f t="shared" si="55"/>
        <v>0</v>
      </c>
      <c r="T400" s="101">
        <f t="shared" si="57"/>
        <v>0</v>
      </c>
    </row>
    <row r="401" hidden="1" spans="1:20">
      <c r="A401" s="103">
        <v>397</v>
      </c>
      <c r="B401" s="111" t="s">
        <v>1736</v>
      </c>
      <c r="C401" s="72">
        <v>89.07</v>
      </c>
      <c r="D401" s="73"/>
      <c r="E401" s="73">
        <f t="shared" si="53"/>
        <v>0</v>
      </c>
      <c r="F401" s="74" t="s">
        <v>1716</v>
      </c>
      <c r="G401" s="87">
        <v>0</v>
      </c>
      <c r="H401" s="87">
        <f t="shared" si="54"/>
        <v>0</v>
      </c>
      <c r="I401" s="86"/>
      <c r="J401" s="86"/>
      <c r="K401" s="87">
        <f t="shared" si="56"/>
        <v>0</v>
      </c>
      <c r="L401" s="127"/>
      <c r="M401" s="132" t="s">
        <v>1716</v>
      </c>
      <c r="S401" s="101">
        <f t="shared" si="55"/>
        <v>0</v>
      </c>
      <c r="T401" s="101">
        <f t="shared" si="57"/>
        <v>0</v>
      </c>
    </row>
    <row r="402" hidden="1" spans="1:20">
      <c r="A402" s="103">
        <v>398</v>
      </c>
      <c r="B402" s="111" t="s">
        <v>1737</v>
      </c>
      <c r="C402" s="72">
        <v>101.14</v>
      </c>
      <c r="D402" s="73"/>
      <c r="E402" s="73">
        <f t="shared" si="53"/>
        <v>0</v>
      </c>
      <c r="F402" s="74" t="s">
        <v>1716</v>
      </c>
      <c r="G402" s="87">
        <v>0</v>
      </c>
      <c r="H402" s="87">
        <f t="shared" si="54"/>
        <v>0</v>
      </c>
      <c r="I402" s="86"/>
      <c r="J402" s="86"/>
      <c r="K402" s="87">
        <f t="shared" si="56"/>
        <v>0</v>
      </c>
      <c r="L402" s="127"/>
      <c r="M402" s="132" t="s">
        <v>1716</v>
      </c>
      <c r="S402" s="101">
        <f t="shared" si="55"/>
        <v>0</v>
      </c>
      <c r="T402" s="101">
        <f t="shared" si="57"/>
        <v>0</v>
      </c>
    </row>
    <row r="403" hidden="1" spans="1:20">
      <c r="A403" s="103">
        <v>399</v>
      </c>
      <c r="B403" s="111" t="s">
        <v>1738</v>
      </c>
      <c r="C403" s="72">
        <v>89.07</v>
      </c>
      <c r="D403" s="73"/>
      <c r="E403" s="73">
        <f t="shared" si="53"/>
        <v>0</v>
      </c>
      <c r="F403" s="74" t="s">
        <v>1716</v>
      </c>
      <c r="G403" s="87">
        <v>0</v>
      </c>
      <c r="H403" s="87">
        <f t="shared" si="54"/>
        <v>0</v>
      </c>
      <c r="I403" s="86"/>
      <c r="J403" s="86"/>
      <c r="K403" s="87">
        <f t="shared" si="56"/>
        <v>0</v>
      </c>
      <c r="L403" s="127"/>
      <c r="M403" s="132" t="s">
        <v>1716</v>
      </c>
      <c r="S403" s="101">
        <f t="shared" si="55"/>
        <v>0</v>
      </c>
      <c r="T403" s="101">
        <f t="shared" si="57"/>
        <v>0</v>
      </c>
    </row>
    <row r="404" hidden="1" spans="1:20">
      <c r="A404" s="103">
        <v>400</v>
      </c>
      <c r="B404" s="111" t="s">
        <v>1739</v>
      </c>
      <c r="C404" s="72">
        <v>101.14</v>
      </c>
      <c r="D404" s="73"/>
      <c r="E404" s="73">
        <f t="shared" si="53"/>
        <v>0</v>
      </c>
      <c r="F404" s="74" t="s">
        <v>1716</v>
      </c>
      <c r="G404" s="87">
        <v>0</v>
      </c>
      <c r="H404" s="87">
        <f t="shared" si="54"/>
        <v>0</v>
      </c>
      <c r="I404" s="86"/>
      <c r="J404" s="86"/>
      <c r="K404" s="87">
        <f t="shared" si="56"/>
        <v>0</v>
      </c>
      <c r="L404" s="127"/>
      <c r="M404" s="132" t="s">
        <v>1716</v>
      </c>
      <c r="S404" s="101">
        <f t="shared" si="55"/>
        <v>0</v>
      </c>
      <c r="T404" s="101">
        <f t="shared" si="57"/>
        <v>0</v>
      </c>
    </row>
    <row r="405" hidden="1" spans="1:20">
      <c r="A405" s="103">
        <v>401</v>
      </c>
      <c r="B405" s="111" t="s">
        <v>1740</v>
      </c>
      <c r="C405" s="72">
        <v>89.07</v>
      </c>
      <c r="D405" s="73"/>
      <c r="E405" s="73">
        <f t="shared" si="53"/>
        <v>0</v>
      </c>
      <c r="F405" s="74" t="s">
        <v>1716</v>
      </c>
      <c r="G405" s="87">
        <v>0</v>
      </c>
      <c r="H405" s="87">
        <f t="shared" si="54"/>
        <v>0</v>
      </c>
      <c r="I405" s="86"/>
      <c r="J405" s="86"/>
      <c r="K405" s="87">
        <f t="shared" si="56"/>
        <v>0</v>
      </c>
      <c r="L405" s="127"/>
      <c r="M405" s="132" t="s">
        <v>1716</v>
      </c>
      <c r="S405" s="101">
        <f t="shared" si="55"/>
        <v>0</v>
      </c>
      <c r="T405" s="101">
        <f t="shared" si="57"/>
        <v>0</v>
      </c>
    </row>
    <row r="406" hidden="1" spans="1:20">
      <c r="A406" s="103">
        <v>402</v>
      </c>
      <c r="B406" s="111" t="s">
        <v>1741</v>
      </c>
      <c r="C406" s="72">
        <v>101.14</v>
      </c>
      <c r="D406" s="73"/>
      <c r="E406" s="73">
        <f t="shared" si="53"/>
        <v>0</v>
      </c>
      <c r="F406" s="74" t="s">
        <v>1716</v>
      </c>
      <c r="G406" s="87">
        <v>0</v>
      </c>
      <c r="H406" s="87">
        <f t="shared" si="54"/>
        <v>0</v>
      </c>
      <c r="I406" s="86"/>
      <c r="J406" s="86"/>
      <c r="K406" s="87">
        <f t="shared" si="56"/>
        <v>0</v>
      </c>
      <c r="L406" s="127"/>
      <c r="M406" s="132" t="s">
        <v>1716</v>
      </c>
      <c r="S406" s="101">
        <f t="shared" si="55"/>
        <v>0</v>
      </c>
      <c r="T406" s="101">
        <f t="shared" si="57"/>
        <v>0</v>
      </c>
    </row>
    <row r="407" hidden="1" spans="1:20">
      <c r="A407" s="103">
        <v>403</v>
      </c>
      <c r="B407" s="111" t="s">
        <v>1742</v>
      </c>
      <c r="C407" s="72">
        <v>89.07</v>
      </c>
      <c r="D407" s="73"/>
      <c r="E407" s="73">
        <f t="shared" si="53"/>
        <v>0</v>
      </c>
      <c r="F407" s="74" t="s">
        <v>1716</v>
      </c>
      <c r="G407" s="87">
        <v>0</v>
      </c>
      <c r="H407" s="87">
        <f t="shared" si="54"/>
        <v>0</v>
      </c>
      <c r="I407" s="86"/>
      <c r="J407" s="86"/>
      <c r="K407" s="87">
        <f t="shared" si="56"/>
        <v>0</v>
      </c>
      <c r="L407" s="127"/>
      <c r="M407" s="132" t="s">
        <v>1716</v>
      </c>
      <c r="S407" s="101">
        <f t="shared" si="55"/>
        <v>0</v>
      </c>
      <c r="T407" s="101">
        <f t="shared" si="57"/>
        <v>0</v>
      </c>
    </row>
    <row r="408" hidden="1" spans="1:20">
      <c r="A408" s="103">
        <v>404</v>
      </c>
      <c r="B408" s="111" t="s">
        <v>1743</v>
      </c>
      <c r="C408" s="72">
        <v>101.14</v>
      </c>
      <c r="D408" s="73"/>
      <c r="E408" s="73">
        <f t="shared" si="53"/>
        <v>0</v>
      </c>
      <c r="F408" s="74" t="s">
        <v>1716</v>
      </c>
      <c r="G408" s="87">
        <v>0</v>
      </c>
      <c r="H408" s="87">
        <f t="shared" si="54"/>
        <v>0</v>
      </c>
      <c r="I408" s="86"/>
      <c r="J408" s="86"/>
      <c r="K408" s="87">
        <f t="shared" si="56"/>
        <v>0</v>
      </c>
      <c r="L408" s="127"/>
      <c r="M408" s="132" t="s">
        <v>1716</v>
      </c>
      <c r="S408" s="101">
        <f t="shared" si="55"/>
        <v>0</v>
      </c>
      <c r="T408" s="101">
        <f t="shared" si="57"/>
        <v>0</v>
      </c>
    </row>
    <row r="409" hidden="1" spans="1:20">
      <c r="A409" s="103">
        <v>405</v>
      </c>
      <c r="B409" s="111" t="s">
        <v>1744</v>
      </c>
      <c r="C409" s="72">
        <v>89.07</v>
      </c>
      <c r="D409" s="73"/>
      <c r="E409" s="73">
        <f t="shared" si="53"/>
        <v>0</v>
      </c>
      <c r="F409" s="74" t="s">
        <v>1716</v>
      </c>
      <c r="G409" s="87">
        <v>0</v>
      </c>
      <c r="H409" s="87">
        <f t="shared" si="54"/>
        <v>0</v>
      </c>
      <c r="I409" s="86"/>
      <c r="J409" s="86"/>
      <c r="K409" s="87">
        <f t="shared" si="56"/>
        <v>0</v>
      </c>
      <c r="L409" s="127"/>
      <c r="M409" s="132" t="s">
        <v>1716</v>
      </c>
      <c r="S409" s="101">
        <f t="shared" si="55"/>
        <v>0</v>
      </c>
      <c r="T409" s="101">
        <f t="shared" si="57"/>
        <v>0</v>
      </c>
    </row>
    <row r="410" hidden="1" spans="1:20">
      <c r="A410" s="103">
        <v>406</v>
      </c>
      <c r="B410" s="111" t="s">
        <v>1745</v>
      </c>
      <c r="C410" s="72">
        <v>101.14</v>
      </c>
      <c r="D410" s="73"/>
      <c r="E410" s="73">
        <f t="shared" si="53"/>
        <v>0</v>
      </c>
      <c r="F410" s="74" t="s">
        <v>1716</v>
      </c>
      <c r="G410" s="87">
        <v>0</v>
      </c>
      <c r="H410" s="87">
        <f t="shared" si="54"/>
        <v>0</v>
      </c>
      <c r="I410" s="86"/>
      <c r="J410" s="86"/>
      <c r="K410" s="87">
        <f t="shared" si="56"/>
        <v>0</v>
      </c>
      <c r="L410" s="127"/>
      <c r="M410" s="132" t="s">
        <v>1716</v>
      </c>
      <c r="S410" s="101">
        <f t="shared" si="55"/>
        <v>0</v>
      </c>
      <c r="T410" s="101">
        <f t="shared" si="57"/>
        <v>0</v>
      </c>
    </row>
    <row r="411" hidden="1" spans="1:21">
      <c r="A411" s="103">
        <v>407</v>
      </c>
      <c r="B411" s="109" t="s">
        <v>1746</v>
      </c>
      <c r="C411" s="72">
        <v>73.43</v>
      </c>
      <c r="D411" s="73">
        <v>2460</v>
      </c>
      <c r="E411" s="73">
        <f t="shared" si="53"/>
        <v>180638</v>
      </c>
      <c r="F411" s="74" t="s">
        <v>1747</v>
      </c>
      <c r="G411" s="87">
        <v>180638</v>
      </c>
      <c r="H411" s="87">
        <f t="shared" si="54"/>
        <v>0</v>
      </c>
      <c r="I411" s="86"/>
      <c r="J411" s="86">
        <f>VLOOKUP(B411,'多浪一期账面房号及收款金额-分公司'!$A$2:$B$436,2,0)</f>
        <v>180637.8</v>
      </c>
      <c r="K411" s="87">
        <f t="shared" si="56"/>
        <v>0.200000000011642</v>
      </c>
      <c r="L411" s="127"/>
      <c r="M411" s="127"/>
      <c r="P411" s="50">
        <v>172036</v>
      </c>
      <c r="R411" s="50">
        <f t="shared" ref="R411:R458" si="58">P411*0.05</f>
        <v>8601.8</v>
      </c>
      <c r="S411" s="101">
        <f t="shared" si="55"/>
        <v>0</v>
      </c>
      <c r="T411" s="101">
        <f t="shared" si="57"/>
        <v>0</v>
      </c>
      <c r="U411" t="s">
        <v>42</v>
      </c>
    </row>
    <row r="412" hidden="1" spans="1:21">
      <c r="A412" s="103">
        <v>408</v>
      </c>
      <c r="B412" s="110" t="s">
        <v>1748</v>
      </c>
      <c r="C412" s="72">
        <v>73.11</v>
      </c>
      <c r="D412" s="73">
        <v>2460</v>
      </c>
      <c r="E412" s="73">
        <f t="shared" si="53"/>
        <v>179851</v>
      </c>
      <c r="F412" s="74" t="s">
        <v>1749</v>
      </c>
      <c r="G412" s="87">
        <v>179851</v>
      </c>
      <c r="H412" s="87">
        <f t="shared" si="54"/>
        <v>0</v>
      </c>
      <c r="I412" s="86"/>
      <c r="J412" s="86">
        <f>VLOOKUP(B412,'多浪一期账面房号及收款金额-分公司'!$A$2:$B$436,2,0)</f>
        <v>179851.35</v>
      </c>
      <c r="K412" s="87">
        <f t="shared" si="56"/>
        <v>-0.350000000005821</v>
      </c>
      <c r="L412" s="127"/>
      <c r="M412" s="127"/>
      <c r="P412" s="50">
        <v>171287</v>
      </c>
      <c r="R412" s="50">
        <f t="shared" si="58"/>
        <v>8564.35</v>
      </c>
      <c r="S412" s="101">
        <f t="shared" si="55"/>
        <v>0</v>
      </c>
      <c r="T412" s="101">
        <f t="shared" si="57"/>
        <v>0</v>
      </c>
      <c r="U412" t="s">
        <v>42</v>
      </c>
    </row>
    <row r="413" hidden="1" spans="1:21">
      <c r="A413" s="103">
        <v>409</v>
      </c>
      <c r="B413" s="110" t="s">
        <v>1750</v>
      </c>
      <c r="C413" s="72">
        <v>73.43</v>
      </c>
      <c r="D413" s="73">
        <v>2460</v>
      </c>
      <c r="E413" s="73">
        <f t="shared" si="53"/>
        <v>180638</v>
      </c>
      <c r="F413" s="74" t="s">
        <v>1751</v>
      </c>
      <c r="G413" s="87">
        <v>180638</v>
      </c>
      <c r="H413" s="87">
        <f t="shared" si="54"/>
        <v>0</v>
      </c>
      <c r="I413" s="86"/>
      <c r="J413" s="86">
        <f>VLOOKUP(B413,'多浪一期账面房号及收款金额-分公司'!$A$2:$B$436,2,0)</f>
        <v>180637.8</v>
      </c>
      <c r="K413" s="87">
        <f t="shared" si="56"/>
        <v>0.200000000011642</v>
      </c>
      <c r="L413" s="127"/>
      <c r="M413" s="127"/>
      <c r="P413" s="50">
        <v>172036</v>
      </c>
      <c r="R413" s="50">
        <f t="shared" si="58"/>
        <v>8601.8</v>
      </c>
      <c r="S413" s="101">
        <f t="shared" si="55"/>
        <v>0</v>
      </c>
      <c r="T413" s="101">
        <f t="shared" si="57"/>
        <v>0</v>
      </c>
      <c r="U413" t="s">
        <v>42</v>
      </c>
    </row>
    <row r="414" hidden="1" spans="1:21">
      <c r="A414" s="103">
        <v>410</v>
      </c>
      <c r="B414" s="110" t="s">
        <v>1752</v>
      </c>
      <c r="C414" s="72">
        <v>73.11</v>
      </c>
      <c r="D414" s="73">
        <v>2550</v>
      </c>
      <c r="E414" s="73">
        <f t="shared" si="53"/>
        <v>186431</v>
      </c>
      <c r="F414" s="74" t="s">
        <v>1753</v>
      </c>
      <c r="G414" s="87">
        <v>186431</v>
      </c>
      <c r="H414" s="87">
        <f t="shared" si="54"/>
        <v>0</v>
      </c>
      <c r="I414" s="86"/>
      <c r="J414" s="86">
        <f>VLOOKUP(B414,'多浪一期账面房号及收款金额-分公司'!$A$2:$B$436,2,0)</f>
        <v>186430.65</v>
      </c>
      <c r="K414" s="87">
        <f t="shared" si="56"/>
        <v>0.350000000005821</v>
      </c>
      <c r="L414" s="127"/>
      <c r="M414" s="127"/>
      <c r="P414" s="50">
        <v>177553</v>
      </c>
      <c r="R414" s="50">
        <f t="shared" si="58"/>
        <v>8877.65</v>
      </c>
      <c r="S414" s="101">
        <f t="shared" si="55"/>
        <v>0</v>
      </c>
      <c r="T414" s="101">
        <f t="shared" si="57"/>
        <v>0</v>
      </c>
      <c r="U414" t="s">
        <v>42</v>
      </c>
    </row>
    <row r="415" hidden="1" spans="1:21">
      <c r="A415" s="103">
        <v>411</v>
      </c>
      <c r="B415" s="110" t="s">
        <v>1754</v>
      </c>
      <c r="C415" s="72">
        <v>73.43</v>
      </c>
      <c r="D415" s="73">
        <v>2460</v>
      </c>
      <c r="E415" s="73">
        <f t="shared" si="53"/>
        <v>180638</v>
      </c>
      <c r="F415" s="74" t="s">
        <v>1755</v>
      </c>
      <c r="G415" s="87">
        <v>180638</v>
      </c>
      <c r="H415" s="87">
        <f t="shared" si="54"/>
        <v>0</v>
      </c>
      <c r="I415" s="86"/>
      <c r="J415" s="86">
        <f>VLOOKUP(B415,'多浪一期账面房号及收款金额-分公司'!$A$2:$B$436,2,0)</f>
        <v>180637.8</v>
      </c>
      <c r="K415" s="87">
        <f t="shared" si="56"/>
        <v>0.200000000011642</v>
      </c>
      <c r="L415" s="127"/>
      <c r="M415" s="127"/>
      <c r="P415" s="50">
        <v>172036</v>
      </c>
      <c r="R415" s="50">
        <f t="shared" si="58"/>
        <v>8601.8</v>
      </c>
      <c r="S415" s="101">
        <f t="shared" si="55"/>
        <v>0</v>
      </c>
      <c r="T415" s="101">
        <f t="shared" si="57"/>
        <v>0</v>
      </c>
      <c r="U415" t="s">
        <v>42</v>
      </c>
    </row>
    <row r="416" hidden="1" spans="1:21">
      <c r="A416" s="103">
        <v>412</v>
      </c>
      <c r="B416" s="110" t="s">
        <v>1756</v>
      </c>
      <c r="C416" s="72">
        <v>73.11</v>
      </c>
      <c r="D416" s="73">
        <v>2460</v>
      </c>
      <c r="E416" s="73">
        <f t="shared" si="53"/>
        <v>179851</v>
      </c>
      <c r="F416" s="74" t="s">
        <v>1757</v>
      </c>
      <c r="G416" s="87">
        <v>179851</v>
      </c>
      <c r="H416" s="87">
        <f t="shared" si="54"/>
        <v>0</v>
      </c>
      <c r="I416" s="86"/>
      <c r="J416" s="86">
        <f>VLOOKUP(B416,'多浪一期账面房号及收款金额-分公司'!$A$2:$B$436,2,0)</f>
        <v>179851.35</v>
      </c>
      <c r="K416" s="87">
        <f t="shared" si="56"/>
        <v>-0.350000000005821</v>
      </c>
      <c r="L416" s="127"/>
      <c r="M416" s="127"/>
      <c r="P416" s="50">
        <v>171287</v>
      </c>
      <c r="R416" s="50">
        <f t="shared" si="58"/>
        <v>8564.35</v>
      </c>
      <c r="S416" s="101">
        <f t="shared" si="55"/>
        <v>0</v>
      </c>
      <c r="T416" s="101">
        <f t="shared" si="57"/>
        <v>0</v>
      </c>
      <c r="U416" t="s">
        <v>42</v>
      </c>
    </row>
    <row r="417" hidden="1" spans="1:21">
      <c r="A417" s="103">
        <v>413</v>
      </c>
      <c r="B417" s="110" t="s">
        <v>1758</v>
      </c>
      <c r="C417" s="72">
        <v>73.43</v>
      </c>
      <c r="D417" s="73">
        <v>2150</v>
      </c>
      <c r="E417" s="73">
        <f t="shared" si="53"/>
        <v>157875</v>
      </c>
      <c r="F417" s="74" t="s">
        <v>1759</v>
      </c>
      <c r="G417" s="87">
        <v>157875</v>
      </c>
      <c r="H417" s="87">
        <f t="shared" si="54"/>
        <v>0</v>
      </c>
      <c r="I417" s="86"/>
      <c r="J417" s="86">
        <f>VLOOKUP(B417,'多浪一期账面房号及收款金额-分公司'!$A$2:$B$436,2,0)</f>
        <v>157875.9</v>
      </c>
      <c r="K417" s="87">
        <f t="shared" si="56"/>
        <v>-0.899999999994179</v>
      </c>
      <c r="L417" s="127"/>
      <c r="M417" s="127"/>
      <c r="P417" s="50">
        <v>150358</v>
      </c>
      <c r="R417" s="50">
        <f t="shared" si="58"/>
        <v>7517.9</v>
      </c>
      <c r="S417" s="101">
        <f t="shared" si="55"/>
        <v>0</v>
      </c>
      <c r="T417" s="101">
        <f t="shared" si="57"/>
        <v>0</v>
      </c>
      <c r="U417" t="s">
        <v>42</v>
      </c>
    </row>
    <row r="418" hidden="1" spans="1:21">
      <c r="A418" s="103">
        <v>414</v>
      </c>
      <c r="B418" s="110" t="s">
        <v>1760</v>
      </c>
      <c r="C418" s="72">
        <v>73.11</v>
      </c>
      <c r="D418" s="73">
        <v>2150</v>
      </c>
      <c r="E418" s="73">
        <f t="shared" si="53"/>
        <v>157187</v>
      </c>
      <c r="F418" s="74" t="s">
        <v>1761</v>
      </c>
      <c r="G418" s="87">
        <v>157187</v>
      </c>
      <c r="H418" s="87">
        <f t="shared" si="54"/>
        <v>0</v>
      </c>
      <c r="I418" s="86"/>
      <c r="J418" s="86">
        <f>VLOOKUP(B418,'多浪一期账面房号及收款金额-分公司'!$A$2:$B$436,2,0)</f>
        <v>157186.05</v>
      </c>
      <c r="K418" s="87">
        <f t="shared" si="56"/>
        <v>0.950000000011642</v>
      </c>
      <c r="L418" s="127"/>
      <c r="M418" s="127"/>
      <c r="P418" s="50">
        <v>149701</v>
      </c>
      <c r="R418" s="50">
        <f t="shared" si="58"/>
        <v>7485.05</v>
      </c>
      <c r="S418" s="101">
        <f t="shared" si="55"/>
        <v>0</v>
      </c>
      <c r="T418" s="101">
        <f t="shared" si="57"/>
        <v>0</v>
      </c>
      <c r="U418" t="s">
        <v>42</v>
      </c>
    </row>
    <row r="419" hidden="1" spans="1:21">
      <c r="A419" s="103">
        <v>415</v>
      </c>
      <c r="B419" s="110" t="s">
        <v>1762</v>
      </c>
      <c r="C419" s="72">
        <v>73.43</v>
      </c>
      <c r="D419" s="73">
        <v>1880</v>
      </c>
      <c r="E419" s="73">
        <f t="shared" si="53"/>
        <v>138048</v>
      </c>
      <c r="F419" s="74" t="s">
        <v>1763</v>
      </c>
      <c r="G419" s="87">
        <v>138049</v>
      </c>
      <c r="H419" s="87">
        <f t="shared" si="54"/>
        <v>-1</v>
      </c>
      <c r="I419" s="86"/>
      <c r="J419" s="86">
        <f>VLOOKUP(B419,'多浪一期账面房号及收款金额-分公司'!$A$2:$B$436,2,0)</f>
        <v>28049.7</v>
      </c>
      <c r="K419" s="87">
        <f t="shared" si="56"/>
        <v>109999.3</v>
      </c>
      <c r="L419" s="132" t="s">
        <v>1764</v>
      </c>
      <c r="M419" s="127"/>
      <c r="P419" s="50">
        <v>26714</v>
      </c>
      <c r="R419" s="50">
        <f t="shared" si="58"/>
        <v>1335.7</v>
      </c>
      <c r="S419" s="101">
        <f t="shared" si="55"/>
        <v>0</v>
      </c>
      <c r="T419" s="101">
        <f t="shared" si="57"/>
        <v>0</v>
      </c>
      <c r="U419" t="s">
        <v>42</v>
      </c>
    </row>
    <row r="420" hidden="1" spans="1:21">
      <c r="A420" s="103">
        <v>416</v>
      </c>
      <c r="B420" s="110" t="s">
        <v>1765</v>
      </c>
      <c r="C420" s="72">
        <v>73.11</v>
      </c>
      <c r="D420" s="73">
        <v>1880</v>
      </c>
      <c r="E420" s="73">
        <f t="shared" si="53"/>
        <v>137447</v>
      </c>
      <c r="F420" s="74" t="s">
        <v>1766</v>
      </c>
      <c r="G420" s="87">
        <v>137447</v>
      </c>
      <c r="H420" s="87">
        <f t="shared" si="54"/>
        <v>0</v>
      </c>
      <c r="I420" s="86"/>
      <c r="J420" s="86">
        <f>VLOOKUP(B420,'多浪一期账面房号及收款金额-分公司'!$A$2:$B$436,2,0)</f>
        <v>247448.25</v>
      </c>
      <c r="K420" s="87">
        <f t="shared" si="56"/>
        <v>-110001.25</v>
      </c>
      <c r="L420" s="132" t="s">
        <v>1767</v>
      </c>
      <c r="M420" s="127"/>
      <c r="P420" s="50">
        <v>235665</v>
      </c>
      <c r="R420" s="50">
        <f t="shared" si="58"/>
        <v>11783.25</v>
      </c>
      <c r="S420" s="101">
        <f t="shared" si="55"/>
        <v>0</v>
      </c>
      <c r="T420" s="101">
        <f t="shared" si="57"/>
        <v>0</v>
      </c>
      <c r="U420" t="s">
        <v>42</v>
      </c>
    </row>
    <row r="421" hidden="1" spans="1:21">
      <c r="A421" s="103">
        <v>417</v>
      </c>
      <c r="B421" s="110" t="s">
        <v>1768</v>
      </c>
      <c r="C421" s="72">
        <v>73.43</v>
      </c>
      <c r="D421" s="73">
        <v>1580</v>
      </c>
      <c r="E421" s="73">
        <f t="shared" si="53"/>
        <v>116019</v>
      </c>
      <c r="F421" s="74" t="s">
        <v>1769</v>
      </c>
      <c r="G421" s="87">
        <v>116020</v>
      </c>
      <c r="H421" s="87">
        <f t="shared" si="54"/>
        <v>-1</v>
      </c>
      <c r="I421" s="86"/>
      <c r="J421" s="86">
        <f>VLOOKUP(B421,'多浪一期账面房号及收款金额-分公司'!$A$2:$B$436,2,0)</f>
        <v>116019.75</v>
      </c>
      <c r="K421" s="87">
        <f t="shared" si="56"/>
        <v>0.25</v>
      </c>
      <c r="L421" s="127"/>
      <c r="M421" s="127"/>
      <c r="P421" s="50">
        <v>110495</v>
      </c>
      <c r="R421" s="50">
        <f t="shared" si="58"/>
        <v>5524.75</v>
      </c>
      <c r="S421" s="101">
        <f t="shared" si="55"/>
        <v>0</v>
      </c>
      <c r="T421" s="101">
        <f t="shared" si="57"/>
        <v>0</v>
      </c>
      <c r="U421" t="s">
        <v>42</v>
      </c>
    </row>
    <row r="422" hidden="1" spans="1:21">
      <c r="A422" s="103">
        <v>418</v>
      </c>
      <c r="B422" s="110" t="s">
        <v>1770</v>
      </c>
      <c r="C422" s="72">
        <v>73.11</v>
      </c>
      <c r="D422" s="73">
        <v>1550</v>
      </c>
      <c r="E422" s="73">
        <f t="shared" si="53"/>
        <v>113321</v>
      </c>
      <c r="F422" s="74" t="s">
        <v>1771</v>
      </c>
      <c r="G422" s="87">
        <v>113321</v>
      </c>
      <c r="H422" s="87">
        <f t="shared" si="54"/>
        <v>0</v>
      </c>
      <c r="I422" s="86"/>
      <c r="J422" s="86">
        <f>VLOOKUP(B422,'多浪一期账面房号及收款金额-分公司'!$A$2:$B$436,2,0)</f>
        <v>113321.25</v>
      </c>
      <c r="K422" s="87">
        <f t="shared" si="56"/>
        <v>-0.25</v>
      </c>
      <c r="L422" s="127"/>
      <c r="M422" s="127"/>
      <c r="P422" s="50">
        <v>107925</v>
      </c>
      <c r="R422" s="50">
        <f t="shared" si="58"/>
        <v>5396.25</v>
      </c>
      <c r="S422" s="101">
        <f t="shared" si="55"/>
        <v>0</v>
      </c>
      <c r="T422" s="101">
        <f t="shared" si="57"/>
        <v>0</v>
      </c>
      <c r="U422" t="s">
        <v>42</v>
      </c>
    </row>
    <row r="423" hidden="1" spans="1:21">
      <c r="A423" s="103">
        <v>419</v>
      </c>
      <c r="B423" s="110" t="s">
        <v>1772</v>
      </c>
      <c r="C423" s="72">
        <v>73.11</v>
      </c>
      <c r="D423" s="73">
        <v>2460</v>
      </c>
      <c r="E423" s="73">
        <f t="shared" si="53"/>
        <v>179851</v>
      </c>
      <c r="F423" s="74" t="s">
        <v>1773</v>
      </c>
      <c r="G423" s="87">
        <v>179851</v>
      </c>
      <c r="H423" s="87">
        <f t="shared" si="54"/>
        <v>0</v>
      </c>
      <c r="I423" s="86"/>
      <c r="J423" s="86">
        <f>VLOOKUP(B423,'多浪一期账面房号及收款金额-分公司'!$A$2:$B$436,2,0)</f>
        <v>179851.35</v>
      </c>
      <c r="K423" s="87">
        <f t="shared" si="56"/>
        <v>-0.350000000005821</v>
      </c>
      <c r="L423" s="127"/>
      <c r="M423" s="127"/>
      <c r="P423" s="50">
        <v>171287</v>
      </c>
      <c r="R423" s="50">
        <f t="shared" si="58"/>
        <v>8564.35</v>
      </c>
      <c r="S423" s="101">
        <f t="shared" si="55"/>
        <v>0</v>
      </c>
      <c r="T423" s="101">
        <f t="shared" si="57"/>
        <v>0</v>
      </c>
      <c r="U423" t="s">
        <v>42</v>
      </c>
    </row>
    <row r="424" hidden="1" spans="1:21">
      <c r="A424" s="103">
        <v>420</v>
      </c>
      <c r="B424" s="110" t="s">
        <v>1774</v>
      </c>
      <c r="C424" s="72">
        <v>73.11</v>
      </c>
      <c r="D424" s="73">
        <v>2460</v>
      </c>
      <c r="E424" s="73">
        <f t="shared" si="53"/>
        <v>179851</v>
      </c>
      <c r="F424" s="74" t="s">
        <v>1775</v>
      </c>
      <c r="G424" s="87">
        <v>179851</v>
      </c>
      <c r="H424" s="87">
        <f t="shared" si="54"/>
        <v>0</v>
      </c>
      <c r="I424" s="86"/>
      <c r="J424" s="86">
        <f>VLOOKUP(B424,'多浪一期账面房号及收款金额-分公司'!$A$2:$B$436,2,0)</f>
        <v>179851.35</v>
      </c>
      <c r="K424" s="87">
        <f t="shared" si="56"/>
        <v>-0.350000000005821</v>
      </c>
      <c r="L424" s="127"/>
      <c r="M424" s="127"/>
      <c r="P424" s="50">
        <v>171287</v>
      </c>
      <c r="R424" s="50">
        <f t="shared" si="58"/>
        <v>8564.35</v>
      </c>
      <c r="S424" s="101">
        <f t="shared" si="55"/>
        <v>0</v>
      </c>
      <c r="T424" s="101">
        <f t="shared" si="57"/>
        <v>0</v>
      </c>
      <c r="U424" t="s">
        <v>42</v>
      </c>
    </row>
    <row r="425" hidden="1" spans="1:21">
      <c r="A425" s="103">
        <v>421</v>
      </c>
      <c r="B425" s="110" t="s">
        <v>1776</v>
      </c>
      <c r="C425" s="72">
        <v>73.11</v>
      </c>
      <c r="D425" s="73">
        <v>2460</v>
      </c>
      <c r="E425" s="73">
        <f t="shared" si="53"/>
        <v>179851</v>
      </c>
      <c r="F425" s="74" t="s">
        <v>1777</v>
      </c>
      <c r="G425" s="87">
        <v>179851</v>
      </c>
      <c r="H425" s="87">
        <f t="shared" si="54"/>
        <v>0</v>
      </c>
      <c r="I425" s="86"/>
      <c r="J425" s="86">
        <f>VLOOKUP(B425,'多浪一期账面房号及收款金额-分公司'!$A$2:$B$436,2,0)</f>
        <v>179851.35</v>
      </c>
      <c r="K425" s="87">
        <f t="shared" si="56"/>
        <v>-0.350000000005821</v>
      </c>
      <c r="L425" s="127"/>
      <c r="M425" s="127"/>
      <c r="P425" s="50">
        <v>171287</v>
      </c>
      <c r="R425" s="50">
        <f t="shared" si="58"/>
        <v>8564.35</v>
      </c>
      <c r="S425" s="101">
        <f t="shared" si="55"/>
        <v>0</v>
      </c>
      <c r="T425" s="101">
        <f t="shared" si="57"/>
        <v>0</v>
      </c>
      <c r="U425" t="s">
        <v>42</v>
      </c>
    </row>
    <row r="426" hidden="1" spans="1:21">
      <c r="A426" s="103">
        <v>422</v>
      </c>
      <c r="B426" s="110" t="s">
        <v>1778</v>
      </c>
      <c r="C426" s="72">
        <v>73.11</v>
      </c>
      <c r="D426" s="73">
        <v>2460</v>
      </c>
      <c r="E426" s="73">
        <f t="shared" si="53"/>
        <v>179851</v>
      </c>
      <c r="F426" s="74" t="s">
        <v>1779</v>
      </c>
      <c r="G426" s="87">
        <v>179851</v>
      </c>
      <c r="H426" s="87">
        <f t="shared" si="54"/>
        <v>0</v>
      </c>
      <c r="I426" s="86"/>
      <c r="J426" s="86">
        <f>VLOOKUP(B426,'多浪一期账面房号及收款金额-分公司'!$A$2:$B$436,2,0)</f>
        <v>179851.35</v>
      </c>
      <c r="K426" s="87">
        <f t="shared" si="56"/>
        <v>-0.350000000005821</v>
      </c>
      <c r="L426" s="127"/>
      <c r="M426" s="127"/>
      <c r="P426" s="50">
        <v>171287</v>
      </c>
      <c r="R426" s="50">
        <f t="shared" si="58"/>
        <v>8564.35</v>
      </c>
      <c r="S426" s="101">
        <f t="shared" si="55"/>
        <v>0</v>
      </c>
      <c r="T426" s="101">
        <f t="shared" si="57"/>
        <v>0</v>
      </c>
      <c r="U426" t="s">
        <v>42</v>
      </c>
    </row>
    <row r="427" hidden="1" spans="1:21">
      <c r="A427" s="103">
        <v>423</v>
      </c>
      <c r="B427" s="110" t="s">
        <v>1780</v>
      </c>
      <c r="C427" s="72">
        <v>73.11</v>
      </c>
      <c r="D427" s="73">
        <v>2460</v>
      </c>
      <c r="E427" s="73">
        <f t="shared" si="53"/>
        <v>179851</v>
      </c>
      <c r="F427" s="74" t="s">
        <v>1781</v>
      </c>
      <c r="G427" s="87">
        <v>179851</v>
      </c>
      <c r="H427" s="87">
        <f t="shared" si="54"/>
        <v>0</v>
      </c>
      <c r="I427" s="86"/>
      <c r="J427" s="86">
        <f>VLOOKUP(B427,'多浪一期账面房号及收款金额-分公司'!$A$2:$B$436,2,0)</f>
        <v>179851.35</v>
      </c>
      <c r="K427" s="87">
        <f t="shared" si="56"/>
        <v>-0.350000000005821</v>
      </c>
      <c r="L427" s="127"/>
      <c r="M427" s="127"/>
      <c r="P427" s="50">
        <v>171287</v>
      </c>
      <c r="R427" s="50">
        <f t="shared" si="58"/>
        <v>8564.35</v>
      </c>
      <c r="S427" s="101">
        <f t="shared" si="55"/>
        <v>0</v>
      </c>
      <c r="T427" s="101">
        <f t="shared" si="57"/>
        <v>0</v>
      </c>
      <c r="U427" t="s">
        <v>42</v>
      </c>
    </row>
    <row r="428" hidden="1" spans="1:21">
      <c r="A428" s="103">
        <v>424</v>
      </c>
      <c r="B428" s="110" t="s">
        <v>1782</v>
      </c>
      <c r="C428" s="72">
        <v>73.11</v>
      </c>
      <c r="D428" s="73">
        <v>2460</v>
      </c>
      <c r="E428" s="73">
        <f t="shared" si="53"/>
        <v>179851</v>
      </c>
      <c r="F428" s="74" t="s">
        <v>1783</v>
      </c>
      <c r="G428" s="87">
        <v>179851</v>
      </c>
      <c r="H428" s="87">
        <f t="shared" si="54"/>
        <v>0</v>
      </c>
      <c r="I428" s="86"/>
      <c r="J428" s="86">
        <f>VLOOKUP(B428,'多浪一期账面房号及收款金额-分公司'!$A$2:$B$436,2,0)</f>
        <v>179851.35</v>
      </c>
      <c r="K428" s="87">
        <f t="shared" si="56"/>
        <v>-0.350000000005821</v>
      </c>
      <c r="L428" s="127"/>
      <c r="M428" s="127"/>
      <c r="P428" s="50">
        <v>171287</v>
      </c>
      <c r="R428" s="50">
        <f t="shared" si="58"/>
        <v>8564.35</v>
      </c>
      <c r="S428" s="101">
        <f t="shared" si="55"/>
        <v>0</v>
      </c>
      <c r="T428" s="101">
        <f t="shared" si="57"/>
        <v>0</v>
      </c>
      <c r="U428" t="s">
        <v>42</v>
      </c>
    </row>
    <row r="429" hidden="1" spans="1:21">
      <c r="A429" s="103">
        <v>425</v>
      </c>
      <c r="B429" s="110" t="s">
        <v>1784</v>
      </c>
      <c r="C429" s="72">
        <v>73.11</v>
      </c>
      <c r="D429" s="73">
        <v>2186</v>
      </c>
      <c r="E429" s="73">
        <f t="shared" si="53"/>
        <v>159818</v>
      </c>
      <c r="F429" s="74" t="s">
        <v>1785</v>
      </c>
      <c r="G429" s="87">
        <v>159818</v>
      </c>
      <c r="H429" s="87">
        <f t="shared" si="54"/>
        <v>0</v>
      </c>
      <c r="I429" s="86"/>
      <c r="J429" s="86">
        <f>VLOOKUP(B429,'多浪一期账面房号及收款金额-分公司'!$A$2:$B$436,2,0)</f>
        <v>159817.35</v>
      </c>
      <c r="K429" s="87">
        <f t="shared" si="56"/>
        <v>0.649999999994179</v>
      </c>
      <c r="L429" s="127"/>
      <c r="M429" s="127"/>
      <c r="P429" s="50">
        <v>152207</v>
      </c>
      <c r="R429" s="50">
        <f t="shared" si="58"/>
        <v>7610.35</v>
      </c>
      <c r="S429" s="101">
        <f t="shared" si="55"/>
        <v>0</v>
      </c>
      <c r="T429" s="101">
        <f t="shared" si="57"/>
        <v>0</v>
      </c>
      <c r="U429" t="s">
        <v>42</v>
      </c>
    </row>
    <row r="430" hidden="1" spans="1:21">
      <c r="A430" s="103">
        <v>426</v>
      </c>
      <c r="B430" s="110" t="s">
        <v>1786</v>
      </c>
      <c r="C430" s="72">
        <v>73.11</v>
      </c>
      <c r="D430" s="73">
        <v>2180</v>
      </c>
      <c r="E430" s="73">
        <f t="shared" si="53"/>
        <v>159380</v>
      </c>
      <c r="F430" s="74" t="s">
        <v>1787</v>
      </c>
      <c r="G430" s="87">
        <v>159380</v>
      </c>
      <c r="H430" s="87">
        <f t="shared" si="54"/>
        <v>0</v>
      </c>
      <c r="I430" s="86"/>
      <c r="J430" s="86">
        <f>VLOOKUP(B430,'多浪一期账面房号及收款金额-分公司'!$A$2:$B$436,2,0)</f>
        <v>159379.5</v>
      </c>
      <c r="K430" s="87">
        <f t="shared" si="56"/>
        <v>0.5</v>
      </c>
      <c r="L430" s="127"/>
      <c r="M430" s="127"/>
      <c r="P430" s="50">
        <v>151790</v>
      </c>
      <c r="R430" s="50">
        <f t="shared" si="58"/>
        <v>7589.5</v>
      </c>
      <c r="S430" s="101">
        <f t="shared" si="55"/>
        <v>0</v>
      </c>
      <c r="T430" s="101">
        <f t="shared" si="57"/>
        <v>0</v>
      </c>
      <c r="U430" t="s">
        <v>42</v>
      </c>
    </row>
    <row r="431" hidden="1" spans="1:21">
      <c r="A431" s="103">
        <v>427</v>
      </c>
      <c r="B431" s="110" t="s">
        <v>1788</v>
      </c>
      <c r="C431" s="72">
        <v>73.11</v>
      </c>
      <c r="D431" s="73">
        <v>1880</v>
      </c>
      <c r="E431" s="73">
        <f t="shared" si="53"/>
        <v>137447</v>
      </c>
      <c r="F431" s="74" t="s">
        <v>1789</v>
      </c>
      <c r="G431" s="87">
        <v>137447</v>
      </c>
      <c r="H431" s="87">
        <f t="shared" si="54"/>
        <v>0</v>
      </c>
      <c r="I431" s="86"/>
      <c r="J431" s="86">
        <f>VLOOKUP(B431,'多浪一期账面房号及收款金额-分公司'!$A$2:$B$436,2,0)</f>
        <v>137447.1</v>
      </c>
      <c r="K431" s="87">
        <f t="shared" si="56"/>
        <v>-0.100000000005821</v>
      </c>
      <c r="L431" s="127"/>
      <c r="M431" s="127"/>
      <c r="P431" s="50">
        <v>130902</v>
      </c>
      <c r="R431" s="50">
        <f t="shared" si="58"/>
        <v>6545.1</v>
      </c>
      <c r="S431" s="101">
        <f t="shared" si="55"/>
        <v>0</v>
      </c>
      <c r="T431" s="101">
        <f t="shared" si="57"/>
        <v>0</v>
      </c>
      <c r="U431" t="s">
        <v>42</v>
      </c>
    </row>
    <row r="432" hidden="1" spans="1:21">
      <c r="A432" s="103">
        <v>428</v>
      </c>
      <c r="B432" s="111" t="s">
        <v>1790</v>
      </c>
      <c r="C432" s="72">
        <v>73.11</v>
      </c>
      <c r="D432" s="73">
        <v>1880</v>
      </c>
      <c r="E432" s="73">
        <f t="shared" si="53"/>
        <v>137447</v>
      </c>
      <c r="F432" s="74" t="s">
        <v>1791</v>
      </c>
      <c r="G432" s="87">
        <v>137447</v>
      </c>
      <c r="H432" s="87">
        <f t="shared" si="54"/>
        <v>0</v>
      </c>
      <c r="I432" s="86"/>
      <c r="J432" s="86">
        <f>VLOOKUP(B432,'多浪一期账面房号及收款金额-分公司'!$A$2:$B$436,2,0)</f>
        <v>137448.15</v>
      </c>
      <c r="K432" s="87">
        <f t="shared" si="56"/>
        <v>-1.14999999999418</v>
      </c>
      <c r="L432" s="127"/>
      <c r="M432" s="127"/>
      <c r="P432" s="50">
        <v>130903</v>
      </c>
      <c r="R432" s="50">
        <f t="shared" si="58"/>
        <v>6545.15</v>
      </c>
      <c r="S432" s="101">
        <f t="shared" si="55"/>
        <v>0</v>
      </c>
      <c r="T432" s="101">
        <f t="shared" si="57"/>
        <v>0</v>
      </c>
      <c r="U432" t="s">
        <v>42</v>
      </c>
    </row>
    <row r="433" hidden="1" spans="1:21">
      <c r="A433" s="103">
        <v>429</v>
      </c>
      <c r="B433" s="111" t="s">
        <v>1792</v>
      </c>
      <c r="C433" s="72">
        <v>73.11</v>
      </c>
      <c r="D433" s="73">
        <v>1580</v>
      </c>
      <c r="E433" s="73">
        <f t="shared" si="53"/>
        <v>115514</v>
      </c>
      <c r="F433" s="74" t="s">
        <v>1793</v>
      </c>
      <c r="G433" s="87">
        <v>115514</v>
      </c>
      <c r="H433" s="87">
        <f t="shared" si="54"/>
        <v>0</v>
      </c>
      <c r="I433" s="86"/>
      <c r="J433" s="86">
        <f>VLOOKUP(B433,'多浪一期账面房号及收款金额-分公司'!$A$2:$B$436,2,0)</f>
        <v>115513.65</v>
      </c>
      <c r="K433" s="87">
        <f t="shared" si="56"/>
        <v>0.350000000005821</v>
      </c>
      <c r="L433" s="127"/>
      <c r="M433" s="127"/>
      <c r="P433" s="50">
        <v>110013</v>
      </c>
      <c r="R433" s="50">
        <f t="shared" si="58"/>
        <v>5500.65</v>
      </c>
      <c r="S433" s="101">
        <f t="shared" si="55"/>
        <v>0</v>
      </c>
      <c r="T433" s="101">
        <f t="shared" si="57"/>
        <v>0</v>
      </c>
      <c r="U433" t="s">
        <v>42</v>
      </c>
    </row>
    <row r="434" hidden="1" spans="1:21">
      <c r="A434" s="103">
        <v>430</v>
      </c>
      <c r="B434" s="111" t="s">
        <v>1794</v>
      </c>
      <c r="C434" s="72">
        <v>73.11</v>
      </c>
      <c r="D434" s="73">
        <v>1550</v>
      </c>
      <c r="E434" s="73">
        <f t="shared" si="53"/>
        <v>113321</v>
      </c>
      <c r="F434" s="74" t="s">
        <v>1795</v>
      </c>
      <c r="G434" s="87">
        <v>113321</v>
      </c>
      <c r="H434" s="87">
        <f t="shared" si="54"/>
        <v>0</v>
      </c>
      <c r="I434" s="86"/>
      <c r="J434" s="86">
        <f>VLOOKUP(B434,'多浪一期账面房号及收款金额-分公司'!$A$2:$B$436,2,0)</f>
        <v>113320.2</v>
      </c>
      <c r="K434" s="87">
        <f t="shared" si="56"/>
        <v>0.80000000000291</v>
      </c>
      <c r="L434" s="127"/>
      <c r="M434" s="127"/>
      <c r="O434" s="100">
        <f>107924.76-107924.76</f>
        <v>0</v>
      </c>
      <c r="P434" s="50">
        <v>107924</v>
      </c>
      <c r="R434" s="50">
        <f t="shared" si="58"/>
        <v>5396.2</v>
      </c>
      <c r="S434" s="101">
        <f t="shared" si="55"/>
        <v>0</v>
      </c>
      <c r="T434" s="101">
        <f t="shared" si="57"/>
        <v>0</v>
      </c>
      <c r="U434" t="s">
        <v>42</v>
      </c>
    </row>
    <row r="435" hidden="1" spans="1:21">
      <c r="A435" s="103">
        <v>431</v>
      </c>
      <c r="B435" s="111" t="s">
        <v>1796</v>
      </c>
      <c r="C435" s="72">
        <v>73.11</v>
      </c>
      <c r="D435" s="73">
        <v>2460</v>
      </c>
      <c r="E435" s="73">
        <f t="shared" si="53"/>
        <v>179851</v>
      </c>
      <c r="F435" s="74" t="s">
        <v>1797</v>
      </c>
      <c r="G435" s="87">
        <v>179851</v>
      </c>
      <c r="H435" s="87">
        <f t="shared" si="54"/>
        <v>0</v>
      </c>
      <c r="I435" s="86"/>
      <c r="J435" s="86">
        <f>VLOOKUP(B435,'多浪一期账面房号及收款金额-分公司'!$A$2:$B$436,2,0)</f>
        <v>179851.35</v>
      </c>
      <c r="K435" s="87">
        <f t="shared" si="56"/>
        <v>-0.350000000005821</v>
      </c>
      <c r="L435" s="127"/>
      <c r="M435" s="127"/>
      <c r="P435" s="50">
        <v>171287</v>
      </c>
      <c r="R435" s="50">
        <f t="shared" si="58"/>
        <v>8564.35</v>
      </c>
      <c r="S435" s="101">
        <f t="shared" si="55"/>
        <v>0</v>
      </c>
      <c r="T435" s="101">
        <f t="shared" si="57"/>
        <v>0</v>
      </c>
      <c r="U435" t="s">
        <v>42</v>
      </c>
    </row>
    <row r="436" hidden="1" spans="1:21">
      <c r="A436" s="103">
        <v>432</v>
      </c>
      <c r="B436" s="111" t="s">
        <v>1798</v>
      </c>
      <c r="C436" s="72">
        <v>73.11</v>
      </c>
      <c r="D436" s="73">
        <v>2460</v>
      </c>
      <c r="E436" s="73">
        <f t="shared" si="53"/>
        <v>179851</v>
      </c>
      <c r="F436" s="74" t="s">
        <v>1799</v>
      </c>
      <c r="G436" s="87">
        <v>179851</v>
      </c>
      <c r="H436" s="87">
        <f t="shared" si="54"/>
        <v>0</v>
      </c>
      <c r="I436" s="86"/>
      <c r="J436" s="86">
        <f>VLOOKUP(B436,'多浪一期账面房号及收款金额-分公司'!$A$2:$B$436,2,0)</f>
        <v>179851.35</v>
      </c>
      <c r="K436" s="87">
        <f t="shared" si="56"/>
        <v>-0.350000000005821</v>
      </c>
      <c r="L436" s="127"/>
      <c r="M436" s="127"/>
      <c r="P436" s="50">
        <v>171287</v>
      </c>
      <c r="R436" s="50">
        <f t="shared" si="58"/>
        <v>8564.35</v>
      </c>
      <c r="S436" s="101">
        <f t="shared" si="55"/>
        <v>0</v>
      </c>
      <c r="T436" s="101">
        <f t="shared" si="57"/>
        <v>0</v>
      </c>
      <c r="U436" t="s">
        <v>42</v>
      </c>
    </row>
    <row r="437" hidden="1" spans="1:21">
      <c r="A437" s="103">
        <v>433</v>
      </c>
      <c r="B437" s="111" t="s">
        <v>1800</v>
      </c>
      <c r="C437" s="72">
        <v>73.11</v>
      </c>
      <c r="D437" s="73">
        <v>2460</v>
      </c>
      <c r="E437" s="73">
        <f t="shared" si="53"/>
        <v>179851</v>
      </c>
      <c r="F437" s="74" t="s">
        <v>1801</v>
      </c>
      <c r="G437" s="87">
        <v>179851</v>
      </c>
      <c r="H437" s="87">
        <f t="shared" si="54"/>
        <v>0</v>
      </c>
      <c r="I437" s="86"/>
      <c r="J437" s="86">
        <f>VLOOKUP(B437,'多浪一期账面房号及收款金额-分公司'!$A$2:$B$436,2,0)</f>
        <v>179851.35</v>
      </c>
      <c r="K437" s="87">
        <f t="shared" si="56"/>
        <v>-0.350000000005821</v>
      </c>
      <c r="L437" s="127"/>
      <c r="M437" s="127"/>
      <c r="P437" s="50">
        <v>171287</v>
      </c>
      <c r="R437" s="50">
        <f t="shared" si="58"/>
        <v>8564.35</v>
      </c>
      <c r="S437" s="101">
        <f t="shared" si="55"/>
        <v>0</v>
      </c>
      <c r="T437" s="101">
        <f t="shared" si="57"/>
        <v>0</v>
      </c>
      <c r="U437" t="s">
        <v>42</v>
      </c>
    </row>
    <row r="438" hidden="1" spans="1:21">
      <c r="A438" s="103">
        <v>434</v>
      </c>
      <c r="B438" s="111" t="s">
        <v>1802</v>
      </c>
      <c r="C438" s="72">
        <v>73.11</v>
      </c>
      <c r="D438" s="73">
        <v>2460</v>
      </c>
      <c r="E438" s="73">
        <f t="shared" si="53"/>
        <v>179851</v>
      </c>
      <c r="F438" s="74" t="s">
        <v>1803</v>
      </c>
      <c r="G438" s="87">
        <v>179851</v>
      </c>
      <c r="H438" s="87">
        <f t="shared" si="54"/>
        <v>0</v>
      </c>
      <c r="I438" s="86"/>
      <c r="J438" s="86">
        <f>VLOOKUP(B438,'多浪一期账面房号及收款金额-分公司'!$A$2:$B$436,2,0)</f>
        <v>179851.35</v>
      </c>
      <c r="K438" s="87">
        <f t="shared" si="56"/>
        <v>-0.350000000005821</v>
      </c>
      <c r="L438" s="127"/>
      <c r="M438" s="127"/>
      <c r="P438" s="50">
        <v>171287</v>
      </c>
      <c r="R438" s="50">
        <f t="shared" si="58"/>
        <v>8564.35</v>
      </c>
      <c r="S438" s="101">
        <f t="shared" si="55"/>
        <v>0</v>
      </c>
      <c r="T438" s="101">
        <f t="shared" si="57"/>
        <v>0</v>
      </c>
      <c r="U438" t="s">
        <v>42</v>
      </c>
    </row>
    <row r="439" hidden="1" spans="1:21">
      <c r="A439" s="103">
        <v>435</v>
      </c>
      <c r="B439" s="111" t="s">
        <v>1804</v>
      </c>
      <c r="C439" s="72">
        <v>73.11</v>
      </c>
      <c r="D439" s="73">
        <v>2460</v>
      </c>
      <c r="E439" s="73">
        <f t="shared" si="53"/>
        <v>179851</v>
      </c>
      <c r="F439" s="74" t="s">
        <v>1805</v>
      </c>
      <c r="G439" s="87">
        <v>179851</v>
      </c>
      <c r="H439" s="87">
        <f t="shared" si="54"/>
        <v>0</v>
      </c>
      <c r="I439" s="86"/>
      <c r="J439" s="86">
        <f>VLOOKUP(B439,'多浪一期账面房号及收款金额-分公司'!$A$2:$B$436,2,0)</f>
        <v>179851.35</v>
      </c>
      <c r="K439" s="87">
        <f t="shared" si="56"/>
        <v>-0.350000000005821</v>
      </c>
      <c r="L439" s="127"/>
      <c r="M439" s="127"/>
      <c r="P439" s="50">
        <v>171287</v>
      </c>
      <c r="R439" s="50">
        <f t="shared" si="58"/>
        <v>8564.35</v>
      </c>
      <c r="S439" s="101">
        <f t="shared" si="55"/>
        <v>0</v>
      </c>
      <c r="T439" s="101">
        <f t="shared" si="57"/>
        <v>0</v>
      </c>
      <c r="U439" t="s">
        <v>42</v>
      </c>
    </row>
    <row r="440" hidden="1" spans="1:21">
      <c r="A440" s="103">
        <v>436</v>
      </c>
      <c r="B440" s="111" t="s">
        <v>1806</v>
      </c>
      <c r="C440" s="72">
        <v>73.11</v>
      </c>
      <c r="D440" s="73">
        <v>2460</v>
      </c>
      <c r="E440" s="73">
        <f t="shared" si="53"/>
        <v>179851</v>
      </c>
      <c r="F440" s="74" t="s">
        <v>1807</v>
      </c>
      <c r="G440" s="87">
        <v>179851</v>
      </c>
      <c r="H440" s="87">
        <f t="shared" si="54"/>
        <v>0</v>
      </c>
      <c r="I440" s="86"/>
      <c r="J440" s="86">
        <f>VLOOKUP(B440,'多浪一期账面房号及收款金额-分公司'!$A$2:$B$436,2,0)</f>
        <v>179850.3</v>
      </c>
      <c r="K440" s="87">
        <f t="shared" si="56"/>
        <v>0.700000000011642</v>
      </c>
      <c r="L440" s="127"/>
      <c r="M440" s="127"/>
      <c r="P440" s="50">
        <v>171286</v>
      </c>
      <c r="R440" s="50">
        <f t="shared" si="58"/>
        <v>8564.3</v>
      </c>
      <c r="S440" s="101">
        <f t="shared" si="55"/>
        <v>0</v>
      </c>
      <c r="T440" s="101">
        <f t="shared" si="57"/>
        <v>0</v>
      </c>
      <c r="U440" t="s">
        <v>42</v>
      </c>
    </row>
    <row r="441" hidden="1" spans="1:21">
      <c r="A441" s="103">
        <v>437</v>
      </c>
      <c r="B441" s="111" t="s">
        <v>1808</v>
      </c>
      <c r="C441" s="72">
        <v>73.11</v>
      </c>
      <c r="D441" s="73">
        <v>2180</v>
      </c>
      <c r="E441" s="73">
        <f t="shared" si="53"/>
        <v>159380</v>
      </c>
      <c r="F441" s="74" t="s">
        <v>1809</v>
      </c>
      <c r="G441" s="87">
        <v>159380</v>
      </c>
      <c r="H441" s="87">
        <f t="shared" si="54"/>
        <v>0</v>
      </c>
      <c r="I441" s="86"/>
      <c r="J441" s="86">
        <f>VLOOKUP(B441,'多浪一期账面房号及收款金额-分公司'!$A$2:$B$436,2,0)</f>
        <v>159379.5</v>
      </c>
      <c r="K441" s="87">
        <f t="shared" si="56"/>
        <v>0.5</v>
      </c>
      <c r="L441" s="127"/>
      <c r="M441" s="127"/>
      <c r="P441" s="50">
        <v>151790</v>
      </c>
      <c r="R441" s="50">
        <f t="shared" si="58"/>
        <v>7589.5</v>
      </c>
      <c r="S441" s="101">
        <f t="shared" si="55"/>
        <v>0</v>
      </c>
      <c r="T441" s="101">
        <f t="shared" si="57"/>
        <v>0</v>
      </c>
      <c r="U441" t="s">
        <v>42</v>
      </c>
    </row>
    <row r="442" hidden="1" spans="1:21">
      <c r="A442" s="103">
        <v>438</v>
      </c>
      <c r="B442" s="111" t="s">
        <v>1810</v>
      </c>
      <c r="C442" s="72">
        <v>73.11</v>
      </c>
      <c r="D442" s="73">
        <v>2200</v>
      </c>
      <c r="E442" s="73">
        <f t="shared" si="53"/>
        <v>160842</v>
      </c>
      <c r="F442" s="74" t="s">
        <v>1811</v>
      </c>
      <c r="G442" s="87">
        <v>160842</v>
      </c>
      <c r="H442" s="87">
        <f t="shared" si="54"/>
        <v>0</v>
      </c>
      <c r="I442" s="86"/>
      <c r="J442" s="86">
        <f>VLOOKUP(B442,'多浪一期账面房号及收款金额-分公司'!$A$2:$B$436,2,0)</f>
        <v>160842.15</v>
      </c>
      <c r="K442" s="87">
        <f t="shared" si="56"/>
        <v>-0.149999999994179</v>
      </c>
      <c r="L442" s="127"/>
      <c r="M442" s="127"/>
      <c r="P442" s="50">
        <v>153183</v>
      </c>
      <c r="R442" s="50">
        <f t="shared" si="58"/>
        <v>7659.15</v>
      </c>
      <c r="S442" s="101">
        <f t="shared" si="55"/>
        <v>0</v>
      </c>
      <c r="T442" s="101">
        <f t="shared" si="57"/>
        <v>0</v>
      </c>
      <c r="U442" t="s">
        <v>42</v>
      </c>
    </row>
    <row r="443" hidden="1" spans="1:21">
      <c r="A443" s="103">
        <v>439</v>
      </c>
      <c r="B443" s="111" t="s">
        <v>1812</v>
      </c>
      <c r="C443" s="72">
        <v>73.11</v>
      </c>
      <c r="D443" s="73">
        <v>1900</v>
      </c>
      <c r="E443" s="73">
        <f t="shared" ref="E443:E506" si="59">ROUND(IF(F443&lt;&gt;0,C443*D443,0),0)</f>
        <v>138909</v>
      </c>
      <c r="F443" s="74" t="s">
        <v>1813</v>
      </c>
      <c r="G443" s="87">
        <v>138909</v>
      </c>
      <c r="H443" s="87">
        <f t="shared" si="54"/>
        <v>0</v>
      </c>
      <c r="I443" s="86"/>
      <c r="J443" s="86">
        <f>VLOOKUP(B443,'多浪一期账面房号及收款金额-分公司'!$A$2:$B$436,2,0)</f>
        <v>138908.7</v>
      </c>
      <c r="K443" s="87">
        <f t="shared" si="56"/>
        <v>0.299999999988358</v>
      </c>
      <c r="L443" s="127"/>
      <c r="M443" s="127"/>
      <c r="P443" s="50">
        <v>132294</v>
      </c>
      <c r="R443" s="50">
        <f t="shared" si="58"/>
        <v>6614.7</v>
      </c>
      <c r="S443" s="101">
        <f t="shared" si="55"/>
        <v>0</v>
      </c>
      <c r="T443" s="101">
        <f t="shared" si="57"/>
        <v>0</v>
      </c>
      <c r="U443" t="s">
        <v>42</v>
      </c>
    </row>
    <row r="444" hidden="1" spans="1:21">
      <c r="A444" s="103">
        <v>440</v>
      </c>
      <c r="B444" s="111" t="s">
        <v>1814</v>
      </c>
      <c r="C444" s="72">
        <v>73.11</v>
      </c>
      <c r="D444" s="73">
        <v>1880</v>
      </c>
      <c r="E444" s="73">
        <f t="shared" si="59"/>
        <v>137447</v>
      </c>
      <c r="F444" s="74" t="s">
        <v>1815</v>
      </c>
      <c r="G444" s="87">
        <v>137447</v>
      </c>
      <c r="H444" s="87">
        <f t="shared" si="54"/>
        <v>0</v>
      </c>
      <c r="I444" s="86"/>
      <c r="J444" s="86">
        <f>VLOOKUP(B444,'多浪一期账面房号及收款金额-分公司'!$A$2:$B$436,2,0)</f>
        <v>137446.05</v>
      </c>
      <c r="K444" s="87">
        <f t="shared" si="56"/>
        <v>0.950000000011642</v>
      </c>
      <c r="L444" s="127"/>
      <c r="M444" s="127"/>
      <c r="P444" s="50">
        <v>130901</v>
      </c>
      <c r="R444" s="50">
        <f t="shared" si="58"/>
        <v>6545.05</v>
      </c>
      <c r="S444" s="101">
        <f t="shared" si="55"/>
        <v>0</v>
      </c>
      <c r="T444" s="101">
        <f t="shared" si="57"/>
        <v>0</v>
      </c>
      <c r="U444" t="s">
        <v>42</v>
      </c>
    </row>
    <row r="445" hidden="1" spans="1:21">
      <c r="A445" s="103">
        <v>441</v>
      </c>
      <c r="B445" s="111" t="s">
        <v>1816</v>
      </c>
      <c r="C445" s="72">
        <v>73.11</v>
      </c>
      <c r="D445" s="73">
        <v>1550</v>
      </c>
      <c r="E445" s="73">
        <f t="shared" si="59"/>
        <v>113321</v>
      </c>
      <c r="F445" s="74" t="s">
        <v>1817</v>
      </c>
      <c r="G445" s="87">
        <v>113321</v>
      </c>
      <c r="H445" s="87">
        <f t="shared" si="54"/>
        <v>0</v>
      </c>
      <c r="I445" s="86"/>
      <c r="J445" s="86">
        <f>VLOOKUP(B445,'多浪一期账面房号及收款金额-分公司'!$A$2:$B$436,2,0)</f>
        <v>113320.2</v>
      </c>
      <c r="K445" s="87">
        <f t="shared" si="56"/>
        <v>0.80000000000291</v>
      </c>
      <c r="L445" s="127"/>
      <c r="M445" s="127"/>
      <c r="P445" s="50">
        <v>107924</v>
      </c>
      <c r="R445" s="50">
        <f t="shared" si="58"/>
        <v>5396.2</v>
      </c>
      <c r="S445" s="101">
        <f t="shared" si="55"/>
        <v>0</v>
      </c>
      <c r="T445" s="101">
        <f t="shared" si="57"/>
        <v>0</v>
      </c>
      <c r="U445" t="s">
        <v>42</v>
      </c>
    </row>
    <row r="446" hidden="1" spans="1:21">
      <c r="A446" s="103">
        <v>442</v>
      </c>
      <c r="B446" s="111" t="s">
        <v>1818</v>
      </c>
      <c r="C446" s="72">
        <v>73.11</v>
      </c>
      <c r="D446" s="73">
        <v>1550</v>
      </c>
      <c r="E446" s="73">
        <f t="shared" si="59"/>
        <v>113321</v>
      </c>
      <c r="F446" s="74" t="s">
        <v>1819</v>
      </c>
      <c r="G446" s="87">
        <v>113321</v>
      </c>
      <c r="H446" s="87">
        <f t="shared" si="54"/>
        <v>0</v>
      </c>
      <c r="I446" s="86"/>
      <c r="J446" s="86">
        <f>VLOOKUP(B446,'多浪一期账面房号及收款金额-分公司'!$A$2:$B$436,2,0)</f>
        <v>113321.25</v>
      </c>
      <c r="K446" s="87">
        <f t="shared" si="56"/>
        <v>-0.25</v>
      </c>
      <c r="L446" s="127"/>
      <c r="M446" s="127"/>
      <c r="P446" s="50">
        <v>107925</v>
      </c>
      <c r="R446" s="50">
        <f t="shared" si="58"/>
        <v>5396.25</v>
      </c>
      <c r="S446" s="101">
        <f t="shared" si="55"/>
        <v>0</v>
      </c>
      <c r="T446" s="101">
        <f t="shared" si="57"/>
        <v>0</v>
      </c>
      <c r="U446" t="s">
        <v>42</v>
      </c>
    </row>
    <row r="447" hidden="1" spans="1:21">
      <c r="A447" s="103">
        <v>443</v>
      </c>
      <c r="B447" s="111" t="s">
        <v>1820</v>
      </c>
      <c r="C447" s="72">
        <v>73.11</v>
      </c>
      <c r="D447" s="73">
        <v>2460</v>
      </c>
      <c r="E447" s="73">
        <f t="shared" si="59"/>
        <v>179851</v>
      </c>
      <c r="F447" s="74" t="s">
        <v>1821</v>
      </c>
      <c r="G447" s="87">
        <v>179851</v>
      </c>
      <c r="H447" s="87">
        <f t="shared" si="54"/>
        <v>0</v>
      </c>
      <c r="I447" s="86"/>
      <c r="J447" s="86">
        <f>VLOOKUP(B447,'多浪一期账面房号及收款金额-分公司'!$A$2:$B$436,2,0)</f>
        <v>179851.35</v>
      </c>
      <c r="K447" s="87">
        <f t="shared" si="56"/>
        <v>-0.350000000005821</v>
      </c>
      <c r="L447" s="127"/>
      <c r="M447" s="127"/>
      <c r="P447" s="50">
        <v>171287</v>
      </c>
      <c r="R447" s="50">
        <f t="shared" si="58"/>
        <v>8564.35</v>
      </c>
      <c r="S447" s="101">
        <f t="shared" si="55"/>
        <v>0</v>
      </c>
      <c r="T447" s="101">
        <f t="shared" si="57"/>
        <v>0</v>
      </c>
      <c r="U447" t="s">
        <v>42</v>
      </c>
    </row>
    <row r="448" hidden="1" spans="1:21">
      <c r="A448" s="103">
        <v>444</v>
      </c>
      <c r="B448" s="111" t="s">
        <v>1822</v>
      </c>
      <c r="C448" s="72">
        <v>73.43</v>
      </c>
      <c r="D448" s="73">
        <v>2460</v>
      </c>
      <c r="E448" s="73">
        <f t="shared" si="59"/>
        <v>180638</v>
      </c>
      <c r="F448" s="74" t="s">
        <v>1823</v>
      </c>
      <c r="G448" s="87">
        <v>180637</v>
      </c>
      <c r="H448" s="87">
        <f t="shared" si="54"/>
        <v>1</v>
      </c>
      <c r="I448" s="86"/>
      <c r="J448" s="86">
        <f>VLOOKUP(B448,'多浪一期账面房号及收款金额-分公司'!$A$2:$B$436,2,0)</f>
        <v>180636.75</v>
      </c>
      <c r="K448" s="87">
        <f t="shared" si="56"/>
        <v>0.25</v>
      </c>
      <c r="L448" s="127"/>
      <c r="M448" s="127"/>
      <c r="P448" s="50">
        <v>172035</v>
      </c>
      <c r="R448" s="50">
        <f t="shared" si="58"/>
        <v>8601.75</v>
      </c>
      <c r="S448" s="101">
        <f t="shared" si="55"/>
        <v>0</v>
      </c>
      <c r="T448" s="101">
        <f t="shared" si="57"/>
        <v>0</v>
      </c>
      <c r="U448" t="s">
        <v>42</v>
      </c>
    </row>
    <row r="449" hidden="1" spans="1:21">
      <c r="A449" s="103">
        <v>445</v>
      </c>
      <c r="B449" s="111" t="s">
        <v>1824</v>
      </c>
      <c r="C449" s="72">
        <v>73.11</v>
      </c>
      <c r="D449" s="73">
        <v>2460</v>
      </c>
      <c r="E449" s="73">
        <f t="shared" si="59"/>
        <v>179851</v>
      </c>
      <c r="F449" s="74" t="s">
        <v>1825</v>
      </c>
      <c r="G449" s="87">
        <v>179851</v>
      </c>
      <c r="H449" s="87">
        <f t="shared" ref="H449:H512" si="60">E449-G449</f>
        <v>0</v>
      </c>
      <c r="I449" s="86"/>
      <c r="J449" s="86">
        <f>VLOOKUP(B449,'多浪一期账面房号及收款金额-分公司'!$A$2:$B$436,2,0)</f>
        <v>179851.35</v>
      </c>
      <c r="K449" s="87">
        <f t="shared" si="56"/>
        <v>-0.350000000005821</v>
      </c>
      <c r="L449" s="127"/>
      <c r="M449" s="127"/>
      <c r="P449" s="50">
        <v>171287</v>
      </c>
      <c r="R449" s="50">
        <f t="shared" si="58"/>
        <v>8564.35</v>
      </c>
      <c r="S449" s="101">
        <f t="shared" si="55"/>
        <v>0</v>
      </c>
      <c r="T449" s="101">
        <f t="shared" si="57"/>
        <v>0</v>
      </c>
      <c r="U449" t="s">
        <v>42</v>
      </c>
    </row>
    <row r="450" hidden="1" spans="1:21">
      <c r="A450" s="103">
        <v>446</v>
      </c>
      <c r="B450" s="111" t="s">
        <v>1826</v>
      </c>
      <c r="C450" s="72">
        <v>73.43</v>
      </c>
      <c r="D450" s="73">
        <v>2460</v>
      </c>
      <c r="E450" s="73">
        <f t="shared" si="59"/>
        <v>180638</v>
      </c>
      <c r="F450" s="74" t="s">
        <v>1827</v>
      </c>
      <c r="G450" s="87">
        <v>180638</v>
      </c>
      <c r="H450" s="87">
        <f t="shared" si="60"/>
        <v>0</v>
      </c>
      <c r="I450" s="86"/>
      <c r="J450" s="86">
        <f>VLOOKUP(B450,'多浪一期账面房号及收款金额-分公司'!$A$2:$B$436,2,0)</f>
        <v>180637.8</v>
      </c>
      <c r="K450" s="87">
        <f t="shared" si="56"/>
        <v>0.200000000011642</v>
      </c>
      <c r="L450" s="127"/>
      <c r="M450" s="127"/>
      <c r="P450" s="50">
        <v>172036</v>
      </c>
      <c r="R450" s="50">
        <f t="shared" si="58"/>
        <v>8601.8</v>
      </c>
      <c r="S450" s="101">
        <f t="shared" si="55"/>
        <v>0</v>
      </c>
      <c r="T450" s="101">
        <f t="shared" si="57"/>
        <v>0</v>
      </c>
      <c r="U450" t="s">
        <v>42</v>
      </c>
    </row>
    <row r="451" hidden="1" spans="1:21">
      <c r="A451" s="103">
        <v>447</v>
      </c>
      <c r="B451" s="111" t="s">
        <v>1828</v>
      </c>
      <c r="C451" s="72">
        <v>73.11</v>
      </c>
      <c r="D451" s="73">
        <v>2460</v>
      </c>
      <c r="E451" s="73">
        <f t="shared" si="59"/>
        <v>179851</v>
      </c>
      <c r="F451" s="74" t="s">
        <v>1829</v>
      </c>
      <c r="G451" s="87">
        <v>179851</v>
      </c>
      <c r="H451" s="87">
        <f t="shared" si="60"/>
        <v>0</v>
      </c>
      <c r="I451" s="86"/>
      <c r="J451" s="86">
        <f>VLOOKUP(B451,'多浪一期账面房号及收款金额-分公司'!$A$2:$B$436,2,0)</f>
        <v>179851.35</v>
      </c>
      <c r="K451" s="87">
        <f t="shared" si="56"/>
        <v>-0.350000000005821</v>
      </c>
      <c r="L451" s="127"/>
      <c r="M451" s="127"/>
      <c r="P451" s="50">
        <v>171287</v>
      </c>
      <c r="R451" s="50">
        <f t="shared" si="58"/>
        <v>8564.35</v>
      </c>
      <c r="S451" s="101">
        <f t="shared" si="55"/>
        <v>0</v>
      </c>
      <c r="T451" s="101">
        <f t="shared" si="57"/>
        <v>0</v>
      </c>
      <c r="U451" t="s">
        <v>42</v>
      </c>
    </row>
    <row r="452" hidden="1" spans="1:21">
      <c r="A452" s="103">
        <v>448</v>
      </c>
      <c r="B452" s="111" t="s">
        <v>1830</v>
      </c>
      <c r="C452" s="72">
        <v>73.43</v>
      </c>
      <c r="D452" s="73">
        <v>2460</v>
      </c>
      <c r="E452" s="73">
        <f t="shared" si="59"/>
        <v>180638</v>
      </c>
      <c r="F452" s="74" t="s">
        <v>1831</v>
      </c>
      <c r="G452" s="87">
        <v>180638</v>
      </c>
      <c r="H452" s="87">
        <f t="shared" si="60"/>
        <v>0</v>
      </c>
      <c r="I452" s="86"/>
      <c r="J452" s="86">
        <f>VLOOKUP(B452,'多浪一期账面房号及收款金额-分公司'!$A$2:$B$436,2,0)</f>
        <v>180637.8</v>
      </c>
      <c r="K452" s="87">
        <f t="shared" si="56"/>
        <v>0.200000000011642</v>
      </c>
      <c r="L452" s="127"/>
      <c r="M452" s="127"/>
      <c r="P452" s="50">
        <v>172036</v>
      </c>
      <c r="R452" s="50">
        <f t="shared" si="58"/>
        <v>8601.8</v>
      </c>
      <c r="S452" s="101">
        <f t="shared" si="55"/>
        <v>0</v>
      </c>
      <c r="T452" s="101">
        <f t="shared" si="57"/>
        <v>0</v>
      </c>
      <c r="U452" t="s">
        <v>42</v>
      </c>
    </row>
    <row r="453" hidden="1" spans="1:21">
      <c r="A453" s="103">
        <v>449</v>
      </c>
      <c r="B453" s="111" t="s">
        <v>1832</v>
      </c>
      <c r="C453" s="72">
        <v>73.11</v>
      </c>
      <c r="D453" s="73">
        <v>2200</v>
      </c>
      <c r="E453" s="73">
        <f t="shared" si="59"/>
        <v>160842</v>
      </c>
      <c r="F453" s="74" t="s">
        <v>1833</v>
      </c>
      <c r="G453" s="87">
        <v>160842</v>
      </c>
      <c r="H453" s="87">
        <f t="shared" si="60"/>
        <v>0</v>
      </c>
      <c r="I453" s="86"/>
      <c r="J453" s="86">
        <f>VLOOKUP(B453,'多浪一期账面房号及收款金额-分公司'!$A$2:$B$436,2,0)</f>
        <v>160842.15</v>
      </c>
      <c r="K453" s="87">
        <f t="shared" si="56"/>
        <v>-0.149999999994179</v>
      </c>
      <c r="L453" s="127"/>
      <c r="M453" s="127"/>
      <c r="P453" s="50">
        <v>153183</v>
      </c>
      <c r="R453" s="50">
        <f t="shared" si="58"/>
        <v>7659.15</v>
      </c>
      <c r="S453" s="101">
        <f t="shared" ref="S453:S517" si="61">J453/1.05-P453-Q453</f>
        <v>0</v>
      </c>
      <c r="T453" s="101">
        <f t="shared" si="57"/>
        <v>0</v>
      </c>
      <c r="U453" t="s">
        <v>42</v>
      </c>
    </row>
    <row r="454" hidden="1" spans="1:21">
      <c r="A454" s="103">
        <v>450</v>
      </c>
      <c r="B454" s="111" t="s">
        <v>1834</v>
      </c>
      <c r="C454" s="72">
        <v>73.43</v>
      </c>
      <c r="D454" s="73">
        <v>2190</v>
      </c>
      <c r="E454" s="73">
        <f t="shared" si="59"/>
        <v>160812</v>
      </c>
      <c r="F454" s="74" t="s">
        <v>1835</v>
      </c>
      <c r="G454" s="87">
        <v>160818</v>
      </c>
      <c r="H454" s="87">
        <f t="shared" si="60"/>
        <v>-6</v>
      </c>
      <c r="I454" s="86"/>
      <c r="J454" s="86">
        <f>VLOOKUP(B454,'多浪一期账面房号及收款金额-分公司'!$A$2:$B$436,2,0)</f>
        <v>160818</v>
      </c>
      <c r="K454" s="87">
        <f t="shared" ref="K454:K517" si="62">G454-I454-J454</f>
        <v>0</v>
      </c>
      <c r="L454" s="127"/>
      <c r="M454" s="127"/>
      <c r="P454" s="50">
        <v>153160</v>
      </c>
      <c r="R454" s="50">
        <f t="shared" si="58"/>
        <v>7658</v>
      </c>
      <c r="S454" s="101">
        <f t="shared" si="61"/>
        <v>0</v>
      </c>
      <c r="T454" s="101">
        <f t="shared" si="57"/>
        <v>0</v>
      </c>
      <c r="U454" t="s">
        <v>42</v>
      </c>
    </row>
    <row r="455" hidden="1" spans="1:21">
      <c r="A455" s="103">
        <v>451</v>
      </c>
      <c r="B455" s="111" t="s">
        <v>1836</v>
      </c>
      <c r="C455" s="72">
        <v>73.11</v>
      </c>
      <c r="D455" s="73">
        <v>1890</v>
      </c>
      <c r="E455" s="73">
        <f t="shared" si="59"/>
        <v>138178</v>
      </c>
      <c r="F455" s="74" t="s">
        <v>1837</v>
      </c>
      <c r="G455" s="87">
        <v>138178</v>
      </c>
      <c r="H455" s="87">
        <f t="shared" si="60"/>
        <v>0</v>
      </c>
      <c r="I455" s="86"/>
      <c r="J455" s="86">
        <f>VLOOKUP(B455,'多浪一期账面房号及收款金额-分公司'!$A$2:$B$436,2,0)</f>
        <v>138177.9</v>
      </c>
      <c r="K455" s="87">
        <f t="shared" si="62"/>
        <v>0.100000000005821</v>
      </c>
      <c r="L455" s="127"/>
      <c r="M455" s="127"/>
      <c r="P455" s="50">
        <v>131598</v>
      </c>
      <c r="R455" s="50">
        <f t="shared" si="58"/>
        <v>6579.9</v>
      </c>
      <c r="S455" s="101">
        <f t="shared" si="61"/>
        <v>0</v>
      </c>
      <c r="T455" s="101">
        <f t="shared" si="57"/>
        <v>0</v>
      </c>
      <c r="U455" t="s">
        <v>42</v>
      </c>
    </row>
    <row r="456" hidden="1" spans="1:21">
      <c r="A456" s="103">
        <v>452</v>
      </c>
      <c r="B456" s="111" t="s">
        <v>1838</v>
      </c>
      <c r="C456" s="72">
        <v>73.43</v>
      </c>
      <c r="D456" s="73">
        <v>1880</v>
      </c>
      <c r="E456" s="73">
        <f t="shared" si="59"/>
        <v>138048</v>
      </c>
      <c r="F456" s="74" t="s">
        <v>1839</v>
      </c>
      <c r="G456" s="87">
        <v>138049</v>
      </c>
      <c r="H456" s="87">
        <f t="shared" si="60"/>
        <v>-1</v>
      </c>
      <c r="I456" s="86"/>
      <c r="J456" s="86">
        <f>VLOOKUP(B456,'多浪一期账面房号及收款金额-分公司'!$A$2:$B$436,2,0)</f>
        <v>138049.8</v>
      </c>
      <c r="K456" s="87">
        <f t="shared" si="62"/>
        <v>-0.799999999988358</v>
      </c>
      <c r="L456" s="127"/>
      <c r="M456" s="127"/>
      <c r="P456" s="50">
        <v>131476</v>
      </c>
      <c r="R456" s="50">
        <f t="shared" si="58"/>
        <v>6573.8</v>
      </c>
      <c r="S456" s="101">
        <f t="shared" si="61"/>
        <v>0</v>
      </c>
      <c r="T456" s="101">
        <f t="shared" ref="T456:T517" si="63">J456/1.05*0.05-R456</f>
        <v>0</v>
      </c>
      <c r="U456" t="s">
        <v>42</v>
      </c>
    </row>
    <row r="457" hidden="1" spans="1:21">
      <c r="A457" s="103">
        <v>453</v>
      </c>
      <c r="B457" s="111" t="s">
        <v>1840</v>
      </c>
      <c r="C457" s="72">
        <v>73.11</v>
      </c>
      <c r="D457" s="73">
        <v>1545</v>
      </c>
      <c r="E457" s="73">
        <f t="shared" si="59"/>
        <v>112955</v>
      </c>
      <c r="F457" s="74" t="s">
        <v>1841</v>
      </c>
      <c r="G457" s="87">
        <v>112955</v>
      </c>
      <c r="H457" s="87">
        <f t="shared" si="60"/>
        <v>0</v>
      </c>
      <c r="I457" s="86"/>
      <c r="J457" s="86">
        <f>VLOOKUP(B457,'多浪一期账面房号及收款金额-分公司'!$A$2:$B$436,2,0)</f>
        <v>112954.8</v>
      </c>
      <c r="K457" s="87">
        <f t="shared" si="62"/>
        <v>0.19999999999709</v>
      </c>
      <c r="L457" s="127"/>
      <c r="M457" s="127"/>
      <c r="P457" s="50">
        <v>107576</v>
      </c>
      <c r="R457" s="50">
        <f t="shared" si="58"/>
        <v>5378.8</v>
      </c>
      <c r="S457" s="101">
        <f t="shared" si="61"/>
        <v>0</v>
      </c>
      <c r="T457" s="101">
        <f t="shared" si="63"/>
        <v>0</v>
      </c>
      <c r="U457" t="s">
        <v>42</v>
      </c>
    </row>
    <row r="458" hidden="1" spans="1:21">
      <c r="A458" s="103">
        <v>454</v>
      </c>
      <c r="B458" s="111" t="s">
        <v>1842</v>
      </c>
      <c r="C458" s="72">
        <v>73.43</v>
      </c>
      <c r="D458" s="73">
        <v>1600</v>
      </c>
      <c r="E458" s="73">
        <f t="shared" si="59"/>
        <v>117488</v>
      </c>
      <c r="F458" s="74" t="s">
        <v>1843</v>
      </c>
      <c r="G458" s="87">
        <v>117488</v>
      </c>
      <c r="H458" s="87">
        <f t="shared" si="60"/>
        <v>0</v>
      </c>
      <c r="I458" s="86"/>
      <c r="J458" s="86">
        <f>VLOOKUP(B458,'多浪一期账面房号及收款金额-分公司'!$A$2:$B$436,2,0)</f>
        <v>117487.65</v>
      </c>
      <c r="K458" s="87">
        <f t="shared" si="62"/>
        <v>0.350000000005821</v>
      </c>
      <c r="L458" s="127"/>
      <c r="M458" s="127"/>
      <c r="P458" s="50">
        <v>111893</v>
      </c>
      <c r="R458" s="50">
        <f t="shared" si="58"/>
        <v>5594.65</v>
      </c>
      <c r="S458" s="101">
        <f t="shared" si="61"/>
        <v>0</v>
      </c>
      <c r="T458" s="101">
        <f t="shared" si="63"/>
        <v>0</v>
      </c>
      <c r="U458" t="s">
        <v>42</v>
      </c>
    </row>
    <row r="459" hidden="1" spans="1:20">
      <c r="A459" s="103">
        <v>455</v>
      </c>
      <c r="B459" s="111" t="s">
        <v>1844</v>
      </c>
      <c r="C459" s="72">
        <v>69.23</v>
      </c>
      <c r="D459" s="73"/>
      <c r="E459" s="73">
        <f t="shared" si="59"/>
        <v>0</v>
      </c>
      <c r="F459" s="74" t="s">
        <v>1845</v>
      </c>
      <c r="G459" s="87">
        <v>0</v>
      </c>
      <c r="H459" s="87">
        <f t="shared" si="60"/>
        <v>0</v>
      </c>
      <c r="I459" s="86"/>
      <c r="J459" s="86"/>
      <c r="K459" s="87">
        <f t="shared" si="62"/>
        <v>0</v>
      </c>
      <c r="L459" s="127"/>
      <c r="M459" s="132" t="s">
        <v>1846</v>
      </c>
      <c r="S459" s="101">
        <f t="shared" si="61"/>
        <v>0</v>
      </c>
      <c r="T459" s="101">
        <f t="shared" si="63"/>
        <v>0</v>
      </c>
    </row>
    <row r="460" hidden="1" spans="1:20">
      <c r="A460" s="103">
        <v>456</v>
      </c>
      <c r="B460" s="111" t="s">
        <v>1847</v>
      </c>
      <c r="C460" s="72">
        <v>68.46</v>
      </c>
      <c r="D460" s="73"/>
      <c r="E460" s="73">
        <f t="shared" si="59"/>
        <v>0</v>
      </c>
      <c r="F460" s="74" t="s">
        <v>1845</v>
      </c>
      <c r="G460" s="87">
        <v>0</v>
      </c>
      <c r="H460" s="87">
        <f t="shared" si="60"/>
        <v>0</v>
      </c>
      <c r="I460" s="86"/>
      <c r="J460" s="86"/>
      <c r="K460" s="87">
        <f t="shared" si="62"/>
        <v>0</v>
      </c>
      <c r="L460" s="127"/>
      <c r="M460" s="132" t="s">
        <v>1846</v>
      </c>
      <c r="S460" s="101">
        <f t="shared" si="61"/>
        <v>0</v>
      </c>
      <c r="T460" s="101">
        <f t="shared" si="63"/>
        <v>0</v>
      </c>
    </row>
    <row r="461" hidden="1" spans="1:20">
      <c r="A461" s="103">
        <v>457</v>
      </c>
      <c r="B461" s="111" t="s">
        <v>1848</v>
      </c>
      <c r="C461" s="72">
        <v>68.12</v>
      </c>
      <c r="D461" s="73"/>
      <c r="E461" s="73">
        <f t="shared" si="59"/>
        <v>0</v>
      </c>
      <c r="F461" s="74" t="s">
        <v>1845</v>
      </c>
      <c r="G461" s="87">
        <v>0</v>
      </c>
      <c r="H461" s="87">
        <f t="shared" si="60"/>
        <v>0</v>
      </c>
      <c r="I461" s="86"/>
      <c r="J461" s="86"/>
      <c r="K461" s="87">
        <f t="shared" si="62"/>
        <v>0</v>
      </c>
      <c r="L461" s="127"/>
      <c r="M461" s="132" t="s">
        <v>1846</v>
      </c>
      <c r="S461" s="101">
        <f t="shared" si="61"/>
        <v>0</v>
      </c>
      <c r="T461" s="101">
        <f t="shared" si="63"/>
        <v>0</v>
      </c>
    </row>
    <row r="462" hidden="1" spans="1:20">
      <c r="A462" s="103">
        <v>458</v>
      </c>
      <c r="B462" s="111" t="s">
        <v>1849</v>
      </c>
      <c r="C462" s="72">
        <v>69.23</v>
      </c>
      <c r="D462" s="73"/>
      <c r="E462" s="73">
        <f t="shared" si="59"/>
        <v>0</v>
      </c>
      <c r="F462" s="74" t="s">
        <v>1845</v>
      </c>
      <c r="G462" s="87">
        <v>0</v>
      </c>
      <c r="H462" s="87">
        <f t="shared" si="60"/>
        <v>0</v>
      </c>
      <c r="I462" s="86"/>
      <c r="J462" s="86"/>
      <c r="K462" s="87">
        <f t="shared" si="62"/>
        <v>0</v>
      </c>
      <c r="L462" s="127"/>
      <c r="M462" s="132" t="s">
        <v>1846</v>
      </c>
      <c r="S462" s="101">
        <f t="shared" si="61"/>
        <v>0</v>
      </c>
      <c r="T462" s="101">
        <f t="shared" si="63"/>
        <v>0</v>
      </c>
    </row>
    <row r="463" hidden="1" spans="1:20">
      <c r="A463" s="103">
        <v>459</v>
      </c>
      <c r="B463" s="111" t="s">
        <v>1850</v>
      </c>
      <c r="C463" s="72">
        <v>68.46</v>
      </c>
      <c r="D463" s="73"/>
      <c r="E463" s="73">
        <f t="shared" si="59"/>
        <v>0</v>
      </c>
      <c r="F463" s="74" t="s">
        <v>1845</v>
      </c>
      <c r="G463" s="87">
        <v>0</v>
      </c>
      <c r="H463" s="87">
        <f t="shared" si="60"/>
        <v>0</v>
      </c>
      <c r="I463" s="86"/>
      <c r="J463" s="86"/>
      <c r="K463" s="87">
        <f t="shared" si="62"/>
        <v>0</v>
      </c>
      <c r="L463" s="127"/>
      <c r="M463" s="132" t="s">
        <v>1846</v>
      </c>
      <c r="S463" s="101">
        <f t="shared" si="61"/>
        <v>0</v>
      </c>
      <c r="T463" s="101">
        <f t="shared" si="63"/>
        <v>0</v>
      </c>
    </row>
    <row r="464" hidden="1" spans="1:20">
      <c r="A464" s="103">
        <v>460</v>
      </c>
      <c r="B464" s="111" t="s">
        <v>1851</v>
      </c>
      <c r="C464" s="72">
        <v>68.12</v>
      </c>
      <c r="D464" s="73"/>
      <c r="E464" s="73">
        <f t="shared" si="59"/>
        <v>0</v>
      </c>
      <c r="F464" s="74" t="s">
        <v>1845</v>
      </c>
      <c r="G464" s="87">
        <v>0</v>
      </c>
      <c r="H464" s="87">
        <f t="shared" si="60"/>
        <v>0</v>
      </c>
      <c r="I464" s="86"/>
      <c r="J464" s="86"/>
      <c r="K464" s="87">
        <f t="shared" si="62"/>
        <v>0</v>
      </c>
      <c r="L464" s="127"/>
      <c r="M464" s="132" t="s">
        <v>1846</v>
      </c>
      <c r="S464" s="101">
        <f t="shared" si="61"/>
        <v>0</v>
      </c>
      <c r="T464" s="101">
        <f t="shared" si="63"/>
        <v>0</v>
      </c>
    </row>
    <row r="465" hidden="1" spans="1:20">
      <c r="A465" s="103">
        <v>461</v>
      </c>
      <c r="B465" s="111" t="s">
        <v>1852</v>
      </c>
      <c r="C465" s="72">
        <v>69.23</v>
      </c>
      <c r="D465" s="73"/>
      <c r="E465" s="73">
        <f t="shared" si="59"/>
        <v>0</v>
      </c>
      <c r="F465" s="74" t="s">
        <v>1845</v>
      </c>
      <c r="G465" s="87">
        <v>0</v>
      </c>
      <c r="H465" s="87">
        <f t="shared" si="60"/>
        <v>0</v>
      </c>
      <c r="I465" s="86"/>
      <c r="J465" s="86"/>
      <c r="K465" s="87">
        <f t="shared" si="62"/>
        <v>0</v>
      </c>
      <c r="L465" s="127"/>
      <c r="M465" s="132" t="s">
        <v>1846</v>
      </c>
      <c r="S465" s="101">
        <f t="shared" si="61"/>
        <v>0</v>
      </c>
      <c r="T465" s="101">
        <f t="shared" si="63"/>
        <v>0</v>
      </c>
    </row>
    <row r="466" hidden="1" spans="1:20">
      <c r="A466" s="103">
        <v>462</v>
      </c>
      <c r="B466" s="111" t="s">
        <v>1853</v>
      </c>
      <c r="C466" s="72">
        <v>68.46</v>
      </c>
      <c r="D466" s="73"/>
      <c r="E466" s="73">
        <f t="shared" si="59"/>
        <v>0</v>
      </c>
      <c r="F466" s="74" t="s">
        <v>1845</v>
      </c>
      <c r="G466" s="87">
        <v>0</v>
      </c>
      <c r="H466" s="87">
        <f t="shared" si="60"/>
        <v>0</v>
      </c>
      <c r="I466" s="86"/>
      <c r="J466" s="86"/>
      <c r="K466" s="87">
        <f t="shared" si="62"/>
        <v>0</v>
      </c>
      <c r="L466" s="127"/>
      <c r="M466" s="132" t="s">
        <v>1846</v>
      </c>
      <c r="S466" s="101">
        <f t="shared" si="61"/>
        <v>0</v>
      </c>
      <c r="T466" s="101">
        <f t="shared" si="63"/>
        <v>0</v>
      </c>
    </row>
    <row r="467" hidden="1" spans="1:20">
      <c r="A467" s="103">
        <v>463</v>
      </c>
      <c r="B467" s="111" t="s">
        <v>1854</v>
      </c>
      <c r="C467" s="72">
        <v>68.12</v>
      </c>
      <c r="D467" s="73"/>
      <c r="E467" s="73">
        <f t="shared" si="59"/>
        <v>0</v>
      </c>
      <c r="F467" s="74" t="s">
        <v>1845</v>
      </c>
      <c r="G467" s="87">
        <v>0</v>
      </c>
      <c r="H467" s="87">
        <f t="shared" si="60"/>
        <v>0</v>
      </c>
      <c r="I467" s="86"/>
      <c r="J467" s="86"/>
      <c r="K467" s="87">
        <f t="shared" si="62"/>
        <v>0</v>
      </c>
      <c r="L467" s="127"/>
      <c r="M467" s="132" t="s">
        <v>1846</v>
      </c>
      <c r="S467" s="101">
        <f t="shared" si="61"/>
        <v>0</v>
      </c>
      <c r="T467" s="101">
        <f t="shared" si="63"/>
        <v>0</v>
      </c>
    </row>
    <row r="468" hidden="1" spans="1:20">
      <c r="A468" s="103">
        <v>464</v>
      </c>
      <c r="B468" s="111" t="s">
        <v>1855</v>
      </c>
      <c r="C468" s="72">
        <v>69.23</v>
      </c>
      <c r="D468" s="73"/>
      <c r="E468" s="73">
        <f t="shared" si="59"/>
        <v>0</v>
      </c>
      <c r="F468" s="74" t="s">
        <v>1845</v>
      </c>
      <c r="G468" s="87">
        <v>0</v>
      </c>
      <c r="H468" s="87">
        <f t="shared" si="60"/>
        <v>0</v>
      </c>
      <c r="I468" s="86"/>
      <c r="J468" s="86"/>
      <c r="K468" s="87">
        <f t="shared" si="62"/>
        <v>0</v>
      </c>
      <c r="L468" s="127"/>
      <c r="M468" s="132" t="s">
        <v>1846</v>
      </c>
      <c r="S468" s="101">
        <f t="shared" si="61"/>
        <v>0</v>
      </c>
      <c r="T468" s="101">
        <f t="shared" si="63"/>
        <v>0</v>
      </c>
    </row>
    <row r="469" hidden="1" spans="1:20">
      <c r="A469" s="103">
        <v>465</v>
      </c>
      <c r="B469" s="111" t="s">
        <v>1856</v>
      </c>
      <c r="C469" s="72">
        <v>68.46</v>
      </c>
      <c r="D469" s="73"/>
      <c r="E469" s="73">
        <f t="shared" si="59"/>
        <v>0</v>
      </c>
      <c r="F469" s="74" t="s">
        <v>1845</v>
      </c>
      <c r="G469" s="87">
        <v>0</v>
      </c>
      <c r="H469" s="87">
        <f t="shared" si="60"/>
        <v>0</v>
      </c>
      <c r="I469" s="86"/>
      <c r="J469" s="86"/>
      <c r="K469" s="87">
        <f t="shared" si="62"/>
        <v>0</v>
      </c>
      <c r="L469" s="127"/>
      <c r="M469" s="132" t="s">
        <v>1846</v>
      </c>
      <c r="S469" s="101">
        <f t="shared" si="61"/>
        <v>0</v>
      </c>
      <c r="T469" s="101">
        <f t="shared" si="63"/>
        <v>0</v>
      </c>
    </row>
    <row r="470" hidden="1" spans="1:20">
      <c r="A470" s="103">
        <v>466</v>
      </c>
      <c r="B470" s="111" t="s">
        <v>1857</v>
      </c>
      <c r="C470" s="72">
        <v>68.12</v>
      </c>
      <c r="D470" s="73"/>
      <c r="E470" s="73">
        <f t="shared" si="59"/>
        <v>0</v>
      </c>
      <c r="F470" s="74" t="s">
        <v>1845</v>
      </c>
      <c r="G470" s="87">
        <v>0</v>
      </c>
      <c r="H470" s="87">
        <f t="shared" si="60"/>
        <v>0</v>
      </c>
      <c r="I470" s="86"/>
      <c r="J470" s="86"/>
      <c r="K470" s="87">
        <f t="shared" si="62"/>
        <v>0</v>
      </c>
      <c r="L470" s="127"/>
      <c r="M470" s="132" t="s">
        <v>1846</v>
      </c>
      <c r="S470" s="101">
        <f t="shared" si="61"/>
        <v>0</v>
      </c>
      <c r="T470" s="101">
        <f t="shared" si="63"/>
        <v>0</v>
      </c>
    </row>
    <row r="471" hidden="1" spans="1:20">
      <c r="A471" s="103">
        <v>467</v>
      </c>
      <c r="B471" s="111" t="s">
        <v>1858</v>
      </c>
      <c r="C471" s="72">
        <v>69.23</v>
      </c>
      <c r="D471" s="73"/>
      <c r="E471" s="73">
        <f t="shared" si="59"/>
        <v>0</v>
      </c>
      <c r="F471" s="74" t="s">
        <v>1845</v>
      </c>
      <c r="G471" s="87">
        <v>0</v>
      </c>
      <c r="H471" s="87">
        <f t="shared" si="60"/>
        <v>0</v>
      </c>
      <c r="I471" s="86"/>
      <c r="J471" s="86"/>
      <c r="K471" s="87">
        <f t="shared" si="62"/>
        <v>0</v>
      </c>
      <c r="L471" s="127"/>
      <c r="M471" s="132" t="s">
        <v>1846</v>
      </c>
      <c r="S471" s="101">
        <f t="shared" si="61"/>
        <v>0</v>
      </c>
      <c r="T471" s="101">
        <f t="shared" si="63"/>
        <v>0</v>
      </c>
    </row>
    <row r="472" hidden="1" spans="1:20">
      <c r="A472" s="103">
        <v>468</v>
      </c>
      <c r="B472" s="111" t="s">
        <v>1859</v>
      </c>
      <c r="C472" s="72">
        <v>68.46</v>
      </c>
      <c r="D472" s="73"/>
      <c r="E472" s="73">
        <f t="shared" si="59"/>
        <v>0</v>
      </c>
      <c r="F472" s="74" t="s">
        <v>1845</v>
      </c>
      <c r="G472" s="87">
        <v>0</v>
      </c>
      <c r="H472" s="87">
        <f t="shared" si="60"/>
        <v>0</v>
      </c>
      <c r="I472" s="86"/>
      <c r="J472" s="86"/>
      <c r="K472" s="87">
        <f t="shared" si="62"/>
        <v>0</v>
      </c>
      <c r="L472" s="127"/>
      <c r="M472" s="132" t="s">
        <v>1846</v>
      </c>
      <c r="S472" s="101">
        <f t="shared" si="61"/>
        <v>0</v>
      </c>
      <c r="T472" s="101">
        <f t="shared" si="63"/>
        <v>0</v>
      </c>
    </row>
    <row r="473" hidden="1" spans="1:20">
      <c r="A473" s="103">
        <v>469</v>
      </c>
      <c r="B473" s="111" t="s">
        <v>1860</v>
      </c>
      <c r="C473" s="72">
        <v>68.12</v>
      </c>
      <c r="D473" s="73"/>
      <c r="E473" s="73">
        <f t="shared" si="59"/>
        <v>0</v>
      </c>
      <c r="F473" s="74" t="s">
        <v>1845</v>
      </c>
      <c r="G473" s="87">
        <v>0</v>
      </c>
      <c r="H473" s="87">
        <f t="shared" si="60"/>
        <v>0</v>
      </c>
      <c r="I473" s="86"/>
      <c r="J473" s="86"/>
      <c r="K473" s="87">
        <f t="shared" si="62"/>
        <v>0</v>
      </c>
      <c r="L473" s="127"/>
      <c r="M473" s="132" t="s">
        <v>1846</v>
      </c>
      <c r="S473" s="101">
        <f t="shared" si="61"/>
        <v>0</v>
      </c>
      <c r="T473" s="101">
        <f t="shared" si="63"/>
        <v>0</v>
      </c>
    </row>
    <row r="474" hidden="1" spans="1:20">
      <c r="A474" s="103">
        <v>470</v>
      </c>
      <c r="B474" s="111" t="s">
        <v>1861</v>
      </c>
      <c r="C474" s="72">
        <v>68.46</v>
      </c>
      <c r="D474" s="73"/>
      <c r="E474" s="73">
        <f t="shared" si="59"/>
        <v>0</v>
      </c>
      <c r="F474" s="74" t="s">
        <v>1845</v>
      </c>
      <c r="G474" s="87">
        <v>0</v>
      </c>
      <c r="H474" s="87">
        <f t="shared" si="60"/>
        <v>0</v>
      </c>
      <c r="I474" s="86"/>
      <c r="J474" s="86"/>
      <c r="K474" s="87">
        <f t="shared" si="62"/>
        <v>0</v>
      </c>
      <c r="L474" s="127"/>
      <c r="M474" s="132" t="s">
        <v>1846</v>
      </c>
      <c r="S474" s="101">
        <f t="shared" si="61"/>
        <v>0</v>
      </c>
      <c r="T474" s="101">
        <f t="shared" si="63"/>
        <v>0</v>
      </c>
    </row>
    <row r="475" hidden="1" spans="1:20">
      <c r="A475" s="103">
        <v>471</v>
      </c>
      <c r="B475" s="111" t="s">
        <v>1862</v>
      </c>
      <c r="C475" s="72">
        <v>68.46</v>
      </c>
      <c r="D475" s="73"/>
      <c r="E475" s="73">
        <f t="shared" si="59"/>
        <v>0</v>
      </c>
      <c r="F475" s="74" t="s">
        <v>1845</v>
      </c>
      <c r="G475" s="87">
        <v>0</v>
      </c>
      <c r="H475" s="87">
        <f t="shared" si="60"/>
        <v>0</v>
      </c>
      <c r="I475" s="86"/>
      <c r="J475" s="86"/>
      <c r="K475" s="87">
        <f t="shared" si="62"/>
        <v>0</v>
      </c>
      <c r="L475" s="127"/>
      <c r="M475" s="132" t="s">
        <v>1846</v>
      </c>
      <c r="S475" s="101">
        <f t="shared" si="61"/>
        <v>0</v>
      </c>
      <c r="T475" s="101">
        <f t="shared" si="63"/>
        <v>0</v>
      </c>
    </row>
    <row r="476" hidden="1" spans="1:20">
      <c r="A476" s="103">
        <v>472</v>
      </c>
      <c r="B476" s="111" t="s">
        <v>1863</v>
      </c>
      <c r="C476" s="72">
        <v>68.12</v>
      </c>
      <c r="D476" s="73"/>
      <c r="E476" s="73">
        <f t="shared" si="59"/>
        <v>0</v>
      </c>
      <c r="F476" s="74" t="s">
        <v>1845</v>
      </c>
      <c r="G476" s="87">
        <v>0</v>
      </c>
      <c r="H476" s="87">
        <f t="shared" si="60"/>
        <v>0</v>
      </c>
      <c r="I476" s="86"/>
      <c r="J476" s="86"/>
      <c r="K476" s="87">
        <f t="shared" si="62"/>
        <v>0</v>
      </c>
      <c r="L476" s="127"/>
      <c r="M476" s="132" t="s">
        <v>1846</v>
      </c>
      <c r="S476" s="101">
        <f t="shared" si="61"/>
        <v>0</v>
      </c>
      <c r="T476" s="101">
        <f t="shared" si="63"/>
        <v>0</v>
      </c>
    </row>
    <row r="477" hidden="1" spans="1:20">
      <c r="A477" s="103">
        <v>473</v>
      </c>
      <c r="B477" s="111" t="s">
        <v>1864</v>
      </c>
      <c r="C477" s="72">
        <v>68.46</v>
      </c>
      <c r="D477" s="73"/>
      <c r="E477" s="73">
        <f t="shared" si="59"/>
        <v>0</v>
      </c>
      <c r="F477" s="74" t="s">
        <v>1845</v>
      </c>
      <c r="G477" s="87">
        <v>0</v>
      </c>
      <c r="H477" s="87">
        <f t="shared" si="60"/>
        <v>0</v>
      </c>
      <c r="I477" s="86"/>
      <c r="J477" s="86"/>
      <c r="K477" s="87">
        <f t="shared" si="62"/>
        <v>0</v>
      </c>
      <c r="L477" s="127"/>
      <c r="M477" s="132" t="s">
        <v>1846</v>
      </c>
      <c r="S477" s="101">
        <f t="shared" si="61"/>
        <v>0</v>
      </c>
      <c r="T477" s="101">
        <f t="shared" si="63"/>
        <v>0</v>
      </c>
    </row>
    <row r="478" hidden="1" spans="1:20">
      <c r="A478" s="103">
        <v>474</v>
      </c>
      <c r="B478" s="111" t="s">
        <v>1865</v>
      </c>
      <c r="C478" s="72">
        <v>68.46</v>
      </c>
      <c r="D478" s="73"/>
      <c r="E478" s="73">
        <f t="shared" si="59"/>
        <v>0</v>
      </c>
      <c r="F478" s="74" t="s">
        <v>1845</v>
      </c>
      <c r="G478" s="87">
        <v>0</v>
      </c>
      <c r="H478" s="87">
        <f t="shared" si="60"/>
        <v>0</v>
      </c>
      <c r="I478" s="86"/>
      <c r="J478" s="86"/>
      <c r="K478" s="87">
        <f t="shared" si="62"/>
        <v>0</v>
      </c>
      <c r="L478" s="127"/>
      <c r="M478" s="132" t="s">
        <v>1846</v>
      </c>
      <c r="S478" s="101">
        <f t="shared" si="61"/>
        <v>0</v>
      </c>
      <c r="T478" s="101">
        <f t="shared" si="63"/>
        <v>0</v>
      </c>
    </row>
    <row r="479" hidden="1" spans="1:20">
      <c r="A479" s="103">
        <v>475</v>
      </c>
      <c r="B479" s="111" t="s">
        <v>1866</v>
      </c>
      <c r="C479" s="72">
        <v>68.12</v>
      </c>
      <c r="D479" s="73"/>
      <c r="E479" s="73">
        <f t="shared" si="59"/>
        <v>0</v>
      </c>
      <c r="F479" s="74" t="s">
        <v>1845</v>
      </c>
      <c r="G479" s="87">
        <v>0</v>
      </c>
      <c r="H479" s="87">
        <f t="shared" si="60"/>
        <v>0</v>
      </c>
      <c r="I479" s="86"/>
      <c r="J479" s="86"/>
      <c r="K479" s="87">
        <f t="shared" si="62"/>
        <v>0</v>
      </c>
      <c r="L479" s="127"/>
      <c r="M479" s="132" t="s">
        <v>1846</v>
      </c>
      <c r="S479" s="101">
        <f t="shared" si="61"/>
        <v>0</v>
      </c>
      <c r="T479" s="101">
        <f t="shared" si="63"/>
        <v>0</v>
      </c>
    </row>
    <row r="480" hidden="1" spans="1:20">
      <c r="A480" s="103">
        <v>476</v>
      </c>
      <c r="B480" s="111" t="s">
        <v>1867</v>
      </c>
      <c r="C480" s="72">
        <v>68.46</v>
      </c>
      <c r="D480" s="73"/>
      <c r="E480" s="73">
        <f t="shared" si="59"/>
        <v>0</v>
      </c>
      <c r="F480" s="74" t="s">
        <v>1845</v>
      </c>
      <c r="G480" s="87">
        <v>0</v>
      </c>
      <c r="H480" s="87">
        <f t="shared" si="60"/>
        <v>0</v>
      </c>
      <c r="I480" s="86"/>
      <c r="J480" s="86"/>
      <c r="K480" s="87">
        <f t="shared" si="62"/>
        <v>0</v>
      </c>
      <c r="L480" s="127"/>
      <c r="M480" s="132" t="s">
        <v>1846</v>
      </c>
      <c r="S480" s="101">
        <f t="shared" si="61"/>
        <v>0</v>
      </c>
      <c r="T480" s="101">
        <f t="shared" si="63"/>
        <v>0</v>
      </c>
    </row>
    <row r="481" hidden="1" spans="1:20">
      <c r="A481" s="103">
        <v>477</v>
      </c>
      <c r="B481" s="111" t="s">
        <v>1868</v>
      </c>
      <c r="C481" s="72">
        <v>68.46</v>
      </c>
      <c r="D481" s="73"/>
      <c r="E481" s="73">
        <f t="shared" si="59"/>
        <v>0</v>
      </c>
      <c r="F481" s="74" t="s">
        <v>1845</v>
      </c>
      <c r="G481" s="87">
        <v>0</v>
      </c>
      <c r="H481" s="87">
        <f t="shared" si="60"/>
        <v>0</v>
      </c>
      <c r="I481" s="86"/>
      <c r="J481" s="86"/>
      <c r="K481" s="87">
        <f t="shared" si="62"/>
        <v>0</v>
      </c>
      <c r="L481" s="127"/>
      <c r="M481" s="132" t="s">
        <v>1846</v>
      </c>
      <c r="S481" s="101">
        <f t="shared" si="61"/>
        <v>0</v>
      </c>
      <c r="T481" s="101">
        <f t="shared" si="63"/>
        <v>0</v>
      </c>
    </row>
    <row r="482" hidden="1" spans="1:20">
      <c r="A482" s="103">
        <v>478</v>
      </c>
      <c r="B482" s="111" t="s">
        <v>1869</v>
      </c>
      <c r="C482" s="72">
        <v>68.12</v>
      </c>
      <c r="D482" s="73"/>
      <c r="E482" s="73">
        <f t="shared" si="59"/>
        <v>0</v>
      </c>
      <c r="F482" s="74" t="s">
        <v>1845</v>
      </c>
      <c r="G482" s="87">
        <v>0</v>
      </c>
      <c r="H482" s="87">
        <f t="shared" si="60"/>
        <v>0</v>
      </c>
      <c r="I482" s="86"/>
      <c r="J482" s="86"/>
      <c r="K482" s="87">
        <f t="shared" si="62"/>
        <v>0</v>
      </c>
      <c r="L482" s="127"/>
      <c r="M482" s="132" t="s">
        <v>1846</v>
      </c>
      <c r="S482" s="101">
        <f t="shared" si="61"/>
        <v>0</v>
      </c>
      <c r="T482" s="101">
        <f t="shared" si="63"/>
        <v>0</v>
      </c>
    </row>
    <row r="483" hidden="1" spans="1:20">
      <c r="A483" s="103">
        <v>479</v>
      </c>
      <c r="B483" s="111" t="s">
        <v>1870</v>
      </c>
      <c r="C483" s="72">
        <v>68.46</v>
      </c>
      <c r="D483" s="73"/>
      <c r="E483" s="73">
        <f t="shared" si="59"/>
        <v>0</v>
      </c>
      <c r="F483" s="74" t="s">
        <v>1845</v>
      </c>
      <c r="G483" s="87">
        <v>0</v>
      </c>
      <c r="H483" s="87">
        <f t="shared" si="60"/>
        <v>0</v>
      </c>
      <c r="I483" s="86"/>
      <c r="J483" s="86"/>
      <c r="K483" s="87">
        <f t="shared" si="62"/>
        <v>0</v>
      </c>
      <c r="L483" s="127"/>
      <c r="M483" s="132" t="s">
        <v>1846</v>
      </c>
      <c r="S483" s="101">
        <f t="shared" si="61"/>
        <v>0</v>
      </c>
      <c r="T483" s="101">
        <f t="shared" si="63"/>
        <v>0</v>
      </c>
    </row>
    <row r="484" hidden="1" spans="1:20">
      <c r="A484" s="103">
        <v>480</v>
      </c>
      <c r="B484" s="111" t="s">
        <v>1871</v>
      </c>
      <c r="C484" s="72">
        <v>68.46</v>
      </c>
      <c r="D484" s="73"/>
      <c r="E484" s="73">
        <f t="shared" si="59"/>
        <v>0</v>
      </c>
      <c r="F484" s="74" t="s">
        <v>1845</v>
      </c>
      <c r="G484" s="87">
        <v>0</v>
      </c>
      <c r="H484" s="87">
        <f t="shared" si="60"/>
        <v>0</v>
      </c>
      <c r="I484" s="86"/>
      <c r="J484" s="86"/>
      <c r="K484" s="87">
        <f t="shared" si="62"/>
        <v>0</v>
      </c>
      <c r="L484" s="127"/>
      <c r="M484" s="132" t="s">
        <v>1846</v>
      </c>
      <c r="S484" s="101">
        <f t="shared" si="61"/>
        <v>0</v>
      </c>
      <c r="T484" s="101">
        <f t="shared" si="63"/>
        <v>0</v>
      </c>
    </row>
    <row r="485" hidden="1" spans="1:20">
      <c r="A485" s="103">
        <v>481</v>
      </c>
      <c r="B485" s="111" t="s">
        <v>1872</v>
      </c>
      <c r="C485" s="72">
        <v>68.12</v>
      </c>
      <c r="D485" s="73"/>
      <c r="E485" s="73">
        <f t="shared" si="59"/>
        <v>0</v>
      </c>
      <c r="F485" s="74" t="s">
        <v>1845</v>
      </c>
      <c r="G485" s="87">
        <v>0</v>
      </c>
      <c r="H485" s="87">
        <f t="shared" si="60"/>
        <v>0</v>
      </c>
      <c r="I485" s="86"/>
      <c r="J485" s="86"/>
      <c r="K485" s="87">
        <f t="shared" si="62"/>
        <v>0</v>
      </c>
      <c r="L485" s="127"/>
      <c r="M485" s="132" t="s">
        <v>1846</v>
      </c>
      <c r="S485" s="101">
        <f t="shared" si="61"/>
        <v>0</v>
      </c>
      <c r="T485" s="101">
        <f t="shared" si="63"/>
        <v>0</v>
      </c>
    </row>
    <row r="486" hidden="1" spans="1:20">
      <c r="A486" s="103">
        <v>482</v>
      </c>
      <c r="B486" s="111" t="s">
        <v>1873</v>
      </c>
      <c r="C486" s="72">
        <v>68.46</v>
      </c>
      <c r="D486" s="73"/>
      <c r="E486" s="73">
        <f t="shared" si="59"/>
        <v>0</v>
      </c>
      <c r="F486" s="74" t="s">
        <v>1845</v>
      </c>
      <c r="G486" s="87">
        <v>0</v>
      </c>
      <c r="H486" s="87">
        <f t="shared" si="60"/>
        <v>0</v>
      </c>
      <c r="I486" s="86"/>
      <c r="J486" s="86"/>
      <c r="K486" s="87">
        <f t="shared" si="62"/>
        <v>0</v>
      </c>
      <c r="L486" s="127"/>
      <c r="M486" s="132" t="s">
        <v>1846</v>
      </c>
      <c r="S486" s="101">
        <f t="shared" si="61"/>
        <v>0</v>
      </c>
      <c r="T486" s="101">
        <f t="shared" si="63"/>
        <v>0</v>
      </c>
    </row>
    <row r="487" hidden="1" spans="1:20">
      <c r="A487" s="103">
        <v>483</v>
      </c>
      <c r="B487" s="111" t="s">
        <v>1874</v>
      </c>
      <c r="C487" s="72">
        <v>68.46</v>
      </c>
      <c r="D487" s="73"/>
      <c r="E487" s="73">
        <f t="shared" si="59"/>
        <v>0</v>
      </c>
      <c r="F487" s="74" t="s">
        <v>1845</v>
      </c>
      <c r="G487" s="87">
        <v>0</v>
      </c>
      <c r="H487" s="87">
        <f t="shared" si="60"/>
        <v>0</v>
      </c>
      <c r="I487" s="86"/>
      <c r="J487" s="86"/>
      <c r="K487" s="87">
        <f t="shared" si="62"/>
        <v>0</v>
      </c>
      <c r="L487" s="127"/>
      <c r="M487" s="132" t="s">
        <v>1846</v>
      </c>
      <c r="S487" s="101">
        <f t="shared" si="61"/>
        <v>0</v>
      </c>
      <c r="T487" s="101">
        <f t="shared" si="63"/>
        <v>0</v>
      </c>
    </row>
    <row r="488" hidden="1" spans="1:20">
      <c r="A488" s="103">
        <v>484</v>
      </c>
      <c r="B488" s="111" t="s">
        <v>1875</v>
      </c>
      <c r="C488" s="72">
        <v>68.12</v>
      </c>
      <c r="D488" s="73"/>
      <c r="E488" s="73">
        <f t="shared" si="59"/>
        <v>0</v>
      </c>
      <c r="F488" s="74" t="s">
        <v>1845</v>
      </c>
      <c r="G488" s="87">
        <v>0</v>
      </c>
      <c r="H488" s="87">
        <f t="shared" si="60"/>
        <v>0</v>
      </c>
      <c r="I488" s="86"/>
      <c r="J488" s="86"/>
      <c r="K488" s="87">
        <f t="shared" si="62"/>
        <v>0</v>
      </c>
      <c r="L488" s="127"/>
      <c r="M488" s="132" t="s">
        <v>1846</v>
      </c>
      <c r="S488" s="101">
        <f t="shared" si="61"/>
        <v>0</v>
      </c>
      <c r="T488" s="101">
        <f t="shared" si="63"/>
        <v>0</v>
      </c>
    </row>
    <row r="489" hidden="1" spans="1:21">
      <c r="A489" s="103">
        <v>485</v>
      </c>
      <c r="B489" s="111" t="s">
        <v>1876</v>
      </c>
      <c r="C489" s="72">
        <v>68.46</v>
      </c>
      <c r="D489" s="73">
        <v>2450</v>
      </c>
      <c r="E489" s="73">
        <f t="shared" si="59"/>
        <v>167727</v>
      </c>
      <c r="F489" s="74" t="s">
        <v>1877</v>
      </c>
      <c r="G489" s="87">
        <v>167727</v>
      </c>
      <c r="H489" s="87">
        <f t="shared" si="60"/>
        <v>0</v>
      </c>
      <c r="I489" s="86"/>
      <c r="J489" s="86">
        <f>VLOOKUP(B489,'多浪一期账面房号及收款金额-分公司'!$A$2:$B$436,2,0)</f>
        <v>167728.05</v>
      </c>
      <c r="K489" s="87">
        <f t="shared" si="62"/>
        <v>-1.04999999998836</v>
      </c>
      <c r="L489" s="127"/>
      <c r="M489" s="127"/>
      <c r="P489" s="50">
        <v>159741</v>
      </c>
      <c r="R489" s="50">
        <f t="shared" ref="R489:R499" si="64">P489*0.05</f>
        <v>7987.05</v>
      </c>
      <c r="S489" s="101">
        <f t="shared" si="61"/>
        <v>0</v>
      </c>
      <c r="T489" s="101">
        <f t="shared" si="63"/>
        <v>0</v>
      </c>
      <c r="U489" t="s">
        <v>42</v>
      </c>
    </row>
    <row r="490" hidden="1" spans="1:21">
      <c r="A490" s="103">
        <v>486</v>
      </c>
      <c r="B490" s="111" t="s">
        <v>1878</v>
      </c>
      <c r="C490" s="72">
        <v>69.23</v>
      </c>
      <c r="D490" s="73">
        <v>2520</v>
      </c>
      <c r="E490" s="73">
        <f t="shared" si="59"/>
        <v>174460</v>
      </c>
      <c r="F490" s="74" t="s">
        <v>1879</v>
      </c>
      <c r="G490" s="87">
        <v>174460</v>
      </c>
      <c r="H490" s="87">
        <f t="shared" si="60"/>
        <v>0</v>
      </c>
      <c r="I490" s="86"/>
      <c r="J490" s="86">
        <f>VLOOKUP(B490,'多浪一期账面房号及收款金额-分公司'!$A$2:$B$436,2,0)</f>
        <v>174460.65</v>
      </c>
      <c r="K490" s="87">
        <f t="shared" si="62"/>
        <v>-0.649999999994179</v>
      </c>
      <c r="L490" s="127"/>
      <c r="M490" s="127"/>
      <c r="P490" s="50">
        <v>166153</v>
      </c>
      <c r="R490" s="50">
        <f t="shared" si="64"/>
        <v>8307.65</v>
      </c>
      <c r="S490" s="101">
        <f t="shared" si="61"/>
        <v>0</v>
      </c>
      <c r="T490" s="101">
        <f t="shared" si="63"/>
        <v>0</v>
      </c>
      <c r="U490" t="s">
        <v>42</v>
      </c>
    </row>
    <row r="491" hidden="1" spans="1:21">
      <c r="A491" s="103">
        <v>487</v>
      </c>
      <c r="B491" s="111" t="s">
        <v>1880</v>
      </c>
      <c r="C491" s="72">
        <v>68.12</v>
      </c>
      <c r="D491" s="73">
        <v>2450</v>
      </c>
      <c r="E491" s="73">
        <f t="shared" si="59"/>
        <v>166894</v>
      </c>
      <c r="F491" s="74" t="s">
        <v>1881</v>
      </c>
      <c r="G491" s="87">
        <v>166894</v>
      </c>
      <c r="H491" s="87">
        <f t="shared" si="60"/>
        <v>0</v>
      </c>
      <c r="I491" s="86"/>
      <c r="J491" s="86">
        <f>VLOOKUP(B491,'多浪一期账面房号及收款金额-分公司'!$A$2:$B$436,2,0)</f>
        <v>166894.35</v>
      </c>
      <c r="K491" s="87">
        <f t="shared" si="62"/>
        <v>-0.350000000005821</v>
      </c>
      <c r="L491" s="127"/>
      <c r="M491" s="127"/>
      <c r="P491" s="50">
        <v>158947</v>
      </c>
      <c r="R491" s="50">
        <f t="shared" si="64"/>
        <v>7947.35</v>
      </c>
      <c r="S491" s="101">
        <f t="shared" si="61"/>
        <v>0</v>
      </c>
      <c r="T491" s="101">
        <f t="shared" si="63"/>
        <v>0</v>
      </c>
      <c r="U491" t="s">
        <v>42</v>
      </c>
    </row>
    <row r="492" hidden="1" spans="1:21">
      <c r="A492" s="103">
        <v>488</v>
      </c>
      <c r="B492" s="111" t="s">
        <v>1882</v>
      </c>
      <c r="C492" s="72">
        <v>68.46</v>
      </c>
      <c r="D492" s="73">
        <v>2540</v>
      </c>
      <c r="E492" s="73">
        <f t="shared" si="59"/>
        <v>173888</v>
      </c>
      <c r="F492" s="74" t="s">
        <v>1883</v>
      </c>
      <c r="G492" s="87">
        <v>173888</v>
      </c>
      <c r="H492" s="87">
        <f t="shared" si="60"/>
        <v>0</v>
      </c>
      <c r="I492" s="86"/>
      <c r="J492" s="86">
        <f>VLOOKUP(B492,'多浪一期账面房号及收款金额-分公司'!$A$2:$B$436,2,0)</f>
        <v>173889.45</v>
      </c>
      <c r="K492" s="87">
        <f t="shared" si="62"/>
        <v>-1.45000000001164</v>
      </c>
      <c r="L492" s="127"/>
      <c r="M492" s="127"/>
      <c r="P492" s="50">
        <v>165609</v>
      </c>
      <c r="R492" s="50">
        <f t="shared" si="64"/>
        <v>8280.45</v>
      </c>
      <c r="S492" s="101">
        <f t="shared" si="61"/>
        <v>0</v>
      </c>
      <c r="T492" s="101">
        <f t="shared" si="63"/>
        <v>0</v>
      </c>
      <c r="U492" t="s">
        <v>42</v>
      </c>
    </row>
    <row r="493" hidden="1" spans="1:21">
      <c r="A493" s="103">
        <v>489</v>
      </c>
      <c r="B493" s="111" t="s">
        <v>1884</v>
      </c>
      <c r="C493" s="72">
        <v>69.23</v>
      </c>
      <c r="D493" s="73">
        <v>2540</v>
      </c>
      <c r="E493" s="73">
        <f t="shared" si="59"/>
        <v>175844</v>
      </c>
      <c r="F493" s="74" t="s">
        <v>1885</v>
      </c>
      <c r="G493" s="87">
        <v>175844</v>
      </c>
      <c r="H493" s="87">
        <f t="shared" si="60"/>
        <v>0</v>
      </c>
      <c r="I493" s="86"/>
      <c r="J493" s="86">
        <f>VLOOKUP(B493,'多浪一期账面房号及收款金额-分公司'!$A$2:$B$436,2,0)</f>
        <v>175844.55</v>
      </c>
      <c r="K493" s="87">
        <f t="shared" si="62"/>
        <v>-0.549999999988358</v>
      </c>
      <c r="L493" s="127"/>
      <c r="M493" s="127"/>
      <c r="P493" s="50">
        <v>167471</v>
      </c>
      <c r="R493" s="50">
        <f t="shared" si="64"/>
        <v>8373.55</v>
      </c>
      <c r="S493" s="101">
        <f t="shared" si="61"/>
        <v>0</v>
      </c>
      <c r="T493" s="101">
        <f t="shared" si="63"/>
        <v>0</v>
      </c>
      <c r="U493" t="s">
        <v>42</v>
      </c>
    </row>
    <row r="494" hidden="1" spans="1:21">
      <c r="A494" s="103">
        <v>490</v>
      </c>
      <c r="B494" s="111" t="s">
        <v>1886</v>
      </c>
      <c r="C494" s="72">
        <v>68.12</v>
      </c>
      <c r="D494" s="73">
        <v>2460</v>
      </c>
      <c r="E494" s="73">
        <f t="shared" si="59"/>
        <v>167575</v>
      </c>
      <c r="F494" s="74" t="s">
        <v>1887</v>
      </c>
      <c r="G494" s="87">
        <v>167575</v>
      </c>
      <c r="H494" s="87">
        <f t="shared" si="60"/>
        <v>0</v>
      </c>
      <c r="I494" s="86"/>
      <c r="J494" s="86">
        <f>VLOOKUP(B494,'多浪一期账面房号及收款金额-分公司'!$A$2:$B$436,2,0)</f>
        <v>167575.8</v>
      </c>
      <c r="K494" s="87">
        <f t="shared" si="62"/>
        <v>-0.799999999988358</v>
      </c>
      <c r="L494" s="127"/>
      <c r="M494" s="127"/>
      <c r="P494" s="50">
        <v>159596</v>
      </c>
      <c r="R494" s="50">
        <f t="shared" si="64"/>
        <v>7979.8</v>
      </c>
      <c r="S494" s="101">
        <f t="shared" si="61"/>
        <v>0</v>
      </c>
      <c r="T494" s="101">
        <f t="shared" si="63"/>
        <v>0</v>
      </c>
      <c r="U494" t="s">
        <v>42</v>
      </c>
    </row>
    <row r="495" hidden="1" spans="1:21">
      <c r="A495" s="103">
        <v>491</v>
      </c>
      <c r="B495" s="111" t="s">
        <v>1888</v>
      </c>
      <c r="C495" s="72">
        <v>68.46</v>
      </c>
      <c r="D495" s="73">
        <v>2510</v>
      </c>
      <c r="E495" s="73">
        <f t="shared" si="59"/>
        <v>171835</v>
      </c>
      <c r="F495" s="74" t="s">
        <v>1889</v>
      </c>
      <c r="G495" s="87">
        <v>171835</v>
      </c>
      <c r="H495" s="87">
        <f t="shared" si="60"/>
        <v>0</v>
      </c>
      <c r="I495" s="86"/>
      <c r="J495" s="86">
        <f>VLOOKUP(B495,'多浪一期账面房号及收款金额-分公司'!$A$2:$B$436,2,0)</f>
        <v>171835.65</v>
      </c>
      <c r="K495" s="87">
        <f t="shared" si="62"/>
        <v>-0.649999999994179</v>
      </c>
      <c r="L495" s="127"/>
      <c r="M495" s="127"/>
      <c r="P495" s="50">
        <v>163653</v>
      </c>
      <c r="R495" s="50">
        <f t="shared" si="64"/>
        <v>8182.65</v>
      </c>
      <c r="S495" s="101">
        <f t="shared" si="61"/>
        <v>0</v>
      </c>
      <c r="T495" s="101">
        <f t="shared" si="63"/>
        <v>0</v>
      </c>
      <c r="U495" t="s">
        <v>42</v>
      </c>
    </row>
    <row r="496" hidden="1" spans="1:21">
      <c r="A496" s="103">
        <v>492</v>
      </c>
      <c r="B496" s="111" t="s">
        <v>1890</v>
      </c>
      <c r="C496" s="72">
        <v>69.23</v>
      </c>
      <c r="D496" s="73">
        <v>2540</v>
      </c>
      <c r="E496" s="73">
        <f t="shared" si="59"/>
        <v>175844</v>
      </c>
      <c r="F496" s="74" t="s">
        <v>1891</v>
      </c>
      <c r="G496" s="87">
        <v>175844</v>
      </c>
      <c r="H496" s="87">
        <f t="shared" si="60"/>
        <v>0</v>
      </c>
      <c r="I496" s="86"/>
      <c r="J496" s="86">
        <f>VLOOKUP(B496,'多浪一期账面房号及收款金额-分公司'!$A$2:$B$436,2,0)</f>
        <v>175844.55</v>
      </c>
      <c r="K496" s="87">
        <f t="shared" si="62"/>
        <v>-0.549999999988358</v>
      </c>
      <c r="L496" s="127"/>
      <c r="M496" s="127"/>
      <c r="P496" s="50">
        <v>167471</v>
      </c>
      <c r="R496" s="50">
        <f t="shared" si="64"/>
        <v>8373.55</v>
      </c>
      <c r="S496" s="101">
        <f t="shared" si="61"/>
        <v>0</v>
      </c>
      <c r="T496" s="101">
        <f t="shared" si="63"/>
        <v>0</v>
      </c>
      <c r="U496" t="s">
        <v>42</v>
      </c>
    </row>
    <row r="497" hidden="1" spans="1:21">
      <c r="A497" s="103">
        <v>493</v>
      </c>
      <c r="B497" s="111" t="s">
        <v>1892</v>
      </c>
      <c r="C497" s="72">
        <v>68.12</v>
      </c>
      <c r="D497" s="73">
        <v>2460</v>
      </c>
      <c r="E497" s="73">
        <f t="shared" si="59"/>
        <v>167575</v>
      </c>
      <c r="F497" s="74" t="s">
        <v>1893</v>
      </c>
      <c r="G497" s="87">
        <v>167575</v>
      </c>
      <c r="H497" s="87">
        <f t="shared" si="60"/>
        <v>0</v>
      </c>
      <c r="I497" s="86"/>
      <c r="J497" s="86">
        <f>VLOOKUP(B497,'多浪一期账面房号及收款金额-分公司'!$A$2:$B$436,2,0)</f>
        <v>167574.75</v>
      </c>
      <c r="K497" s="87">
        <f t="shared" si="62"/>
        <v>0.25</v>
      </c>
      <c r="L497" s="127"/>
      <c r="M497" s="127"/>
      <c r="P497" s="50">
        <v>159595</v>
      </c>
      <c r="R497" s="50">
        <f t="shared" si="64"/>
        <v>7979.75</v>
      </c>
      <c r="S497" s="101">
        <f t="shared" si="61"/>
        <v>0</v>
      </c>
      <c r="T497" s="101">
        <f t="shared" si="63"/>
        <v>0</v>
      </c>
      <c r="U497" t="s">
        <v>42</v>
      </c>
    </row>
    <row r="498" hidden="1" spans="1:21">
      <c r="A498" s="103">
        <v>494</v>
      </c>
      <c r="B498" s="111" t="s">
        <v>1894</v>
      </c>
      <c r="C498" s="72">
        <v>68.46</v>
      </c>
      <c r="D498" s="73">
        <v>2250</v>
      </c>
      <c r="E498" s="73">
        <f t="shared" si="59"/>
        <v>154035</v>
      </c>
      <c r="F498" s="74" t="s">
        <v>1895</v>
      </c>
      <c r="G498" s="87">
        <v>154035</v>
      </c>
      <c r="H498" s="87">
        <f t="shared" si="60"/>
        <v>0</v>
      </c>
      <c r="I498" s="86"/>
      <c r="J498" s="86">
        <f>VLOOKUP(B498,'多浪一期账面房号及收款金额-分公司'!$A$2:$B$436,2,0)</f>
        <v>154036.05</v>
      </c>
      <c r="K498" s="87">
        <f t="shared" si="62"/>
        <v>-1.04999999998836</v>
      </c>
      <c r="L498" s="127"/>
      <c r="M498" s="127"/>
      <c r="P498" s="50">
        <v>146701</v>
      </c>
      <c r="R498" s="50">
        <f t="shared" si="64"/>
        <v>7335.05</v>
      </c>
      <c r="S498" s="101">
        <f t="shared" si="61"/>
        <v>0</v>
      </c>
      <c r="T498" s="101">
        <f t="shared" si="63"/>
        <v>0</v>
      </c>
      <c r="U498" t="s">
        <v>42</v>
      </c>
    </row>
    <row r="499" hidden="1" spans="1:21">
      <c r="A499" s="103">
        <v>495</v>
      </c>
      <c r="B499" s="111" t="s">
        <v>1896</v>
      </c>
      <c r="C499" s="72">
        <v>69.23</v>
      </c>
      <c r="D499" s="73">
        <v>2186</v>
      </c>
      <c r="E499" s="73">
        <f t="shared" si="59"/>
        <v>151337</v>
      </c>
      <c r="F499" s="74" t="s">
        <v>1897</v>
      </c>
      <c r="G499" s="87">
        <v>151337</v>
      </c>
      <c r="H499" s="87">
        <f t="shared" si="60"/>
        <v>0</v>
      </c>
      <c r="I499" s="86"/>
      <c r="J499" s="86">
        <f>VLOOKUP(B499,'多浪一期账面房号及收款金额-分公司'!$A$2:$B$436,2,0)</f>
        <v>151337.55</v>
      </c>
      <c r="K499" s="87">
        <f t="shared" si="62"/>
        <v>-0.549999999988358</v>
      </c>
      <c r="L499" s="127"/>
      <c r="M499" s="127"/>
      <c r="P499" s="50">
        <v>144131</v>
      </c>
      <c r="R499" s="50">
        <f t="shared" si="64"/>
        <v>7206.55</v>
      </c>
      <c r="S499" s="101">
        <f t="shared" si="61"/>
        <v>0</v>
      </c>
      <c r="T499" s="101">
        <f t="shared" si="63"/>
        <v>0</v>
      </c>
      <c r="U499" t="s">
        <v>42</v>
      </c>
    </row>
    <row r="500" hidden="1" spans="1:21">
      <c r="A500" s="103">
        <v>496</v>
      </c>
      <c r="B500" s="111" t="s">
        <v>1898</v>
      </c>
      <c r="C500" s="72">
        <v>68.12</v>
      </c>
      <c r="D500" s="73">
        <v>2200</v>
      </c>
      <c r="E500" s="73">
        <f t="shared" si="59"/>
        <v>149864</v>
      </c>
      <c r="F500" s="74" t="s">
        <v>1899</v>
      </c>
      <c r="G500" s="87">
        <v>149864</v>
      </c>
      <c r="H500" s="87">
        <f t="shared" si="60"/>
        <v>0</v>
      </c>
      <c r="I500" s="86"/>
      <c r="J500" s="86">
        <f>VLOOKUP(B500,'多浪一期账面房号及收款金额-分公司'!$A$2:$B$436,2,0)</f>
        <v>90727.35</v>
      </c>
      <c r="K500" s="87">
        <f t="shared" si="62"/>
        <v>59136.65</v>
      </c>
      <c r="L500" s="127"/>
      <c r="M500" s="127"/>
      <c r="N500" s="100">
        <f>VLOOKUP(B500,[4]Sheet1!$D$5:$N$69,11,0)</f>
        <v>-56320.62</v>
      </c>
      <c r="O500" s="100">
        <v>56320.62</v>
      </c>
      <c r="P500" s="50">
        <v>86407</v>
      </c>
      <c r="Q500" s="50">
        <v>56320.62</v>
      </c>
      <c r="R500" s="50">
        <v>4321</v>
      </c>
      <c r="S500" s="101">
        <f t="shared" si="61"/>
        <v>-56320.62</v>
      </c>
      <c r="T500" s="101">
        <f t="shared" si="63"/>
        <v>-0.649999999999636</v>
      </c>
      <c r="U500" t="s">
        <v>1098</v>
      </c>
    </row>
    <row r="501" hidden="1" spans="1:20">
      <c r="A501" s="103">
        <v>497</v>
      </c>
      <c r="B501" s="111" t="s">
        <v>1900</v>
      </c>
      <c r="C501" s="72">
        <v>68.46</v>
      </c>
      <c r="D501" s="73"/>
      <c r="E501" s="73">
        <f t="shared" si="59"/>
        <v>0</v>
      </c>
      <c r="F501" s="74" t="s">
        <v>1845</v>
      </c>
      <c r="G501" s="87">
        <v>0</v>
      </c>
      <c r="H501" s="87">
        <f t="shared" si="60"/>
        <v>0</v>
      </c>
      <c r="I501" s="86"/>
      <c r="J501" s="86"/>
      <c r="K501" s="87">
        <f t="shared" si="62"/>
        <v>0</v>
      </c>
      <c r="L501" s="127"/>
      <c r="M501" s="132" t="s">
        <v>1846</v>
      </c>
      <c r="S501" s="101">
        <f t="shared" si="61"/>
        <v>0</v>
      </c>
      <c r="T501" s="101">
        <f t="shared" si="63"/>
        <v>0</v>
      </c>
    </row>
    <row r="502" hidden="1" spans="1:20">
      <c r="A502" s="103">
        <v>498</v>
      </c>
      <c r="B502" s="111" t="s">
        <v>1901</v>
      </c>
      <c r="C502" s="72">
        <v>69.23</v>
      </c>
      <c r="D502" s="73"/>
      <c r="E502" s="73">
        <f t="shared" si="59"/>
        <v>0</v>
      </c>
      <c r="F502" s="74" t="s">
        <v>1845</v>
      </c>
      <c r="G502" s="87">
        <v>0</v>
      </c>
      <c r="H502" s="87">
        <f t="shared" si="60"/>
        <v>0</v>
      </c>
      <c r="I502" s="86"/>
      <c r="J502" s="86"/>
      <c r="K502" s="87">
        <f t="shared" si="62"/>
        <v>0</v>
      </c>
      <c r="L502" s="127"/>
      <c r="M502" s="132" t="s">
        <v>1846</v>
      </c>
      <c r="S502" s="101">
        <f t="shared" si="61"/>
        <v>0</v>
      </c>
      <c r="T502" s="101">
        <f t="shared" si="63"/>
        <v>0</v>
      </c>
    </row>
    <row r="503" hidden="1" spans="1:21">
      <c r="A503" s="103">
        <v>499</v>
      </c>
      <c r="B503" s="111" t="s">
        <v>1902</v>
      </c>
      <c r="C503" s="72">
        <v>68.12</v>
      </c>
      <c r="D503" s="73">
        <v>1880</v>
      </c>
      <c r="E503" s="73">
        <f t="shared" si="59"/>
        <v>128066</v>
      </c>
      <c r="F503" s="74" t="s">
        <v>1903</v>
      </c>
      <c r="G503" s="87">
        <v>128066</v>
      </c>
      <c r="H503" s="87">
        <f t="shared" si="60"/>
        <v>0</v>
      </c>
      <c r="I503" s="86"/>
      <c r="J503" s="86">
        <f>VLOOKUP(B503,'多浪一期账面房号及收款金额-分公司'!$A$2:$B$436,2,0)</f>
        <v>128066.4</v>
      </c>
      <c r="K503" s="87">
        <f t="shared" si="62"/>
        <v>-0.399999999994179</v>
      </c>
      <c r="L503" s="127"/>
      <c r="M503" s="127"/>
      <c r="P503" s="50">
        <v>121968</v>
      </c>
      <c r="R503" s="50">
        <f t="shared" ref="R503:R506" si="65">P503*0.05</f>
        <v>6098.4</v>
      </c>
      <c r="S503" s="101">
        <f t="shared" si="61"/>
        <v>0</v>
      </c>
      <c r="T503" s="101">
        <f t="shared" si="63"/>
        <v>0</v>
      </c>
      <c r="U503" t="s">
        <v>42</v>
      </c>
    </row>
    <row r="504" hidden="1" spans="1:21">
      <c r="A504" s="103">
        <v>500</v>
      </c>
      <c r="B504" s="110" t="s">
        <v>1904</v>
      </c>
      <c r="C504" s="72">
        <v>241.77</v>
      </c>
      <c r="D504" s="73"/>
      <c r="E504" s="73">
        <f t="shared" si="59"/>
        <v>0</v>
      </c>
      <c r="F504" s="138"/>
      <c r="G504" s="87">
        <v>0</v>
      </c>
      <c r="H504" s="87">
        <f t="shared" si="60"/>
        <v>0</v>
      </c>
      <c r="I504" s="86"/>
      <c r="J504" s="86"/>
      <c r="K504" s="87">
        <f t="shared" si="62"/>
        <v>0</v>
      </c>
      <c r="L504" s="132" t="s">
        <v>35</v>
      </c>
      <c r="M504" s="127"/>
      <c r="R504" s="50">
        <f t="shared" si="65"/>
        <v>0</v>
      </c>
      <c r="S504" s="101">
        <f t="shared" si="61"/>
        <v>0</v>
      </c>
      <c r="T504" s="101">
        <f t="shared" si="63"/>
        <v>0</v>
      </c>
      <c r="U504" t="s">
        <v>42</v>
      </c>
    </row>
    <row r="505" hidden="1" spans="1:21">
      <c r="A505" s="103">
        <v>501</v>
      </c>
      <c r="B505" s="110" t="s">
        <v>1905</v>
      </c>
      <c r="C505" s="72">
        <v>79.75</v>
      </c>
      <c r="D505" s="73"/>
      <c r="E505" s="73">
        <f t="shared" si="59"/>
        <v>0</v>
      </c>
      <c r="F505" s="138"/>
      <c r="G505" s="87">
        <v>0</v>
      </c>
      <c r="H505" s="87">
        <f t="shared" si="60"/>
        <v>0</v>
      </c>
      <c r="I505" s="86"/>
      <c r="J505" s="86"/>
      <c r="K505" s="87">
        <f t="shared" si="62"/>
        <v>0</v>
      </c>
      <c r="L505" s="132" t="s">
        <v>35</v>
      </c>
      <c r="M505" s="127"/>
      <c r="R505" s="50">
        <f t="shared" si="65"/>
        <v>0</v>
      </c>
      <c r="S505" s="101">
        <f t="shared" si="61"/>
        <v>0</v>
      </c>
      <c r="T505" s="101">
        <f t="shared" si="63"/>
        <v>0</v>
      </c>
      <c r="U505" t="s">
        <v>42</v>
      </c>
    </row>
    <row r="506" hidden="1" spans="1:21">
      <c r="A506" s="103">
        <v>502</v>
      </c>
      <c r="B506" s="110" t="s">
        <v>1906</v>
      </c>
      <c r="C506" s="72">
        <v>79.75</v>
      </c>
      <c r="D506" s="73"/>
      <c r="E506" s="73">
        <f t="shared" si="59"/>
        <v>0</v>
      </c>
      <c r="F506" s="138"/>
      <c r="G506" s="87">
        <v>0</v>
      </c>
      <c r="H506" s="87">
        <f t="shared" si="60"/>
        <v>0</v>
      </c>
      <c r="I506" s="86"/>
      <c r="J506" s="86"/>
      <c r="K506" s="87">
        <f t="shared" si="62"/>
        <v>0</v>
      </c>
      <c r="L506" s="132" t="s">
        <v>35</v>
      </c>
      <c r="M506" s="127"/>
      <c r="R506" s="50">
        <f t="shared" si="65"/>
        <v>0</v>
      </c>
      <c r="S506" s="101">
        <f t="shared" si="61"/>
        <v>0</v>
      </c>
      <c r="T506" s="101">
        <f t="shared" si="63"/>
        <v>0</v>
      </c>
      <c r="U506" t="s">
        <v>42</v>
      </c>
    </row>
    <row r="507" s="99" customFormat="1" spans="1:21">
      <c r="A507" s="112">
        <v>503</v>
      </c>
      <c r="B507" s="113" t="s">
        <v>1907</v>
      </c>
      <c r="C507" s="114">
        <v>188.94</v>
      </c>
      <c r="D507" s="115">
        <v>4326</v>
      </c>
      <c r="E507" s="115">
        <f t="shared" ref="E507:E514" si="66">ROUND(IF(F507&lt;&gt;0,C507*D507,0),0)</f>
        <v>817354</v>
      </c>
      <c r="F507" s="137" t="s">
        <v>1908</v>
      </c>
      <c r="G507" s="95">
        <v>817354</v>
      </c>
      <c r="H507" s="95">
        <f t="shared" si="60"/>
        <v>0</v>
      </c>
      <c r="I507" s="129"/>
      <c r="J507" s="129">
        <f>VLOOKUP(B507,'多浪一期账面房号及收款金额-分公司'!$A$2:$B$436,2,0)</f>
        <v>807355.5</v>
      </c>
      <c r="K507" s="95">
        <f t="shared" si="62"/>
        <v>9998.5</v>
      </c>
      <c r="L507" s="130"/>
      <c r="M507" s="130"/>
      <c r="N507" s="99">
        <f>VLOOKUP(B507,[4]Sheet1!$D$5:$N$69,11,0)</f>
        <v>371429</v>
      </c>
      <c r="P507" s="131">
        <v>397481</v>
      </c>
      <c r="Q507" s="131"/>
      <c r="R507" s="131">
        <v>38445.5</v>
      </c>
      <c r="S507" s="131">
        <f>E507/1.05-P507-Q507</f>
        <v>380951.380952381</v>
      </c>
      <c r="T507" s="131">
        <f>E507*0.05-R507</f>
        <v>2422.2</v>
      </c>
      <c r="U507" s="21" t="s">
        <v>564</v>
      </c>
    </row>
    <row r="508" s="99" customFormat="1" spans="1:21">
      <c r="A508" s="112">
        <v>504</v>
      </c>
      <c r="B508" s="113" t="s">
        <v>1909</v>
      </c>
      <c r="C508" s="114">
        <v>76.55</v>
      </c>
      <c r="D508" s="115">
        <v>5000</v>
      </c>
      <c r="E508" s="115">
        <f t="shared" si="66"/>
        <v>382750</v>
      </c>
      <c r="F508" s="137" t="s">
        <v>1908</v>
      </c>
      <c r="G508" s="95">
        <v>382750</v>
      </c>
      <c r="H508" s="95">
        <f t="shared" si="60"/>
        <v>0</v>
      </c>
      <c r="I508" s="129"/>
      <c r="J508" s="129">
        <v>860600</v>
      </c>
      <c r="K508" s="95">
        <f t="shared" si="62"/>
        <v>-477850</v>
      </c>
      <c r="L508" s="148" t="s">
        <v>1910</v>
      </c>
      <c r="M508" s="130"/>
      <c r="N508" s="99">
        <f>VLOOKUP(B508,[4]Sheet1!$D$5:$N$69,11,0)</f>
        <v>180952</v>
      </c>
      <c r="P508" s="131">
        <v>183571</v>
      </c>
      <c r="Q508" s="131"/>
      <c r="R508" s="131">
        <v>18227</v>
      </c>
      <c r="S508" s="131">
        <f>E508/1.05-P508</f>
        <v>180952.80952381</v>
      </c>
      <c r="T508" s="131">
        <f>E508/1.05*0.05-R508</f>
        <v>-0.809523809522943</v>
      </c>
      <c r="U508" s="21" t="s">
        <v>1911</v>
      </c>
    </row>
    <row r="509" hidden="1" spans="1:21">
      <c r="A509" s="103">
        <v>505</v>
      </c>
      <c r="B509" s="110" t="s">
        <v>1912</v>
      </c>
      <c r="C509" s="72">
        <v>267.6</v>
      </c>
      <c r="D509" s="73">
        <v>3980</v>
      </c>
      <c r="E509" s="73">
        <f t="shared" si="66"/>
        <v>1065048</v>
      </c>
      <c r="F509" s="135" t="s">
        <v>1913</v>
      </c>
      <c r="G509" s="87">
        <v>1065048</v>
      </c>
      <c r="H509" s="87">
        <f t="shared" si="60"/>
        <v>0</v>
      </c>
      <c r="I509" s="86"/>
      <c r="J509" s="86">
        <f>VLOOKUP(B509,'多浪一期账面房号及收款金额-分公司'!$A$2:$B$436,2,0)</f>
        <v>993048</v>
      </c>
      <c r="K509" s="87">
        <f t="shared" si="62"/>
        <v>72000</v>
      </c>
      <c r="L509" s="132" t="s">
        <v>1910</v>
      </c>
      <c r="M509" s="127"/>
      <c r="P509" s="50">
        <v>945760</v>
      </c>
      <c r="R509" s="50">
        <v>47288</v>
      </c>
      <c r="S509" s="101">
        <f>E509/1.05-P509-Q509</f>
        <v>68571.4285714285</v>
      </c>
      <c r="T509" s="101">
        <f>S509*0.05</f>
        <v>3428.57142857143</v>
      </c>
      <c r="U509" t="s">
        <v>1914</v>
      </c>
    </row>
    <row r="510" hidden="1" spans="1:21">
      <c r="A510" s="103">
        <v>506</v>
      </c>
      <c r="B510" s="110" t="s">
        <v>1915</v>
      </c>
      <c r="C510" s="72">
        <v>95.96</v>
      </c>
      <c r="D510" s="73">
        <v>5000</v>
      </c>
      <c r="E510" s="73">
        <f t="shared" si="66"/>
        <v>479800</v>
      </c>
      <c r="F510" s="135" t="s">
        <v>1916</v>
      </c>
      <c r="G510" s="87">
        <v>479800</v>
      </c>
      <c r="H510" s="87">
        <f t="shared" si="60"/>
        <v>0</v>
      </c>
      <c r="I510" s="86"/>
      <c r="J510" s="86">
        <f>VLOOKUP(B510,'多浪一期账面房号及收款金额-分公司'!$A$2:$B$436,2,0)</f>
        <v>1949.997</v>
      </c>
      <c r="K510" s="87">
        <f t="shared" si="62"/>
        <v>477850.003</v>
      </c>
      <c r="L510" s="132" t="s">
        <v>1910</v>
      </c>
      <c r="M510" s="127"/>
      <c r="O510" s="100">
        <v>1857.14</v>
      </c>
      <c r="Q510" s="50">
        <v>1857.14</v>
      </c>
      <c r="R510" s="50">
        <f>Q510*0.05</f>
        <v>92.857</v>
      </c>
      <c r="S510" s="101">
        <f>E510/1.05-P510-Q510</f>
        <v>455095.240952381</v>
      </c>
      <c r="T510" s="101">
        <f>S510*0.05</f>
        <v>22754.762047619</v>
      </c>
      <c r="U510" t="s">
        <v>1911</v>
      </c>
    </row>
    <row r="511" hidden="1" spans="1:21">
      <c r="A511" s="103">
        <v>507</v>
      </c>
      <c r="B511" s="110" t="s">
        <v>1917</v>
      </c>
      <c r="C511" s="72">
        <v>97.86</v>
      </c>
      <c r="D511" s="73">
        <v>5000</v>
      </c>
      <c r="E511" s="73">
        <f t="shared" si="66"/>
        <v>489300</v>
      </c>
      <c r="F511" s="135" t="s">
        <v>1918</v>
      </c>
      <c r="G511" s="87">
        <v>489300</v>
      </c>
      <c r="H511" s="87">
        <f t="shared" si="60"/>
        <v>0</v>
      </c>
      <c r="I511" s="86"/>
      <c r="J511" s="86">
        <f>VLOOKUP(B511,'多浪一期账面房号及收款金额-分公司'!$A$2:$B$436,2,0)</f>
        <v>489299.496</v>
      </c>
      <c r="K511" s="87">
        <f t="shared" si="62"/>
        <v>0.504000000015367</v>
      </c>
      <c r="L511" s="127"/>
      <c r="M511" s="127"/>
      <c r="O511" s="100">
        <f>1809.52+466000-466000</f>
        <v>1809.52000000002</v>
      </c>
      <c r="P511" s="50">
        <v>464190</v>
      </c>
      <c r="Q511" s="50">
        <f>1809.52+466000-466000</f>
        <v>1809.52000000002</v>
      </c>
      <c r="R511" s="50">
        <f>Q511*0.05+23210</f>
        <v>23300.476</v>
      </c>
      <c r="S511" s="101">
        <f t="shared" si="61"/>
        <v>-5.95719029661268e-11</v>
      </c>
      <c r="T511" s="101">
        <f t="shared" si="63"/>
        <v>-0.5</v>
      </c>
      <c r="U511" t="s">
        <v>42</v>
      </c>
    </row>
    <row r="512" hidden="1" spans="1:21">
      <c r="A512" s="103">
        <v>508</v>
      </c>
      <c r="B512" s="110" t="s">
        <v>1919</v>
      </c>
      <c r="C512" s="72">
        <v>95.96</v>
      </c>
      <c r="D512" s="73">
        <v>3500</v>
      </c>
      <c r="E512" s="73">
        <f t="shared" si="66"/>
        <v>0</v>
      </c>
      <c r="F512" s="138"/>
      <c r="G512" s="87">
        <v>0</v>
      </c>
      <c r="H512" s="87">
        <f t="shared" si="60"/>
        <v>0</v>
      </c>
      <c r="I512" s="86"/>
      <c r="J512" s="86"/>
      <c r="K512" s="87">
        <f t="shared" si="62"/>
        <v>0</v>
      </c>
      <c r="L512" s="127"/>
      <c r="M512" s="127"/>
      <c r="S512" s="101">
        <f t="shared" si="61"/>
        <v>0</v>
      </c>
      <c r="T512" s="101">
        <f t="shared" si="63"/>
        <v>0</v>
      </c>
      <c r="U512" t="s">
        <v>42</v>
      </c>
    </row>
    <row r="513" hidden="1" spans="1:21">
      <c r="A513" s="103">
        <v>509</v>
      </c>
      <c r="B513" s="110" t="s">
        <v>1920</v>
      </c>
      <c r="C513" s="72">
        <v>182</v>
      </c>
      <c r="D513" s="73">
        <v>3500</v>
      </c>
      <c r="E513" s="73">
        <f t="shared" si="66"/>
        <v>637000</v>
      </c>
      <c r="F513" s="135" t="s">
        <v>1913</v>
      </c>
      <c r="G513" s="87">
        <v>0</v>
      </c>
      <c r="H513" s="87">
        <f>E513-G513</f>
        <v>637000</v>
      </c>
      <c r="I513" s="86"/>
      <c r="J513" s="86">
        <v>72000</v>
      </c>
      <c r="K513" s="87">
        <f t="shared" si="62"/>
        <v>-72000</v>
      </c>
      <c r="L513" s="132" t="s">
        <v>1910</v>
      </c>
      <c r="M513" s="127"/>
      <c r="P513" s="50">
        <v>68571</v>
      </c>
      <c r="R513" s="50">
        <v>3429</v>
      </c>
      <c r="S513" s="101">
        <f>-P513</f>
        <v>-68571</v>
      </c>
      <c r="T513" s="101">
        <f>-R513</f>
        <v>-3429</v>
      </c>
      <c r="U513" t="s">
        <v>1914</v>
      </c>
    </row>
    <row r="514" hidden="1" spans="1:21">
      <c r="A514" s="103">
        <v>510</v>
      </c>
      <c r="B514" s="110" t="s">
        <v>1921</v>
      </c>
      <c r="C514" s="72">
        <v>239.21</v>
      </c>
      <c r="D514" s="73"/>
      <c r="E514" s="73">
        <f t="shared" si="66"/>
        <v>0</v>
      </c>
      <c r="F514" s="138"/>
      <c r="G514" s="87">
        <v>0</v>
      </c>
      <c r="H514" s="87">
        <f>E514-G514</f>
        <v>0</v>
      </c>
      <c r="I514" s="86"/>
      <c r="J514" s="86"/>
      <c r="K514" s="87">
        <f t="shared" si="62"/>
        <v>0</v>
      </c>
      <c r="L514" s="132" t="s">
        <v>35</v>
      </c>
      <c r="M514" s="127"/>
      <c r="S514" s="101">
        <f t="shared" si="61"/>
        <v>0</v>
      </c>
      <c r="T514" s="101">
        <f t="shared" si="63"/>
        <v>0</v>
      </c>
      <c r="U514" t="s">
        <v>42</v>
      </c>
    </row>
    <row r="515" s="99" customFormat="1" ht="14" customHeight="1" spans="1:21">
      <c r="A515" s="112">
        <v>511</v>
      </c>
      <c r="B515" s="113" t="s">
        <v>1922</v>
      </c>
      <c r="C515" s="114">
        <v>267.6</v>
      </c>
      <c r="D515" s="155">
        <v>5292</v>
      </c>
      <c r="E515" s="155">
        <v>2600054</v>
      </c>
      <c r="F515" s="156" t="s">
        <v>1923</v>
      </c>
      <c r="G515" s="95">
        <v>1260054</v>
      </c>
      <c r="H515" s="95">
        <f>E515-G515</f>
        <v>1340000</v>
      </c>
      <c r="I515" s="129"/>
      <c r="J515" s="129">
        <f>'多浪一期账面房号及收款金额-分公司'!B184</f>
        <v>1260054</v>
      </c>
      <c r="K515" s="95">
        <f t="shared" si="62"/>
        <v>0</v>
      </c>
      <c r="L515" s="130"/>
      <c r="M515" s="130"/>
      <c r="N515" s="99">
        <f>[4]Sheet1!$N$59</f>
        <v>1260054</v>
      </c>
      <c r="P515" s="131"/>
      <c r="Q515" s="131"/>
      <c r="R515" s="131"/>
      <c r="S515" s="131">
        <f>E515/1.05-P515-Q515</f>
        <v>2476241.9047619</v>
      </c>
      <c r="T515" s="131">
        <f>S515*0.05</f>
        <v>123812.095238095</v>
      </c>
      <c r="U515" s="21" t="s">
        <v>564</v>
      </c>
    </row>
    <row r="516" s="99" customFormat="1" spans="1:21">
      <c r="A516" s="112">
        <v>512</v>
      </c>
      <c r="B516" s="113" t="s">
        <v>1924</v>
      </c>
      <c r="C516" s="114">
        <v>180</v>
      </c>
      <c r="D516" s="157"/>
      <c r="E516" s="157"/>
      <c r="F516" s="158"/>
      <c r="G516" s="95"/>
      <c r="H516" s="95"/>
      <c r="I516" s="129"/>
      <c r="J516" s="129"/>
      <c r="K516" s="95">
        <f t="shared" si="62"/>
        <v>0</v>
      </c>
      <c r="L516" s="130"/>
      <c r="M516" s="130"/>
      <c r="P516" s="131"/>
      <c r="Q516" s="131"/>
      <c r="R516" s="131"/>
      <c r="S516" s="131">
        <f t="shared" si="61"/>
        <v>0</v>
      </c>
      <c r="T516" s="131">
        <f t="shared" si="63"/>
        <v>0</v>
      </c>
      <c r="U516" s="21" t="s">
        <v>42</v>
      </c>
    </row>
    <row r="517" s="99" customFormat="1" spans="1:21">
      <c r="A517" s="112">
        <v>513</v>
      </c>
      <c r="B517" s="159" t="s">
        <v>1925</v>
      </c>
      <c r="C517" s="160">
        <v>43.75</v>
      </c>
      <c r="D517" s="157"/>
      <c r="E517" s="157"/>
      <c r="F517" s="158"/>
      <c r="G517" s="161"/>
      <c r="H517" s="161"/>
      <c r="I517" s="129"/>
      <c r="J517" s="129"/>
      <c r="K517" s="95">
        <f t="shared" si="62"/>
        <v>0</v>
      </c>
      <c r="L517" s="130"/>
      <c r="M517" s="130"/>
      <c r="P517" s="131"/>
      <c r="Q517" s="131"/>
      <c r="R517" s="131"/>
      <c r="S517" s="131">
        <f t="shared" si="61"/>
        <v>0</v>
      </c>
      <c r="T517" s="131">
        <f t="shared" si="63"/>
        <v>0</v>
      </c>
      <c r="U517" s="21" t="s">
        <v>42</v>
      </c>
    </row>
    <row r="518" hidden="1" spans="1:17">
      <c r="A518" s="162"/>
      <c r="B518" s="162"/>
      <c r="C518" s="162"/>
      <c r="D518" s="162"/>
      <c r="E518" s="87">
        <f>SUM(E4:E517)</f>
        <v>95742934.2</v>
      </c>
      <c r="F518" s="163" t="s">
        <v>964</v>
      </c>
      <c r="G518" s="87">
        <f>SUM(G4:G517)</f>
        <v>90275949</v>
      </c>
      <c r="H518" s="87">
        <f>SUM(H4:H517)</f>
        <v>5466985.2</v>
      </c>
      <c r="I518" s="87">
        <f t="shared" ref="I518:Q518" si="67">SUM(I4:I517)</f>
        <v>251819</v>
      </c>
      <c r="J518" s="87">
        <f t="shared" si="67"/>
        <v>89444130.5904999</v>
      </c>
      <c r="K518" s="87">
        <f t="shared" si="67"/>
        <v>579999.4095</v>
      </c>
      <c r="L518" s="127"/>
      <c r="M518" s="127"/>
      <c r="N518" s="87">
        <f t="shared" si="67"/>
        <v>858885.48</v>
      </c>
      <c r="O518" s="87">
        <f t="shared" si="67"/>
        <v>14679149.77</v>
      </c>
      <c r="P518" s="87">
        <f t="shared" si="67"/>
        <v>70823416.59</v>
      </c>
      <c r="Q518" s="87">
        <f t="shared" si="67"/>
        <v>13625286.3352381</v>
      </c>
    </row>
    <row r="519" hidden="1" spans="9:16">
      <c r="I519" s="18"/>
      <c r="J519" s="18"/>
      <c r="P519" s="50">
        <f>P518/1.05*0.05</f>
        <v>3372543.64714286</v>
      </c>
    </row>
    <row r="520" hidden="1" spans="7:10">
      <c r="G520" s="50">
        <f>G518+多浪小镇二期!G491</f>
        <v>195812961.67</v>
      </c>
      <c r="H520" s="50">
        <f>H518+多浪小镇二期!H491</f>
        <v>8680829.53</v>
      </c>
      <c r="I520" s="18"/>
      <c r="J520" s="18"/>
    </row>
    <row r="521" spans="19:20">
      <c r="S521" s="101">
        <f>SUBTOTAL(9,S4:S520)</f>
        <v>6752461.19333333</v>
      </c>
      <c r="T521" s="101">
        <f>SUBTOTAL(9,T4:T520)</f>
        <v>247364.103619047</v>
      </c>
    </row>
    <row r="525" spans="15:15">
      <c r="O525" s="128"/>
    </row>
    <row r="526" spans="15:15">
      <c r="O526" s="128"/>
    </row>
    <row r="527" spans="15:15">
      <c r="O527" s="128"/>
    </row>
    <row r="528" spans="15:15">
      <c r="O528" s="128"/>
    </row>
    <row r="529" spans="15:15">
      <c r="O529" s="128"/>
    </row>
    <row r="530" spans="15:15">
      <c r="O530" s="128"/>
    </row>
  </sheetData>
  <autoFilter ref="A3:U520">
    <filterColumn colId="12">
      <filters blank="1"/>
    </filterColumn>
    <filterColumn colId="18">
      <colorFilter dxfId="0"/>
    </filterColumn>
    <extLst/>
  </autoFilter>
  <mergeCells count="20">
    <mergeCell ref="B1:E1"/>
    <mergeCell ref="G1:H1"/>
    <mergeCell ref="D2:E2"/>
    <mergeCell ref="N2:R2"/>
    <mergeCell ref="A2:A3"/>
    <mergeCell ref="B2:B3"/>
    <mergeCell ref="C2:C3"/>
    <mergeCell ref="D515:D517"/>
    <mergeCell ref="E515:E517"/>
    <mergeCell ref="F2:F3"/>
    <mergeCell ref="F515:F517"/>
    <mergeCell ref="G2:G3"/>
    <mergeCell ref="H2:H3"/>
    <mergeCell ref="J179:J181"/>
    <mergeCell ref="K1:K3"/>
    <mergeCell ref="K179:K181"/>
    <mergeCell ref="L1:L3"/>
    <mergeCell ref="M1:M3"/>
    <mergeCell ref="N179:N181"/>
    <mergeCell ref="I1:J2"/>
  </mergeCells>
  <pageMargins left="0.75" right="0.75" top="1" bottom="1" header="0.5" footer="0.5"/>
  <pageSetup paperSize="9" orientation="portrait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tabColor rgb="FF92D050"/>
  </sheetPr>
  <dimension ref="A1:U494"/>
  <sheetViews>
    <sheetView zoomScale="115" zoomScaleNormal="115" workbookViewId="0">
      <pane ySplit="3" topLeftCell="A4" activePane="bottomLeft" state="frozen"/>
      <selection/>
      <selection pane="bottomLeft" activeCell="F494" sqref="F494"/>
    </sheetView>
  </sheetViews>
  <sheetFormatPr defaultColWidth="9" defaultRowHeight="13.5"/>
  <cols>
    <col min="1" max="1" width="3.75" style="46" customWidth="1"/>
    <col min="2" max="2" width="8.38333333333333" style="47" customWidth="1"/>
    <col min="3" max="3" width="7.38333333333333" style="46" customWidth="1"/>
    <col min="4" max="4" width="5.88333333333333" style="46" customWidth="1"/>
    <col min="5" max="5" width="11.25" style="46" customWidth="1"/>
    <col min="6" max="6" width="31.25" style="46" customWidth="1"/>
    <col min="7" max="7" width="11" style="48" customWidth="1"/>
    <col min="8" max="8" width="10.1333333333333" style="48" customWidth="1"/>
    <col min="9" max="9" width="11.25" style="49" customWidth="1"/>
    <col min="10" max="10" width="10.6666666666667" style="49" customWidth="1"/>
    <col min="11" max="11" width="13.1333333333333" style="50" customWidth="1"/>
    <col min="12" max="12" width="15.3833333333333" style="51" customWidth="1"/>
    <col min="13" max="13" width="11.1916666666667" style="52" customWidth="1"/>
    <col min="14" max="15" width="10.3833333333333" style="52" customWidth="1"/>
    <col min="16" max="16" width="12.6333333333333" style="53" customWidth="1"/>
    <col min="17" max="17" width="8.5" style="52" customWidth="1"/>
    <col min="18" max="18" width="12.775" style="48" customWidth="1"/>
    <col min="19" max="19" width="11" style="52" customWidth="1"/>
    <col min="20" max="20" width="11" style="48" customWidth="1"/>
    <col min="21" max="21" width="12.75" style="48" customWidth="1"/>
    <col min="22" max="16384" width="9" style="54"/>
  </cols>
  <sheetData>
    <row r="1" spans="1:21">
      <c r="A1" s="55"/>
      <c r="B1" s="56" t="s">
        <v>0</v>
      </c>
      <c r="C1" s="55"/>
      <c r="D1" s="55"/>
      <c r="E1" s="55"/>
      <c r="F1" s="57" t="s">
        <v>1</v>
      </c>
      <c r="G1" s="58" t="s">
        <v>966</v>
      </c>
      <c r="H1" s="59"/>
      <c r="I1" s="77" t="s">
        <v>1926</v>
      </c>
      <c r="J1" s="77"/>
      <c r="K1" s="78" t="s">
        <v>10</v>
      </c>
      <c r="L1" s="79" t="s">
        <v>1927</v>
      </c>
      <c r="M1" s="80" t="s">
        <v>1928</v>
      </c>
      <c r="N1" s="81" t="s">
        <v>1929</v>
      </c>
      <c r="O1" s="81"/>
      <c r="P1" s="82" t="s">
        <v>1930</v>
      </c>
      <c r="Q1" s="88"/>
      <c r="R1" s="75"/>
      <c r="S1" s="88"/>
      <c r="T1" s="75"/>
      <c r="U1" s="75"/>
    </row>
    <row r="2" spans="1:21">
      <c r="A2" s="60" t="s">
        <v>2</v>
      </c>
      <c r="B2" s="61" t="s">
        <v>3</v>
      </c>
      <c r="C2" s="62" t="s">
        <v>4</v>
      </c>
      <c r="D2" s="63" t="s">
        <v>1931</v>
      </c>
      <c r="E2" s="63"/>
      <c r="F2" s="64" t="s">
        <v>6</v>
      </c>
      <c r="G2" s="65" t="s">
        <v>968</v>
      </c>
      <c r="H2" s="65" t="s">
        <v>969</v>
      </c>
      <c r="I2" s="77"/>
      <c r="J2" s="77"/>
      <c r="K2" s="83"/>
      <c r="L2" s="79"/>
      <c r="M2" s="80"/>
      <c r="N2" s="81"/>
      <c r="O2" s="81"/>
      <c r="P2" s="82"/>
      <c r="Q2" s="88"/>
      <c r="R2" s="93" t="s">
        <v>1932</v>
      </c>
      <c r="S2" s="93" t="s">
        <v>1933</v>
      </c>
      <c r="T2" s="87" t="s">
        <v>1934</v>
      </c>
      <c r="U2" s="93" t="s">
        <v>1935</v>
      </c>
    </row>
    <row r="3" spans="1:21">
      <c r="A3" s="66"/>
      <c r="B3" s="67"/>
      <c r="C3" s="68"/>
      <c r="D3" s="63" t="s">
        <v>21</v>
      </c>
      <c r="E3" s="63" t="s">
        <v>22</v>
      </c>
      <c r="F3" s="69"/>
      <c r="G3" s="70"/>
      <c r="H3" s="70"/>
      <c r="I3" s="77" t="s">
        <v>25</v>
      </c>
      <c r="J3" s="77" t="s">
        <v>1936</v>
      </c>
      <c r="K3" s="84"/>
      <c r="L3" s="79"/>
      <c r="M3" s="80"/>
      <c r="N3" s="85"/>
      <c r="O3" s="85"/>
      <c r="P3" s="82"/>
      <c r="Q3" s="88" t="s">
        <v>1937</v>
      </c>
      <c r="R3" s="75"/>
      <c r="S3" s="88"/>
      <c r="T3" s="75"/>
      <c r="U3" s="75"/>
    </row>
    <row r="4" hidden="1" spans="1:21">
      <c r="A4" s="55">
        <v>1</v>
      </c>
      <c r="B4" s="71" t="s">
        <v>1938</v>
      </c>
      <c r="C4" s="72">
        <v>77.25</v>
      </c>
      <c r="D4" s="73">
        <v>3000</v>
      </c>
      <c r="E4" s="73">
        <f t="shared" ref="E4:E67" si="0">ROUND(IF(F4&lt;&gt;0,C4*D4,0),0)</f>
        <v>231750</v>
      </c>
      <c r="F4" s="74" t="s">
        <v>1939</v>
      </c>
      <c r="G4" s="75">
        <v>231750</v>
      </c>
      <c r="H4" s="75">
        <f>E4-G4</f>
        <v>0</v>
      </c>
      <c r="I4" s="86">
        <f>VLOOKUP(B4,多浪小区账面房号及收款金额!$A$2:$B$474,2,0)</f>
        <v>231750</v>
      </c>
      <c r="J4" s="86"/>
      <c r="K4" s="87">
        <f>G4-I4</f>
        <v>0</v>
      </c>
      <c r="L4" s="88"/>
      <c r="M4" s="88"/>
      <c r="N4" s="89">
        <f>VLOOKUP(B4,[2]信息汇总表!$M$2:$T$816,8,0)</f>
        <v>231750</v>
      </c>
      <c r="O4" s="89">
        <f>N4/1.09</f>
        <v>212614.678899083</v>
      </c>
      <c r="P4" s="90">
        <v>212614.68</v>
      </c>
      <c r="Q4" s="88"/>
      <c r="R4" s="75">
        <f>I4/1.09</f>
        <v>212614.678899083</v>
      </c>
      <c r="S4" s="75">
        <f>R4*0.05</f>
        <v>10630.7339449541</v>
      </c>
      <c r="T4" s="75">
        <f>R4-P4</f>
        <v>-0.00110091743408702</v>
      </c>
      <c r="U4" s="75">
        <f>S4-(P4*0.05)</f>
        <v>-5.50458717043512e-5</v>
      </c>
    </row>
    <row r="5" hidden="1" spans="1:21">
      <c r="A5" s="55">
        <v>2</v>
      </c>
      <c r="B5" s="76" t="s">
        <v>1940</v>
      </c>
      <c r="C5" s="72">
        <v>72.37</v>
      </c>
      <c r="D5" s="73">
        <v>2980</v>
      </c>
      <c r="E5" s="73">
        <f t="shared" si="0"/>
        <v>215663</v>
      </c>
      <c r="F5" s="74" t="s">
        <v>1941</v>
      </c>
      <c r="G5" s="75">
        <v>215663</v>
      </c>
      <c r="H5" s="75">
        <f t="shared" ref="H5:H68" si="1">E5-G5</f>
        <v>0</v>
      </c>
      <c r="I5" s="86">
        <f>VLOOKUP(B5,多浪小区账面房号及收款金额!$A$2:$B$474,2,0)</f>
        <v>215663</v>
      </c>
      <c r="J5" s="86"/>
      <c r="K5" s="87">
        <f t="shared" ref="K5:K37" si="2">G5-I5</f>
        <v>0</v>
      </c>
      <c r="L5" s="88"/>
      <c r="M5" s="88"/>
      <c r="N5" s="89">
        <f>VLOOKUP(B5,[2]信息汇总表!$M$2:$T$816,8,0)</f>
        <v>215663</v>
      </c>
      <c r="O5" s="89">
        <f t="shared" ref="O5:O68" si="3">N5/1.09</f>
        <v>197855.963302752</v>
      </c>
      <c r="P5" s="91">
        <v>197855.96</v>
      </c>
      <c r="Q5" s="88"/>
      <c r="R5" s="75">
        <f t="shared" ref="R5:R68" si="4">I5/1.09</f>
        <v>197855.963302752</v>
      </c>
      <c r="S5" s="75">
        <f t="shared" ref="S5:S68" si="5">R5*0.05</f>
        <v>9892.7981651376</v>
      </c>
      <c r="T5" s="75">
        <f t="shared" ref="T5:T68" si="6">R5-P5</f>
        <v>0.00330275201122276</v>
      </c>
      <c r="U5" s="75">
        <f t="shared" ref="U5:U68" si="7">S5-(P5*0.05)</f>
        <v>0.000165137600561138</v>
      </c>
    </row>
    <row r="6" hidden="1" spans="1:21">
      <c r="A6" s="55">
        <v>3</v>
      </c>
      <c r="B6" s="71" t="s">
        <v>1942</v>
      </c>
      <c r="C6" s="72">
        <v>77.25</v>
      </c>
      <c r="D6" s="73">
        <v>2900</v>
      </c>
      <c r="E6" s="73">
        <f t="shared" si="0"/>
        <v>224025</v>
      </c>
      <c r="F6" s="74" t="s">
        <v>1943</v>
      </c>
      <c r="G6" s="75">
        <v>224025</v>
      </c>
      <c r="H6" s="75">
        <f t="shared" si="1"/>
        <v>0</v>
      </c>
      <c r="I6" s="86">
        <f>VLOOKUP(B6,多浪小区账面房号及收款金额!$A$2:$B$474,2,0)</f>
        <v>224025</v>
      </c>
      <c r="J6" s="86"/>
      <c r="K6" s="87">
        <f t="shared" si="2"/>
        <v>0</v>
      </c>
      <c r="L6" s="88"/>
      <c r="M6" s="88"/>
      <c r="N6" s="89">
        <f>VLOOKUP(B6,[2]信息汇总表!$M$2:$T$816,8,0)</f>
        <v>224025</v>
      </c>
      <c r="O6" s="89">
        <f t="shared" si="3"/>
        <v>205527.52293578</v>
      </c>
      <c r="P6" s="91">
        <v>205527.52</v>
      </c>
      <c r="Q6" s="88"/>
      <c r="R6" s="75">
        <f t="shared" si="4"/>
        <v>205527.52293578</v>
      </c>
      <c r="S6" s="75">
        <f t="shared" si="5"/>
        <v>10276.376146789</v>
      </c>
      <c r="T6" s="75">
        <f t="shared" si="6"/>
        <v>0.00293578000855632</v>
      </c>
      <c r="U6" s="75">
        <f t="shared" si="7"/>
        <v>0.00014678899970022</v>
      </c>
    </row>
    <row r="7" ht="12" hidden="1" customHeight="1" spans="1:21">
      <c r="A7" s="55">
        <v>4</v>
      </c>
      <c r="B7" s="76" t="s">
        <v>1944</v>
      </c>
      <c r="C7" s="72">
        <v>72.37</v>
      </c>
      <c r="D7" s="73">
        <v>3000</v>
      </c>
      <c r="E7" s="73">
        <f t="shared" si="0"/>
        <v>217110</v>
      </c>
      <c r="F7" s="74" t="s">
        <v>1945</v>
      </c>
      <c r="G7" s="75">
        <v>217110</v>
      </c>
      <c r="H7" s="75">
        <f t="shared" si="1"/>
        <v>0</v>
      </c>
      <c r="I7" s="86">
        <f>VLOOKUP(B7,多浪小区账面房号及收款金额!$A$2:$B$474,2,0)</f>
        <v>217110</v>
      </c>
      <c r="J7" s="86"/>
      <c r="K7" s="87">
        <f t="shared" si="2"/>
        <v>0</v>
      </c>
      <c r="L7" s="88"/>
      <c r="M7" s="88"/>
      <c r="N7" s="89"/>
      <c r="O7" s="89">
        <f t="shared" si="3"/>
        <v>0</v>
      </c>
      <c r="P7" s="91"/>
      <c r="Q7" s="88"/>
      <c r="R7" s="75">
        <f t="shared" si="4"/>
        <v>199183.486238532</v>
      </c>
      <c r="S7" s="75">
        <f t="shared" si="5"/>
        <v>9959.1743119266</v>
      </c>
      <c r="T7" s="75">
        <f t="shared" si="6"/>
        <v>199183.486238532</v>
      </c>
      <c r="U7" s="75">
        <f t="shared" si="7"/>
        <v>9959.1743119266</v>
      </c>
    </row>
    <row r="8" hidden="1" spans="1:21">
      <c r="A8" s="55">
        <v>5</v>
      </c>
      <c r="B8" s="71" t="s">
        <v>1946</v>
      </c>
      <c r="C8" s="72">
        <v>77.25</v>
      </c>
      <c r="D8" s="73">
        <v>2800</v>
      </c>
      <c r="E8" s="73">
        <f t="shared" si="0"/>
        <v>216300</v>
      </c>
      <c r="F8" s="74" t="s">
        <v>1947</v>
      </c>
      <c r="G8" s="75">
        <v>216300</v>
      </c>
      <c r="H8" s="75">
        <f t="shared" si="1"/>
        <v>0</v>
      </c>
      <c r="I8" s="86">
        <f>VLOOKUP(B8,多浪小区账面房号及收款金额!$A$2:$B$474,2,0)+'2023年8-11月预收账款'!K36</f>
        <v>0</v>
      </c>
      <c r="J8" s="86"/>
      <c r="K8" s="87">
        <f t="shared" si="2"/>
        <v>216300</v>
      </c>
      <c r="L8" s="88"/>
      <c r="M8" s="88"/>
      <c r="N8" s="89">
        <f>VLOOKUP(B8,[2]信息汇总表!$M$2:$T$816,8,0)</f>
        <v>216300</v>
      </c>
      <c r="O8" s="89">
        <f t="shared" si="3"/>
        <v>198440.366972477</v>
      </c>
      <c r="P8" s="91">
        <v>198440.37</v>
      </c>
      <c r="Q8" s="88"/>
      <c r="R8" s="75">
        <v>0</v>
      </c>
      <c r="S8" s="75">
        <f t="shared" si="5"/>
        <v>0</v>
      </c>
      <c r="T8" s="75">
        <f t="shared" si="6"/>
        <v>-198440.37</v>
      </c>
      <c r="U8" s="75">
        <f t="shared" si="7"/>
        <v>-9922.0185</v>
      </c>
    </row>
    <row r="9" hidden="1" spans="1:21">
      <c r="A9" s="55">
        <v>6</v>
      </c>
      <c r="B9" s="76" t="s">
        <v>1948</v>
      </c>
      <c r="C9" s="72">
        <v>72.37</v>
      </c>
      <c r="D9" s="73">
        <v>2850</v>
      </c>
      <c r="E9" s="73">
        <f t="shared" si="0"/>
        <v>206255</v>
      </c>
      <c r="F9" s="74" t="s">
        <v>1949</v>
      </c>
      <c r="G9" s="75">
        <v>206255</v>
      </c>
      <c r="H9" s="75">
        <f t="shared" si="1"/>
        <v>0</v>
      </c>
      <c r="I9" s="86">
        <f>VLOOKUP(B9,多浪小区账面房号及收款金额!$A$2:$B$474,2,0)</f>
        <v>206255</v>
      </c>
      <c r="J9" s="86"/>
      <c r="K9" s="87">
        <f t="shared" si="2"/>
        <v>0</v>
      </c>
      <c r="L9" s="88"/>
      <c r="M9" s="88"/>
      <c r="N9" s="89">
        <v>206255</v>
      </c>
      <c r="O9" s="89">
        <f t="shared" si="3"/>
        <v>189224.770642202</v>
      </c>
      <c r="P9" s="91"/>
      <c r="Q9" s="88"/>
      <c r="R9" s="75">
        <f t="shared" si="4"/>
        <v>189224.770642202</v>
      </c>
      <c r="S9" s="75">
        <f t="shared" si="5"/>
        <v>9461.2385321101</v>
      </c>
      <c r="T9" s="75">
        <f t="shared" si="6"/>
        <v>189224.770642202</v>
      </c>
      <c r="U9" s="75">
        <f t="shared" si="7"/>
        <v>9461.2385321101</v>
      </c>
    </row>
    <row r="10" ht="24.75" hidden="1" spans="1:21">
      <c r="A10" s="55">
        <v>7</v>
      </c>
      <c r="B10" s="71" t="s">
        <v>1950</v>
      </c>
      <c r="C10" s="72">
        <v>77.25</v>
      </c>
      <c r="D10" s="73">
        <v>2683.28</v>
      </c>
      <c r="E10" s="73">
        <f t="shared" si="0"/>
        <v>207283</v>
      </c>
      <c r="F10" s="74" t="s">
        <v>1951</v>
      </c>
      <c r="G10" s="75">
        <v>207283</v>
      </c>
      <c r="H10" s="75">
        <f t="shared" si="1"/>
        <v>0</v>
      </c>
      <c r="I10" s="86">
        <f>VLOOKUP(B10,多浪小区账面房号及收款金额!$A$2:$B$474,2,0)</f>
        <v>137224</v>
      </c>
      <c r="J10" s="86"/>
      <c r="K10" s="87">
        <f t="shared" si="2"/>
        <v>70059</v>
      </c>
      <c r="L10" s="92" t="s">
        <v>1952</v>
      </c>
      <c r="M10" s="88"/>
      <c r="N10" s="89">
        <f>VLOOKUP(B10,[2]信息汇总表!$M$2:$T$816,8,0)</f>
        <v>207283</v>
      </c>
      <c r="O10" s="89">
        <f t="shared" si="3"/>
        <v>190167.889908257</v>
      </c>
      <c r="P10" s="91">
        <v>125901</v>
      </c>
      <c r="Q10" s="88"/>
      <c r="R10" s="75">
        <f>G10/1.09</f>
        <v>190167.889908257</v>
      </c>
      <c r="S10" s="75">
        <f t="shared" si="5"/>
        <v>9508.39449541284</v>
      </c>
      <c r="T10" s="75">
        <f t="shared" si="6"/>
        <v>64266.8899082569</v>
      </c>
      <c r="U10" s="75">
        <f>T10*0.09</f>
        <v>5784.02009174312</v>
      </c>
    </row>
    <row r="11" hidden="1" spans="1:21">
      <c r="A11" s="55">
        <v>8</v>
      </c>
      <c r="B11" s="76" t="s">
        <v>1953</v>
      </c>
      <c r="C11" s="72">
        <v>72.37</v>
      </c>
      <c r="D11" s="73">
        <v>2650.01</v>
      </c>
      <c r="E11" s="73">
        <f t="shared" si="0"/>
        <v>191781</v>
      </c>
      <c r="F11" s="74" t="s">
        <v>1954</v>
      </c>
      <c r="G11" s="75">
        <v>191781</v>
      </c>
      <c r="H11" s="75">
        <f t="shared" si="1"/>
        <v>0</v>
      </c>
      <c r="I11" s="86">
        <f>VLOOKUP(B11,多浪小区账面房号及收款金额!$A$2:$B$474,2,0)</f>
        <v>191781</v>
      </c>
      <c r="J11" s="86"/>
      <c r="K11" s="87">
        <f t="shared" si="2"/>
        <v>0</v>
      </c>
      <c r="L11" s="88"/>
      <c r="M11" s="88"/>
      <c r="N11" s="89"/>
      <c r="O11" s="89">
        <f t="shared" si="3"/>
        <v>0</v>
      </c>
      <c r="P11" s="91"/>
      <c r="Q11" s="88"/>
      <c r="R11" s="75">
        <f t="shared" si="4"/>
        <v>175945.871559633</v>
      </c>
      <c r="S11" s="75">
        <f t="shared" si="5"/>
        <v>8797.29357798165</v>
      </c>
      <c r="T11" s="75">
        <f t="shared" si="6"/>
        <v>175945.871559633</v>
      </c>
      <c r="U11" s="75">
        <f t="shared" si="7"/>
        <v>8797.29357798165</v>
      </c>
    </row>
    <row r="12" hidden="1" spans="1:21">
      <c r="A12" s="55">
        <v>9</v>
      </c>
      <c r="B12" s="71" t="s">
        <v>1955</v>
      </c>
      <c r="C12" s="72">
        <v>77.25</v>
      </c>
      <c r="D12" s="73">
        <v>2600</v>
      </c>
      <c r="E12" s="73">
        <f t="shared" si="0"/>
        <v>200850</v>
      </c>
      <c r="F12" s="74" t="s">
        <v>1956</v>
      </c>
      <c r="G12" s="75">
        <v>200850</v>
      </c>
      <c r="H12" s="75">
        <f t="shared" si="1"/>
        <v>0</v>
      </c>
      <c r="I12" s="86">
        <f>VLOOKUP(B12,多浪小区账面房号及收款金额!$A$2:$B$474,2,0)</f>
        <v>200850</v>
      </c>
      <c r="J12" s="86"/>
      <c r="K12" s="87">
        <f t="shared" si="2"/>
        <v>0</v>
      </c>
      <c r="L12" s="88"/>
      <c r="M12" s="88"/>
      <c r="N12" s="89">
        <f>VLOOKUP(B12,[2]信息汇总表!$M$2:$T$816,8,0)</f>
        <v>200850</v>
      </c>
      <c r="O12" s="89">
        <f t="shared" si="3"/>
        <v>184266.055045872</v>
      </c>
      <c r="P12" s="91">
        <v>184266.06</v>
      </c>
      <c r="Q12" s="88"/>
      <c r="R12" s="75">
        <f t="shared" si="4"/>
        <v>184266.055045872</v>
      </c>
      <c r="S12" s="75">
        <f t="shared" si="5"/>
        <v>9213.3027522936</v>
      </c>
      <c r="T12" s="75">
        <f t="shared" si="6"/>
        <v>-0.00495412800228223</v>
      </c>
      <c r="U12" s="75">
        <f t="shared" si="7"/>
        <v>-0.000247706399022718</v>
      </c>
    </row>
    <row r="13" hidden="1" spans="1:21">
      <c r="A13" s="55">
        <v>10</v>
      </c>
      <c r="B13" s="76" t="s">
        <v>1957</v>
      </c>
      <c r="C13" s="72">
        <v>72.37</v>
      </c>
      <c r="D13" s="73">
        <v>2700</v>
      </c>
      <c r="E13" s="73">
        <f t="shared" si="0"/>
        <v>195399</v>
      </c>
      <c r="F13" s="74" t="s">
        <v>1958</v>
      </c>
      <c r="G13" s="75">
        <v>195399</v>
      </c>
      <c r="H13" s="75">
        <f t="shared" si="1"/>
        <v>0</v>
      </c>
      <c r="I13" s="86">
        <f>VLOOKUP(B13,多浪小区账面房号及收款金额!$A$2:$B$474,2,0)</f>
        <v>195399</v>
      </c>
      <c r="J13" s="86"/>
      <c r="K13" s="87">
        <f t="shared" si="2"/>
        <v>0</v>
      </c>
      <c r="L13" s="88"/>
      <c r="M13" s="88"/>
      <c r="N13" s="89"/>
      <c r="O13" s="89">
        <f t="shared" si="3"/>
        <v>0</v>
      </c>
      <c r="P13" s="91"/>
      <c r="Q13" s="88"/>
      <c r="R13" s="75">
        <f t="shared" si="4"/>
        <v>179265.137614679</v>
      </c>
      <c r="S13" s="75">
        <f t="shared" si="5"/>
        <v>8963.25688073395</v>
      </c>
      <c r="T13" s="75">
        <f t="shared" si="6"/>
        <v>179265.137614679</v>
      </c>
      <c r="U13" s="75">
        <f t="shared" si="7"/>
        <v>8963.25688073395</v>
      </c>
    </row>
    <row r="14" hidden="1" spans="1:21">
      <c r="A14" s="55">
        <v>11</v>
      </c>
      <c r="B14" s="71" t="s">
        <v>1959</v>
      </c>
      <c r="C14" s="72">
        <v>72.37</v>
      </c>
      <c r="D14" s="73">
        <v>3038.9</v>
      </c>
      <c r="E14" s="73">
        <f t="shared" si="0"/>
        <v>219925</v>
      </c>
      <c r="F14" s="74" t="s">
        <v>1960</v>
      </c>
      <c r="G14" s="75">
        <v>175925</v>
      </c>
      <c r="H14" s="75">
        <f t="shared" si="1"/>
        <v>44000</v>
      </c>
      <c r="I14" s="86">
        <f>VLOOKUP(B14,多浪小区账面房号及收款金额!$A$2:$B$474,2,0)</f>
        <v>175925</v>
      </c>
      <c r="J14" s="86"/>
      <c r="K14" s="87">
        <f t="shared" si="2"/>
        <v>0</v>
      </c>
      <c r="L14" s="88"/>
      <c r="M14" s="88"/>
      <c r="N14" s="89"/>
      <c r="O14" s="89">
        <f t="shared" si="3"/>
        <v>0</v>
      </c>
      <c r="P14" s="91"/>
      <c r="Q14" s="88"/>
      <c r="R14" s="75">
        <f t="shared" si="4"/>
        <v>161399.082568807</v>
      </c>
      <c r="S14" s="75">
        <f t="shared" si="5"/>
        <v>8069.95412844035</v>
      </c>
      <c r="T14" s="75">
        <f t="shared" si="6"/>
        <v>161399.082568807</v>
      </c>
      <c r="U14" s="75">
        <f t="shared" si="7"/>
        <v>8069.95412844035</v>
      </c>
    </row>
    <row r="15" hidden="1" spans="1:21">
      <c r="A15" s="55">
        <v>12</v>
      </c>
      <c r="B15" s="76" t="s">
        <v>1961</v>
      </c>
      <c r="C15" s="72">
        <v>72.37</v>
      </c>
      <c r="D15" s="73">
        <v>2984.66</v>
      </c>
      <c r="E15" s="73">
        <f t="shared" si="0"/>
        <v>216000</v>
      </c>
      <c r="F15" s="74" t="s">
        <v>1962</v>
      </c>
      <c r="G15" s="75">
        <v>216000</v>
      </c>
      <c r="H15" s="75">
        <f t="shared" si="1"/>
        <v>0</v>
      </c>
      <c r="I15" s="86">
        <f>VLOOKUP(B15,多浪小区账面房号及收款金额!$A$2:$B$474,2,0)</f>
        <v>216000</v>
      </c>
      <c r="J15" s="86"/>
      <c r="K15" s="87">
        <f t="shared" si="2"/>
        <v>0</v>
      </c>
      <c r="L15" s="88"/>
      <c r="M15" s="88"/>
      <c r="N15" s="89"/>
      <c r="O15" s="89">
        <f t="shared" si="3"/>
        <v>0</v>
      </c>
      <c r="P15" s="91"/>
      <c r="Q15" s="88"/>
      <c r="R15" s="75">
        <f t="shared" si="4"/>
        <v>198165.137614679</v>
      </c>
      <c r="S15" s="75">
        <f t="shared" si="5"/>
        <v>9908.25688073395</v>
      </c>
      <c r="T15" s="75">
        <f t="shared" si="6"/>
        <v>198165.137614679</v>
      </c>
      <c r="U15" s="75">
        <f t="shared" si="7"/>
        <v>9908.25688073395</v>
      </c>
    </row>
    <row r="16" hidden="1" spans="1:21">
      <c r="A16" s="55">
        <v>13</v>
      </c>
      <c r="B16" s="71" t="s">
        <v>1963</v>
      </c>
      <c r="C16" s="72">
        <v>72.37</v>
      </c>
      <c r="D16" s="73">
        <v>3000</v>
      </c>
      <c r="E16" s="73">
        <f t="shared" si="0"/>
        <v>217110</v>
      </c>
      <c r="F16" s="74" t="s">
        <v>1964</v>
      </c>
      <c r="G16" s="75">
        <v>217110</v>
      </c>
      <c r="H16" s="75">
        <f t="shared" si="1"/>
        <v>0</v>
      </c>
      <c r="I16" s="86">
        <f>VLOOKUP(B16,多浪小区账面房号及收款金额!$A$2:$B$474,2,0)</f>
        <v>217110</v>
      </c>
      <c r="J16" s="86"/>
      <c r="K16" s="87">
        <f t="shared" si="2"/>
        <v>0</v>
      </c>
      <c r="L16" s="88"/>
      <c r="M16" s="88"/>
      <c r="N16" s="89">
        <f>VLOOKUP(B16,[2]信息汇总表!$M$2:$T$816,8,0)</f>
        <v>217110</v>
      </c>
      <c r="O16" s="89">
        <f t="shared" si="3"/>
        <v>199183.486238532</v>
      </c>
      <c r="P16" s="91">
        <v>199183.49</v>
      </c>
      <c r="Q16" s="88"/>
      <c r="R16" s="75">
        <f t="shared" si="4"/>
        <v>199183.486238532</v>
      </c>
      <c r="S16" s="75">
        <f t="shared" si="5"/>
        <v>9959.1743119266</v>
      </c>
      <c r="T16" s="75">
        <f t="shared" si="6"/>
        <v>-0.00376146798953414</v>
      </c>
      <c r="U16" s="75">
        <f t="shared" si="7"/>
        <v>-0.000188073399840505</v>
      </c>
    </row>
    <row r="17" hidden="1" spans="1:21">
      <c r="A17" s="55">
        <v>14</v>
      </c>
      <c r="B17" s="76" t="s">
        <v>1965</v>
      </c>
      <c r="C17" s="72">
        <v>72.37</v>
      </c>
      <c r="D17" s="73">
        <v>3000</v>
      </c>
      <c r="E17" s="73">
        <f t="shared" si="0"/>
        <v>217110</v>
      </c>
      <c r="F17" s="74" t="s">
        <v>1966</v>
      </c>
      <c r="G17" s="75">
        <v>217110</v>
      </c>
      <c r="H17" s="75">
        <f t="shared" si="1"/>
        <v>0</v>
      </c>
      <c r="I17" s="86">
        <f>VLOOKUP(B17,多浪小区账面房号及收款金额!$A$2:$B$474,2,0)</f>
        <v>217220</v>
      </c>
      <c r="J17" s="86"/>
      <c r="K17" s="87">
        <f t="shared" si="2"/>
        <v>-110</v>
      </c>
      <c r="L17" s="92" t="s">
        <v>1967</v>
      </c>
      <c r="M17" s="88"/>
      <c r="N17" s="89">
        <f>VLOOKUP(B17,[2]信息汇总表!$M$2:$T$816,8,0)</f>
        <v>217110</v>
      </c>
      <c r="O17" s="89">
        <f t="shared" si="3"/>
        <v>199183.486238532</v>
      </c>
      <c r="P17" s="91">
        <v>199183.486238532</v>
      </c>
      <c r="Q17" s="88"/>
      <c r="R17" s="75">
        <f t="shared" si="4"/>
        <v>199284.403669725</v>
      </c>
      <c r="S17" s="75">
        <f t="shared" si="5"/>
        <v>9964.22018348625</v>
      </c>
      <c r="T17" s="75">
        <f t="shared" si="6"/>
        <v>100.917431192996</v>
      </c>
      <c r="U17" s="75">
        <f t="shared" si="7"/>
        <v>5.04587155964873</v>
      </c>
    </row>
    <row r="18" hidden="1" spans="1:21">
      <c r="A18" s="55">
        <v>15</v>
      </c>
      <c r="B18" s="71" t="s">
        <v>1968</v>
      </c>
      <c r="C18" s="72">
        <v>72.37</v>
      </c>
      <c r="D18" s="73">
        <v>2900</v>
      </c>
      <c r="E18" s="73">
        <f t="shared" si="0"/>
        <v>209873</v>
      </c>
      <c r="F18" s="74" t="s">
        <v>1969</v>
      </c>
      <c r="G18" s="75">
        <v>209873</v>
      </c>
      <c r="H18" s="75">
        <f t="shared" si="1"/>
        <v>0</v>
      </c>
      <c r="I18" s="86">
        <f>VLOOKUP(B18,多浪小区账面房号及收款金额!$A$2:$B$474,2,0)</f>
        <v>209873</v>
      </c>
      <c r="J18" s="86"/>
      <c r="K18" s="87">
        <f t="shared" si="2"/>
        <v>0</v>
      </c>
      <c r="L18" s="88"/>
      <c r="M18" s="88"/>
      <c r="N18" s="89">
        <f>VLOOKUP(B18,[2]信息汇总表!$M$2:$T$816,8,0)</f>
        <v>209873</v>
      </c>
      <c r="O18" s="89">
        <f t="shared" si="3"/>
        <v>192544.036697248</v>
      </c>
      <c r="P18" s="91">
        <v>192544.04</v>
      </c>
      <c r="Q18" s="88"/>
      <c r="R18" s="75">
        <f t="shared" si="4"/>
        <v>192544.036697248</v>
      </c>
      <c r="S18" s="75">
        <f t="shared" si="5"/>
        <v>9627.2018348624</v>
      </c>
      <c r="T18" s="75">
        <f t="shared" si="6"/>
        <v>-0.00330275201122276</v>
      </c>
      <c r="U18" s="75">
        <f t="shared" si="7"/>
        <v>-0.000165137600561138</v>
      </c>
    </row>
    <row r="19" hidden="1" spans="1:21">
      <c r="A19" s="55">
        <v>16</v>
      </c>
      <c r="B19" s="76" t="s">
        <v>1970</v>
      </c>
      <c r="C19" s="72">
        <v>72.37</v>
      </c>
      <c r="D19" s="73">
        <v>2838.91</v>
      </c>
      <c r="E19" s="73">
        <f t="shared" si="0"/>
        <v>205452</v>
      </c>
      <c r="F19" s="74" t="s">
        <v>1971</v>
      </c>
      <c r="G19" s="75">
        <v>205452</v>
      </c>
      <c r="H19" s="75">
        <f t="shared" si="1"/>
        <v>0</v>
      </c>
      <c r="I19" s="86">
        <f>VLOOKUP(B19,多浪小区账面房号及收款金额!$A$2:$B$474,2,0)</f>
        <v>205452</v>
      </c>
      <c r="J19" s="86"/>
      <c r="K19" s="87">
        <f t="shared" si="2"/>
        <v>0</v>
      </c>
      <c r="L19" s="88"/>
      <c r="M19" s="88"/>
      <c r="N19" s="89">
        <f>VLOOKUP(B19,[2]信息汇总表!$M$2:$T$816,8,0)</f>
        <v>205452</v>
      </c>
      <c r="O19" s="89">
        <f t="shared" si="3"/>
        <v>188488.073394495</v>
      </c>
      <c r="P19" s="91">
        <v>188488.07</v>
      </c>
      <c r="Q19" s="88"/>
      <c r="R19" s="75">
        <f t="shared" si="4"/>
        <v>188488.073394495</v>
      </c>
      <c r="S19" s="75">
        <f t="shared" si="5"/>
        <v>9424.40366972475</v>
      </c>
      <c r="T19" s="75">
        <f t="shared" si="6"/>
        <v>0.00339449499733746</v>
      </c>
      <c r="U19" s="75">
        <f t="shared" si="7"/>
        <v>0.000169724749866873</v>
      </c>
    </row>
    <row r="20" hidden="1" spans="1:21">
      <c r="A20" s="55">
        <v>17</v>
      </c>
      <c r="B20" s="71" t="s">
        <v>1972</v>
      </c>
      <c r="C20" s="72">
        <v>72.37</v>
      </c>
      <c r="D20" s="73">
        <v>2700</v>
      </c>
      <c r="E20" s="73">
        <f t="shared" si="0"/>
        <v>195399</v>
      </c>
      <c r="F20" s="74" t="s">
        <v>1973</v>
      </c>
      <c r="G20" s="75">
        <v>195399</v>
      </c>
      <c r="H20" s="75">
        <f t="shared" si="1"/>
        <v>0</v>
      </c>
      <c r="I20" s="86">
        <f>VLOOKUP(B20,多浪小区账面房号及收款金额!$A$2:$B$474,2,0)</f>
        <v>195399</v>
      </c>
      <c r="J20" s="86"/>
      <c r="K20" s="87">
        <f t="shared" si="2"/>
        <v>0</v>
      </c>
      <c r="L20" s="88"/>
      <c r="M20" s="88"/>
      <c r="N20" s="89"/>
      <c r="O20" s="89">
        <f t="shared" si="3"/>
        <v>0</v>
      </c>
      <c r="P20" s="91"/>
      <c r="Q20" s="88"/>
      <c r="R20" s="75">
        <f t="shared" si="4"/>
        <v>179265.137614679</v>
      </c>
      <c r="S20" s="75">
        <f t="shared" si="5"/>
        <v>8963.25688073395</v>
      </c>
      <c r="T20" s="75">
        <f t="shared" si="6"/>
        <v>179265.137614679</v>
      </c>
      <c r="U20" s="75">
        <f t="shared" si="7"/>
        <v>8963.25688073395</v>
      </c>
    </row>
    <row r="21" hidden="1" spans="1:21">
      <c r="A21" s="55">
        <v>18</v>
      </c>
      <c r="B21" s="76" t="s">
        <v>1974</v>
      </c>
      <c r="C21" s="72">
        <v>72.37</v>
      </c>
      <c r="D21" s="73">
        <v>2690</v>
      </c>
      <c r="E21" s="73">
        <f t="shared" si="0"/>
        <v>194675</v>
      </c>
      <c r="F21" s="74" t="s">
        <v>1975</v>
      </c>
      <c r="G21" s="75">
        <v>194675</v>
      </c>
      <c r="H21" s="75">
        <f t="shared" si="1"/>
        <v>0</v>
      </c>
      <c r="I21" s="86">
        <f>VLOOKUP(B21,多浪小区账面房号及收款金额!$A$2:$B$474,2,0)</f>
        <v>194675</v>
      </c>
      <c r="J21" s="86"/>
      <c r="K21" s="87">
        <f t="shared" si="2"/>
        <v>0</v>
      </c>
      <c r="L21" s="88"/>
      <c r="M21" s="88"/>
      <c r="N21" s="89">
        <f>VLOOKUP(B21,[2]信息汇总表!$M$2:$T$816,8,0)</f>
        <v>194675</v>
      </c>
      <c r="O21" s="89">
        <f t="shared" si="3"/>
        <v>178600.917431193</v>
      </c>
      <c r="P21" s="91">
        <v>178600.92</v>
      </c>
      <c r="Q21" s="88"/>
      <c r="R21" s="75">
        <f t="shared" si="4"/>
        <v>178600.917431193</v>
      </c>
      <c r="S21" s="75">
        <f t="shared" si="5"/>
        <v>8930.04587155965</v>
      </c>
      <c r="T21" s="75">
        <f t="shared" si="6"/>
        <v>-0.00256880701635964</v>
      </c>
      <c r="U21" s="75">
        <f t="shared" si="7"/>
        <v>-0.000128440349726588</v>
      </c>
    </row>
    <row r="22" hidden="1" spans="1:21">
      <c r="A22" s="55">
        <v>19</v>
      </c>
      <c r="B22" s="71" t="s">
        <v>1976</v>
      </c>
      <c r="C22" s="72">
        <v>72.37</v>
      </c>
      <c r="D22" s="73">
        <v>2680</v>
      </c>
      <c r="E22" s="73">
        <f t="shared" si="0"/>
        <v>193952</v>
      </c>
      <c r="F22" s="74" t="s">
        <v>1977</v>
      </c>
      <c r="G22" s="75">
        <v>193952</v>
      </c>
      <c r="H22" s="75">
        <f t="shared" si="1"/>
        <v>0</v>
      </c>
      <c r="I22" s="86">
        <f>VLOOKUP(B22,多浪小区账面房号及收款金额!$A$2:$B$474,2,0)</f>
        <v>193952</v>
      </c>
      <c r="J22" s="86"/>
      <c r="K22" s="87">
        <f t="shared" si="2"/>
        <v>0</v>
      </c>
      <c r="L22" s="88"/>
      <c r="M22" s="88"/>
      <c r="N22" s="89"/>
      <c r="O22" s="89">
        <f t="shared" si="3"/>
        <v>0</v>
      </c>
      <c r="P22" s="91"/>
      <c r="Q22" s="88"/>
      <c r="R22" s="75">
        <f t="shared" si="4"/>
        <v>177937.614678899</v>
      </c>
      <c r="S22" s="75">
        <f t="shared" si="5"/>
        <v>8896.88073394495</v>
      </c>
      <c r="T22" s="75">
        <f t="shared" si="6"/>
        <v>177937.614678899</v>
      </c>
      <c r="U22" s="75">
        <f t="shared" si="7"/>
        <v>8896.88073394495</v>
      </c>
    </row>
    <row r="23" hidden="1" spans="1:21">
      <c r="A23" s="55">
        <v>20</v>
      </c>
      <c r="B23" s="76" t="s">
        <v>1978</v>
      </c>
      <c r="C23" s="72">
        <v>72.37</v>
      </c>
      <c r="D23" s="73">
        <v>2700</v>
      </c>
      <c r="E23" s="73">
        <f t="shared" si="0"/>
        <v>195399</v>
      </c>
      <c r="F23" s="74" t="s">
        <v>1979</v>
      </c>
      <c r="G23" s="75">
        <v>195400</v>
      </c>
      <c r="H23" s="75">
        <f t="shared" si="1"/>
        <v>-1</v>
      </c>
      <c r="I23" s="86">
        <f>VLOOKUP(B23,多浪小区账面房号及收款金额!$A$2:$B$474,2,0)</f>
        <v>195400</v>
      </c>
      <c r="J23" s="86"/>
      <c r="K23" s="87">
        <f t="shared" si="2"/>
        <v>0</v>
      </c>
      <c r="L23" s="88"/>
      <c r="M23" s="88"/>
      <c r="N23" s="89">
        <f>VLOOKUP(B23,[2]信息汇总表!$M$2:$T$816,8,0)</f>
        <v>195399</v>
      </c>
      <c r="O23" s="89">
        <f t="shared" si="3"/>
        <v>179265.137614679</v>
      </c>
      <c r="P23" s="91">
        <v>179265.14</v>
      </c>
      <c r="Q23" s="88"/>
      <c r="R23" s="75">
        <f t="shared" si="4"/>
        <v>179266.055045872</v>
      </c>
      <c r="S23" s="75">
        <f t="shared" si="5"/>
        <v>8963.3027522936</v>
      </c>
      <c r="T23" s="75">
        <f t="shared" si="6"/>
        <v>0.91504587198142</v>
      </c>
      <c r="U23" s="75">
        <f t="shared" si="7"/>
        <v>0.0457522935994348</v>
      </c>
    </row>
    <row r="24" hidden="1" spans="1:21">
      <c r="A24" s="55">
        <v>21</v>
      </c>
      <c r="B24" s="71" t="s">
        <v>1980</v>
      </c>
      <c r="C24" s="72">
        <v>72.37</v>
      </c>
      <c r="D24" s="73">
        <v>2978.9</v>
      </c>
      <c r="E24" s="73">
        <f t="shared" si="0"/>
        <v>215583</v>
      </c>
      <c r="F24" s="74" t="s">
        <v>1981</v>
      </c>
      <c r="G24" s="75">
        <v>215583</v>
      </c>
      <c r="H24" s="75">
        <f t="shared" si="1"/>
        <v>0</v>
      </c>
      <c r="I24" s="86">
        <f>VLOOKUP(B24,多浪小区账面房号及收款金额!$A$2:$B$474,2,0)</f>
        <v>215583</v>
      </c>
      <c r="J24" s="86"/>
      <c r="K24" s="87">
        <f t="shared" si="2"/>
        <v>0</v>
      </c>
      <c r="L24" s="88"/>
      <c r="M24" s="88"/>
      <c r="N24" s="89">
        <f>VLOOKUP(B24,[2]信息汇总表!$M$2:$T$816,8,0)</f>
        <v>215583</v>
      </c>
      <c r="O24" s="89">
        <f t="shared" si="3"/>
        <v>197782.568807339</v>
      </c>
      <c r="P24" s="91">
        <v>197782.57</v>
      </c>
      <c r="Q24" s="88"/>
      <c r="R24" s="75">
        <f t="shared" si="4"/>
        <v>197782.568807339</v>
      </c>
      <c r="S24" s="75">
        <f t="shared" si="5"/>
        <v>9889.12844036695</v>
      </c>
      <c r="T24" s="75">
        <f t="shared" si="6"/>
        <v>-0.00119266100227833</v>
      </c>
      <c r="U24" s="75">
        <f t="shared" si="7"/>
        <v>-5.96330501139164e-5</v>
      </c>
    </row>
    <row r="25" hidden="1" spans="1:21">
      <c r="A25" s="55">
        <v>22</v>
      </c>
      <c r="B25" s="76" t="s">
        <v>1982</v>
      </c>
      <c r="C25" s="72">
        <v>77.25</v>
      </c>
      <c r="D25" s="73">
        <v>3033</v>
      </c>
      <c r="E25" s="73">
        <f t="shared" si="0"/>
        <v>234299</v>
      </c>
      <c r="F25" s="74" t="s">
        <v>1983</v>
      </c>
      <c r="G25" s="75">
        <v>234299</v>
      </c>
      <c r="H25" s="75">
        <f t="shared" si="1"/>
        <v>0</v>
      </c>
      <c r="I25" s="86">
        <f>VLOOKUP(B25,多浪小区账面房号及收款金额!$A$2:$B$474,2,0)</f>
        <v>234299</v>
      </c>
      <c r="J25" s="86"/>
      <c r="K25" s="87">
        <f t="shared" si="2"/>
        <v>0</v>
      </c>
      <c r="L25" s="88"/>
      <c r="M25" s="88"/>
      <c r="N25" s="89">
        <f>VLOOKUP(B25,[2]信息汇总表!$M$2:$T$816,8,0)</f>
        <v>234299</v>
      </c>
      <c r="O25" s="89">
        <f t="shared" si="3"/>
        <v>214953.211009174</v>
      </c>
      <c r="P25" s="91">
        <v>214953.21</v>
      </c>
      <c r="Q25" s="88"/>
      <c r="R25" s="75">
        <f t="shared" si="4"/>
        <v>214953.211009174</v>
      </c>
      <c r="S25" s="75">
        <f t="shared" si="5"/>
        <v>10747.6605504587</v>
      </c>
      <c r="T25" s="75">
        <f t="shared" si="6"/>
        <v>0.00100917401141487</v>
      </c>
      <c r="U25" s="75">
        <f t="shared" si="7"/>
        <v>5.04587005707435e-5</v>
      </c>
    </row>
    <row r="26" ht="24.75" hidden="1" spans="1:21">
      <c r="A26" s="55">
        <v>23</v>
      </c>
      <c r="B26" s="71" t="s">
        <v>1984</v>
      </c>
      <c r="C26" s="72">
        <v>72.37</v>
      </c>
      <c r="D26" s="73">
        <v>2950</v>
      </c>
      <c r="E26" s="73">
        <f t="shared" si="0"/>
        <v>213492</v>
      </c>
      <c r="F26" s="74" t="s">
        <v>1985</v>
      </c>
      <c r="G26" s="75">
        <v>213492</v>
      </c>
      <c r="H26" s="75">
        <f t="shared" si="1"/>
        <v>0</v>
      </c>
      <c r="I26" s="86">
        <f>VLOOKUP(B26,多浪小区账面房号及收款金额!$A$2:$B$474,2,0)</f>
        <v>218492</v>
      </c>
      <c r="J26" s="86"/>
      <c r="K26" s="87">
        <f t="shared" si="2"/>
        <v>-5000</v>
      </c>
      <c r="L26" s="92" t="s">
        <v>1986</v>
      </c>
      <c r="M26" s="88" t="s">
        <v>1987</v>
      </c>
      <c r="N26" s="89">
        <f>VLOOKUP(B26,[2]信息汇总表!$M$2:$T$816,8,0)</f>
        <v>213492</v>
      </c>
      <c r="O26" s="89">
        <f t="shared" si="3"/>
        <v>195864.220183486</v>
      </c>
      <c r="P26" s="91"/>
      <c r="Q26" s="88"/>
      <c r="R26" s="75">
        <f t="shared" si="4"/>
        <v>200451.376146789</v>
      </c>
      <c r="S26" s="75">
        <f t="shared" si="5"/>
        <v>10022.5688073395</v>
      </c>
      <c r="T26" s="75">
        <f t="shared" si="6"/>
        <v>200451.376146789</v>
      </c>
      <c r="U26" s="75">
        <f t="shared" si="7"/>
        <v>10022.5688073395</v>
      </c>
    </row>
    <row r="27" hidden="1" spans="1:21">
      <c r="A27" s="55">
        <v>24</v>
      </c>
      <c r="B27" s="76" t="s">
        <v>1988</v>
      </c>
      <c r="C27" s="72">
        <v>77.25</v>
      </c>
      <c r="D27" s="73">
        <v>2900</v>
      </c>
      <c r="E27" s="73">
        <f t="shared" si="0"/>
        <v>224025</v>
      </c>
      <c r="F27" s="74" t="s">
        <v>1989</v>
      </c>
      <c r="G27" s="75">
        <v>224025</v>
      </c>
      <c r="H27" s="75">
        <f t="shared" si="1"/>
        <v>0</v>
      </c>
      <c r="I27" s="86">
        <f>VLOOKUP(B27,多浪小区账面房号及收款金额!$A$2:$B$474,2,0)</f>
        <v>224025</v>
      </c>
      <c r="J27" s="86"/>
      <c r="K27" s="87">
        <f t="shared" si="2"/>
        <v>0</v>
      </c>
      <c r="L27" s="88"/>
      <c r="M27" s="88"/>
      <c r="N27" s="89"/>
      <c r="O27" s="89">
        <f t="shared" si="3"/>
        <v>0</v>
      </c>
      <c r="P27" s="91"/>
      <c r="Q27" s="88"/>
      <c r="R27" s="75">
        <f t="shared" si="4"/>
        <v>205527.52293578</v>
      </c>
      <c r="S27" s="75">
        <f t="shared" si="5"/>
        <v>10276.376146789</v>
      </c>
      <c r="T27" s="75">
        <f t="shared" si="6"/>
        <v>205527.52293578</v>
      </c>
      <c r="U27" s="75">
        <f t="shared" si="7"/>
        <v>10276.376146789</v>
      </c>
    </row>
    <row r="28" hidden="1" spans="1:21">
      <c r="A28" s="55">
        <v>25</v>
      </c>
      <c r="B28" s="71" t="s">
        <v>1990</v>
      </c>
      <c r="C28" s="72">
        <v>72.37</v>
      </c>
      <c r="D28" s="73">
        <v>2880</v>
      </c>
      <c r="E28" s="73">
        <f t="shared" si="0"/>
        <v>208426</v>
      </c>
      <c r="F28" s="74" t="s">
        <v>1991</v>
      </c>
      <c r="G28" s="75">
        <v>208426</v>
      </c>
      <c r="H28" s="75">
        <f t="shared" si="1"/>
        <v>0</v>
      </c>
      <c r="I28" s="86">
        <f>VLOOKUP(B28,多浪小区账面房号及收款金额!$A$2:$B$474,2,0)</f>
        <v>208426</v>
      </c>
      <c r="J28" s="86"/>
      <c r="K28" s="87">
        <f t="shared" si="2"/>
        <v>0</v>
      </c>
      <c r="L28" s="88"/>
      <c r="M28" s="88"/>
      <c r="N28" s="89">
        <f>VLOOKUP(B28,[2]信息汇总表!$M$2:$T$816,8,0)</f>
        <v>208426</v>
      </c>
      <c r="O28" s="89">
        <f t="shared" si="3"/>
        <v>191216.513761468</v>
      </c>
      <c r="P28" s="91">
        <v>191216.51</v>
      </c>
      <c r="Q28" s="88"/>
      <c r="R28" s="75">
        <f t="shared" si="4"/>
        <v>191216.513761468</v>
      </c>
      <c r="S28" s="75">
        <f t="shared" si="5"/>
        <v>9560.8256880734</v>
      </c>
      <c r="T28" s="75">
        <f t="shared" si="6"/>
        <v>0.00376146798953414</v>
      </c>
      <c r="U28" s="75">
        <f t="shared" si="7"/>
        <v>0.000188073399840505</v>
      </c>
    </row>
    <row r="29" hidden="1" spans="1:21">
      <c r="A29" s="55">
        <v>26</v>
      </c>
      <c r="B29" s="76" t="s">
        <v>1992</v>
      </c>
      <c r="C29" s="72">
        <v>77.25</v>
      </c>
      <c r="D29" s="73">
        <v>2850</v>
      </c>
      <c r="E29" s="73">
        <f t="shared" si="0"/>
        <v>220163</v>
      </c>
      <c r="F29" s="74" t="s">
        <v>1993</v>
      </c>
      <c r="G29" s="75">
        <v>218163</v>
      </c>
      <c r="H29" s="75">
        <f t="shared" si="1"/>
        <v>2000</v>
      </c>
      <c r="I29" s="86">
        <f>VLOOKUP(B29,多浪小区账面房号及收款金额!$A$2:$B$474,2,0)</f>
        <v>218163</v>
      </c>
      <c r="J29" s="86"/>
      <c r="K29" s="87">
        <f t="shared" si="2"/>
        <v>0</v>
      </c>
      <c r="L29" s="88"/>
      <c r="M29" s="88"/>
      <c r="N29" s="89"/>
      <c r="O29" s="89">
        <f t="shared" si="3"/>
        <v>0</v>
      </c>
      <c r="P29" s="91"/>
      <c r="Q29" s="88"/>
      <c r="R29" s="75">
        <f t="shared" si="4"/>
        <v>200149.541284404</v>
      </c>
      <c r="S29" s="75">
        <f t="shared" si="5"/>
        <v>10007.4770642202</v>
      </c>
      <c r="T29" s="75">
        <f t="shared" si="6"/>
        <v>200149.541284404</v>
      </c>
      <c r="U29" s="75">
        <f t="shared" si="7"/>
        <v>10007.4770642202</v>
      </c>
    </row>
    <row r="30" hidden="1" spans="1:21">
      <c r="A30" s="55">
        <v>27</v>
      </c>
      <c r="B30" s="71" t="s">
        <v>1994</v>
      </c>
      <c r="C30" s="72">
        <v>72.37</v>
      </c>
      <c r="D30" s="73">
        <v>2700</v>
      </c>
      <c r="E30" s="73">
        <f t="shared" si="0"/>
        <v>195399</v>
      </c>
      <c r="F30" s="74" t="s">
        <v>1995</v>
      </c>
      <c r="G30" s="75">
        <v>195399</v>
      </c>
      <c r="H30" s="75">
        <f t="shared" si="1"/>
        <v>0</v>
      </c>
      <c r="I30" s="86">
        <f>VLOOKUP(B30,多浪小区账面房号及收款金额!$A$2:$B$474,2,0)</f>
        <v>195399</v>
      </c>
      <c r="J30" s="86"/>
      <c r="K30" s="87">
        <f t="shared" si="2"/>
        <v>0</v>
      </c>
      <c r="L30" s="88"/>
      <c r="M30" s="88"/>
      <c r="N30" s="89">
        <v>179265.137614679</v>
      </c>
      <c r="O30" s="89">
        <f t="shared" si="3"/>
        <v>164463.429004293</v>
      </c>
      <c r="P30" s="91"/>
      <c r="Q30" s="75">
        <f>I30/1.09</f>
        <v>179265.137614679</v>
      </c>
      <c r="R30" s="75">
        <f t="shared" si="4"/>
        <v>179265.137614679</v>
      </c>
      <c r="S30" s="75">
        <f t="shared" si="5"/>
        <v>8963.25688073395</v>
      </c>
      <c r="T30" s="75">
        <f t="shared" si="6"/>
        <v>179265.137614679</v>
      </c>
      <c r="U30" s="75">
        <f t="shared" si="7"/>
        <v>8963.25688073395</v>
      </c>
    </row>
    <row r="31" hidden="1" spans="1:21">
      <c r="A31" s="55">
        <v>28</v>
      </c>
      <c r="B31" s="76" t="s">
        <v>1996</v>
      </c>
      <c r="C31" s="72">
        <v>77.25</v>
      </c>
      <c r="D31" s="73">
        <v>2700</v>
      </c>
      <c r="E31" s="73">
        <f t="shared" si="0"/>
        <v>208575</v>
      </c>
      <c r="F31" s="74" t="s">
        <v>1997</v>
      </c>
      <c r="G31" s="75">
        <v>208575</v>
      </c>
      <c r="H31" s="75">
        <f t="shared" si="1"/>
        <v>0</v>
      </c>
      <c r="I31" s="86">
        <f>VLOOKUP(B31,多浪小区账面房号及收款金额!$A$2:$B$474,2,0)</f>
        <v>208575</v>
      </c>
      <c r="J31" s="86"/>
      <c r="K31" s="87">
        <f t="shared" si="2"/>
        <v>0</v>
      </c>
      <c r="L31" s="88"/>
      <c r="M31" s="88"/>
      <c r="N31" s="89"/>
      <c r="O31" s="89">
        <f t="shared" si="3"/>
        <v>0</v>
      </c>
      <c r="P31" s="91"/>
      <c r="Q31" s="88"/>
      <c r="R31" s="75">
        <f t="shared" si="4"/>
        <v>191353.211009174</v>
      </c>
      <c r="S31" s="75">
        <f t="shared" si="5"/>
        <v>9567.6605504587</v>
      </c>
      <c r="T31" s="75">
        <f t="shared" si="6"/>
        <v>191353.211009174</v>
      </c>
      <c r="U31" s="75">
        <f t="shared" si="7"/>
        <v>9567.6605504587</v>
      </c>
    </row>
    <row r="32" hidden="1" spans="1:21">
      <c r="A32" s="55">
        <v>29</v>
      </c>
      <c r="B32" s="71" t="s">
        <v>1998</v>
      </c>
      <c r="C32" s="72">
        <v>72.37</v>
      </c>
      <c r="D32" s="73">
        <v>2750</v>
      </c>
      <c r="E32" s="73">
        <f t="shared" si="0"/>
        <v>199018</v>
      </c>
      <c r="F32" s="74" t="s">
        <v>1999</v>
      </c>
      <c r="G32" s="75">
        <v>186780</v>
      </c>
      <c r="H32" s="75">
        <f t="shared" si="1"/>
        <v>12238</v>
      </c>
      <c r="I32" s="86">
        <f>VLOOKUP(B32,多浪小区账面房号及收款金额!$A$2:$B$474,2,0)</f>
        <v>186780</v>
      </c>
      <c r="J32" s="86"/>
      <c r="K32" s="87">
        <f t="shared" si="2"/>
        <v>0</v>
      </c>
      <c r="L32" s="88"/>
      <c r="M32" s="88"/>
      <c r="N32" s="89"/>
      <c r="O32" s="89">
        <f t="shared" si="3"/>
        <v>0</v>
      </c>
      <c r="P32" s="91"/>
      <c r="Q32" s="88"/>
      <c r="R32" s="75">
        <f t="shared" si="4"/>
        <v>171357.798165138</v>
      </c>
      <c r="S32" s="75">
        <f t="shared" si="5"/>
        <v>8567.8899082569</v>
      </c>
      <c r="T32" s="75">
        <f t="shared" si="6"/>
        <v>171357.798165138</v>
      </c>
      <c r="U32" s="75">
        <f t="shared" si="7"/>
        <v>8567.8899082569</v>
      </c>
    </row>
    <row r="33" hidden="1" spans="1:21">
      <c r="A33" s="55">
        <v>30</v>
      </c>
      <c r="B33" s="76" t="s">
        <v>2000</v>
      </c>
      <c r="C33" s="72">
        <v>77.25</v>
      </c>
      <c r="D33" s="73">
        <v>2600</v>
      </c>
      <c r="E33" s="73">
        <f t="shared" si="0"/>
        <v>200850</v>
      </c>
      <c r="F33" s="74" t="s">
        <v>2001</v>
      </c>
      <c r="G33" s="75">
        <v>200850</v>
      </c>
      <c r="H33" s="75">
        <f t="shared" si="1"/>
        <v>0</v>
      </c>
      <c r="I33" s="86">
        <f>VLOOKUP(B33,多浪小区账面房号及收款金额!$A$2:$B$474,2,0)</f>
        <v>200850</v>
      </c>
      <c r="J33" s="86"/>
      <c r="K33" s="87">
        <f t="shared" si="2"/>
        <v>0</v>
      </c>
      <c r="L33" s="88"/>
      <c r="M33" s="88"/>
      <c r="N33" s="89">
        <f>VLOOKUP(B33,[2]信息汇总表!$M$2:$T$816,8,0)</f>
        <v>200850</v>
      </c>
      <c r="O33" s="89">
        <f t="shared" si="3"/>
        <v>184266.055045872</v>
      </c>
      <c r="P33" s="91">
        <v>184266.06</v>
      </c>
      <c r="Q33" s="88"/>
      <c r="R33" s="75">
        <f t="shared" si="4"/>
        <v>184266.055045872</v>
      </c>
      <c r="S33" s="75">
        <f t="shared" si="5"/>
        <v>9213.3027522936</v>
      </c>
      <c r="T33" s="75">
        <f t="shared" si="6"/>
        <v>-0.00495412800228223</v>
      </c>
      <c r="U33" s="75">
        <f t="shared" si="7"/>
        <v>-0.000247706399022718</v>
      </c>
    </row>
    <row r="34" ht="24.75" hidden="1" spans="1:21">
      <c r="A34" s="55">
        <v>31</v>
      </c>
      <c r="B34" s="71" t="s">
        <v>2002</v>
      </c>
      <c r="C34" s="72">
        <v>94.94</v>
      </c>
      <c r="D34" s="73">
        <v>2980</v>
      </c>
      <c r="E34" s="73">
        <f t="shared" si="0"/>
        <v>282921</v>
      </c>
      <c r="F34" s="74" t="s">
        <v>2003</v>
      </c>
      <c r="G34" s="75">
        <v>112921.2</v>
      </c>
      <c r="H34" s="75">
        <f t="shared" si="1"/>
        <v>169999.8</v>
      </c>
      <c r="I34" s="86">
        <f>'2023年8-11月预收账款'!K12+'2023年8-11月预收账款'!K27</f>
        <v>112921.2</v>
      </c>
      <c r="J34" s="86"/>
      <c r="K34" s="87">
        <f t="shared" si="2"/>
        <v>0</v>
      </c>
      <c r="L34" s="92" t="s">
        <v>2004</v>
      </c>
      <c r="M34" s="88"/>
      <c r="N34" s="89"/>
      <c r="O34" s="89">
        <f t="shared" si="3"/>
        <v>0</v>
      </c>
      <c r="P34" s="91">
        <v>2680</v>
      </c>
      <c r="Q34" s="88"/>
      <c r="R34" s="75">
        <f t="shared" si="4"/>
        <v>103597.431192661</v>
      </c>
      <c r="S34" s="75">
        <f t="shared" si="5"/>
        <v>5179.87155963305</v>
      </c>
      <c r="T34" s="75">
        <f t="shared" si="6"/>
        <v>100917.431192661</v>
      </c>
      <c r="U34" s="75">
        <f t="shared" si="7"/>
        <v>5045.87155963305</v>
      </c>
    </row>
    <row r="35" hidden="1" spans="1:21">
      <c r="A35" s="55">
        <v>32</v>
      </c>
      <c r="B35" s="76" t="s">
        <v>2005</v>
      </c>
      <c r="C35" s="72">
        <v>54.91</v>
      </c>
      <c r="D35" s="73">
        <v>3031.56</v>
      </c>
      <c r="E35" s="73">
        <f t="shared" si="0"/>
        <v>166463</v>
      </c>
      <c r="F35" s="74" t="s">
        <v>2006</v>
      </c>
      <c r="G35" s="75">
        <v>166463</v>
      </c>
      <c r="H35" s="75">
        <f t="shared" si="1"/>
        <v>0</v>
      </c>
      <c r="I35" s="86">
        <f>VLOOKUP(B35,多浪小区账面房号及收款金额!$A$2:$B$474,2,0)</f>
        <v>166463</v>
      </c>
      <c r="J35" s="86"/>
      <c r="K35" s="87">
        <f t="shared" si="2"/>
        <v>0</v>
      </c>
      <c r="L35" s="88"/>
      <c r="M35" s="88"/>
      <c r="N35" s="89"/>
      <c r="O35" s="89">
        <f t="shared" si="3"/>
        <v>0</v>
      </c>
      <c r="P35" s="91"/>
      <c r="Q35" s="88"/>
      <c r="R35" s="75">
        <f t="shared" si="4"/>
        <v>152718.348623853</v>
      </c>
      <c r="S35" s="75">
        <f t="shared" si="5"/>
        <v>7635.91743119265</v>
      </c>
      <c r="T35" s="75">
        <f t="shared" si="6"/>
        <v>152718.348623853</v>
      </c>
      <c r="U35" s="75">
        <f t="shared" si="7"/>
        <v>7635.91743119265</v>
      </c>
    </row>
    <row r="36" hidden="1" spans="1:21">
      <c r="A36" s="55">
        <v>33</v>
      </c>
      <c r="B36" s="71" t="s">
        <v>2007</v>
      </c>
      <c r="C36" s="72">
        <v>78.52</v>
      </c>
      <c r="D36" s="73">
        <v>2850</v>
      </c>
      <c r="E36" s="73">
        <f t="shared" si="0"/>
        <v>223782</v>
      </c>
      <c r="F36" s="74" t="s">
        <v>2008</v>
      </c>
      <c r="G36" s="75">
        <v>223782</v>
      </c>
      <c r="H36" s="75">
        <f t="shared" si="1"/>
        <v>0</v>
      </c>
      <c r="I36" s="86">
        <f>VLOOKUP(B36,多浪小区账面房号及收款金额!$A$2:$B$474,2,0)</f>
        <v>223782</v>
      </c>
      <c r="J36" s="86"/>
      <c r="K36" s="87">
        <f t="shared" si="2"/>
        <v>0</v>
      </c>
      <c r="L36" s="88"/>
      <c r="M36" s="88"/>
      <c r="N36" s="89">
        <f>VLOOKUP(B36,[2]信息汇总表!$M$2:$T$816,8,0)</f>
        <v>223782</v>
      </c>
      <c r="O36" s="89">
        <f t="shared" si="3"/>
        <v>205304.587155963</v>
      </c>
      <c r="P36" s="91">
        <v>205304.59</v>
      </c>
      <c r="Q36" s="88"/>
      <c r="R36" s="75">
        <f t="shared" si="4"/>
        <v>205304.587155963</v>
      </c>
      <c r="S36" s="75">
        <f t="shared" si="5"/>
        <v>10265.2293577982</v>
      </c>
      <c r="T36" s="75">
        <f t="shared" si="6"/>
        <v>-0.0028440369933378</v>
      </c>
      <c r="U36" s="75">
        <f t="shared" si="7"/>
        <v>-0.000142201850394486</v>
      </c>
    </row>
    <row r="37" hidden="1" spans="1:21">
      <c r="A37" s="55">
        <v>34</v>
      </c>
      <c r="B37" s="71" t="s">
        <v>2009</v>
      </c>
      <c r="C37" s="72">
        <v>94.94</v>
      </c>
      <c r="D37" s="73">
        <v>3100</v>
      </c>
      <c r="E37" s="73">
        <f t="shared" si="0"/>
        <v>294314</v>
      </c>
      <c r="F37" s="74" t="s">
        <v>2010</v>
      </c>
      <c r="G37" s="75">
        <v>294314</v>
      </c>
      <c r="H37" s="75">
        <f t="shared" si="1"/>
        <v>0</v>
      </c>
      <c r="I37" s="86">
        <f>VLOOKUP(B37,多浪小区账面房号及收款金额!$A$2:$B$474,2,0)</f>
        <v>294314</v>
      </c>
      <c r="J37" s="86"/>
      <c r="K37" s="87">
        <f t="shared" si="2"/>
        <v>0</v>
      </c>
      <c r="L37" s="88"/>
      <c r="M37" s="88"/>
      <c r="N37" s="89">
        <f>VLOOKUP(B37,[2]信息汇总表!$M$2:$T$816,8,0)</f>
        <v>294314</v>
      </c>
      <c r="O37" s="89">
        <f t="shared" si="3"/>
        <v>270012.844036697</v>
      </c>
      <c r="P37" s="91">
        <v>270012.84</v>
      </c>
      <c r="Q37" s="88"/>
      <c r="R37" s="75">
        <f t="shared" si="4"/>
        <v>270012.844036697</v>
      </c>
      <c r="S37" s="75">
        <f t="shared" si="5"/>
        <v>13500.6422018349</v>
      </c>
      <c r="T37" s="75">
        <f t="shared" si="6"/>
        <v>0.00403669697698206</v>
      </c>
      <c r="U37" s="75">
        <f t="shared" si="7"/>
        <v>0.000201834849576699</v>
      </c>
    </row>
    <row r="38" hidden="1" spans="1:21">
      <c r="A38" s="55">
        <v>35</v>
      </c>
      <c r="B38" s="76" t="s">
        <v>2011</v>
      </c>
      <c r="C38" s="72">
        <v>54.91</v>
      </c>
      <c r="D38" s="73">
        <v>2931.58</v>
      </c>
      <c r="E38" s="73">
        <f t="shared" si="0"/>
        <v>160973</v>
      </c>
      <c r="F38" s="74" t="s">
        <v>2012</v>
      </c>
      <c r="G38" s="75">
        <v>160973</v>
      </c>
      <c r="H38" s="75">
        <f t="shared" si="1"/>
        <v>0</v>
      </c>
      <c r="I38" s="86">
        <f>VLOOKUP(B38,多浪小区账面房号及收款金额!$A$2:$B$474,2,0)</f>
        <v>160973</v>
      </c>
      <c r="J38" s="86"/>
      <c r="K38" s="87">
        <f t="shared" ref="K38:K58" si="8">G38-I38</f>
        <v>0</v>
      </c>
      <c r="L38" s="88"/>
      <c r="M38" s="88"/>
      <c r="N38" s="89"/>
      <c r="O38" s="89">
        <f t="shared" si="3"/>
        <v>0</v>
      </c>
      <c r="P38" s="91"/>
      <c r="Q38" s="88"/>
      <c r="R38" s="75">
        <f t="shared" si="4"/>
        <v>147681.651376147</v>
      </c>
      <c r="S38" s="75">
        <f t="shared" si="5"/>
        <v>7384.08256880735</v>
      </c>
      <c r="T38" s="75">
        <f t="shared" si="6"/>
        <v>147681.651376147</v>
      </c>
      <c r="U38" s="75">
        <f t="shared" si="7"/>
        <v>7384.08256880735</v>
      </c>
    </row>
    <row r="39" hidden="1" spans="1:21">
      <c r="A39" s="55">
        <v>36</v>
      </c>
      <c r="B39" s="71" t="s">
        <v>2013</v>
      </c>
      <c r="C39" s="72">
        <v>78.52</v>
      </c>
      <c r="D39" s="73">
        <v>2950</v>
      </c>
      <c r="E39" s="73">
        <f t="shared" si="0"/>
        <v>231634</v>
      </c>
      <c r="F39" s="74" t="s">
        <v>2014</v>
      </c>
      <c r="G39" s="75">
        <v>231634</v>
      </c>
      <c r="H39" s="75">
        <f t="shared" si="1"/>
        <v>0</v>
      </c>
      <c r="I39" s="86">
        <f>VLOOKUP(B39,多浪小区账面房号及收款金额!$A$2:$B$474,2,0)</f>
        <v>231634</v>
      </c>
      <c r="J39" s="86"/>
      <c r="K39" s="87">
        <f t="shared" si="8"/>
        <v>0</v>
      </c>
      <c r="L39" s="88"/>
      <c r="M39" s="88"/>
      <c r="N39" s="89"/>
      <c r="O39" s="89">
        <f t="shared" si="3"/>
        <v>0</v>
      </c>
      <c r="P39" s="91"/>
      <c r="Q39" s="88"/>
      <c r="R39" s="75">
        <f t="shared" si="4"/>
        <v>212508.256880734</v>
      </c>
      <c r="S39" s="75">
        <f t="shared" si="5"/>
        <v>10625.4128440367</v>
      </c>
      <c r="T39" s="75">
        <f t="shared" si="6"/>
        <v>212508.256880734</v>
      </c>
      <c r="U39" s="75">
        <f t="shared" si="7"/>
        <v>10625.4128440367</v>
      </c>
    </row>
    <row r="40" hidden="1" spans="1:21">
      <c r="A40" s="55">
        <v>37</v>
      </c>
      <c r="B40" s="71" t="s">
        <v>2015</v>
      </c>
      <c r="C40" s="72">
        <v>94.94</v>
      </c>
      <c r="D40" s="73">
        <v>3000</v>
      </c>
      <c r="E40" s="73">
        <f t="shared" si="0"/>
        <v>284820</v>
      </c>
      <c r="F40" s="74" t="s">
        <v>2016</v>
      </c>
      <c r="G40" s="75">
        <v>284820</v>
      </c>
      <c r="H40" s="75">
        <f t="shared" si="1"/>
        <v>0</v>
      </c>
      <c r="I40" s="86">
        <f>VLOOKUP(B40,多浪小区账面房号及收款金额!$A$2:$B$474,2,0)</f>
        <v>284820</v>
      </c>
      <c r="J40" s="86"/>
      <c r="K40" s="87">
        <f t="shared" si="8"/>
        <v>0</v>
      </c>
      <c r="L40" s="88"/>
      <c r="M40" s="88"/>
      <c r="N40" s="89">
        <f>VLOOKUP(B40,[2]信息汇总表!$M$2:$T$816,8,0)</f>
        <v>284820</v>
      </c>
      <c r="O40" s="89">
        <f t="shared" si="3"/>
        <v>261302.752293578</v>
      </c>
      <c r="P40" s="91">
        <v>261302.75</v>
      </c>
      <c r="Q40" s="88"/>
      <c r="R40" s="75">
        <f t="shared" si="4"/>
        <v>261302.752293578</v>
      </c>
      <c r="S40" s="75">
        <f t="shared" si="5"/>
        <v>13065.1376146789</v>
      </c>
      <c r="T40" s="75">
        <f t="shared" si="6"/>
        <v>0.00229357799980789</v>
      </c>
      <c r="U40" s="75">
        <f t="shared" si="7"/>
        <v>0.000114678899990395</v>
      </c>
    </row>
    <row r="41" ht="12" hidden="1" customHeight="1" spans="1:21">
      <c r="A41" s="55">
        <v>38</v>
      </c>
      <c r="B41" s="76" t="s">
        <v>2017</v>
      </c>
      <c r="C41" s="72">
        <v>54.91</v>
      </c>
      <c r="D41" s="73">
        <v>2950</v>
      </c>
      <c r="E41" s="73">
        <f t="shared" si="0"/>
        <v>161985</v>
      </c>
      <c r="F41" s="74" t="s">
        <v>2018</v>
      </c>
      <c r="G41" s="75">
        <v>156985</v>
      </c>
      <c r="H41" s="75">
        <f t="shared" si="1"/>
        <v>5000</v>
      </c>
      <c r="I41" s="86">
        <f>VLOOKUP(B41,多浪小区账面房号及收款金额!$A$2:$B$474,2,0)</f>
        <v>156985</v>
      </c>
      <c r="J41" s="86"/>
      <c r="K41" s="87">
        <f t="shared" si="8"/>
        <v>0</v>
      </c>
      <c r="L41" s="88"/>
      <c r="M41" s="88"/>
      <c r="N41" s="89">
        <f>VLOOKUP(B41,[2]信息汇总表!$M$2:$T$816,8,0)</f>
        <v>161985</v>
      </c>
      <c r="O41" s="89">
        <f t="shared" si="3"/>
        <v>148610.091743119</v>
      </c>
      <c r="P41" s="91">
        <v>148610.09</v>
      </c>
      <c r="Q41" s="88"/>
      <c r="R41" s="75">
        <f t="shared" si="4"/>
        <v>144022.935779817</v>
      </c>
      <c r="S41" s="75">
        <f t="shared" si="5"/>
        <v>7201.14678899085</v>
      </c>
      <c r="T41" s="75">
        <f t="shared" si="6"/>
        <v>-4587.154220183</v>
      </c>
      <c r="U41" s="75">
        <f t="shared" si="7"/>
        <v>-229.35771100915</v>
      </c>
    </row>
    <row r="42" hidden="1" spans="1:21">
      <c r="A42" s="55">
        <v>39</v>
      </c>
      <c r="B42" s="71" t="s">
        <v>2019</v>
      </c>
      <c r="C42" s="72">
        <v>78.52</v>
      </c>
      <c r="D42" s="73">
        <v>2800</v>
      </c>
      <c r="E42" s="73">
        <f t="shared" si="0"/>
        <v>219856</v>
      </c>
      <c r="F42" s="74" t="s">
        <v>2020</v>
      </c>
      <c r="G42" s="75">
        <v>219856</v>
      </c>
      <c r="H42" s="75">
        <f t="shared" si="1"/>
        <v>0</v>
      </c>
      <c r="I42" s="86">
        <f>VLOOKUP(B42,多浪小区账面房号及收款金额!$A$2:$B$474,2,0)</f>
        <v>219856</v>
      </c>
      <c r="J42" s="86"/>
      <c r="K42" s="87">
        <f t="shared" si="8"/>
        <v>0</v>
      </c>
      <c r="L42" s="88"/>
      <c r="M42" s="88"/>
      <c r="N42" s="89"/>
      <c r="O42" s="89">
        <f t="shared" si="3"/>
        <v>0</v>
      </c>
      <c r="P42" s="91"/>
      <c r="Q42" s="88"/>
      <c r="R42" s="75">
        <f t="shared" si="4"/>
        <v>201702.752293578</v>
      </c>
      <c r="S42" s="75">
        <f t="shared" si="5"/>
        <v>10085.1376146789</v>
      </c>
      <c r="T42" s="75">
        <f t="shared" si="6"/>
        <v>201702.752293578</v>
      </c>
      <c r="U42" s="75">
        <f t="shared" si="7"/>
        <v>10085.1376146789</v>
      </c>
    </row>
    <row r="43" hidden="1" spans="1:21">
      <c r="A43" s="55">
        <v>40</v>
      </c>
      <c r="B43" s="71" t="s">
        <v>2021</v>
      </c>
      <c r="C43" s="72">
        <v>94.94</v>
      </c>
      <c r="D43" s="73">
        <v>2791.24</v>
      </c>
      <c r="E43" s="73">
        <f t="shared" si="0"/>
        <v>265000</v>
      </c>
      <c r="F43" s="74" t="s">
        <v>2022</v>
      </c>
      <c r="G43" s="75">
        <v>265000</v>
      </c>
      <c r="H43" s="75">
        <f t="shared" si="1"/>
        <v>0</v>
      </c>
      <c r="I43" s="86">
        <f>VLOOKUP(B43,多浪小区账面房号及收款金额!$A$2:$B$474,2,0)</f>
        <v>265000</v>
      </c>
      <c r="J43" s="86"/>
      <c r="K43" s="87">
        <f t="shared" si="8"/>
        <v>0</v>
      </c>
      <c r="L43" s="88"/>
      <c r="M43" s="88"/>
      <c r="N43" s="89">
        <f>VLOOKUP(B43,[2]信息汇总表!$M$2:$T$816,8,0)</f>
        <v>265000</v>
      </c>
      <c r="O43" s="89">
        <f t="shared" si="3"/>
        <v>243119.266055046</v>
      </c>
      <c r="P43" s="91">
        <v>243119.27</v>
      </c>
      <c r="Q43" s="88"/>
      <c r="R43" s="75">
        <f t="shared" si="4"/>
        <v>243119.266055046</v>
      </c>
      <c r="S43" s="75">
        <f t="shared" si="5"/>
        <v>12155.9633027523</v>
      </c>
      <c r="T43" s="75">
        <f t="shared" si="6"/>
        <v>-0.00394495399086736</v>
      </c>
      <c r="U43" s="75">
        <f t="shared" si="7"/>
        <v>-0.000197247698451974</v>
      </c>
    </row>
    <row r="44" hidden="1" spans="1:21">
      <c r="A44" s="55">
        <v>41</v>
      </c>
      <c r="B44" s="76" t="s">
        <v>2023</v>
      </c>
      <c r="C44" s="72">
        <v>54.91</v>
      </c>
      <c r="D44" s="73">
        <v>2681.57</v>
      </c>
      <c r="E44" s="73">
        <f t="shared" si="0"/>
        <v>147245</v>
      </c>
      <c r="F44" s="74" t="s">
        <v>2024</v>
      </c>
      <c r="G44" s="75">
        <v>147245</v>
      </c>
      <c r="H44" s="75">
        <f t="shared" si="1"/>
        <v>0</v>
      </c>
      <c r="I44" s="86">
        <f>VLOOKUP(B44,多浪小区账面房号及收款金额!$A$2:$B$474,2,0)</f>
        <v>147245</v>
      </c>
      <c r="J44" s="86"/>
      <c r="K44" s="87">
        <f t="shared" si="8"/>
        <v>0</v>
      </c>
      <c r="L44" s="88"/>
      <c r="M44" s="88"/>
      <c r="N44" s="89"/>
      <c r="O44" s="89">
        <f t="shared" si="3"/>
        <v>0</v>
      </c>
      <c r="P44" s="91"/>
      <c r="Q44" s="88"/>
      <c r="R44" s="75">
        <f t="shared" si="4"/>
        <v>135087.155963303</v>
      </c>
      <c r="S44" s="75">
        <f t="shared" si="5"/>
        <v>6754.35779816515</v>
      </c>
      <c r="T44" s="75">
        <f t="shared" si="6"/>
        <v>135087.155963303</v>
      </c>
      <c r="U44" s="75">
        <f t="shared" si="7"/>
        <v>6754.35779816515</v>
      </c>
    </row>
    <row r="45" hidden="1" spans="1:21">
      <c r="A45" s="55">
        <v>42</v>
      </c>
      <c r="B45" s="71" t="s">
        <v>2025</v>
      </c>
      <c r="C45" s="72">
        <v>78.52</v>
      </c>
      <c r="D45" s="73">
        <v>2800</v>
      </c>
      <c r="E45" s="73">
        <f t="shared" si="0"/>
        <v>219856</v>
      </c>
      <c r="F45" s="74" t="s">
        <v>2026</v>
      </c>
      <c r="G45" s="75">
        <v>219856</v>
      </c>
      <c r="H45" s="75">
        <f t="shared" si="1"/>
        <v>0</v>
      </c>
      <c r="I45" s="86">
        <f>VLOOKUP(B45,多浪小区账面房号及收款金额!$A$2:$B$474,2,0)</f>
        <v>219856</v>
      </c>
      <c r="J45" s="86"/>
      <c r="K45" s="87">
        <f t="shared" si="8"/>
        <v>0</v>
      </c>
      <c r="L45" s="88"/>
      <c r="M45" s="88"/>
      <c r="N45" s="89">
        <f>VLOOKUP(B45,[2]信息汇总表!$M$2:$T$816,8,0)</f>
        <v>219856</v>
      </c>
      <c r="O45" s="89">
        <f t="shared" si="3"/>
        <v>201702.752293578</v>
      </c>
      <c r="P45" s="91">
        <v>201702.75</v>
      </c>
      <c r="Q45" s="88"/>
      <c r="R45" s="75">
        <f t="shared" si="4"/>
        <v>201702.752293578</v>
      </c>
      <c r="S45" s="75">
        <f t="shared" si="5"/>
        <v>10085.1376146789</v>
      </c>
      <c r="T45" s="75">
        <f t="shared" si="6"/>
        <v>0.00229357799980789</v>
      </c>
      <c r="U45" s="75">
        <f t="shared" si="7"/>
        <v>0.000114678899990395</v>
      </c>
    </row>
    <row r="46" hidden="1" spans="1:21">
      <c r="A46" s="55">
        <v>43</v>
      </c>
      <c r="B46" s="71" t="s">
        <v>2027</v>
      </c>
      <c r="C46" s="72">
        <v>94.94</v>
      </c>
      <c r="D46" s="73">
        <v>2600</v>
      </c>
      <c r="E46" s="73">
        <f t="shared" si="0"/>
        <v>246844</v>
      </c>
      <c r="F46" s="74" t="s">
        <v>2028</v>
      </c>
      <c r="G46" s="75">
        <v>246844</v>
      </c>
      <c r="H46" s="75">
        <f t="shared" si="1"/>
        <v>0</v>
      </c>
      <c r="I46" s="86">
        <f>VLOOKUP(B46,多浪小区账面房号及收款金额!$A$2:$B$474,2,0)</f>
        <v>246844</v>
      </c>
      <c r="J46" s="86"/>
      <c r="K46" s="87">
        <f t="shared" si="8"/>
        <v>0</v>
      </c>
      <c r="L46" s="88"/>
      <c r="M46" s="88"/>
      <c r="N46" s="89"/>
      <c r="O46" s="89">
        <f t="shared" si="3"/>
        <v>0</v>
      </c>
      <c r="P46" s="91"/>
      <c r="Q46" s="88"/>
      <c r="R46" s="75">
        <f t="shared" si="4"/>
        <v>226462.385321101</v>
      </c>
      <c r="S46" s="75">
        <f t="shared" si="5"/>
        <v>11323.1192660551</v>
      </c>
      <c r="T46" s="75">
        <f t="shared" si="6"/>
        <v>226462.385321101</v>
      </c>
      <c r="U46" s="75">
        <f t="shared" si="7"/>
        <v>11323.1192660551</v>
      </c>
    </row>
    <row r="47" hidden="1" spans="1:21">
      <c r="A47" s="55">
        <v>44</v>
      </c>
      <c r="B47" s="76" t="s">
        <v>2029</v>
      </c>
      <c r="C47" s="72">
        <v>54.91</v>
      </c>
      <c r="D47" s="73">
        <v>2481.78</v>
      </c>
      <c r="E47" s="73">
        <f t="shared" si="0"/>
        <v>136275</v>
      </c>
      <c r="F47" s="74" t="s">
        <v>2030</v>
      </c>
      <c r="G47" s="75">
        <v>136275</v>
      </c>
      <c r="H47" s="75">
        <f t="shared" si="1"/>
        <v>0</v>
      </c>
      <c r="I47" s="86">
        <f>VLOOKUP(B47,多浪小区账面房号及收款金额!$A$2:$B$474,2,0)</f>
        <v>136275</v>
      </c>
      <c r="J47" s="86"/>
      <c r="K47" s="87">
        <f t="shared" si="8"/>
        <v>0</v>
      </c>
      <c r="L47" s="88"/>
      <c r="M47" s="88"/>
      <c r="N47" s="89">
        <v>136275</v>
      </c>
      <c r="O47" s="89">
        <f t="shared" si="3"/>
        <v>125022.935779817</v>
      </c>
      <c r="P47" s="91"/>
      <c r="Q47" s="88"/>
      <c r="R47" s="75">
        <f t="shared" si="4"/>
        <v>125022.935779817</v>
      </c>
      <c r="S47" s="75">
        <f t="shared" si="5"/>
        <v>6251.14678899085</v>
      </c>
      <c r="T47" s="75">
        <f t="shared" si="6"/>
        <v>125022.935779817</v>
      </c>
      <c r="U47" s="75">
        <f t="shared" si="7"/>
        <v>6251.14678899085</v>
      </c>
    </row>
    <row r="48" hidden="1" spans="1:21">
      <c r="A48" s="55">
        <v>45</v>
      </c>
      <c r="B48" s="71" t="s">
        <v>2031</v>
      </c>
      <c r="C48" s="72">
        <v>78.52</v>
      </c>
      <c r="D48" s="73">
        <v>2600</v>
      </c>
      <c r="E48" s="73">
        <f t="shared" si="0"/>
        <v>204152</v>
      </c>
      <c r="F48" s="74" t="s">
        <v>2032</v>
      </c>
      <c r="G48" s="75">
        <v>204152</v>
      </c>
      <c r="H48" s="75">
        <f t="shared" si="1"/>
        <v>0</v>
      </c>
      <c r="I48" s="86">
        <f>VLOOKUP(B48,多浪小区账面房号及收款金额!$A$2:$B$474,2,0)</f>
        <v>204152</v>
      </c>
      <c r="J48" s="86"/>
      <c r="K48" s="87">
        <f t="shared" si="8"/>
        <v>0</v>
      </c>
      <c r="L48" s="88"/>
      <c r="M48" s="88"/>
      <c r="N48" s="89">
        <f>VLOOKUP(B48,[2]信息汇总表!$M$2:$T$816,8,0)</f>
        <v>204152</v>
      </c>
      <c r="O48" s="89">
        <f t="shared" si="3"/>
        <v>187295.412844037</v>
      </c>
      <c r="P48" s="91">
        <v>187295.412844037</v>
      </c>
      <c r="Q48" s="88"/>
      <c r="R48" s="75">
        <f t="shared" si="4"/>
        <v>187295.412844037</v>
      </c>
      <c r="S48" s="75">
        <f t="shared" si="5"/>
        <v>9364.77064220185</v>
      </c>
      <c r="T48" s="75">
        <f t="shared" si="6"/>
        <v>0</v>
      </c>
      <c r="U48" s="75">
        <f t="shared" si="7"/>
        <v>0</v>
      </c>
    </row>
    <row r="49" hidden="1" spans="1:21">
      <c r="A49" s="55">
        <v>46</v>
      </c>
      <c r="B49" s="71" t="s">
        <v>2033</v>
      </c>
      <c r="C49" s="72">
        <v>94.45</v>
      </c>
      <c r="D49" s="73">
        <v>3000</v>
      </c>
      <c r="E49" s="73">
        <f t="shared" si="0"/>
        <v>283350</v>
      </c>
      <c r="F49" s="74" t="s">
        <v>2034</v>
      </c>
      <c r="G49" s="75">
        <v>283350</v>
      </c>
      <c r="H49" s="75">
        <f t="shared" si="1"/>
        <v>0</v>
      </c>
      <c r="I49" s="86">
        <f>VLOOKUP(B49,多浪小区账面房号及收款金额!$A$2:$B$474,2,0)</f>
        <v>283350</v>
      </c>
      <c r="J49" s="86"/>
      <c r="K49" s="87">
        <f t="shared" si="8"/>
        <v>0</v>
      </c>
      <c r="L49" s="88"/>
      <c r="M49" s="88"/>
      <c r="N49" s="89">
        <f>VLOOKUP(B49,[2]信息汇总表!$M$2:$T$816,8,0)</f>
        <v>283350</v>
      </c>
      <c r="O49" s="89">
        <f t="shared" si="3"/>
        <v>259954.128440367</v>
      </c>
      <c r="P49" s="91">
        <f>195864.22</f>
        <v>195864.22</v>
      </c>
      <c r="Q49" s="88"/>
      <c r="R49" s="75">
        <f t="shared" si="4"/>
        <v>259954.128440367</v>
      </c>
      <c r="S49" s="75">
        <f t="shared" si="5"/>
        <v>12997.7064220184</v>
      </c>
      <c r="T49" s="75">
        <f t="shared" si="6"/>
        <v>64089.908440367</v>
      </c>
      <c r="U49" s="75">
        <f t="shared" si="7"/>
        <v>3204.49542201835</v>
      </c>
    </row>
    <row r="50" hidden="1" spans="1:21">
      <c r="A50" s="55">
        <v>47</v>
      </c>
      <c r="B50" s="76" t="s">
        <v>2035</v>
      </c>
      <c r="C50" s="72">
        <v>44.1</v>
      </c>
      <c r="D50" s="73">
        <v>2970.52</v>
      </c>
      <c r="E50" s="73">
        <f t="shared" si="0"/>
        <v>131000</v>
      </c>
      <c r="F50" s="74" t="s">
        <v>2036</v>
      </c>
      <c r="G50" s="75">
        <v>126000</v>
      </c>
      <c r="H50" s="75">
        <f t="shared" si="1"/>
        <v>5000</v>
      </c>
      <c r="I50" s="86">
        <f>VLOOKUP(B50,多浪小区账面房号及收款金额!$A$2:$B$474,2,0)</f>
        <v>126036</v>
      </c>
      <c r="J50" s="86"/>
      <c r="K50" s="87">
        <f t="shared" si="8"/>
        <v>-36</v>
      </c>
      <c r="L50" s="92"/>
      <c r="M50" s="88"/>
      <c r="N50" s="89">
        <v>131000</v>
      </c>
      <c r="O50" s="89">
        <f t="shared" si="3"/>
        <v>120183.486238532</v>
      </c>
      <c r="P50" s="91"/>
      <c r="Q50" s="88">
        <v>131000</v>
      </c>
      <c r="R50" s="75">
        <f t="shared" si="4"/>
        <v>115629.357798165</v>
      </c>
      <c r="S50" s="75">
        <f t="shared" si="5"/>
        <v>5781.46788990825</v>
      </c>
      <c r="T50" s="75">
        <f t="shared" si="6"/>
        <v>115629.357798165</v>
      </c>
      <c r="U50" s="75">
        <f t="shared" si="7"/>
        <v>5781.46788990825</v>
      </c>
    </row>
    <row r="51" hidden="1" spans="1:21">
      <c r="A51" s="55">
        <v>48</v>
      </c>
      <c r="B51" s="71" t="s">
        <v>2037</v>
      </c>
      <c r="C51" s="72">
        <v>89.33</v>
      </c>
      <c r="D51" s="73">
        <v>2944.14</v>
      </c>
      <c r="E51" s="73">
        <f t="shared" si="0"/>
        <v>263000</v>
      </c>
      <c r="F51" s="74" t="s">
        <v>2038</v>
      </c>
      <c r="G51" s="75">
        <v>263000</v>
      </c>
      <c r="H51" s="75">
        <f t="shared" si="1"/>
        <v>0</v>
      </c>
      <c r="I51" s="86">
        <f>VLOOKUP(B51,多浪小区账面房号及收款金额!$A$2:$B$474,2,0)</f>
        <v>263000</v>
      </c>
      <c r="J51" s="86"/>
      <c r="K51" s="87">
        <f t="shared" si="8"/>
        <v>0</v>
      </c>
      <c r="L51" s="88"/>
      <c r="M51" s="88"/>
      <c r="N51" s="89">
        <f>VLOOKUP(B51,[2]信息汇总表!$M$2:$T$816,8,0)</f>
        <v>263000</v>
      </c>
      <c r="O51" s="89">
        <f t="shared" si="3"/>
        <v>241284.403669725</v>
      </c>
      <c r="P51" s="91">
        <v>241284.4</v>
      </c>
      <c r="Q51" s="88"/>
      <c r="R51" s="75">
        <f t="shared" si="4"/>
        <v>241284.403669725</v>
      </c>
      <c r="S51" s="75">
        <f t="shared" si="5"/>
        <v>12064.2201834862</v>
      </c>
      <c r="T51" s="75">
        <f t="shared" si="6"/>
        <v>0.00366972500341944</v>
      </c>
      <c r="U51" s="75">
        <f t="shared" si="7"/>
        <v>0.000183486248715781</v>
      </c>
    </row>
    <row r="52" hidden="1" spans="1:21">
      <c r="A52" s="55">
        <v>49</v>
      </c>
      <c r="B52" s="71" t="s">
        <v>2039</v>
      </c>
      <c r="C52" s="72">
        <v>94.45</v>
      </c>
      <c r="D52" s="73">
        <v>2996.29</v>
      </c>
      <c r="E52" s="73">
        <f t="shared" si="0"/>
        <v>283000</v>
      </c>
      <c r="F52" s="74" t="s">
        <v>2040</v>
      </c>
      <c r="G52" s="75">
        <v>283000</v>
      </c>
      <c r="H52" s="75">
        <f t="shared" si="1"/>
        <v>0</v>
      </c>
      <c r="I52" s="86">
        <f>VLOOKUP(B52,多浪小区账面房号及收款金额!$A$2:$B$474,2,0)</f>
        <v>283000</v>
      </c>
      <c r="J52" s="86"/>
      <c r="K52" s="87">
        <f t="shared" si="8"/>
        <v>0</v>
      </c>
      <c r="L52" s="88"/>
      <c r="M52" s="88"/>
      <c r="N52" s="89">
        <f>VLOOKUP(B52,[2]信息汇总表!$M$2:$T$816,8,0)</f>
        <v>283000</v>
      </c>
      <c r="O52" s="89">
        <f t="shared" si="3"/>
        <v>259633.027522936</v>
      </c>
      <c r="P52" s="91">
        <v>259633.03</v>
      </c>
      <c r="Q52" s="88"/>
      <c r="R52" s="75">
        <f t="shared" si="4"/>
        <v>259633.027522936</v>
      </c>
      <c r="S52" s="75">
        <f t="shared" si="5"/>
        <v>12981.6513761468</v>
      </c>
      <c r="T52" s="75">
        <f t="shared" si="6"/>
        <v>-0.00247706400114112</v>
      </c>
      <c r="U52" s="75">
        <f t="shared" si="7"/>
        <v>-0.000123853198601864</v>
      </c>
    </row>
    <row r="53" hidden="1" spans="1:21">
      <c r="A53" s="55">
        <v>50</v>
      </c>
      <c r="B53" s="76" t="s">
        <v>2041</v>
      </c>
      <c r="C53" s="72">
        <v>44.1</v>
      </c>
      <c r="D53" s="73">
        <v>2947.85</v>
      </c>
      <c r="E53" s="73">
        <f t="shared" si="0"/>
        <v>130000</v>
      </c>
      <c r="F53" s="74" t="s">
        <v>2042</v>
      </c>
      <c r="G53" s="75">
        <v>130000</v>
      </c>
      <c r="H53" s="75">
        <f t="shared" si="1"/>
        <v>0</v>
      </c>
      <c r="I53" s="86">
        <f>VLOOKUP(B53,多浪小区账面房号及收款金额!$A$2:$B$474,2,0)</f>
        <v>130000</v>
      </c>
      <c r="J53" s="86"/>
      <c r="K53" s="87">
        <f t="shared" si="8"/>
        <v>0</v>
      </c>
      <c r="L53" s="88"/>
      <c r="M53" s="88"/>
      <c r="N53" s="89"/>
      <c r="O53" s="89">
        <f t="shared" si="3"/>
        <v>0</v>
      </c>
      <c r="P53" s="91"/>
      <c r="Q53" s="88"/>
      <c r="R53" s="75">
        <f t="shared" si="4"/>
        <v>119266.055045872</v>
      </c>
      <c r="S53" s="75">
        <f t="shared" si="5"/>
        <v>5963.3027522936</v>
      </c>
      <c r="T53" s="75">
        <f t="shared" si="6"/>
        <v>119266.055045872</v>
      </c>
      <c r="U53" s="75">
        <f t="shared" si="7"/>
        <v>5963.3027522936</v>
      </c>
    </row>
    <row r="54" hidden="1" spans="1:21">
      <c r="A54" s="55">
        <v>51</v>
      </c>
      <c r="B54" s="71" t="s">
        <v>2043</v>
      </c>
      <c r="C54" s="72">
        <v>89.33</v>
      </c>
      <c r="D54" s="73">
        <v>3000</v>
      </c>
      <c r="E54" s="73">
        <f t="shared" si="0"/>
        <v>267990</v>
      </c>
      <c r="F54" s="74" t="s">
        <v>2044</v>
      </c>
      <c r="G54" s="75">
        <v>267990</v>
      </c>
      <c r="H54" s="75">
        <f t="shared" si="1"/>
        <v>0</v>
      </c>
      <c r="I54" s="86">
        <f>VLOOKUP(B54,多浪小区账面房号及收款金额!$A$2:$B$474,2,0)</f>
        <v>267990</v>
      </c>
      <c r="J54" s="86"/>
      <c r="K54" s="87">
        <f t="shared" si="8"/>
        <v>0</v>
      </c>
      <c r="L54" s="88"/>
      <c r="M54" s="88"/>
      <c r="N54" s="89">
        <f>VLOOKUP(B54,[2]信息汇总表!$M$2:$T$816,8,0)</f>
        <v>267990</v>
      </c>
      <c r="O54" s="89">
        <f t="shared" si="3"/>
        <v>245862.385321101</v>
      </c>
      <c r="P54" s="91">
        <v>245862.39</v>
      </c>
      <c r="Q54" s="88"/>
      <c r="R54" s="75">
        <f t="shared" si="4"/>
        <v>245862.385321101</v>
      </c>
      <c r="S54" s="75">
        <f t="shared" si="5"/>
        <v>12293.1192660551</v>
      </c>
      <c r="T54" s="75">
        <f t="shared" si="6"/>
        <v>-0.00467889901483431</v>
      </c>
      <c r="U54" s="75">
        <f t="shared" si="7"/>
        <v>-0.000233944949286524</v>
      </c>
    </row>
    <row r="55" hidden="1" spans="1:21">
      <c r="A55" s="55">
        <v>52</v>
      </c>
      <c r="B55" s="71" t="s">
        <v>2045</v>
      </c>
      <c r="C55" s="72">
        <v>94.45</v>
      </c>
      <c r="D55" s="73">
        <v>3080.99</v>
      </c>
      <c r="E55" s="73">
        <f t="shared" si="0"/>
        <v>291000</v>
      </c>
      <c r="F55" s="74" t="s">
        <v>2046</v>
      </c>
      <c r="G55" s="75">
        <v>291000</v>
      </c>
      <c r="H55" s="75">
        <f t="shared" si="1"/>
        <v>0</v>
      </c>
      <c r="I55" s="86">
        <f>VLOOKUP(B55,多浪小区账面房号及收款金额!$A$2:$B$474,2,0)</f>
        <v>291000</v>
      </c>
      <c r="J55" s="86"/>
      <c r="K55" s="87">
        <f t="shared" si="8"/>
        <v>0</v>
      </c>
      <c r="L55" s="88"/>
      <c r="M55" s="88"/>
      <c r="N55" s="89"/>
      <c r="O55" s="89">
        <f t="shared" si="3"/>
        <v>0</v>
      </c>
      <c r="P55" s="91"/>
      <c r="Q55" s="88"/>
      <c r="R55" s="75">
        <f t="shared" si="4"/>
        <v>266972.47706422</v>
      </c>
      <c r="S55" s="75">
        <f t="shared" si="5"/>
        <v>13348.623853211</v>
      </c>
      <c r="T55" s="75">
        <f t="shared" si="6"/>
        <v>266972.47706422</v>
      </c>
      <c r="U55" s="75">
        <f t="shared" si="7"/>
        <v>13348.623853211</v>
      </c>
    </row>
    <row r="56" hidden="1" spans="1:21">
      <c r="A56" s="55">
        <v>53</v>
      </c>
      <c r="B56" s="76" t="s">
        <v>2047</v>
      </c>
      <c r="C56" s="72">
        <v>44.1</v>
      </c>
      <c r="D56" s="73">
        <v>2800</v>
      </c>
      <c r="E56" s="73">
        <f t="shared" si="0"/>
        <v>123480</v>
      </c>
      <c r="F56" s="74" t="s">
        <v>2048</v>
      </c>
      <c r="G56" s="75">
        <v>123480</v>
      </c>
      <c r="H56" s="75">
        <f t="shared" si="1"/>
        <v>0</v>
      </c>
      <c r="I56" s="86">
        <f>VLOOKUP(B56,多浪小区账面房号及收款金额!$A$2:$B$474,2,0)</f>
        <v>123480</v>
      </c>
      <c r="J56" s="86"/>
      <c r="K56" s="87">
        <f t="shared" si="8"/>
        <v>0</v>
      </c>
      <c r="L56" s="88"/>
      <c r="M56" s="88"/>
      <c r="N56" s="89">
        <f>VLOOKUP(B56,[2]信息汇总表!$M$2:$T$816,8,0)</f>
        <v>123480</v>
      </c>
      <c r="O56" s="89">
        <f t="shared" si="3"/>
        <v>113284.403669725</v>
      </c>
      <c r="P56" s="91">
        <v>113284.4</v>
      </c>
      <c r="Q56" s="88"/>
      <c r="R56" s="75">
        <f t="shared" si="4"/>
        <v>113284.403669725</v>
      </c>
      <c r="S56" s="75">
        <f t="shared" si="5"/>
        <v>5664.22018348625</v>
      </c>
      <c r="T56" s="75">
        <f t="shared" si="6"/>
        <v>0.00366972500341944</v>
      </c>
      <c r="U56" s="75">
        <f t="shared" si="7"/>
        <v>0.000183486249625275</v>
      </c>
    </row>
    <row r="57" hidden="1" spans="1:21">
      <c r="A57" s="55">
        <v>54</v>
      </c>
      <c r="B57" s="71" t="s">
        <v>2049</v>
      </c>
      <c r="C57" s="72">
        <v>89.33</v>
      </c>
      <c r="D57" s="73">
        <v>3000</v>
      </c>
      <c r="E57" s="73">
        <f t="shared" si="0"/>
        <v>267990</v>
      </c>
      <c r="F57" s="74" t="s">
        <v>2050</v>
      </c>
      <c r="G57" s="75">
        <v>267990</v>
      </c>
      <c r="H57" s="75">
        <f t="shared" si="1"/>
        <v>0</v>
      </c>
      <c r="I57" s="86">
        <f>VLOOKUP(B57,多浪小区账面房号及收款金额!$A$2:$B$474,2,0)</f>
        <v>267990</v>
      </c>
      <c r="J57" s="86"/>
      <c r="K57" s="87">
        <f t="shared" si="8"/>
        <v>0</v>
      </c>
      <c r="L57" s="88"/>
      <c r="M57" s="88"/>
      <c r="N57" s="89">
        <f>VLOOKUP(B57,[2]信息汇总表!$M$2:$T$816,8,0)</f>
        <v>267990</v>
      </c>
      <c r="O57" s="89">
        <f t="shared" si="3"/>
        <v>245862.385321101</v>
      </c>
      <c r="P57" s="91">
        <v>245862.39</v>
      </c>
      <c r="Q57" s="88"/>
      <c r="R57" s="75">
        <f t="shared" si="4"/>
        <v>245862.385321101</v>
      </c>
      <c r="S57" s="75">
        <f t="shared" si="5"/>
        <v>12293.1192660551</v>
      </c>
      <c r="T57" s="75">
        <f t="shared" si="6"/>
        <v>-0.00467889901483431</v>
      </c>
      <c r="U57" s="75">
        <f t="shared" si="7"/>
        <v>-0.000233944949286524</v>
      </c>
    </row>
    <row r="58" hidden="1" spans="1:21">
      <c r="A58" s="55">
        <v>55</v>
      </c>
      <c r="B58" s="71" t="s">
        <v>2051</v>
      </c>
      <c r="C58" s="72">
        <v>94.45</v>
      </c>
      <c r="D58" s="73">
        <v>2800</v>
      </c>
      <c r="E58" s="73">
        <f t="shared" si="0"/>
        <v>264460</v>
      </c>
      <c r="F58" s="74" t="s">
        <v>2052</v>
      </c>
      <c r="G58" s="75">
        <v>264460</v>
      </c>
      <c r="H58" s="75">
        <f t="shared" si="1"/>
        <v>0</v>
      </c>
      <c r="I58" s="86">
        <f>VLOOKUP(B58,多浪小区账面房号及收款金额!$A$2:$B$474,2,0)</f>
        <v>264460</v>
      </c>
      <c r="J58" s="86"/>
      <c r="K58" s="87">
        <f t="shared" si="8"/>
        <v>0</v>
      </c>
      <c r="L58" s="88"/>
      <c r="M58" s="88"/>
      <c r="N58" s="89">
        <f>VLOOKUP(B58,[2]信息汇总表!$M$2:$T$816,8,0)</f>
        <v>264460</v>
      </c>
      <c r="O58" s="89">
        <f t="shared" si="3"/>
        <v>242623.853211009</v>
      </c>
      <c r="P58" s="91">
        <v>242623.85</v>
      </c>
      <c r="Q58" s="88"/>
      <c r="R58" s="75">
        <f t="shared" si="4"/>
        <v>242623.853211009</v>
      </c>
      <c r="S58" s="75">
        <f t="shared" si="5"/>
        <v>12131.1926605505</v>
      </c>
      <c r="T58" s="75">
        <f t="shared" si="6"/>
        <v>0.00321100899600424</v>
      </c>
      <c r="U58" s="75">
        <f t="shared" si="7"/>
        <v>0.000160550449436414</v>
      </c>
    </row>
    <row r="59" hidden="1" spans="1:21">
      <c r="A59" s="55">
        <v>56</v>
      </c>
      <c r="B59" s="76" t="s">
        <v>2053</v>
      </c>
      <c r="C59" s="72">
        <v>44.1</v>
      </c>
      <c r="D59" s="73">
        <v>2700</v>
      </c>
      <c r="E59" s="73">
        <f t="shared" si="0"/>
        <v>119070</v>
      </c>
      <c r="F59" s="74" t="s">
        <v>2054</v>
      </c>
      <c r="G59" s="75">
        <v>120070</v>
      </c>
      <c r="H59" s="75">
        <f t="shared" si="1"/>
        <v>-1000</v>
      </c>
      <c r="I59" s="86">
        <f>VLOOKUP(B59,多浪小区账面房号及收款金额!$A$2:$B$474,2,0)</f>
        <v>120070</v>
      </c>
      <c r="J59" s="86"/>
      <c r="K59" s="87">
        <f t="shared" ref="K59:K90" si="9">G59-I59</f>
        <v>0</v>
      </c>
      <c r="L59" s="88"/>
      <c r="M59" s="88"/>
      <c r="N59" s="89">
        <f>VLOOKUP(B59,[2]信息汇总表!$M$2:$T$816,8,0)</f>
        <v>119070</v>
      </c>
      <c r="O59" s="89">
        <f t="shared" si="3"/>
        <v>109238.532110092</v>
      </c>
      <c r="P59" s="91">
        <v>109238.53</v>
      </c>
      <c r="Q59" s="88"/>
      <c r="R59" s="75">
        <f t="shared" si="4"/>
        <v>110155.963302752</v>
      </c>
      <c r="S59" s="75">
        <f t="shared" si="5"/>
        <v>5507.7981651376</v>
      </c>
      <c r="T59" s="75">
        <f t="shared" si="6"/>
        <v>917.433302752004</v>
      </c>
      <c r="U59" s="75">
        <f t="shared" si="7"/>
        <v>45.8716651375998</v>
      </c>
    </row>
    <row r="60" hidden="1" spans="1:21">
      <c r="A60" s="55">
        <v>57</v>
      </c>
      <c r="B60" s="71" t="s">
        <v>2055</v>
      </c>
      <c r="C60" s="72">
        <v>89.33</v>
      </c>
      <c r="D60" s="73">
        <v>2776.22</v>
      </c>
      <c r="E60" s="73">
        <f t="shared" si="0"/>
        <v>248000</v>
      </c>
      <c r="F60" s="74" t="s">
        <v>2056</v>
      </c>
      <c r="G60" s="75">
        <v>248000</v>
      </c>
      <c r="H60" s="75">
        <f t="shared" si="1"/>
        <v>0</v>
      </c>
      <c r="I60" s="86">
        <f>VLOOKUP(B60,多浪小区账面房号及收款金额!$A$2:$B$474,2,0)</f>
        <v>248000</v>
      </c>
      <c r="J60" s="86"/>
      <c r="K60" s="87">
        <f t="shared" si="9"/>
        <v>0</v>
      </c>
      <c r="L60" s="88"/>
      <c r="M60" s="88"/>
      <c r="N60" s="89">
        <f>VLOOKUP(B60,[2]信息汇总表!$M$2:$T$816,8,0)</f>
        <v>248000</v>
      </c>
      <c r="O60" s="89">
        <f t="shared" si="3"/>
        <v>227522.935779817</v>
      </c>
      <c r="P60" s="91">
        <v>227522.94</v>
      </c>
      <c r="Q60" s="88"/>
      <c r="R60" s="75">
        <f t="shared" si="4"/>
        <v>227522.935779817</v>
      </c>
      <c r="S60" s="75">
        <f t="shared" si="5"/>
        <v>11376.1467889909</v>
      </c>
      <c r="T60" s="75">
        <f t="shared" si="6"/>
        <v>-0.00422018300741911</v>
      </c>
      <c r="U60" s="75">
        <f t="shared" si="7"/>
        <v>-0.000211009150007158</v>
      </c>
    </row>
    <row r="61" hidden="1" spans="1:21">
      <c r="A61" s="55">
        <v>58</v>
      </c>
      <c r="B61" s="71" t="s">
        <v>2057</v>
      </c>
      <c r="C61" s="72">
        <v>94.45</v>
      </c>
      <c r="D61" s="73">
        <v>2600</v>
      </c>
      <c r="E61" s="73">
        <f t="shared" si="0"/>
        <v>245570</v>
      </c>
      <c r="F61" s="74" t="s">
        <v>2058</v>
      </c>
      <c r="G61" s="75">
        <v>245570</v>
      </c>
      <c r="H61" s="75">
        <f t="shared" si="1"/>
        <v>0</v>
      </c>
      <c r="I61" s="86">
        <f>VLOOKUP(B61,多浪小区账面房号及收款金额!$A$2:$B$474,2,0)</f>
        <v>245570</v>
      </c>
      <c r="J61" s="86"/>
      <c r="K61" s="87">
        <f t="shared" si="9"/>
        <v>0</v>
      </c>
      <c r="L61" s="88"/>
      <c r="M61" s="88"/>
      <c r="N61" s="89"/>
      <c r="O61" s="89">
        <f t="shared" si="3"/>
        <v>0</v>
      </c>
      <c r="P61" s="91"/>
      <c r="Q61" s="88"/>
      <c r="R61" s="75">
        <f t="shared" si="4"/>
        <v>225293.577981651</v>
      </c>
      <c r="S61" s="75">
        <f t="shared" si="5"/>
        <v>11264.6788990826</v>
      </c>
      <c r="T61" s="75">
        <f t="shared" si="6"/>
        <v>225293.577981651</v>
      </c>
      <c r="U61" s="75">
        <f t="shared" si="7"/>
        <v>11264.6788990826</v>
      </c>
    </row>
    <row r="62" hidden="1" spans="1:21">
      <c r="A62" s="55">
        <v>59</v>
      </c>
      <c r="B62" s="76" t="s">
        <v>2059</v>
      </c>
      <c r="C62" s="72">
        <v>44.1</v>
      </c>
      <c r="D62" s="73">
        <v>2607.71</v>
      </c>
      <c r="E62" s="73">
        <f t="shared" si="0"/>
        <v>115000</v>
      </c>
      <c r="F62" s="74" t="s">
        <v>2060</v>
      </c>
      <c r="G62" s="75">
        <v>116000</v>
      </c>
      <c r="H62" s="75">
        <f t="shared" si="1"/>
        <v>-1000</v>
      </c>
      <c r="I62" s="86">
        <f>VLOOKUP(B62,多浪小区账面房号及收款金额!$A$2:$B$474,2,0)</f>
        <v>116000</v>
      </c>
      <c r="J62" s="86"/>
      <c r="K62" s="87">
        <f t="shared" si="9"/>
        <v>0</v>
      </c>
      <c r="L62" s="88"/>
      <c r="M62" s="88"/>
      <c r="N62" s="89"/>
      <c r="O62" s="89">
        <f t="shared" si="3"/>
        <v>0</v>
      </c>
      <c r="P62" s="91"/>
      <c r="Q62" s="88"/>
      <c r="R62" s="75">
        <f t="shared" si="4"/>
        <v>106422.018348624</v>
      </c>
      <c r="S62" s="75">
        <f t="shared" si="5"/>
        <v>5321.1009174312</v>
      </c>
      <c r="T62" s="75">
        <f t="shared" si="6"/>
        <v>106422.018348624</v>
      </c>
      <c r="U62" s="75">
        <f t="shared" si="7"/>
        <v>5321.1009174312</v>
      </c>
    </row>
    <row r="63" hidden="1" spans="1:21">
      <c r="A63" s="55">
        <v>60</v>
      </c>
      <c r="B63" s="71" t="s">
        <v>2061</v>
      </c>
      <c r="C63" s="72">
        <v>89.33</v>
      </c>
      <c r="D63" s="73">
        <v>2600</v>
      </c>
      <c r="E63" s="73">
        <f t="shared" si="0"/>
        <v>232258</v>
      </c>
      <c r="F63" s="74" t="s">
        <v>2062</v>
      </c>
      <c r="G63" s="75">
        <v>232258</v>
      </c>
      <c r="H63" s="75">
        <f t="shared" si="1"/>
        <v>0</v>
      </c>
      <c r="I63" s="86">
        <f>VLOOKUP(B63,多浪小区账面房号及收款金额!$A$2:$B$474,2,0)</f>
        <v>232258</v>
      </c>
      <c r="J63" s="86"/>
      <c r="K63" s="87">
        <f t="shared" si="9"/>
        <v>0</v>
      </c>
      <c r="L63" s="88"/>
      <c r="M63" s="88"/>
      <c r="N63" s="89">
        <f>VLOOKUP(B63,[2]信息汇总表!$M$2:$T$816,8,0)</f>
        <v>232258</v>
      </c>
      <c r="O63" s="89">
        <f t="shared" si="3"/>
        <v>213080.733944954</v>
      </c>
      <c r="P63" s="91">
        <v>213080.73</v>
      </c>
      <c r="Q63" s="88"/>
      <c r="R63" s="75">
        <f t="shared" si="4"/>
        <v>213080.733944954</v>
      </c>
      <c r="S63" s="75">
        <f t="shared" si="5"/>
        <v>10654.0366972477</v>
      </c>
      <c r="T63" s="75">
        <f t="shared" si="6"/>
        <v>0.00394495399086736</v>
      </c>
      <c r="U63" s="75">
        <f t="shared" si="7"/>
        <v>0.000197247698451974</v>
      </c>
    </row>
    <row r="64" hidden="1" spans="1:21">
      <c r="A64" s="55">
        <v>61</v>
      </c>
      <c r="B64" s="71" t="s">
        <v>2063</v>
      </c>
      <c r="C64" s="72">
        <v>94.45</v>
      </c>
      <c r="D64" s="73">
        <v>3091.58</v>
      </c>
      <c r="E64" s="73">
        <f t="shared" si="0"/>
        <v>292000</v>
      </c>
      <c r="F64" s="74" t="s">
        <v>2064</v>
      </c>
      <c r="G64" s="75">
        <v>292000</v>
      </c>
      <c r="H64" s="75">
        <f t="shared" si="1"/>
        <v>0</v>
      </c>
      <c r="I64" s="86">
        <f>VLOOKUP(B64,多浪小区账面房号及收款金额!$A$2:$B$474,2,0)</f>
        <v>292000</v>
      </c>
      <c r="J64" s="86"/>
      <c r="K64" s="87">
        <f t="shared" si="9"/>
        <v>0</v>
      </c>
      <c r="L64" s="88"/>
      <c r="M64" s="88"/>
      <c r="N64" s="89">
        <f>VLOOKUP(B64,[2]信息汇总表!$M$2:$T$816,8,0)</f>
        <v>292000</v>
      </c>
      <c r="O64" s="89">
        <f t="shared" si="3"/>
        <v>267889.908256881</v>
      </c>
      <c r="P64" s="91">
        <v>267889.91</v>
      </c>
      <c r="Q64" s="88"/>
      <c r="R64" s="75">
        <f t="shared" si="4"/>
        <v>267889.908256881</v>
      </c>
      <c r="S64" s="75">
        <f t="shared" si="5"/>
        <v>13394.4954128441</v>
      </c>
      <c r="T64" s="75">
        <f t="shared" si="6"/>
        <v>-0.00174311897717416</v>
      </c>
      <c r="U64" s="75">
        <f t="shared" si="7"/>
        <v>-8.71559477673145e-5</v>
      </c>
    </row>
    <row r="65" hidden="1" spans="1:21">
      <c r="A65" s="55">
        <v>62</v>
      </c>
      <c r="B65" s="76" t="s">
        <v>2065</v>
      </c>
      <c r="C65" s="72">
        <v>54.91</v>
      </c>
      <c r="D65" s="73">
        <v>2970.46</v>
      </c>
      <c r="E65" s="73">
        <f t="shared" si="0"/>
        <v>163108</v>
      </c>
      <c r="F65" s="74" t="s">
        <v>2066</v>
      </c>
      <c r="G65" s="75">
        <v>163138</v>
      </c>
      <c r="H65" s="75">
        <f t="shared" si="1"/>
        <v>-30</v>
      </c>
      <c r="I65" s="86">
        <f>VLOOKUP(B65,多浪小区账面房号及收款金额!$A$2:$B$474,2,0)</f>
        <v>163108</v>
      </c>
      <c r="J65" s="86"/>
      <c r="K65" s="87">
        <f t="shared" si="9"/>
        <v>30</v>
      </c>
      <c r="L65" s="92"/>
      <c r="M65" s="88"/>
      <c r="N65" s="89">
        <f>VLOOKUP(B65,[2]信息汇总表!$M$2:$T$816,8,0)</f>
        <v>163138</v>
      </c>
      <c r="O65" s="89">
        <f t="shared" si="3"/>
        <v>149667.889908257</v>
      </c>
      <c r="P65" s="91">
        <v>149667.89</v>
      </c>
      <c r="Q65" s="88"/>
      <c r="R65" s="75">
        <f t="shared" si="4"/>
        <v>149640.366972477</v>
      </c>
      <c r="S65" s="75">
        <f t="shared" si="5"/>
        <v>7482.01834862385</v>
      </c>
      <c r="T65" s="75">
        <f t="shared" si="6"/>
        <v>-27.5230275230133</v>
      </c>
      <c r="U65" s="75">
        <f t="shared" si="7"/>
        <v>-1.37615137615103</v>
      </c>
    </row>
    <row r="66" hidden="1" spans="1:21">
      <c r="A66" s="55">
        <v>63</v>
      </c>
      <c r="B66" s="71" t="s">
        <v>2067</v>
      </c>
      <c r="C66" s="72">
        <v>77.09</v>
      </c>
      <c r="D66" s="73">
        <v>2970.55</v>
      </c>
      <c r="E66" s="73">
        <f t="shared" si="0"/>
        <v>229000</v>
      </c>
      <c r="F66" s="74" t="s">
        <v>2068</v>
      </c>
      <c r="G66" s="75">
        <v>229036</v>
      </c>
      <c r="H66" s="75">
        <f t="shared" si="1"/>
        <v>-36</v>
      </c>
      <c r="I66" s="86">
        <f>VLOOKUP(B66,多浪小区账面房号及收款金额!$A$2:$B$474,2,0)</f>
        <v>229000</v>
      </c>
      <c r="J66" s="86"/>
      <c r="K66" s="87">
        <f t="shared" si="9"/>
        <v>36</v>
      </c>
      <c r="L66" s="92"/>
      <c r="M66" s="88"/>
      <c r="N66" s="89">
        <f>VLOOKUP(B66,[2]信息汇总表!$M$2:$T$816,8,0)</f>
        <v>229000</v>
      </c>
      <c r="O66" s="89">
        <f t="shared" si="3"/>
        <v>210091.743119266</v>
      </c>
      <c r="P66" s="91">
        <v>210091.74</v>
      </c>
      <c r="Q66" s="88"/>
      <c r="R66" s="75">
        <f t="shared" si="4"/>
        <v>210091.743119266</v>
      </c>
      <c r="S66" s="75">
        <f t="shared" si="5"/>
        <v>10504.5871559633</v>
      </c>
      <c r="T66" s="75">
        <f t="shared" si="6"/>
        <v>0.00311926600988954</v>
      </c>
      <c r="U66" s="75">
        <f t="shared" si="7"/>
        <v>0.000155963301949669</v>
      </c>
    </row>
    <row r="67" hidden="1" spans="1:21">
      <c r="A67" s="55">
        <v>64</v>
      </c>
      <c r="B67" s="71" t="s">
        <v>2069</v>
      </c>
      <c r="C67" s="72">
        <v>94.45</v>
      </c>
      <c r="D67" s="73">
        <v>2996.29</v>
      </c>
      <c r="E67" s="73">
        <f t="shared" si="0"/>
        <v>283000</v>
      </c>
      <c r="F67" s="74" t="s">
        <v>2070</v>
      </c>
      <c r="G67" s="75">
        <v>283000</v>
      </c>
      <c r="H67" s="75">
        <f t="shared" si="1"/>
        <v>0</v>
      </c>
      <c r="I67" s="86">
        <f>VLOOKUP(B67,多浪小区账面房号及收款金额!$A$2:$B$474,2,0)</f>
        <v>283000</v>
      </c>
      <c r="J67" s="86"/>
      <c r="K67" s="87">
        <f t="shared" si="9"/>
        <v>0</v>
      </c>
      <c r="L67" s="88"/>
      <c r="M67" s="88"/>
      <c r="N67" s="89">
        <f>VLOOKUP(B67,[2]信息汇总表!$M$2:$T$816,8,0)</f>
        <v>283000</v>
      </c>
      <c r="O67" s="89">
        <f t="shared" si="3"/>
        <v>259633.027522936</v>
      </c>
      <c r="P67" s="91">
        <v>259633.03</v>
      </c>
      <c r="Q67" s="88"/>
      <c r="R67" s="75">
        <f t="shared" si="4"/>
        <v>259633.027522936</v>
      </c>
      <c r="S67" s="75">
        <f t="shared" si="5"/>
        <v>12981.6513761468</v>
      </c>
      <c r="T67" s="75">
        <f t="shared" si="6"/>
        <v>-0.00247706400114112</v>
      </c>
      <c r="U67" s="75">
        <f t="shared" si="7"/>
        <v>-0.000123853198601864</v>
      </c>
    </row>
    <row r="68" ht="12" hidden="1" customHeight="1" spans="1:21">
      <c r="A68" s="55">
        <v>65</v>
      </c>
      <c r="B68" s="76" t="s">
        <v>2071</v>
      </c>
      <c r="C68" s="72">
        <v>54.91</v>
      </c>
      <c r="D68" s="73">
        <v>2931.52</v>
      </c>
      <c r="E68" s="73">
        <f t="shared" ref="E68:E131" si="10">ROUND(IF(F68&lt;&gt;0,C68*D68,0),0)</f>
        <v>160970</v>
      </c>
      <c r="F68" s="74" t="s">
        <v>2072</v>
      </c>
      <c r="G68" s="75">
        <v>160970</v>
      </c>
      <c r="H68" s="75">
        <f t="shared" si="1"/>
        <v>0</v>
      </c>
      <c r="I68" s="86">
        <f>VLOOKUP(B68,多浪小区账面房号及收款金额!$A$2:$B$474,2,0)</f>
        <v>160970</v>
      </c>
      <c r="J68" s="86"/>
      <c r="K68" s="87">
        <f t="shared" si="9"/>
        <v>0</v>
      </c>
      <c r="L68" s="88"/>
      <c r="M68" s="88"/>
      <c r="N68" s="89">
        <f>VLOOKUP(B68,[2]信息汇总表!$M$2:$T$816,8,0)</f>
        <v>160970</v>
      </c>
      <c r="O68" s="89">
        <f t="shared" si="3"/>
        <v>147678.899082569</v>
      </c>
      <c r="P68" s="91">
        <v>147678.9</v>
      </c>
      <c r="Q68" s="88"/>
      <c r="R68" s="75">
        <f t="shared" si="4"/>
        <v>147678.899082569</v>
      </c>
      <c r="S68" s="75">
        <f t="shared" si="5"/>
        <v>7383.94495412845</v>
      </c>
      <c r="T68" s="75">
        <f t="shared" si="6"/>
        <v>-0.000917430996196344</v>
      </c>
      <c r="U68" s="75">
        <f t="shared" si="7"/>
        <v>-4.58715494460193e-5</v>
      </c>
    </row>
    <row r="69" hidden="1" spans="1:21">
      <c r="A69" s="55">
        <v>66</v>
      </c>
      <c r="B69" s="71" t="s">
        <v>2073</v>
      </c>
      <c r="C69" s="72">
        <v>77.09</v>
      </c>
      <c r="D69" s="73">
        <v>3100</v>
      </c>
      <c r="E69" s="73">
        <f t="shared" si="10"/>
        <v>238979</v>
      </c>
      <c r="F69" s="74" t="s">
        <v>2074</v>
      </c>
      <c r="G69" s="75">
        <v>238979</v>
      </c>
      <c r="H69" s="75">
        <f t="shared" ref="H69:H132" si="11">E69-G69</f>
        <v>0</v>
      </c>
      <c r="I69" s="86">
        <f>VLOOKUP(B69,多浪小区账面房号及收款金额!$A$2:$B$474,2,0)</f>
        <v>238979</v>
      </c>
      <c r="J69" s="86"/>
      <c r="K69" s="87">
        <f t="shared" si="9"/>
        <v>0</v>
      </c>
      <c r="L69" s="88"/>
      <c r="M69" s="88"/>
      <c r="N69" s="89">
        <v>238979</v>
      </c>
      <c r="O69" s="89">
        <f t="shared" ref="O69:O132" si="12">N69/1.09</f>
        <v>219246.788990826</v>
      </c>
      <c r="P69" s="91"/>
      <c r="Q69" s="88"/>
      <c r="R69" s="75">
        <f t="shared" ref="R69:R132" si="13">I69/1.09</f>
        <v>219246.788990826</v>
      </c>
      <c r="S69" s="75">
        <f t="shared" ref="S69:S132" si="14">R69*0.05</f>
        <v>10962.3394495413</v>
      </c>
      <c r="T69" s="75">
        <f t="shared" ref="T69:T132" si="15">R69-P69</f>
        <v>219246.788990826</v>
      </c>
      <c r="U69" s="75">
        <f t="shared" ref="U69:U132" si="16">S69-(P69*0.05)</f>
        <v>10962.3394495413</v>
      </c>
    </row>
    <row r="70" hidden="1" spans="1:21">
      <c r="A70" s="55">
        <v>67</v>
      </c>
      <c r="B70" s="71" t="s">
        <v>2075</v>
      </c>
      <c r="C70" s="72">
        <v>94.45</v>
      </c>
      <c r="D70" s="73">
        <v>3091.58284806776</v>
      </c>
      <c r="E70" s="73">
        <f t="shared" si="10"/>
        <v>292000</v>
      </c>
      <c r="F70" s="74" t="s">
        <v>2076</v>
      </c>
      <c r="G70" s="75">
        <v>292000</v>
      </c>
      <c r="H70" s="75">
        <f t="shared" si="11"/>
        <v>0</v>
      </c>
      <c r="I70" s="86">
        <f>VLOOKUP(B70,多浪小区账面房号及收款金额!$A$2:$B$474,2,0)</f>
        <v>292000.01</v>
      </c>
      <c r="J70" s="86"/>
      <c r="K70" s="87">
        <f t="shared" si="9"/>
        <v>-0.0100000000093132</v>
      </c>
      <c r="L70" s="88"/>
      <c r="M70" s="88"/>
      <c r="N70" s="89">
        <f>VLOOKUP(B70,[2]信息汇总表!$M$2:$T$816,8,0)</f>
        <v>292000</v>
      </c>
      <c r="O70" s="89">
        <f t="shared" si="12"/>
        <v>267889.908256881</v>
      </c>
      <c r="P70" s="91"/>
      <c r="Q70" s="88"/>
      <c r="R70" s="75">
        <f t="shared" si="13"/>
        <v>267889.917431193</v>
      </c>
      <c r="S70" s="75">
        <f t="shared" si="14"/>
        <v>13394.4958715596</v>
      </c>
      <c r="T70" s="75">
        <f t="shared" si="15"/>
        <v>267889.917431193</v>
      </c>
      <c r="U70" s="75">
        <f t="shared" si="16"/>
        <v>13394.4958715596</v>
      </c>
    </row>
    <row r="71" hidden="1" spans="1:21">
      <c r="A71" s="55">
        <v>68</v>
      </c>
      <c r="B71" s="76" t="s">
        <v>2077</v>
      </c>
      <c r="C71" s="72">
        <v>54.91</v>
      </c>
      <c r="D71" s="73">
        <v>2900</v>
      </c>
      <c r="E71" s="73">
        <f t="shared" si="10"/>
        <v>159239</v>
      </c>
      <c r="F71" s="74" t="s">
        <v>2078</v>
      </c>
      <c r="G71" s="75">
        <v>151000</v>
      </c>
      <c r="H71" s="75">
        <f t="shared" si="11"/>
        <v>8239</v>
      </c>
      <c r="I71" s="86">
        <f>VLOOKUP(B71,多浪小区账面房号及收款金额!$A$2:$B$474,2,0)</f>
        <v>151000</v>
      </c>
      <c r="J71" s="86"/>
      <c r="K71" s="87">
        <f t="shared" si="9"/>
        <v>0</v>
      </c>
      <c r="L71" s="88"/>
      <c r="M71" s="88"/>
      <c r="N71" s="89">
        <f>VLOOKUP(B71,[2]信息汇总表!$M$2:$T$816,8,0)</f>
        <v>151000</v>
      </c>
      <c r="O71" s="89">
        <f t="shared" si="12"/>
        <v>138532.110091743</v>
      </c>
      <c r="P71" s="91">
        <v>138532.11</v>
      </c>
      <c r="Q71" s="88"/>
      <c r="R71" s="75">
        <f t="shared" si="13"/>
        <v>138532.110091743</v>
      </c>
      <c r="S71" s="75">
        <f t="shared" si="14"/>
        <v>6926.60550458716</v>
      </c>
      <c r="T71" s="75">
        <f t="shared" si="15"/>
        <v>9.1743131633848e-5</v>
      </c>
      <c r="U71" s="75">
        <f t="shared" si="16"/>
        <v>4.5871565816924e-6</v>
      </c>
    </row>
    <row r="72" hidden="1" spans="1:21">
      <c r="A72" s="55">
        <v>69</v>
      </c>
      <c r="B72" s="71" t="s">
        <v>2079</v>
      </c>
      <c r="C72" s="72">
        <v>77.09</v>
      </c>
      <c r="D72" s="73">
        <v>2820</v>
      </c>
      <c r="E72" s="73">
        <f t="shared" si="10"/>
        <v>217394</v>
      </c>
      <c r="F72" s="74" t="s">
        <v>2080</v>
      </c>
      <c r="G72" s="75">
        <v>224394</v>
      </c>
      <c r="H72" s="75">
        <f t="shared" si="11"/>
        <v>-7000</v>
      </c>
      <c r="I72" s="86">
        <f>VLOOKUP(B72,多浪小区账面房号及收款金额!$A$2:$B$474,2,0)</f>
        <v>224394</v>
      </c>
      <c r="J72" s="86"/>
      <c r="K72" s="87">
        <f t="shared" si="9"/>
        <v>0</v>
      </c>
      <c r="L72" s="88"/>
      <c r="M72" s="88"/>
      <c r="N72" s="89">
        <f>VLOOKUP(B72,[2]信息汇总表!$M$2:$T$816,8,0)</f>
        <v>217394</v>
      </c>
      <c r="O72" s="89">
        <f t="shared" si="12"/>
        <v>199444.036697248</v>
      </c>
      <c r="P72" s="91">
        <v>199444.04</v>
      </c>
      <c r="Q72" s="88"/>
      <c r="R72" s="75">
        <f t="shared" si="13"/>
        <v>205866.055045872</v>
      </c>
      <c r="S72" s="75">
        <f t="shared" si="14"/>
        <v>10293.3027522936</v>
      </c>
      <c r="T72" s="75">
        <f t="shared" si="15"/>
        <v>6422.01504587155</v>
      </c>
      <c r="U72" s="75">
        <f t="shared" si="16"/>
        <v>321.100752293578</v>
      </c>
    </row>
    <row r="73" hidden="1" spans="1:21">
      <c r="A73" s="55">
        <v>70</v>
      </c>
      <c r="B73" s="71" t="s">
        <v>2081</v>
      </c>
      <c r="C73" s="72">
        <v>94.45</v>
      </c>
      <c r="D73" s="73">
        <v>2800</v>
      </c>
      <c r="E73" s="73">
        <f t="shared" si="10"/>
        <v>264460</v>
      </c>
      <c r="F73" s="74" t="s">
        <v>2082</v>
      </c>
      <c r="G73" s="75">
        <v>264460</v>
      </c>
      <c r="H73" s="75">
        <f t="shared" si="11"/>
        <v>0</v>
      </c>
      <c r="I73" s="86">
        <f>VLOOKUP(B73,多浪小区账面房号及收款金额!$A$2:$B$474,2,0)</f>
        <v>264460</v>
      </c>
      <c r="J73" s="86"/>
      <c r="K73" s="87">
        <f t="shared" si="9"/>
        <v>0</v>
      </c>
      <c r="L73" s="88"/>
      <c r="M73" s="88"/>
      <c r="N73" s="89">
        <f>VLOOKUP(B73,[2]信息汇总表!$M$2:$T$816,8,0)</f>
        <v>264460</v>
      </c>
      <c r="O73" s="89">
        <f t="shared" si="12"/>
        <v>242623.853211009</v>
      </c>
      <c r="P73" s="91">
        <v>242623.85</v>
      </c>
      <c r="Q73" s="88"/>
      <c r="R73" s="75">
        <f t="shared" si="13"/>
        <v>242623.853211009</v>
      </c>
      <c r="S73" s="75">
        <f t="shared" si="14"/>
        <v>12131.1926605505</v>
      </c>
      <c r="T73" s="75">
        <f t="shared" si="15"/>
        <v>0.00321100914152339</v>
      </c>
      <c r="U73" s="75">
        <f t="shared" si="16"/>
        <v>0.000160550456712372</v>
      </c>
    </row>
    <row r="74" hidden="1" spans="1:21">
      <c r="A74" s="55">
        <v>71</v>
      </c>
      <c r="B74" s="76" t="s">
        <v>2083</v>
      </c>
      <c r="C74" s="72">
        <v>54.91</v>
      </c>
      <c r="D74" s="73">
        <v>2641.0854</v>
      </c>
      <c r="E74" s="73">
        <f t="shared" si="10"/>
        <v>145022</v>
      </c>
      <c r="F74" s="74" t="s">
        <v>2084</v>
      </c>
      <c r="G74" s="75">
        <v>145022</v>
      </c>
      <c r="H74" s="75">
        <f t="shared" si="11"/>
        <v>0</v>
      </c>
      <c r="I74" s="86">
        <f>VLOOKUP(B74,多浪小区账面房号及收款金额!$A$2:$B$474,2,0)</f>
        <v>145022</v>
      </c>
      <c r="J74" s="86"/>
      <c r="K74" s="87">
        <f t="shared" si="9"/>
        <v>0</v>
      </c>
      <c r="L74" s="88"/>
      <c r="M74" s="88"/>
      <c r="N74" s="89">
        <f>VLOOKUP(B74,[2]信息汇总表!$M$2:$T$816,8,0)</f>
        <v>145022</v>
      </c>
      <c r="O74" s="89">
        <f t="shared" si="12"/>
        <v>133047.706422018</v>
      </c>
      <c r="P74" s="91">
        <f>-138116.19+133047.71+138116.19</f>
        <v>133047.71</v>
      </c>
      <c r="Q74" s="88"/>
      <c r="R74" s="75">
        <f t="shared" si="13"/>
        <v>133047.706422018</v>
      </c>
      <c r="S74" s="75">
        <f t="shared" si="14"/>
        <v>6652.38532110092</v>
      </c>
      <c r="T74" s="75">
        <f t="shared" si="15"/>
        <v>-0.00357798163895495</v>
      </c>
      <c r="U74" s="75">
        <f t="shared" si="16"/>
        <v>-0.000178899082129647</v>
      </c>
    </row>
    <row r="75" hidden="1" spans="1:21">
      <c r="A75" s="55">
        <v>72</v>
      </c>
      <c r="B75" s="71" t="s">
        <v>2085</v>
      </c>
      <c r="C75" s="72">
        <v>77.09</v>
      </c>
      <c r="D75" s="73">
        <v>2750</v>
      </c>
      <c r="E75" s="73">
        <f t="shared" si="10"/>
        <v>211998</v>
      </c>
      <c r="F75" s="74" t="s">
        <v>2086</v>
      </c>
      <c r="G75" s="75">
        <v>211997</v>
      </c>
      <c r="H75" s="75">
        <f t="shared" si="11"/>
        <v>1</v>
      </c>
      <c r="I75" s="86">
        <f>VLOOKUP(B75,多浪小区账面房号及收款金额!$A$2:$B$474,2,0)</f>
        <v>211997</v>
      </c>
      <c r="J75" s="86"/>
      <c r="K75" s="87">
        <f t="shared" si="9"/>
        <v>0</v>
      </c>
      <c r="L75" s="88"/>
      <c r="M75" s="88"/>
      <c r="N75" s="89">
        <f>VLOOKUP(B75,[2]信息汇总表!$M$2:$T$816,8,0)</f>
        <v>211997</v>
      </c>
      <c r="O75" s="89">
        <f t="shared" si="12"/>
        <v>194492.660550459</v>
      </c>
      <c r="P75" s="91">
        <v>194492.66</v>
      </c>
      <c r="Q75" s="88"/>
      <c r="R75" s="75">
        <f t="shared" si="13"/>
        <v>194492.660550459</v>
      </c>
      <c r="S75" s="75">
        <f t="shared" si="14"/>
        <v>9724.63302752294</v>
      </c>
      <c r="T75" s="75">
        <f t="shared" si="15"/>
        <v>0.000550458702491596</v>
      </c>
      <c r="U75" s="75">
        <f t="shared" si="16"/>
        <v>2.75229358521756e-5</v>
      </c>
    </row>
    <row r="76" hidden="1" spans="1:21">
      <c r="A76" s="55">
        <v>73</v>
      </c>
      <c r="B76" s="71" t="s">
        <v>2087</v>
      </c>
      <c r="C76" s="72">
        <v>94.45</v>
      </c>
      <c r="D76" s="73">
        <v>2650.00529380625</v>
      </c>
      <c r="E76" s="73">
        <f t="shared" si="10"/>
        <v>250293</v>
      </c>
      <c r="F76" s="74" t="s">
        <v>2088</v>
      </c>
      <c r="G76" s="75">
        <v>250293</v>
      </c>
      <c r="H76" s="75">
        <f t="shared" si="11"/>
        <v>0</v>
      </c>
      <c r="I76" s="86">
        <f>VLOOKUP(B76,多浪小区账面房号及收款金额!$A$2:$B$474,2,0)</f>
        <v>250293</v>
      </c>
      <c r="J76" s="86"/>
      <c r="K76" s="87">
        <f t="shared" si="9"/>
        <v>0</v>
      </c>
      <c r="L76" s="88"/>
      <c r="M76" s="88"/>
      <c r="N76" s="89">
        <f>VLOOKUP(B76,[2]信息汇总表!$M$2:$T$816,8,0)</f>
        <v>250293</v>
      </c>
      <c r="O76" s="89">
        <f t="shared" si="12"/>
        <v>229626.605504587</v>
      </c>
      <c r="P76" s="91">
        <v>229626.605504587</v>
      </c>
      <c r="Q76" s="88"/>
      <c r="R76" s="75">
        <f t="shared" si="13"/>
        <v>229626.605504587</v>
      </c>
      <c r="S76" s="75">
        <f t="shared" si="14"/>
        <v>11481.3302752294</v>
      </c>
      <c r="T76" s="75">
        <f t="shared" si="15"/>
        <v>0</v>
      </c>
      <c r="U76" s="75">
        <f t="shared" si="16"/>
        <v>0</v>
      </c>
    </row>
    <row r="77" hidden="1" spans="1:21">
      <c r="A77" s="55">
        <v>74</v>
      </c>
      <c r="B77" s="76" t="s">
        <v>2089</v>
      </c>
      <c r="C77" s="72">
        <v>54.91</v>
      </c>
      <c r="D77" s="73">
        <v>2700</v>
      </c>
      <c r="E77" s="73">
        <f t="shared" si="10"/>
        <v>148257</v>
      </c>
      <c r="F77" s="74" t="s">
        <v>2090</v>
      </c>
      <c r="G77" s="75">
        <v>153257</v>
      </c>
      <c r="H77" s="75">
        <f t="shared" si="11"/>
        <v>-5000</v>
      </c>
      <c r="I77" s="86">
        <f>VLOOKUP(B77,多浪小区账面房号及收款金额!$A$2:$B$474,2,0)</f>
        <v>153257</v>
      </c>
      <c r="J77" s="86"/>
      <c r="K77" s="87">
        <f t="shared" si="9"/>
        <v>0</v>
      </c>
      <c r="L77" s="88"/>
      <c r="M77" s="88"/>
      <c r="N77" s="89">
        <f>VLOOKUP(B77,[2]信息汇总表!$M$2:$T$816,8,0)</f>
        <v>148257</v>
      </c>
      <c r="O77" s="89">
        <f t="shared" si="12"/>
        <v>136015.596330275</v>
      </c>
      <c r="P77" s="91">
        <v>136015.6</v>
      </c>
      <c r="Q77" s="88"/>
      <c r="R77" s="75">
        <f t="shared" si="13"/>
        <v>140602.752293578</v>
      </c>
      <c r="S77" s="75">
        <f t="shared" si="14"/>
        <v>7030.1376146789</v>
      </c>
      <c r="T77" s="75">
        <f t="shared" si="15"/>
        <v>4587.15229357796</v>
      </c>
      <c r="U77" s="75">
        <f t="shared" si="16"/>
        <v>229.357614678898</v>
      </c>
    </row>
    <row r="78" hidden="1" spans="1:21">
      <c r="A78" s="55">
        <v>75</v>
      </c>
      <c r="B78" s="71" t="s">
        <v>2091</v>
      </c>
      <c r="C78" s="72">
        <v>77.09</v>
      </c>
      <c r="D78" s="73">
        <v>2600</v>
      </c>
      <c r="E78" s="73">
        <f t="shared" si="10"/>
        <v>200434</v>
      </c>
      <c r="F78" s="74" t="s">
        <v>2092</v>
      </c>
      <c r="G78" s="75">
        <v>200434</v>
      </c>
      <c r="H78" s="75">
        <f t="shared" si="11"/>
        <v>0</v>
      </c>
      <c r="I78" s="86">
        <f>VLOOKUP(B78,多浪小区账面房号及收款金额!$A$2:$B$474,2,0)</f>
        <v>200434</v>
      </c>
      <c r="J78" s="86"/>
      <c r="K78" s="87">
        <f t="shared" si="9"/>
        <v>0</v>
      </c>
      <c r="L78" s="88"/>
      <c r="M78" s="88"/>
      <c r="N78" s="89"/>
      <c r="O78" s="89">
        <f t="shared" si="12"/>
        <v>0</v>
      </c>
      <c r="P78" s="91"/>
      <c r="Q78" s="88"/>
      <c r="R78" s="75">
        <f t="shared" si="13"/>
        <v>183884.403669725</v>
      </c>
      <c r="S78" s="75">
        <f t="shared" si="14"/>
        <v>9194.22018348624</v>
      </c>
      <c r="T78" s="75">
        <f t="shared" si="15"/>
        <v>183884.403669725</v>
      </c>
      <c r="U78" s="75">
        <f t="shared" si="16"/>
        <v>9194.22018348624</v>
      </c>
    </row>
    <row r="79" hidden="1" spans="1:21">
      <c r="A79" s="55">
        <v>76</v>
      </c>
      <c r="B79" s="71" t="s">
        <v>2093</v>
      </c>
      <c r="C79" s="72">
        <v>94.92</v>
      </c>
      <c r="D79" s="73">
        <v>2950</v>
      </c>
      <c r="E79" s="73">
        <f t="shared" si="10"/>
        <v>280014</v>
      </c>
      <c r="F79" s="74" t="s">
        <v>2094</v>
      </c>
      <c r="G79" s="75">
        <v>280014</v>
      </c>
      <c r="H79" s="75">
        <f t="shared" si="11"/>
        <v>0</v>
      </c>
      <c r="I79" s="86">
        <f>VLOOKUP(B79,多浪小区账面房号及收款金额!$A$2:$B$474,2,0)</f>
        <v>280014</v>
      </c>
      <c r="J79" s="86"/>
      <c r="K79" s="87">
        <f t="shared" si="9"/>
        <v>0</v>
      </c>
      <c r="L79" s="88"/>
      <c r="M79" s="88"/>
      <c r="N79" s="89">
        <f>VLOOKUP(B79,[2]信息汇总表!$M$2:$T$816,8,0)</f>
        <v>280014</v>
      </c>
      <c r="O79" s="89">
        <f t="shared" si="12"/>
        <v>256893.577981651</v>
      </c>
      <c r="P79" s="91">
        <v>256893.58</v>
      </c>
      <c r="Q79" s="88"/>
      <c r="R79" s="75">
        <f t="shared" si="13"/>
        <v>256893.577981651</v>
      </c>
      <c r="S79" s="75">
        <f t="shared" si="14"/>
        <v>12844.6788990826</v>
      </c>
      <c r="T79" s="75">
        <f t="shared" si="15"/>
        <v>-0.00201834863401018</v>
      </c>
      <c r="U79" s="75">
        <f t="shared" si="16"/>
        <v>-0.000100917432064307</v>
      </c>
    </row>
    <row r="80" hidden="1" spans="1:21">
      <c r="A80" s="55">
        <v>77</v>
      </c>
      <c r="B80" s="76" t="s">
        <v>2095</v>
      </c>
      <c r="C80" s="72">
        <v>54.9</v>
      </c>
      <c r="D80" s="73">
        <v>2953.84</v>
      </c>
      <c r="E80" s="73">
        <f t="shared" si="10"/>
        <v>162166</v>
      </c>
      <c r="F80" s="74" t="s">
        <v>2096</v>
      </c>
      <c r="G80" s="75">
        <v>162166</v>
      </c>
      <c r="H80" s="75">
        <f t="shared" si="11"/>
        <v>0</v>
      </c>
      <c r="I80" s="86">
        <f>VLOOKUP(B80,多浪小区账面房号及收款金额!$A$2:$B$474,2,0)</f>
        <v>162166</v>
      </c>
      <c r="J80" s="86"/>
      <c r="K80" s="87">
        <f t="shared" si="9"/>
        <v>0</v>
      </c>
      <c r="L80" s="88"/>
      <c r="M80" s="88"/>
      <c r="N80" s="89">
        <f>VLOOKUP(B80,[2]信息汇总表!$M$2:$T$816,8,0)</f>
        <v>162166</v>
      </c>
      <c r="O80" s="89">
        <f t="shared" si="12"/>
        <v>148776.146788991</v>
      </c>
      <c r="P80" s="91">
        <v>148776.15</v>
      </c>
      <c r="Q80" s="88"/>
      <c r="R80" s="75">
        <f t="shared" si="13"/>
        <v>148776.146788991</v>
      </c>
      <c r="S80" s="75">
        <f t="shared" si="14"/>
        <v>7438.80733944954</v>
      </c>
      <c r="T80" s="75">
        <f t="shared" si="15"/>
        <v>-0.00321100917062722</v>
      </c>
      <c r="U80" s="75">
        <f t="shared" si="16"/>
        <v>-0.000160550458531361</v>
      </c>
    </row>
    <row r="81" hidden="1" spans="1:21">
      <c r="A81" s="55">
        <v>78</v>
      </c>
      <c r="B81" s="71" t="s">
        <v>2097</v>
      </c>
      <c r="C81" s="72">
        <v>78.5</v>
      </c>
      <c r="D81" s="73">
        <v>3248</v>
      </c>
      <c r="E81" s="73">
        <f t="shared" si="10"/>
        <v>254968</v>
      </c>
      <c r="F81" s="74" t="s">
        <v>2098</v>
      </c>
      <c r="G81" s="75">
        <v>254968</v>
      </c>
      <c r="H81" s="75">
        <f t="shared" si="11"/>
        <v>0</v>
      </c>
      <c r="I81" s="86">
        <f>VLOOKUP(B81,多浪小区账面房号及收款金额!$A$2:$B$474,2,0)</f>
        <v>254968</v>
      </c>
      <c r="J81" s="86"/>
      <c r="K81" s="87">
        <f t="shared" si="9"/>
        <v>0</v>
      </c>
      <c r="L81" s="88"/>
      <c r="M81" s="88"/>
      <c r="N81" s="89"/>
      <c r="O81" s="89">
        <f t="shared" si="12"/>
        <v>0</v>
      </c>
      <c r="P81" s="91"/>
      <c r="Q81" s="88"/>
      <c r="R81" s="75">
        <f t="shared" si="13"/>
        <v>233915.596330275</v>
      </c>
      <c r="S81" s="75">
        <f t="shared" si="14"/>
        <v>11695.7798165138</v>
      </c>
      <c r="T81" s="75">
        <f t="shared" si="15"/>
        <v>233915.596330275</v>
      </c>
      <c r="U81" s="75">
        <f t="shared" si="16"/>
        <v>11695.7798165138</v>
      </c>
    </row>
    <row r="82" hidden="1" spans="1:21">
      <c r="A82" s="55">
        <v>79</v>
      </c>
      <c r="B82" s="71" t="s">
        <v>2099</v>
      </c>
      <c r="C82" s="72">
        <v>94.92</v>
      </c>
      <c r="D82" s="73">
        <v>3080</v>
      </c>
      <c r="E82" s="73">
        <f t="shared" si="10"/>
        <v>292354</v>
      </c>
      <c r="F82" s="74" t="s">
        <v>2100</v>
      </c>
      <c r="G82" s="75">
        <v>292415</v>
      </c>
      <c r="H82" s="75">
        <f t="shared" si="11"/>
        <v>-61</v>
      </c>
      <c r="I82" s="86">
        <f>VLOOKUP(B82,多浪小区账面房号及收款金额!$A$2:$B$474,2,0)</f>
        <v>292415</v>
      </c>
      <c r="J82" s="86"/>
      <c r="K82" s="87">
        <f t="shared" si="9"/>
        <v>0</v>
      </c>
      <c r="L82" s="88"/>
      <c r="M82" s="88"/>
      <c r="N82" s="89">
        <f>VLOOKUP(B82,[2]信息汇总表!$M$2:$T$816,8,0)</f>
        <v>292354</v>
      </c>
      <c r="O82" s="89">
        <f t="shared" si="12"/>
        <v>268214.678899083</v>
      </c>
      <c r="P82" s="91">
        <v>268214.68</v>
      </c>
      <c r="Q82" s="88"/>
      <c r="R82" s="75">
        <f t="shared" si="13"/>
        <v>268270.642201835</v>
      </c>
      <c r="S82" s="75">
        <f t="shared" si="14"/>
        <v>13413.5321100917</v>
      </c>
      <c r="T82" s="75">
        <f t="shared" si="15"/>
        <v>55.9622018348309</v>
      </c>
      <c r="U82" s="75">
        <f t="shared" si="16"/>
        <v>2.79811009174227</v>
      </c>
    </row>
    <row r="83" hidden="1" spans="1:21">
      <c r="A83" s="55">
        <v>80</v>
      </c>
      <c r="B83" s="76" t="s">
        <v>2101</v>
      </c>
      <c r="C83" s="72">
        <v>54.9</v>
      </c>
      <c r="D83" s="73">
        <v>2932.11</v>
      </c>
      <c r="E83" s="73">
        <f t="shared" si="10"/>
        <v>160973</v>
      </c>
      <c r="F83" s="74" t="s">
        <v>2102</v>
      </c>
      <c r="G83" s="75">
        <v>160973</v>
      </c>
      <c r="H83" s="75">
        <f t="shared" si="11"/>
        <v>0</v>
      </c>
      <c r="I83" s="86">
        <f>VLOOKUP(B83,多浪小区账面房号及收款金额!$A$2:$B$474,2,0)</f>
        <v>160973</v>
      </c>
      <c r="J83" s="86"/>
      <c r="K83" s="87">
        <f t="shared" si="9"/>
        <v>0</v>
      </c>
      <c r="L83" s="88"/>
      <c r="M83" s="88"/>
      <c r="N83" s="89">
        <f>VLOOKUP(B83,[2]信息汇总表!$M$2:$T$816,8,0)</f>
        <v>160973</v>
      </c>
      <c r="O83" s="89">
        <f t="shared" si="12"/>
        <v>147681.651376147</v>
      </c>
      <c r="P83" s="91">
        <v>147681.65</v>
      </c>
      <c r="Q83" s="88"/>
      <c r="R83" s="75">
        <f t="shared" si="13"/>
        <v>147681.651376147</v>
      </c>
      <c r="S83" s="75">
        <f t="shared" si="14"/>
        <v>7384.08256880734</v>
      </c>
      <c r="T83" s="75">
        <f t="shared" si="15"/>
        <v>0.00137614677078091</v>
      </c>
      <c r="U83" s="75">
        <f t="shared" si="16"/>
        <v>6.88073378114495e-5</v>
      </c>
    </row>
    <row r="84" hidden="1" spans="1:21">
      <c r="A84" s="55">
        <v>81</v>
      </c>
      <c r="B84" s="71" t="s">
        <v>2103</v>
      </c>
      <c r="C84" s="72">
        <v>78.5</v>
      </c>
      <c r="D84" s="73">
        <v>2900</v>
      </c>
      <c r="E84" s="73">
        <f t="shared" si="10"/>
        <v>227650</v>
      </c>
      <c r="F84" s="74" t="s">
        <v>2104</v>
      </c>
      <c r="G84" s="75">
        <v>227650</v>
      </c>
      <c r="H84" s="75">
        <f t="shared" si="11"/>
        <v>0</v>
      </c>
      <c r="I84" s="86">
        <f>VLOOKUP(B84,多浪小区账面房号及收款金额!$A$2:$B$474,2,0)</f>
        <v>227650</v>
      </c>
      <c r="J84" s="86"/>
      <c r="K84" s="87">
        <f t="shared" si="9"/>
        <v>0</v>
      </c>
      <c r="L84" s="88"/>
      <c r="M84" s="88"/>
      <c r="N84" s="89">
        <f>VLOOKUP(B84,[2]信息汇总表!$M$2:$T$816,8,0)</f>
        <v>227650</v>
      </c>
      <c r="O84" s="89">
        <f t="shared" si="12"/>
        <v>208853.211009174</v>
      </c>
      <c r="P84" s="91">
        <v>208853.21</v>
      </c>
      <c r="Q84" s="88"/>
      <c r="R84" s="75">
        <f t="shared" si="13"/>
        <v>208853.211009174</v>
      </c>
      <c r="S84" s="75">
        <f t="shared" si="14"/>
        <v>10442.6605504587</v>
      </c>
      <c r="T84" s="75">
        <f t="shared" si="15"/>
        <v>0.00100917430245318</v>
      </c>
      <c r="U84" s="75">
        <f t="shared" si="16"/>
        <v>5.04587151226588e-5</v>
      </c>
    </row>
    <row r="85" hidden="1" spans="1:21">
      <c r="A85" s="55">
        <v>82</v>
      </c>
      <c r="B85" s="71" t="s">
        <v>2105</v>
      </c>
      <c r="C85" s="72">
        <v>94.92</v>
      </c>
      <c r="D85" s="73">
        <v>2950</v>
      </c>
      <c r="E85" s="73">
        <f t="shared" si="10"/>
        <v>280014</v>
      </c>
      <c r="F85" s="74" t="s">
        <v>2106</v>
      </c>
      <c r="G85" s="75">
        <v>280014</v>
      </c>
      <c r="H85" s="75">
        <f t="shared" si="11"/>
        <v>0</v>
      </c>
      <c r="I85" s="86">
        <f>VLOOKUP(B85,多浪小区账面房号及收款金额!$A$2:$B$474,2,0)</f>
        <v>280014</v>
      </c>
      <c r="J85" s="86"/>
      <c r="K85" s="87">
        <f t="shared" si="9"/>
        <v>0</v>
      </c>
      <c r="L85" s="88"/>
      <c r="M85" s="88"/>
      <c r="N85" s="89">
        <f>VLOOKUP(B85,[2]信息汇总表!$M$2:$T$816,8,0)</f>
        <v>280014</v>
      </c>
      <c r="O85" s="89">
        <f t="shared" si="12"/>
        <v>256893.577981651</v>
      </c>
      <c r="P85" s="91">
        <v>256893.58</v>
      </c>
      <c r="Q85" s="88"/>
      <c r="R85" s="75">
        <f t="shared" si="13"/>
        <v>256893.577981651</v>
      </c>
      <c r="S85" s="75">
        <f t="shared" si="14"/>
        <v>12844.6788990826</v>
      </c>
      <c r="T85" s="75">
        <f t="shared" si="15"/>
        <v>-0.00201834863401018</v>
      </c>
      <c r="U85" s="75">
        <f t="shared" si="16"/>
        <v>-0.000100917432064307</v>
      </c>
    </row>
    <row r="86" hidden="1" spans="1:21">
      <c r="A86" s="55">
        <v>83</v>
      </c>
      <c r="B86" s="76" t="s">
        <v>2107</v>
      </c>
      <c r="C86" s="72">
        <v>54.9</v>
      </c>
      <c r="D86" s="73">
        <v>2823.32</v>
      </c>
      <c r="E86" s="73">
        <f t="shared" si="10"/>
        <v>155000</v>
      </c>
      <c r="F86" s="74" t="s">
        <v>2108</v>
      </c>
      <c r="G86" s="75">
        <v>155000</v>
      </c>
      <c r="H86" s="75">
        <f t="shared" si="11"/>
        <v>0</v>
      </c>
      <c r="I86" s="86">
        <f>VLOOKUP(B86,多浪小区账面房号及收款金额!$A$2:$B$474,2,0)</f>
        <v>155000</v>
      </c>
      <c r="J86" s="86"/>
      <c r="K86" s="87">
        <f t="shared" si="9"/>
        <v>0</v>
      </c>
      <c r="L86" s="88"/>
      <c r="M86" s="88"/>
      <c r="N86" s="89">
        <f>VLOOKUP(B86,[2]信息汇总表!$M$2:$T$816,8,0)</f>
        <v>155000</v>
      </c>
      <c r="O86" s="89">
        <f t="shared" si="12"/>
        <v>142201.834862385</v>
      </c>
      <c r="P86" s="91">
        <v>142201.83</v>
      </c>
      <c r="Q86" s="88"/>
      <c r="R86" s="75">
        <f t="shared" si="13"/>
        <v>142201.834862385</v>
      </c>
      <c r="S86" s="75">
        <f t="shared" si="14"/>
        <v>7110.09174311927</v>
      </c>
      <c r="T86" s="75">
        <f t="shared" si="15"/>
        <v>0.00486238533630967</v>
      </c>
      <c r="U86" s="75">
        <f t="shared" si="16"/>
        <v>0.000243119266997383</v>
      </c>
    </row>
    <row r="87" hidden="1" spans="1:21">
      <c r="A87" s="55">
        <v>84</v>
      </c>
      <c r="B87" s="71" t="s">
        <v>2109</v>
      </c>
      <c r="C87" s="72">
        <v>78.5</v>
      </c>
      <c r="D87" s="73">
        <v>2800</v>
      </c>
      <c r="E87" s="73">
        <f t="shared" si="10"/>
        <v>219800</v>
      </c>
      <c r="F87" s="74" t="s">
        <v>2110</v>
      </c>
      <c r="G87" s="75">
        <v>219800</v>
      </c>
      <c r="H87" s="75">
        <f t="shared" si="11"/>
        <v>0</v>
      </c>
      <c r="I87" s="86">
        <f>VLOOKUP(B87,多浪小区账面房号及收款金额!$A$2:$B$474,2,0)</f>
        <v>219800</v>
      </c>
      <c r="J87" s="86"/>
      <c r="K87" s="87">
        <f t="shared" si="9"/>
        <v>0</v>
      </c>
      <c r="L87" s="88"/>
      <c r="M87" s="88"/>
      <c r="N87" s="89">
        <v>120183.486238532</v>
      </c>
      <c r="O87" s="89">
        <f t="shared" si="12"/>
        <v>110260.079117919</v>
      </c>
      <c r="P87" s="91"/>
      <c r="Q87" s="88"/>
      <c r="R87" s="75">
        <f t="shared" si="13"/>
        <v>201651.376146789</v>
      </c>
      <c r="S87" s="75">
        <f t="shared" si="14"/>
        <v>10082.5688073394</v>
      </c>
      <c r="T87" s="75">
        <f t="shared" si="15"/>
        <v>201651.376146789</v>
      </c>
      <c r="U87" s="75">
        <f t="shared" si="16"/>
        <v>10082.5688073394</v>
      </c>
    </row>
    <row r="88" hidden="1" spans="1:21">
      <c r="A88" s="55">
        <v>85</v>
      </c>
      <c r="B88" s="71" t="s">
        <v>2111</v>
      </c>
      <c r="C88" s="72">
        <v>94.92</v>
      </c>
      <c r="D88" s="73">
        <v>2800</v>
      </c>
      <c r="E88" s="73">
        <f t="shared" si="10"/>
        <v>265776</v>
      </c>
      <c r="F88" s="74" t="s">
        <v>2112</v>
      </c>
      <c r="G88" s="75">
        <v>265776</v>
      </c>
      <c r="H88" s="75">
        <f t="shared" si="11"/>
        <v>0</v>
      </c>
      <c r="I88" s="86">
        <f>VLOOKUP(B88,多浪小区账面房号及收款金额!$A$2:$B$474,2,0)</f>
        <v>265776</v>
      </c>
      <c r="J88" s="86"/>
      <c r="K88" s="87">
        <f t="shared" si="9"/>
        <v>0</v>
      </c>
      <c r="L88" s="88"/>
      <c r="M88" s="88"/>
      <c r="N88" s="89">
        <f>VLOOKUP(B88,[2]信息汇总表!$M$2:$T$816,8,0)</f>
        <v>265776</v>
      </c>
      <c r="O88" s="89">
        <f t="shared" si="12"/>
        <v>243831.19266055</v>
      </c>
      <c r="P88" s="91">
        <v>243831.19266055</v>
      </c>
      <c r="Q88" s="88"/>
      <c r="R88" s="75">
        <f t="shared" si="13"/>
        <v>243831.19266055</v>
      </c>
      <c r="S88" s="75">
        <f t="shared" si="14"/>
        <v>12191.5596330275</v>
      </c>
      <c r="T88" s="75">
        <f t="shared" si="15"/>
        <v>4.36557456851006e-10</v>
      </c>
      <c r="U88" s="75">
        <f t="shared" si="16"/>
        <v>2.18278728425503e-11</v>
      </c>
    </row>
    <row r="89" hidden="1" spans="1:21">
      <c r="A89" s="55">
        <v>86</v>
      </c>
      <c r="B89" s="76" t="s">
        <v>2113</v>
      </c>
      <c r="C89" s="72">
        <v>54.9</v>
      </c>
      <c r="D89" s="73">
        <v>2700</v>
      </c>
      <c r="E89" s="73">
        <f t="shared" si="10"/>
        <v>148230</v>
      </c>
      <c r="F89" s="74" t="s">
        <v>2114</v>
      </c>
      <c r="G89" s="75">
        <v>148257</v>
      </c>
      <c r="H89" s="75">
        <f t="shared" si="11"/>
        <v>-27</v>
      </c>
      <c r="I89" s="86">
        <f>VLOOKUP(B89,多浪小区账面房号及收款金额!$A$2:$B$474,2,0)</f>
        <v>148257</v>
      </c>
      <c r="J89" s="86"/>
      <c r="K89" s="87">
        <f t="shared" si="9"/>
        <v>0</v>
      </c>
      <c r="L89" s="88"/>
      <c r="M89" s="88"/>
      <c r="N89" s="89">
        <f>VLOOKUP(B89,[2]信息汇总表!$M$2:$T$816,8,0)</f>
        <v>148257</v>
      </c>
      <c r="O89" s="89">
        <f t="shared" si="12"/>
        <v>136015.596330275</v>
      </c>
      <c r="P89" s="91">
        <v>136015.6</v>
      </c>
      <c r="Q89" s="88"/>
      <c r="R89" s="75">
        <f t="shared" si="13"/>
        <v>136015.596330275</v>
      </c>
      <c r="S89" s="75">
        <f t="shared" si="14"/>
        <v>6800.77981651376</v>
      </c>
      <c r="T89" s="75">
        <f t="shared" si="15"/>
        <v>-0.00366972479969263</v>
      </c>
      <c r="U89" s="75">
        <f t="shared" si="16"/>
        <v>-0.000183486239620834</v>
      </c>
    </row>
    <row r="90" hidden="1" spans="1:21">
      <c r="A90" s="55">
        <v>87</v>
      </c>
      <c r="B90" s="71" t="s">
        <v>2115</v>
      </c>
      <c r="C90" s="72">
        <v>78.5</v>
      </c>
      <c r="D90" s="73">
        <v>2800</v>
      </c>
      <c r="E90" s="73">
        <f t="shared" si="10"/>
        <v>219800</v>
      </c>
      <c r="F90" s="74" t="s">
        <v>2116</v>
      </c>
      <c r="G90" s="75">
        <v>219800</v>
      </c>
      <c r="H90" s="75">
        <f t="shared" si="11"/>
        <v>0</v>
      </c>
      <c r="I90" s="86">
        <f>VLOOKUP(B90,多浪小区账面房号及收款金额!$A$2:$B$474,2,0)</f>
        <v>219800</v>
      </c>
      <c r="J90" s="86"/>
      <c r="K90" s="87">
        <f t="shared" si="9"/>
        <v>0</v>
      </c>
      <c r="L90" s="88"/>
      <c r="M90" s="88"/>
      <c r="N90" s="89">
        <f>VLOOKUP(B90,[2]信息汇总表!$M$2:$T$816,8,0)</f>
        <v>219800</v>
      </c>
      <c r="O90" s="89">
        <f t="shared" si="12"/>
        <v>201651.376146789</v>
      </c>
      <c r="P90" s="91">
        <v>201651.38</v>
      </c>
      <c r="Q90" s="88"/>
      <c r="R90" s="75">
        <f t="shared" si="13"/>
        <v>201651.376146789</v>
      </c>
      <c r="S90" s="75">
        <f t="shared" si="14"/>
        <v>10082.5688073394</v>
      </c>
      <c r="T90" s="75">
        <f t="shared" si="15"/>
        <v>-0.0038532110338565</v>
      </c>
      <c r="U90" s="75">
        <f t="shared" si="16"/>
        <v>-0.000192660552784218</v>
      </c>
    </row>
    <row r="91" hidden="1" spans="1:21">
      <c r="A91" s="55">
        <v>88</v>
      </c>
      <c r="B91" s="71" t="s">
        <v>2117</v>
      </c>
      <c r="C91" s="72">
        <v>94.92</v>
      </c>
      <c r="D91" s="73">
        <v>2600</v>
      </c>
      <c r="E91" s="73">
        <f t="shared" si="10"/>
        <v>246792</v>
      </c>
      <c r="F91" s="74" t="s">
        <v>2118</v>
      </c>
      <c r="G91" s="75">
        <v>246792</v>
      </c>
      <c r="H91" s="75">
        <f t="shared" si="11"/>
        <v>0</v>
      </c>
      <c r="I91" s="86">
        <f>VLOOKUP(B91,多浪小区账面房号及收款金额!$A$2:$B$474,2,0)</f>
        <v>246792</v>
      </c>
      <c r="J91" s="86"/>
      <c r="K91" s="87">
        <f t="shared" ref="K91:K122" si="17">G91-I91</f>
        <v>0</v>
      </c>
      <c r="L91" s="88"/>
      <c r="M91" s="88"/>
      <c r="N91" s="89">
        <f>VLOOKUP(B91,[2]信息汇总表!$M$2:$T$816,8,0)</f>
        <v>246792</v>
      </c>
      <c r="O91" s="89">
        <f t="shared" si="12"/>
        <v>226414.678899083</v>
      </c>
      <c r="P91" s="91">
        <v>226414.68</v>
      </c>
      <c r="Q91" s="88"/>
      <c r="R91" s="75">
        <f t="shared" si="13"/>
        <v>226414.678899083</v>
      </c>
      <c r="S91" s="75">
        <f t="shared" si="14"/>
        <v>11320.7339449541</v>
      </c>
      <c r="T91" s="75">
        <f t="shared" si="15"/>
        <v>-0.00110091743408702</v>
      </c>
      <c r="U91" s="75">
        <f t="shared" si="16"/>
        <v>-5.50458717043512e-5</v>
      </c>
    </row>
    <row r="92" hidden="1" spans="1:21">
      <c r="A92" s="55">
        <v>89</v>
      </c>
      <c r="B92" s="76" t="s">
        <v>2119</v>
      </c>
      <c r="C92" s="72">
        <v>54.9</v>
      </c>
      <c r="D92" s="73">
        <v>2700</v>
      </c>
      <c r="E92" s="73">
        <f t="shared" si="10"/>
        <v>148230</v>
      </c>
      <c r="F92" s="74" t="s">
        <v>2120</v>
      </c>
      <c r="G92" s="75">
        <v>148230</v>
      </c>
      <c r="H92" s="75">
        <f t="shared" si="11"/>
        <v>0</v>
      </c>
      <c r="I92" s="86">
        <f>VLOOKUP(B92,多浪小区账面房号及收款金额!$A$2:$B$474,2,0)</f>
        <v>148230</v>
      </c>
      <c r="J92" s="86"/>
      <c r="K92" s="87">
        <f t="shared" si="17"/>
        <v>0</v>
      </c>
      <c r="L92" s="88"/>
      <c r="M92" s="88"/>
      <c r="N92" s="89"/>
      <c r="O92" s="89">
        <f t="shared" si="12"/>
        <v>0</v>
      </c>
      <c r="P92" s="91"/>
      <c r="Q92" s="88"/>
      <c r="R92" s="75">
        <f t="shared" si="13"/>
        <v>135990.825688073</v>
      </c>
      <c r="S92" s="75">
        <f t="shared" si="14"/>
        <v>6799.54128440367</v>
      </c>
      <c r="T92" s="75">
        <f t="shared" si="15"/>
        <v>135990.825688073</v>
      </c>
      <c r="U92" s="75">
        <f t="shared" si="16"/>
        <v>6799.54128440367</v>
      </c>
    </row>
    <row r="93" hidden="1" spans="1:21">
      <c r="A93" s="55">
        <v>90</v>
      </c>
      <c r="B93" s="71" t="s">
        <v>2121</v>
      </c>
      <c r="C93" s="72">
        <v>78.5</v>
      </c>
      <c r="D93" s="73">
        <v>2600</v>
      </c>
      <c r="E93" s="73">
        <f t="shared" si="10"/>
        <v>204100</v>
      </c>
      <c r="F93" s="74" t="s">
        <v>2122</v>
      </c>
      <c r="G93" s="75">
        <v>204100</v>
      </c>
      <c r="H93" s="75">
        <f t="shared" si="11"/>
        <v>0</v>
      </c>
      <c r="I93" s="86">
        <f>VLOOKUP(B93,多浪小区账面房号及收款金额!$A$2:$B$474,2,0)</f>
        <v>204100</v>
      </c>
      <c r="J93" s="86"/>
      <c r="K93" s="87">
        <f t="shared" si="17"/>
        <v>0</v>
      </c>
      <c r="L93" s="88"/>
      <c r="M93" s="88"/>
      <c r="N93" s="89">
        <f>VLOOKUP(B93,[2]信息汇总表!$M$2:$T$816,8,0)</f>
        <v>204100</v>
      </c>
      <c r="O93" s="89">
        <f t="shared" si="12"/>
        <v>187247.706422018</v>
      </c>
      <c r="P93" s="91">
        <v>187247.71</v>
      </c>
      <c r="Q93" s="88"/>
      <c r="R93" s="75">
        <f t="shared" si="13"/>
        <v>187247.706422018</v>
      </c>
      <c r="S93" s="75">
        <f t="shared" si="14"/>
        <v>9362.38532110092</v>
      </c>
      <c r="T93" s="75">
        <f t="shared" si="15"/>
        <v>-0.00357798166805878</v>
      </c>
      <c r="U93" s="75">
        <f t="shared" si="16"/>
        <v>-0.000178899083039141</v>
      </c>
    </row>
    <row r="94" hidden="1" spans="1:21">
      <c r="A94" s="55">
        <v>91</v>
      </c>
      <c r="B94" s="71" t="s">
        <v>2123</v>
      </c>
      <c r="C94" s="72">
        <v>94.43</v>
      </c>
      <c r="D94" s="73">
        <v>3100</v>
      </c>
      <c r="E94" s="73">
        <f t="shared" si="10"/>
        <v>292733</v>
      </c>
      <c r="F94" s="74" t="s">
        <v>2124</v>
      </c>
      <c r="G94" s="75">
        <v>10000</v>
      </c>
      <c r="H94" s="75">
        <f t="shared" si="11"/>
        <v>282733</v>
      </c>
      <c r="I94" s="86">
        <f>VLOOKUP(B94,多浪小区账面房号及收款金额!$A$2:$B$474,2,0)</f>
        <v>10000</v>
      </c>
      <c r="J94" s="86"/>
      <c r="K94" s="87">
        <f t="shared" si="17"/>
        <v>0</v>
      </c>
      <c r="L94" s="88"/>
      <c r="M94" s="88"/>
      <c r="N94" s="89"/>
      <c r="O94" s="89">
        <f t="shared" si="12"/>
        <v>0</v>
      </c>
      <c r="P94" s="91"/>
      <c r="Q94" s="88"/>
      <c r="R94" s="75">
        <f t="shared" si="13"/>
        <v>9174.3119266055</v>
      </c>
      <c r="S94" s="75">
        <f t="shared" si="14"/>
        <v>458.715596330275</v>
      </c>
      <c r="T94" s="75">
        <f t="shared" si="15"/>
        <v>9174.3119266055</v>
      </c>
      <c r="U94" s="75">
        <f t="shared" si="16"/>
        <v>458.715596330275</v>
      </c>
    </row>
    <row r="95" hidden="1" spans="1:21">
      <c r="A95" s="55">
        <v>92</v>
      </c>
      <c r="B95" s="76" t="s">
        <v>2125</v>
      </c>
      <c r="C95" s="72">
        <v>44.09</v>
      </c>
      <c r="D95" s="73">
        <v>3033</v>
      </c>
      <c r="E95" s="73">
        <f t="shared" si="10"/>
        <v>133725</v>
      </c>
      <c r="F95" s="74" t="s">
        <v>2126</v>
      </c>
      <c r="G95" s="75">
        <v>133725</v>
      </c>
      <c r="H95" s="75">
        <f t="shared" si="11"/>
        <v>0</v>
      </c>
      <c r="I95" s="86">
        <f>VLOOKUP(B95,多浪小区账面房号及收款金额!$A$2:$B$474,2,0)</f>
        <v>133725</v>
      </c>
      <c r="J95" s="86"/>
      <c r="K95" s="87">
        <f t="shared" si="17"/>
        <v>0</v>
      </c>
      <c r="L95" s="88"/>
      <c r="M95" s="88"/>
      <c r="N95" s="89">
        <f>VLOOKUP(B95,[2]信息汇总表!$M$2:$T$816,8,0)</f>
        <v>133725</v>
      </c>
      <c r="O95" s="89">
        <f t="shared" si="12"/>
        <v>122683.486238532</v>
      </c>
      <c r="P95" s="91">
        <v>122683.49</v>
      </c>
      <c r="Q95" s="88"/>
      <c r="R95" s="75">
        <f t="shared" si="13"/>
        <v>122683.486238532</v>
      </c>
      <c r="S95" s="75">
        <f t="shared" si="14"/>
        <v>6134.17431192661</v>
      </c>
      <c r="T95" s="75">
        <f t="shared" si="15"/>
        <v>-0.00376146790222265</v>
      </c>
      <c r="U95" s="75">
        <f t="shared" si="16"/>
        <v>-0.000188073395293031</v>
      </c>
    </row>
    <row r="96" ht="25.5" hidden="1" spans="1:21">
      <c r="A96" s="55">
        <v>93</v>
      </c>
      <c r="B96" s="71" t="s">
        <v>2127</v>
      </c>
      <c r="C96" s="72">
        <v>89.31</v>
      </c>
      <c r="D96" s="73">
        <v>3100</v>
      </c>
      <c r="E96" s="73">
        <f t="shared" si="10"/>
        <v>276861</v>
      </c>
      <c r="F96" s="74" t="s">
        <v>2128</v>
      </c>
      <c r="G96" s="75">
        <v>276861</v>
      </c>
      <c r="H96" s="75">
        <f t="shared" si="11"/>
        <v>0</v>
      </c>
      <c r="I96" s="86">
        <f>VLOOKUP(B96,多浪小区账面房号及收款金额!$A$2:$B$474,2,0)</f>
        <v>281861</v>
      </c>
      <c r="J96" s="86"/>
      <c r="K96" s="87">
        <f t="shared" si="17"/>
        <v>-5000</v>
      </c>
      <c r="L96" s="92" t="s">
        <v>2129</v>
      </c>
      <c r="M96" s="88" t="s">
        <v>2130</v>
      </c>
      <c r="N96" s="89">
        <f>VLOOKUP(B96,[2]信息汇总表!$M$2:$T$816,8,0)</f>
        <v>276861</v>
      </c>
      <c r="O96" s="89">
        <f t="shared" si="12"/>
        <v>254000.917431193</v>
      </c>
      <c r="P96" s="91">
        <v>254000.92</v>
      </c>
      <c r="Q96" s="88"/>
      <c r="R96" s="75">
        <f t="shared" si="13"/>
        <v>258588.073394495</v>
      </c>
      <c r="S96" s="75">
        <f t="shared" si="14"/>
        <v>12929.4036697248</v>
      </c>
      <c r="T96" s="75">
        <f t="shared" si="15"/>
        <v>4587.15339449537</v>
      </c>
      <c r="U96" s="75">
        <f t="shared" si="16"/>
        <v>229.357669724768</v>
      </c>
    </row>
    <row r="97" hidden="1" spans="1:21">
      <c r="A97" s="55">
        <v>94</v>
      </c>
      <c r="B97" s="71" t="s">
        <v>2131</v>
      </c>
      <c r="C97" s="72">
        <v>94.43</v>
      </c>
      <c r="D97" s="73">
        <v>3000</v>
      </c>
      <c r="E97" s="73">
        <f t="shared" si="10"/>
        <v>283290</v>
      </c>
      <c r="F97" s="74" t="s">
        <v>2132</v>
      </c>
      <c r="G97" s="75">
        <v>283290</v>
      </c>
      <c r="H97" s="75">
        <f t="shared" si="11"/>
        <v>0</v>
      </c>
      <c r="I97" s="86">
        <f>VLOOKUP(B97,多浪小区账面房号及收款金额!$A$2:$B$474,2,0)</f>
        <v>283290</v>
      </c>
      <c r="J97" s="86"/>
      <c r="K97" s="87">
        <f t="shared" si="17"/>
        <v>0</v>
      </c>
      <c r="L97" s="88"/>
      <c r="M97" s="88"/>
      <c r="N97" s="89">
        <f>VLOOKUP(B97,[2]信息汇总表!$M$2:$T$816,8,0)</f>
        <v>283290</v>
      </c>
      <c r="O97" s="89">
        <f t="shared" si="12"/>
        <v>259899.082568807</v>
      </c>
      <c r="P97" s="91"/>
      <c r="Q97" s="88"/>
      <c r="R97" s="75">
        <f t="shared" si="13"/>
        <v>259899.082568807</v>
      </c>
      <c r="S97" s="75">
        <f t="shared" si="14"/>
        <v>12994.9541284404</v>
      </c>
      <c r="T97" s="75">
        <f t="shared" si="15"/>
        <v>259899.082568807</v>
      </c>
      <c r="U97" s="75">
        <f t="shared" si="16"/>
        <v>12994.9541284404</v>
      </c>
    </row>
    <row r="98" hidden="1" spans="1:21">
      <c r="A98" s="55">
        <v>95</v>
      </c>
      <c r="B98" s="76" t="s">
        <v>2133</v>
      </c>
      <c r="C98" s="72">
        <v>44.09</v>
      </c>
      <c r="D98" s="73">
        <v>2993.876</v>
      </c>
      <c r="E98" s="73">
        <f t="shared" si="10"/>
        <v>132000</v>
      </c>
      <c r="F98" s="74" t="s">
        <v>2134</v>
      </c>
      <c r="G98" s="75">
        <v>132000</v>
      </c>
      <c r="H98" s="75">
        <f t="shared" si="11"/>
        <v>0</v>
      </c>
      <c r="I98" s="86">
        <f>VLOOKUP(B98,多浪小区账面房号及收款金额!$A$2:$B$474,2,0)</f>
        <v>132000</v>
      </c>
      <c r="J98" s="86"/>
      <c r="K98" s="87">
        <f t="shared" si="17"/>
        <v>0</v>
      </c>
      <c r="L98" s="88"/>
      <c r="M98" s="88"/>
      <c r="N98" s="89">
        <f>VLOOKUP(B98,[2]信息汇总表!$M$2:$T$816,8,0)</f>
        <v>132000</v>
      </c>
      <c r="O98" s="89">
        <f t="shared" si="12"/>
        <v>121100.917431193</v>
      </c>
      <c r="P98" s="91">
        <v>121100.92</v>
      </c>
      <c r="Q98" s="88"/>
      <c r="R98" s="75">
        <f t="shared" si="13"/>
        <v>121100.917431193</v>
      </c>
      <c r="S98" s="75">
        <f t="shared" si="14"/>
        <v>6055.04587155963</v>
      </c>
      <c r="T98" s="75">
        <f t="shared" si="15"/>
        <v>-0.00256880735105369</v>
      </c>
      <c r="U98" s="75">
        <f t="shared" si="16"/>
        <v>-0.000128440367916483</v>
      </c>
    </row>
    <row r="99" hidden="1" spans="1:21">
      <c r="A99" s="55">
        <v>96</v>
      </c>
      <c r="B99" s="71" t="s">
        <v>2135</v>
      </c>
      <c r="C99" s="72">
        <v>89.31</v>
      </c>
      <c r="D99" s="73">
        <v>3000</v>
      </c>
      <c r="E99" s="73">
        <f t="shared" si="10"/>
        <v>267930</v>
      </c>
      <c r="F99" s="74" t="s">
        <v>2136</v>
      </c>
      <c r="G99" s="75">
        <v>267930</v>
      </c>
      <c r="H99" s="75">
        <f t="shared" si="11"/>
        <v>0</v>
      </c>
      <c r="I99" s="86">
        <f>VLOOKUP(B99,多浪小区账面房号及收款金额!$A$2:$B$474,2,0)</f>
        <v>267930</v>
      </c>
      <c r="J99" s="86"/>
      <c r="K99" s="87">
        <f t="shared" si="17"/>
        <v>0</v>
      </c>
      <c r="L99" s="88"/>
      <c r="M99" s="88"/>
      <c r="N99" s="89"/>
      <c r="O99" s="89">
        <f t="shared" si="12"/>
        <v>0</v>
      </c>
      <c r="P99" s="91"/>
      <c r="Q99" s="88"/>
      <c r="R99" s="75">
        <f t="shared" si="13"/>
        <v>245807.339449541</v>
      </c>
      <c r="S99" s="75">
        <f t="shared" si="14"/>
        <v>12290.3669724771</v>
      </c>
      <c r="T99" s="75">
        <f t="shared" si="15"/>
        <v>245807.339449541</v>
      </c>
      <c r="U99" s="75">
        <f t="shared" si="16"/>
        <v>12290.3669724771</v>
      </c>
    </row>
    <row r="100" hidden="1" spans="1:21">
      <c r="A100" s="55">
        <v>97</v>
      </c>
      <c r="B100" s="71" t="s">
        <v>2137</v>
      </c>
      <c r="C100" s="72">
        <v>94.43</v>
      </c>
      <c r="D100" s="73">
        <v>2965.16</v>
      </c>
      <c r="E100" s="73">
        <f t="shared" si="10"/>
        <v>280000</v>
      </c>
      <c r="F100" s="74" t="s">
        <v>2138</v>
      </c>
      <c r="G100" s="75">
        <v>280000</v>
      </c>
      <c r="H100" s="75">
        <f t="shared" si="11"/>
        <v>0</v>
      </c>
      <c r="I100" s="86">
        <f>VLOOKUP(B100,多浪小区账面房号及收款金额!$A$2:$B$474,2,0)</f>
        <v>280000</v>
      </c>
      <c r="J100" s="86"/>
      <c r="K100" s="87">
        <f t="shared" si="17"/>
        <v>0</v>
      </c>
      <c r="L100" s="88"/>
      <c r="M100" s="88"/>
      <c r="N100" s="89">
        <f>VLOOKUP(B100,[2]信息汇总表!$M$2:$T$816,8,0)</f>
        <v>280000</v>
      </c>
      <c r="O100" s="89">
        <f t="shared" si="12"/>
        <v>256880.733944954</v>
      </c>
      <c r="P100" s="91">
        <v>256880.73</v>
      </c>
      <c r="Q100" s="88"/>
      <c r="R100" s="75">
        <f t="shared" si="13"/>
        <v>256880.733944954</v>
      </c>
      <c r="S100" s="75">
        <f t="shared" si="14"/>
        <v>12844.0366972477</v>
      </c>
      <c r="T100" s="75">
        <f t="shared" si="15"/>
        <v>0.00394495410728268</v>
      </c>
      <c r="U100" s="75">
        <f t="shared" si="16"/>
        <v>0.000197247703908943</v>
      </c>
    </row>
    <row r="101" hidden="1" spans="1:21">
      <c r="A101" s="55">
        <v>98</v>
      </c>
      <c r="B101" s="76" t="s">
        <v>2139</v>
      </c>
      <c r="C101" s="72">
        <v>44.09</v>
      </c>
      <c r="D101" s="73">
        <v>2832.64</v>
      </c>
      <c r="E101" s="73">
        <f t="shared" si="10"/>
        <v>124891</v>
      </c>
      <c r="F101" s="74" t="s">
        <v>2140</v>
      </c>
      <c r="G101" s="75">
        <v>124891</v>
      </c>
      <c r="H101" s="75">
        <f t="shared" si="11"/>
        <v>0</v>
      </c>
      <c r="I101" s="86">
        <f>VLOOKUP(B101,多浪小区账面房号及收款金额!$A$2:$B$474,2,0)</f>
        <v>124891</v>
      </c>
      <c r="J101" s="86"/>
      <c r="K101" s="87">
        <f t="shared" si="17"/>
        <v>0</v>
      </c>
      <c r="L101" s="88"/>
      <c r="M101" s="88"/>
      <c r="N101" s="89"/>
      <c r="O101" s="89">
        <f t="shared" si="12"/>
        <v>0</v>
      </c>
      <c r="P101" s="91"/>
      <c r="Q101" s="88"/>
      <c r="R101" s="75">
        <f t="shared" si="13"/>
        <v>114578.899082569</v>
      </c>
      <c r="S101" s="75">
        <f t="shared" si="14"/>
        <v>5728.94495412844</v>
      </c>
      <c r="T101" s="75">
        <f t="shared" si="15"/>
        <v>114578.899082569</v>
      </c>
      <c r="U101" s="75">
        <f t="shared" si="16"/>
        <v>5728.94495412844</v>
      </c>
    </row>
    <row r="102" hidden="1" spans="1:21">
      <c r="A102" s="55">
        <v>99</v>
      </c>
      <c r="B102" s="71" t="s">
        <v>2141</v>
      </c>
      <c r="C102" s="72">
        <v>89.31</v>
      </c>
      <c r="D102" s="73">
        <v>2850</v>
      </c>
      <c r="E102" s="73">
        <f t="shared" si="10"/>
        <v>254534</v>
      </c>
      <c r="F102" s="74" t="s">
        <v>2142</v>
      </c>
      <c r="G102" s="75">
        <v>254534</v>
      </c>
      <c r="H102" s="75">
        <f t="shared" si="11"/>
        <v>0</v>
      </c>
      <c r="I102" s="86">
        <f>VLOOKUP(B102,多浪小区账面房号及收款金额!$A$2:$B$474,2,0)</f>
        <v>254534</v>
      </c>
      <c r="J102" s="86"/>
      <c r="K102" s="87">
        <f t="shared" si="17"/>
        <v>0</v>
      </c>
      <c r="L102" s="88"/>
      <c r="M102" s="88"/>
      <c r="N102" s="89">
        <f>VLOOKUP(B102,[2]信息汇总表!$M$2:$T$816,8,0)</f>
        <v>254534</v>
      </c>
      <c r="O102" s="89">
        <f t="shared" si="12"/>
        <v>233517.431192661</v>
      </c>
      <c r="P102" s="91">
        <v>233517.43</v>
      </c>
      <c r="Q102" s="88"/>
      <c r="R102" s="75">
        <f t="shared" si="13"/>
        <v>233517.431192661</v>
      </c>
      <c r="S102" s="75">
        <f t="shared" si="14"/>
        <v>11675.871559633</v>
      </c>
      <c r="T102" s="75">
        <f t="shared" si="15"/>
        <v>0.00119266053661704</v>
      </c>
      <c r="U102" s="75">
        <f t="shared" si="16"/>
        <v>5.96330264670542e-5</v>
      </c>
    </row>
    <row r="103" hidden="1" spans="1:21">
      <c r="A103" s="55">
        <v>100</v>
      </c>
      <c r="B103" s="71" t="s">
        <v>2143</v>
      </c>
      <c r="C103" s="72">
        <v>94.43</v>
      </c>
      <c r="D103" s="73">
        <v>2800</v>
      </c>
      <c r="E103" s="73">
        <f t="shared" si="10"/>
        <v>264404</v>
      </c>
      <c r="F103" s="94" t="s">
        <v>2144</v>
      </c>
      <c r="G103" s="75">
        <v>264404</v>
      </c>
      <c r="H103" s="75">
        <f t="shared" si="11"/>
        <v>0</v>
      </c>
      <c r="I103" s="86">
        <f>VLOOKUP(B103,多浪小区账面房号及收款金额!$A$2:$B$474,2,0)</f>
        <v>264404</v>
      </c>
      <c r="J103" s="86"/>
      <c r="K103" s="87">
        <f t="shared" si="17"/>
        <v>0</v>
      </c>
      <c r="L103" s="88"/>
      <c r="M103" s="88"/>
      <c r="N103" s="89">
        <f>VLOOKUP(B103,[2]信息汇总表!$M$2:$T$816,8,0)</f>
        <v>264404</v>
      </c>
      <c r="O103" s="89">
        <f t="shared" si="12"/>
        <v>242572.47706422</v>
      </c>
      <c r="P103" s="91">
        <v>242572.48</v>
      </c>
      <c r="Q103" s="88"/>
      <c r="R103" s="75">
        <f t="shared" si="13"/>
        <v>242572.47706422</v>
      </c>
      <c r="S103" s="75">
        <f t="shared" si="14"/>
        <v>12128.623853211</v>
      </c>
      <c r="T103" s="75">
        <f t="shared" si="15"/>
        <v>-0.00293577983393334</v>
      </c>
      <c r="U103" s="75">
        <f t="shared" si="16"/>
        <v>-0.000146788992424263</v>
      </c>
    </row>
    <row r="104" hidden="1" spans="1:21">
      <c r="A104" s="55">
        <v>101</v>
      </c>
      <c r="B104" s="76" t="s">
        <v>2145</v>
      </c>
      <c r="C104" s="72">
        <v>44.09</v>
      </c>
      <c r="D104" s="73">
        <v>2660</v>
      </c>
      <c r="E104" s="73">
        <f t="shared" si="10"/>
        <v>117279</v>
      </c>
      <c r="F104" s="74" t="s">
        <v>2146</v>
      </c>
      <c r="G104" s="75">
        <v>117279</v>
      </c>
      <c r="H104" s="75">
        <f t="shared" si="11"/>
        <v>0</v>
      </c>
      <c r="I104" s="86">
        <f>VLOOKUP(B104,多浪小区账面房号及收款金额!$A$2:$B$474,2,0)</f>
        <v>117279</v>
      </c>
      <c r="J104" s="86"/>
      <c r="K104" s="87">
        <f t="shared" si="17"/>
        <v>0</v>
      </c>
      <c r="L104" s="88"/>
      <c r="M104" s="88"/>
      <c r="N104" s="89">
        <f>VLOOKUP(B104,[2]信息汇总表!$M$2:$T$816,8,0)</f>
        <v>117279</v>
      </c>
      <c r="O104" s="89">
        <f t="shared" si="12"/>
        <v>107595.412844037</v>
      </c>
      <c r="P104" s="91">
        <v>107595.41</v>
      </c>
      <c r="Q104" s="88"/>
      <c r="R104" s="75">
        <f t="shared" si="13"/>
        <v>107595.412844037</v>
      </c>
      <c r="S104" s="75">
        <f t="shared" si="14"/>
        <v>5379.77064220183</v>
      </c>
      <c r="T104" s="75">
        <f t="shared" si="15"/>
        <v>0.00284403668774758</v>
      </c>
      <c r="U104" s="75">
        <f t="shared" si="16"/>
        <v>0.000142201834023581</v>
      </c>
    </row>
    <row r="105" ht="14" hidden="1" customHeight="1" spans="1:21">
      <c r="A105" s="55">
        <v>102</v>
      </c>
      <c r="B105" s="71" t="s">
        <v>2147</v>
      </c>
      <c r="C105" s="72">
        <v>89.31</v>
      </c>
      <c r="D105" s="73">
        <v>2799.23</v>
      </c>
      <c r="E105" s="73">
        <f t="shared" si="10"/>
        <v>249999</v>
      </c>
      <c r="F105" s="74" t="s">
        <v>2148</v>
      </c>
      <c r="G105" s="75">
        <v>250000</v>
      </c>
      <c r="H105" s="75">
        <f t="shared" si="11"/>
        <v>-1</v>
      </c>
      <c r="I105" s="86">
        <f>VLOOKUP(B105,多浪小区账面房号及收款金额!$A$2:$B$474,2,0)</f>
        <v>250000</v>
      </c>
      <c r="J105" s="86"/>
      <c r="K105" s="87">
        <f t="shared" si="17"/>
        <v>0</v>
      </c>
      <c r="L105" s="88"/>
      <c r="M105" s="88"/>
      <c r="N105" s="89">
        <f>VLOOKUP(B105,[2]信息汇总表!$M$2:$T$816,8,0)</f>
        <v>250000</v>
      </c>
      <c r="O105" s="89">
        <f t="shared" si="12"/>
        <v>229357.798165138</v>
      </c>
      <c r="P105" s="91">
        <v>229357.8</v>
      </c>
      <c r="Q105" s="88"/>
      <c r="R105" s="75">
        <f t="shared" si="13"/>
        <v>229357.798165138</v>
      </c>
      <c r="S105" s="75">
        <f t="shared" si="14"/>
        <v>11467.8899082569</v>
      </c>
      <c r="T105" s="75">
        <f t="shared" si="15"/>
        <v>-0.00183486239984632</v>
      </c>
      <c r="U105" s="75">
        <f t="shared" si="16"/>
        <v>-9.17431189009221e-5</v>
      </c>
    </row>
    <row r="106" hidden="1" spans="1:21">
      <c r="A106" s="55">
        <v>103</v>
      </c>
      <c r="B106" s="71" t="s">
        <v>2149</v>
      </c>
      <c r="C106" s="72">
        <v>94.43</v>
      </c>
      <c r="D106" s="73">
        <v>2600</v>
      </c>
      <c r="E106" s="73">
        <f t="shared" si="10"/>
        <v>245518</v>
      </c>
      <c r="F106" s="74" t="s">
        <v>2150</v>
      </c>
      <c r="G106" s="75">
        <v>245518</v>
      </c>
      <c r="H106" s="75">
        <f t="shared" si="11"/>
        <v>0</v>
      </c>
      <c r="I106" s="86">
        <f>VLOOKUP(B106,多浪小区账面房号及收款金额!$A$2:$B$474,2,0)</f>
        <v>245518</v>
      </c>
      <c r="J106" s="86"/>
      <c r="K106" s="87">
        <f t="shared" si="17"/>
        <v>0</v>
      </c>
      <c r="L106" s="88"/>
      <c r="M106" s="88"/>
      <c r="N106" s="89">
        <f>VLOOKUP(B106,[2]信息汇总表!$M$2:$T$816,8,0)</f>
        <v>245518</v>
      </c>
      <c r="O106" s="89">
        <f t="shared" si="12"/>
        <v>225245.871559633</v>
      </c>
      <c r="P106" s="91">
        <v>225245.87</v>
      </c>
      <c r="Q106" s="88"/>
      <c r="R106" s="75">
        <f t="shared" si="13"/>
        <v>225245.871559633</v>
      </c>
      <c r="S106" s="75">
        <f t="shared" si="14"/>
        <v>11262.2935779817</v>
      </c>
      <c r="T106" s="75">
        <f t="shared" si="15"/>
        <v>0.00155963300494477</v>
      </c>
      <c r="U106" s="75">
        <f t="shared" si="16"/>
        <v>7.79816509748343e-5</v>
      </c>
    </row>
    <row r="107" hidden="1" spans="1:21">
      <c r="A107" s="55">
        <v>104</v>
      </c>
      <c r="B107" s="76" t="s">
        <v>2151</v>
      </c>
      <c r="C107" s="72">
        <v>44.09</v>
      </c>
      <c r="D107" s="73">
        <v>2650</v>
      </c>
      <c r="E107" s="73">
        <f t="shared" si="10"/>
        <v>116839</v>
      </c>
      <c r="F107" s="74" t="s">
        <v>2152</v>
      </c>
      <c r="G107" s="75">
        <v>116839</v>
      </c>
      <c r="H107" s="75">
        <f t="shared" si="11"/>
        <v>0</v>
      </c>
      <c r="I107" s="86">
        <f>VLOOKUP(B107,多浪小区账面房号及收款金额!$A$2:$B$474,2,0)</f>
        <v>116839</v>
      </c>
      <c r="J107" s="86"/>
      <c r="K107" s="87">
        <f t="shared" si="17"/>
        <v>0</v>
      </c>
      <c r="L107" s="88"/>
      <c r="M107" s="88"/>
      <c r="N107" s="89"/>
      <c r="O107" s="89">
        <f t="shared" si="12"/>
        <v>0</v>
      </c>
      <c r="P107" s="91"/>
      <c r="Q107" s="88"/>
      <c r="R107" s="75">
        <f t="shared" si="13"/>
        <v>107191.743119266</v>
      </c>
      <c r="S107" s="75">
        <f t="shared" si="14"/>
        <v>5359.5871559633</v>
      </c>
      <c r="T107" s="75">
        <f t="shared" si="15"/>
        <v>107191.743119266</v>
      </c>
      <c r="U107" s="75">
        <f t="shared" si="16"/>
        <v>5359.5871559633</v>
      </c>
    </row>
    <row r="108" hidden="1" spans="1:21">
      <c r="A108" s="55">
        <v>105</v>
      </c>
      <c r="B108" s="71" t="s">
        <v>2153</v>
      </c>
      <c r="C108" s="72">
        <v>89.31</v>
      </c>
      <c r="D108" s="73">
        <v>2600</v>
      </c>
      <c r="E108" s="73">
        <f t="shared" si="10"/>
        <v>232206</v>
      </c>
      <c r="F108" s="74" t="s">
        <v>2154</v>
      </c>
      <c r="G108" s="75">
        <v>232206</v>
      </c>
      <c r="H108" s="75">
        <f t="shared" si="11"/>
        <v>0</v>
      </c>
      <c r="I108" s="86">
        <f>VLOOKUP(B108,多浪小区账面房号及收款金额!$A$2:$B$474,2,0)</f>
        <v>232206</v>
      </c>
      <c r="J108" s="86"/>
      <c r="K108" s="87">
        <f t="shared" si="17"/>
        <v>0</v>
      </c>
      <c r="L108" s="88"/>
      <c r="M108" s="88"/>
      <c r="N108" s="89">
        <f>VLOOKUP(B108,[2]信息汇总表!$M$2:$T$816,8,0)</f>
        <v>232206</v>
      </c>
      <c r="O108" s="89">
        <f t="shared" si="12"/>
        <v>213033.027522936</v>
      </c>
      <c r="P108" s="91">
        <v>213033.03</v>
      </c>
      <c r="Q108" s="88"/>
      <c r="R108" s="75">
        <f t="shared" si="13"/>
        <v>213033.027522936</v>
      </c>
      <c r="S108" s="75">
        <f t="shared" si="14"/>
        <v>10651.6513761468</v>
      </c>
      <c r="T108" s="75">
        <f t="shared" si="15"/>
        <v>-0.00247706423397176</v>
      </c>
      <c r="U108" s="75">
        <f t="shared" si="16"/>
        <v>-0.00012385321133479</v>
      </c>
    </row>
    <row r="109" hidden="1" spans="1:21">
      <c r="A109" s="55">
        <v>106</v>
      </c>
      <c r="B109" s="71" t="s">
        <v>2155</v>
      </c>
      <c r="C109" s="72">
        <v>94.43</v>
      </c>
      <c r="D109" s="73">
        <v>3350</v>
      </c>
      <c r="E109" s="73">
        <f t="shared" si="10"/>
        <v>316341</v>
      </c>
      <c r="F109" s="74" t="s">
        <v>2156</v>
      </c>
      <c r="G109" s="75">
        <v>316341</v>
      </c>
      <c r="H109" s="75">
        <f t="shared" si="11"/>
        <v>0</v>
      </c>
      <c r="I109" s="86">
        <f>VLOOKUP(B109,多浪小区账面房号及收款金额!$A$2:$B$474,2,0)</f>
        <v>316341</v>
      </c>
      <c r="J109" s="86"/>
      <c r="K109" s="87">
        <f t="shared" si="17"/>
        <v>0</v>
      </c>
      <c r="L109" s="88"/>
      <c r="M109" s="88"/>
      <c r="N109" s="89">
        <f>VLOOKUP(B109,[2]信息汇总表!$M$2:$T$816,8,0)</f>
        <v>316341</v>
      </c>
      <c r="O109" s="89">
        <f t="shared" si="12"/>
        <v>290221.100917431</v>
      </c>
      <c r="P109" s="91">
        <v>290221.1</v>
      </c>
      <c r="Q109" s="88"/>
      <c r="R109" s="75">
        <f t="shared" si="13"/>
        <v>290221.100917431</v>
      </c>
      <c r="S109" s="75">
        <f t="shared" si="14"/>
        <v>14511.0550458716</v>
      </c>
      <c r="T109" s="75">
        <f t="shared" si="15"/>
        <v>0.000917431199923158</v>
      </c>
      <c r="U109" s="75">
        <f t="shared" si="16"/>
        <v>4.58715585409664e-5</v>
      </c>
    </row>
    <row r="110" hidden="1" spans="1:21">
      <c r="A110" s="55">
        <v>107</v>
      </c>
      <c r="B110" s="76" t="s">
        <v>2157</v>
      </c>
      <c r="C110" s="72">
        <v>54.9</v>
      </c>
      <c r="D110" s="73">
        <v>2981.57</v>
      </c>
      <c r="E110" s="73">
        <f t="shared" si="10"/>
        <v>163688</v>
      </c>
      <c r="F110" s="74" t="s">
        <v>2158</v>
      </c>
      <c r="G110" s="75">
        <v>163688</v>
      </c>
      <c r="H110" s="75">
        <f t="shared" si="11"/>
        <v>0</v>
      </c>
      <c r="I110" s="86">
        <f>VLOOKUP(B110,多浪小区账面房号及收款金额!$A$2:$B$474,2,0)</f>
        <v>163688</v>
      </c>
      <c r="J110" s="86"/>
      <c r="K110" s="87">
        <f t="shared" si="17"/>
        <v>0</v>
      </c>
      <c r="L110" s="88"/>
      <c r="M110" s="88"/>
      <c r="N110" s="89">
        <f>VLOOKUP(B110,[2]信息汇总表!$M$2:$T$816,8,0)</f>
        <v>163688</v>
      </c>
      <c r="O110" s="89">
        <f t="shared" si="12"/>
        <v>150172.47706422</v>
      </c>
      <c r="P110" s="91"/>
      <c r="Q110" s="88"/>
      <c r="R110" s="75">
        <f t="shared" si="13"/>
        <v>150172.47706422</v>
      </c>
      <c r="S110" s="75">
        <f t="shared" si="14"/>
        <v>7508.62385321101</v>
      </c>
      <c r="T110" s="75">
        <f t="shared" si="15"/>
        <v>150172.47706422</v>
      </c>
      <c r="U110" s="75">
        <f t="shared" si="16"/>
        <v>7508.62385321101</v>
      </c>
    </row>
    <row r="111" hidden="1" spans="1:21">
      <c r="A111" s="55">
        <v>108</v>
      </c>
      <c r="B111" s="71" t="s">
        <v>2159</v>
      </c>
      <c r="C111" s="72">
        <v>77.07</v>
      </c>
      <c r="D111" s="73">
        <v>3000</v>
      </c>
      <c r="E111" s="73">
        <f t="shared" si="10"/>
        <v>231210</v>
      </c>
      <c r="F111" s="74" t="s">
        <v>2160</v>
      </c>
      <c r="G111" s="75">
        <v>140000</v>
      </c>
      <c r="H111" s="75">
        <f t="shared" si="11"/>
        <v>91210</v>
      </c>
      <c r="I111" s="86">
        <f>VLOOKUP(B111,多浪小区账面房号及收款金额!$A$2:$B$474,2,0)</f>
        <v>140000</v>
      </c>
      <c r="J111" s="86"/>
      <c r="K111" s="87">
        <f t="shared" si="17"/>
        <v>0</v>
      </c>
      <c r="L111" s="88"/>
      <c r="M111" s="88"/>
      <c r="N111" s="89"/>
      <c r="O111" s="89">
        <f t="shared" si="12"/>
        <v>0</v>
      </c>
      <c r="P111" s="91"/>
      <c r="Q111" s="88"/>
      <c r="R111" s="75">
        <f t="shared" si="13"/>
        <v>128440.366972477</v>
      </c>
      <c r="S111" s="75">
        <f t="shared" si="14"/>
        <v>6422.01834862385</v>
      </c>
      <c r="T111" s="75">
        <f t="shared" si="15"/>
        <v>128440.366972477</v>
      </c>
      <c r="U111" s="75">
        <f t="shared" si="16"/>
        <v>6422.01834862385</v>
      </c>
    </row>
    <row r="112" hidden="1" spans="1:21">
      <c r="A112" s="55">
        <v>109</v>
      </c>
      <c r="B112" s="71" t="s">
        <v>2161</v>
      </c>
      <c r="C112" s="72">
        <v>94.43</v>
      </c>
      <c r="D112" s="73">
        <v>3092.24</v>
      </c>
      <c r="E112" s="73">
        <f t="shared" si="10"/>
        <v>292000</v>
      </c>
      <c r="F112" s="74" t="s">
        <v>2162</v>
      </c>
      <c r="G112" s="75">
        <v>292000</v>
      </c>
      <c r="H112" s="75">
        <f t="shared" si="11"/>
        <v>0</v>
      </c>
      <c r="I112" s="86">
        <f>VLOOKUP(B112,多浪小区账面房号及收款金额!$A$2:$B$474,2,0)</f>
        <v>292000</v>
      </c>
      <c r="J112" s="86"/>
      <c r="K112" s="87">
        <f t="shared" si="17"/>
        <v>0</v>
      </c>
      <c r="L112" s="88"/>
      <c r="M112" s="88"/>
      <c r="N112" s="89">
        <f>VLOOKUP(B112,[2]信息汇总表!$M$2:$T$816,8,0)</f>
        <v>292000</v>
      </c>
      <c r="O112" s="89">
        <f t="shared" si="12"/>
        <v>267889.908256881</v>
      </c>
      <c r="P112" s="91">
        <v>267889.91</v>
      </c>
      <c r="Q112" s="88"/>
      <c r="R112" s="75">
        <f t="shared" si="13"/>
        <v>267889.908256881</v>
      </c>
      <c r="S112" s="75">
        <f t="shared" si="14"/>
        <v>13394.495412844</v>
      </c>
      <c r="T112" s="75">
        <f t="shared" si="15"/>
        <v>-0.00174311926821247</v>
      </c>
      <c r="U112" s="75">
        <f t="shared" si="16"/>
        <v>-8.71559623192297e-5</v>
      </c>
    </row>
    <row r="113" hidden="1" spans="1:21">
      <c r="A113" s="55">
        <v>110</v>
      </c>
      <c r="B113" s="76" t="s">
        <v>2163</v>
      </c>
      <c r="C113" s="72">
        <v>54.9</v>
      </c>
      <c r="D113" s="73">
        <v>3000</v>
      </c>
      <c r="E113" s="73">
        <f t="shared" si="10"/>
        <v>164700</v>
      </c>
      <c r="F113" s="74" t="s">
        <v>2164</v>
      </c>
      <c r="G113" s="75">
        <v>164700</v>
      </c>
      <c r="H113" s="75">
        <f t="shared" si="11"/>
        <v>0</v>
      </c>
      <c r="I113" s="86">
        <f>VLOOKUP(B113,多浪小区账面房号及收款金额!$A$2:$B$474,2,0)</f>
        <v>164700</v>
      </c>
      <c r="J113" s="86"/>
      <c r="K113" s="87">
        <f t="shared" si="17"/>
        <v>0</v>
      </c>
      <c r="L113" s="88"/>
      <c r="M113" s="88"/>
      <c r="N113" s="89">
        <f>VLOOKUP(B113,[2]信息汇总表!$M$2:$T$816,8,0)</f>
        <v>164700</v>
      </c>
      <c r="O113" s="89">
        <f t="shared" si="12"/>
        <v>151100.917431193</v>
      </c>
      <c r="P113" s="91">
        <v>151100.92</v>
      </c>
      <c r="Q113" s="88"/>
      <c r="R113" s="75">
        <f t="shared" si="13"/>
        <v>151100.917431193</v>
      </c>
      <c r="S113" s="75">
        <f t="shared" si="14"/>
        <v>7555.04587155963</v>
      </c>
      <c r="T113" s="75">
        <f t="shared" si="15"/>
        <v>-0.00256880736560561</v>
      </c>
      <c r="U113" s="75">
        <f t="shared" si="16"/>
        <v>-0.000128440368825977</v>
      </c>
    </row>
    <row r="114" hidden="1" spans="1:21">
      <c r="A114" s="55">
        <v>111</v>
      </c>
      <c r="B114" s="71" t="s">
        <v>2165</v>
      </c>
      <c r="C114" s="72">
        <v>77.07</v>
      </c>
      <c r="D114" s="73">
        <v>3150</v>
      </c>
      <c r="E114" s="73">
        <f t="shared" si="10"/>
        <v>242771</v>
      </c>
      <c r="F114" s="74" t="s">
        <v>2166</v>
      </c>
      <c r="G114" s="75">
        <v>242771</v>
      </c>
      <c r="H114" s="75">
        <f t="shared" si="11"/>
        <v>0</v>
      </c>
      <c r="I114" s="86">
        <f>VLOOKUP(B114,多浪小区账面房号及收款金额!$A$2:$B$474,2,0)</f>
        <v>242771</v>
      </c>
      <c r="J114" s="86"/>
      <c r="K114" s="87">
        <f t="shared" si="17"/>
        <v>0</v>
      </c>
      <c r="L114" s="88"/>
      <c r="M114" s="88"/>
      <c r="N114" s="89">
        <f>VLOOKUP(B114,[2]信息汇总表!$M$2:$T$816,8,0)</f>
        <v>242771</v>
      </c>
      <c r="O114" s="89">
        <f t="shared" si="12"/>
        <v>222725.688073394</v>
      </c>
      <c r="P114" s="91">
        <v>222725.69</v>
      </c>
      <c r="Q114" s="88"/>
      <c r="R114" s="75">
        <f t="shared" si="13"/>
        <v>222725.688073394</v>
      </c>
      <c r="S114" s="75">
        <f t="shared" si="14"/>
        <v>11136.2844036697</v>
      </c>
      <c r="T114" s="75">
        <f t="shared" si="15"/>
        <v>-0.00192660553148016</v>
      </c>
      <c r="U114" s="75">
        <f t="shared" si="16"/>
        <v>-9.63302773016039e-5</v>
      </c>
    </row>
    <row r="115" hidden="1" spans="1:21">
      <c r="A115" s="55">
        <v>112</v>
      </c>
      <c r="B115" s="71" t="s">
        <v>2167</v>
      </c>
      <c r="C115" s="72">
        <v>94.43</v>
      </c>
      <c r="D115" s="73">
        <v>2950</v>
      </c>
      <c r="E115" s="73">
        <f t="shared" si="10"/>
        <v>278569</v>
      </c>
      <c r="F115" s="74" t="s">
        <v>2168</v>
      </c>
      <c r="G115" s="75">
        <v>278569</v>
      </c>
      <c r="H115" s="75">
        <f t="shared" si="11"/>
        <v>0</v>
      </c>
      <c r="I115" s="86">
        <f>VLOOKUP(B115,多浪小区账面房号及收款金额!$A$2:$B$474,2,0)</f>
        <v>278569</v>
      </c>
      <c r="J115" s="86"/>
      <c r="K115" s="87">
        <f t="shared" si="17"/>
        <v>0</v>
      </c>
      <c r="L115" s="88"/>
      <c r="M115" s="88"/>
      <c r="N115" s="89">
        <f>VLOOKUP(B115,[2]信息汇总表!$M$2:$T$816,8,0)</f>
        <v>278569</v>
      </c>
      <c r="O115" s="89">
        <f t="shared" si="12"/>
        <v>255567.889908257</v>
      </c>
      <c r="P115" s="91">
        <v>255567.89</v>
      </c>
      <c r="Q115" s="88"/>
      <c r="R115" s="75">
        <f t="shared" si="13"/>
        <v>255567.889908257</v>
      </c>
      <c r="S115" s="75">
        <f t="shared" si="14"/>
        <v>12778.3944954128</v>
      </c>
      <c r="T115" s="75">
        <f t="shared" si="15"/>
        <v>-9.17431607376784e-5</v>
      </c>
      <c r="U115" s="75">
        <f t="shared" si="16"/>
        <v>-4.5871584006818e-6</v>
      </c>
    </row>
    <row r="116" hidden="1" spans="1:21">
      <c r="A116" s="55">
        <v>113</v>
      </c>
      <c r="B116" s="76" t="s">
        <v>2169</v>
      </c>
      <c r="C116" s="72">
        <v>54.9</v>
      </c>
      <c r="D116" s="73">
        <v>2831.566</v>
      </c>
      <c r="E116" s="73">
        <f t="shared" si="10"/>
        <v>155453</v>
      </c>
      <c r="F116" s="74" t="s">
        <v>2170</v>
      </c>
      <c r="G116" s="75">
        <v>155453</v>
      </c>
      <c r="H116" s="75">
        <f t="shared" si="11"/>
        <v>0</v>
      </c>
      <c r="I116" s="86">
        <f>VLOOKUP(B116,多浪小区账面房号及收款金额!$A$2:$B$474,2,0)</f>
        <v>155453</v>
      </c>
      <c r="J116" s="86"/>
      <c r="K116" s="87">
        <f t="shared" si="17"/>
        <v>0</v>
      </c>
      <c r="L116" s="88"/>
      <c r="M116" s="88"/>
      <c r="N116" s="89">
        <f>VLOOKUP(B116,[2]信息汇总表!$M$2:$T$816,8,0)</f>
        <v>155453</v>
      </c>
      <c r="O116" s="89">
        <f t="shared" si="12"/>
        <v>142617.431192661</v>
      </c>
      <c r="P116" s="91">
        <v>142617.43</v>
      </c>
      <c r="Q116" s="88"/>
      <c r="R116" s="75">
        <f t="shared" si="13"/>
        <v>142617.431192661</v>
      </c>
      <c r="S116" s="75">
        <f t="shared" si="14"/>
        <v>7130.87155963303</v>
      </c>
      <c r="T116" s="75">
        <f t="shared" si="15"/>
        <v>0.00119266053661704</v>
      </c>
      <c r="U116" s="75">
        <f t="shared" si="16"/>
        <v>5.96330264670542e-5</v>
      </c>
    </row>
    <row r="117" hidden="1" spans="1:21">
      <c r="A117" s="55">
        <v>114</v>
      </c>
      <c r="B117" s="71" t="s">
        <v>2171</v>
      </c>
      <c r="C117" s="72">
        <v>77.07</v>
      </c>
      <c r="D117" s="73">
        <v>2800</v>
      </c>
      <c r="E117" s="73">
        <f t="shared" si="10"/>
        <v>215796</v>
      </c>
      <c r="F117" s="74" t="s">
        <v>2172</v>
      </c>
      <c r="G117" s="75">
        <v>215796</v>
      </c>
      <c r="H117" s="75">
        <f t="shared" si="11"/>
        <v>0</v>
      </c>
      <c r="I117" s="86">
        <f>VLOOKUP(B117,多浪小区账面房号及收款金额!$A$2:$B$474,2,0)</f>
        <v>215796</v>
      </c>
      <c r="J117" s="86"/>
      <c r="K117" s="87">
        <f t="shared" si="17"/>
        <v>0</v>
      </c>
      <c r="L117" s="88"/>
      <c r="M117" s="88"/>
      <c r="N117" s="89">
        <f>VLOOKUP(B117,[2]信息汇总表!$M$2:$T$816,8,0)</f>
        <v>215796</v>
      </c>
      <c r="O117" s="89">
        <f t="shared" si="12"/>
        <v>197977.981651376</v>
      </c>
      <c r="P117" s="91">
        <v>197977.98</v>
      </c>
      <c r="Q117" s="88"/>
      <c r="R117" s="75">
        <f t="shared" si="13"/>
        <v>197977.981651376</v>
      </c>
      <c r="S117" s="75">
        <f t="shared" si="14"/>
        <v>9898.89908256881</v>
      </c>
      <c r="T117" s="75">
        <f t="shared" si="15"/>
        <v>0.00165137610747479</v>
      </c>
      <c r="U117" s="75">
        <f t="shared" si="16"/>
        <v>8.25688057375373e-5</v>
      </c>
    </row>
    <row r="118" hidden="1" spans="1:21">
      <c r="A118" s="55">
        <v>115</v>
      </c>
      <c r="B118" s="71" t="s">
        <v>2173</v>
      </c>
      <c r="C118" s="72">
        <v>94.43</v>
      </c>
      <c r="D118" s="73">
        <v>2800</v>
      </c>
      <c r="E118" s="73">
        <f t="shared" si="10"/>
        <v>264404</v>
      </c>
      <c r="F118" s="74" t="s">
        <v>2058</v>
      </c>
      <c r="G118" s="75">
        <v>264404</v>
      </c>
      <c r="H118" s="75">
        <f t="shared" si="11"/>
        <v>0</v>
      </c>
      <c r="I118" s="86">
        <f>VLOOKUP(B118,多浪小区账面房号及收款金额!$A$2:$B$474,2,0)</f>
        <v>264404</v>
      </c>
      <c r="J118" s="86"/>
      <c r="K118" s="87">
        <f t="shared" si="17"/>
        <v>0</v>
      </c>
      <c r="L118" s="88"/>
      <c r="M118" s="88"/>
      <c r="N118" s="89">
        <f>VLOOKUP(B118,[2]信息汇总表!$M$2:$T$816,8,0)</f>
        <v>264404</v>
      </c>
      <c r="O118" s="89">
        <f t="shared" si="12"/>
        <v>242572.47706422</v>
      </c>
      <c r="P118" s="91">
        <v>242572.48</v>
      </c>
      <c r="Q118" s="88"/>
      <c r="R118" s="75">
        <f t="shared" si="13"/>
        <v>242572.47706422</v>
      </c>
      <c r="S118" s="75">
        <f t="shared" si="14"/>
        <v>12128.623853211</v>
      </c>
      <c r="T118" s="75">
        <f t="shared" si="15"/>
        <v>-0.00293577983393334</v>
      </c>
      <c r="U118" s="75">
        <f t="shared" si="16"/>
        <v>-0.000146788992424263</v>
      </c>
    </row>
    <row r="119" ht="24.75" hidden="1" spans="1:21">
      <c r="A119" s="55">
        <v>116</v>
      </c>
      <c r="B119" s="76" t="s">
        <v>2174</v>
      </c>
      <c r="C119" s="72">
        <v>54.9</v>
      </c>
      <c r="D119" s="73">
        <v>2650</v>
      </c>
      <c r="E119" s="73">
        <f t="shared" si="10"/>
        <v>145485</v>
      </c>
      <c r="F119" s="74" t="s">
        <v>2175</v>
      </c>
      <c r="G119" s="75">
        <v>145485</v>
      </c>
      <c r="H119" s="75">
        <f t="shared" si="11"/>
        <v>0</v>
      </c>
      <c r="I119" s="86">
        <f>VLOOKUP(B119,多浪小区账面房号及收款金额!$A$2:$B$474,2,0)</f>
        <v>140485</v>
      </c>
      <c r="J119" s="86"/>
      <c r="K119" s="87">
        <f t="shared" si="17"/>
        <v>5000</v>
      </c>
      <c r="L119" s="92" t="s">
        <v>2176</v>
      </c>
      <c r="M119" s="88"/>
      <c r="N119" s="89"/>
      <c r="O119" s="89">
        <f t="shared" si="12"/>
        <v>0</v>
      </c>
      <c r="P119" s="91"/>
      <c r="Q119" s="88"/>
      <c r="R119" s="75">
        <f t="shared" si="13"/>
        <v>128885.321100917</v>
      </c>
      <c r="S119" s="75">
        <f t="shared" si="14"/>
        <v>6444.26605504587</v>
      </c>
      <c r="T119" s="75">
        <f t="shared" si="15"/>
        <v>128885.321100917</v>
      </c>
      <c r="U119" s="75">
        <f t="shared" si="16"/>
        <v>6444.26605504587</v>
      </c>
    </row>
    <row r="120" hidden="1" spans="1:21">
      <c r="A120" s="55">
        <v>117</v>
      </c>
      <c r="B120" s="71" t="s">
        <v>2177</v>
      </c>
      <c r="C120" s="72">
        <v>77.07</v>
      </c>
      <c r="D120" s="73">
        <v>2700</v>
      </c>
      <c r="E120" s="73">
        <f t="shared" si="10"/>
        <v>208089</v>
      </c>
      <c r="F120" s="74" t="s">
        <v>2178</v>
      </c>
      <c r="G120" s="75">
        <v>208089</v>
      </c>
      <c r="H120" s="75">
        <f t="shared" si="11"/>
        <v>0</v>
      </c>
      <c r="I120" s="86">
        <f>VLOOKUP(B120,多浪小区账面房号及收款金额!$A$2:$B$474,2,0)</f>
        <v>208089</v>
      </c>
      <c r="J120" s="86"/>
      <c r="K120" s="87">
        <f t="shared" si="17"/>
        <v>0</v>
      </c>
      <c r="L120" s="88"/>
      <c r="M120" s="88"/>
      <c r="N120" s="89">
        <f>VLOOKUP(B120,[2]信息汇总表!$M$2:$T$816,8,0)</f>
        <v>208089</v>
      </c>
      <c r="O120" s="89">
        <f t="shared" si="12"/>
        <v>190907.339449541</v>
      </c>
      <c r="P120" s="91">
        <v>190907.34</v>
      </c>
      <c r="Q120" s="88"/>
      <c r="R120" s="75">
        <f t="shared" si="13"/>
        <v>190907.339449541</v>
      </c>
      <c r="S120" s="75">
        <f t="shared" si="14"/>
        <v>9545.36697247706</v>
      </c>
      <c r="T120" s="75">
        <f t="shared" si="15"/>
        <v>-0.000550458731595427</v>
      </c>
      <c r="U120" s="75">
        <f t="shared" si="16"/>
        <v>-2.75229358521756e-5</v>
      </c>
    </row>
    <row r="121" hidden="1" spans="1:21">
      <c r="A121" s="55">
        <v>118</v>
      </c>
      <c r="B121" s="71" t="s">
        <v>2179</v>
      </c>
      <c r="C121" s="72">
        <v>94.43</v>
      </c>
      <c r="D121" s="73">
        <v>2600</v>
      </c>
      <c r="E121" s="73">
        <f t="shared" si="10"/>
        <v>245518</v>
      </c>
      <c r="F121" s="74" t="s">
        <v>2180</v>
      </c>
      <c r="G121" s="75">
        <v>245518</v>
      </c>
      <c r="H121" s="75">
        <f t="shared" si="11"/>
        <v>0</v>
      </c>
      <c r="I121" s="86">
        <f>VLOOKUP(B121,多浪小区账面房号及收款金额!$A$2:$B$474,2,0)</f>
        <v>245518</v>
      </c>
      <c r="J121" s="86"/>
      <c r="K121" s="87">
        <f t="shared" si="17"/>
        <v>0</v>
      </c>
      <c r="L121" s="88"/>
      <c r="M121" s="88"/>
      <c r="N121" s="89">
        <f>VLOOKUP(B121,[2]信息汇总表!$M$2:$T$816,8,0)</f>
        <v>245518</v>
      </c>
      <c r="O121" s="89">
        <f t="shared" si="12"/>
        <v>225245.871559633</v>
      </c>
      <c r="P121" s="91">
        <f>259899.08</f>
        <v>259899.08</v>
      </c>
      <c r="Q121" s="88"/>
      <c r="R121" s="75">
        <f t="shared" si="13"/>
        <v>225245.871559633</v>
      </c>
      <c r="S121" s="75">
        <f t="shared" si="14"/>
        <v>11262.2935779817</v>
      </c>
      <c r="T121" s="75">
        <f t="shared" si="15"/>
        <v>-34653.208440367</v>
      </c>
      <c r="U121" s="75">
        <f t="shared" si="16"/>
        <v>-1732.66042201835</v>
      </c>
    </row>
    <row r="122" ht="51" hidden="1" spans="1:21">
      <c r="A122" s="55">
        <v>119</v>
      </c>
      <c r="B122" s="76" t="s">
        <v>2181</v>
      </c>
      <c r="C122" s="72">
        <v>54.9</v>
      </c>
      <c r="D122" s="73">
        <v>2650</v>
      </c>
      <c r="E122" s="73">
        <f t="shared" si="10"/>
        <v>145485</v>
      </c>
      <c r="F122" s="74" t="s">
        <v>2182</v>
      </c>
      <c r="G122" s="75">
        <v>145485</v>
      </c>
      <c r="H122" s="75">
        <f t="shared" si="11"/>
        <v>0</v>
      </c>
      <c r="I122" s="86">
        <f>VLOOKUP(B122,多浪小区账面房号及收款金额!$A$2:$B$474,2,0)</f>
        <v>151485</v>
      </c>
      <c r="J122" s="86"/>
      <c r="K122" s="87">
        <f t="shared" si="17"/>
        <v>-6000</v>
      </c>
      <c r="L122" s="92" t="s">
        <v>2183</v>
      </c>
      <c r="M122" s="88"/>
      <c r="N122" s="89">
        <f>VLOOKUP(B122,[2]信息汇总表!$M$2:$T$816,8,0)</f>
        <v>145485</v>
      </c>
      <c r="O122" s="89">
        <f t="shared" si="12"/>
        <v>133472.47706422</v>
      </c>
      <c r="P122" s="91">
        <v>133472.48</v>
      </c>
      <c r="Q122" s="88"/>
      <c r="R122" s="75">
        <f t="shared" si="13"/>
        <v>138977.064220183</v>
      </c>
      <c r="S122" s="75">
        <f t="shared" si="14"/>
        <v>6948.85321100917</v>
      </c>
      <c r="T122" s="75">
        <f t="shared" si="15"/>
        <v>5504.58422018346</v>
      </c>
      <c r="U122" s="75">
        <f t="shared" si="16"/>
        <v>275.229211009173</v>
      </c>
    </row>
    <row r="123" hidden="1" spans="1:21">
      <c r="A123" s="55">
        <v>120</v>
      </c>
      <c r="B123" s="71" t="s">
        <v>2184</v>
      </c>
      <c r="C123" s="72">
        <v>77.07</v>
      </c>
      <c r="D123" s="73">
        <v>2600</v>
      </c>
      <c r="E123" s="73">
        <f t="shared" si="10"/>
        <v>200382</v>
      </c>
      <c r="F123" s="74" t="s">
        <v>2185</v>
      </c>
      <c r="G123" s="75">
        <v>200382</v>
      </c>
      <c r="H123" s="75">
        <f t="shared" si="11"/>
        <v>0</v>
      </c>
      <c r="I123" s="86">
        <f>VLOOKUP(B123,多浪小区账面房号及收款金额!$A$2:$B$474,2,0)</f>
        <v>200382</v>
      </c>
      <c r="J123" s="86"/>
      <c r="K123" s="87">
        <f t="shared" ref="K123:K148" si="18">G123-I123</f>
        <v>0</v>
      </c>
      <c r="L123" s="88"/>
      <c r="M123" s="88"/>
      <c r="N123" s="89">
        <f>VLOOKUP(B123,[2]信息汇总表!$M$2:$T$816,8,0)</f>
        <v>200382</v>
      </c>
      <c r="O123" s="89">
        <f t="shared" si="12"/>
        <v>183836.697247706</v>
      </c>
      <c r="P123" s="91"/>
      <c r="Q123" s="88"/>
      <c r="R123" s="75">
        <f t="shared" si="13"/>
        <v>183836.697247706</v>
      </c>
      <c r="S123" s="75">
        <f t="shared" si="14"/>
        <v>9191.83486238532</v>
      </c>
      <c r="T123" s="75">
        <f t="shared" si="15"/>
        <v>183836.697247706</v>
      </c>
      <c r="U123" s="75">
        <f t="shared" si="16"/>
        <v>9191.83486238532</v>
      </c>
    </row>
    <row r="124" hidden="1" spans="1:21">
      <c r="A124" s="55">
        <v>121</v>
      </c>
      <c r="B124" s="71" t="s">
        <v>2186</v>
      </c>
      <c r="C124" s="72">
        <v>81.93</v>
      </c>
      <c r="D124" s="73">
        <v>2950</v>
      </c>
      <c r="E124" s="73">
        <f t="shared" si="10"/>
        <v>241694</v>
      </c>
      <c r="F124" s="74" t="s">
        <v>2187</v>
      </c>
      <c r="G124" s="75">
        <v>241694</v>
      </c>
      <c r="H124" s="75">
        <f t="shared" si="11"/>
        <v>0</v>
      </c>
      <c r="I124" s="86">
        <f>VLOOKUP(B124,多浪小区账面房号及收款金额!$A$2:$B$474,2,0)</f>
        <v>241694</v>
      </c>
      <c r="J124" s="86"/>
      <c r="K124" s="87">
        <f t="shared" si="18"/>
        <v>0</v>
      </c>
      <c r="L124" s="88"/>
      <c r="M124" s="88"/>
      <c r="N124" s="89"/>
      <c r="O124" s="89">
        <f t="shared" si="12"/>
        <v>0</v>
      </c>
      <c r="P124" s="91"/>
      <c r="Q124" s="88"/>
      <c r="R124" s="75">
        <f t="shared" si="13"/>
        <v>221737.614678899</v>
      </c>
      <c r="S124" s="75">
        <f t="shared" si="14"/>
        <v>11086.880733945</v>
      </c>
      <c r="T124" s="75">
        <f t="shared" si="15"/>
        <v>221737.614678899</v>
      </c>
      <c r="U124" s="75">
        <f t="shared" si="16"/>
        <v>11086.880733945</v>
      </c>
    </row>
    <row r="125" hidden="1" spans="1:21">
      <c r="A125" s="55">
        <v>122</v>
      </c>
      <c r="B125" s="76" t="s">
        <v>2188</v>
      </c>
      <c r="C125" s="72">
        <v>77.94</v>
      </c>
      <c r="D125" s="73">
        <v>2970</v>
      </c>
      <c r="E125" s="73">
        <f t="shared" si="10"/>
        <v>231482</v>
      </c>
      <c r="F125" s="74" t="s">
        <v>2189</v>
      </c>
      <c r="G125" s="75">
        <v>226482</v>
      </c>
      <c r="H125" s="75">
        <f t="shared" si="11"/>
        <v>5000</v>
      </c>
      <c r="I125" s="86">
        <f>VLOOKUP(B125,多浪小区账面房号及收款金额!$A$2:$B$474,2,0)</f>
        <v>226482</v>
      </c>
      <c r="J125" s="86"/>
      <c r="K125" s="87">
        <f t="shared" si="18"/>
        <v>0</v>
      </c>
      <c r="L125" s="88"/>
      <c r="M125" s="88"/>
      <c r="N125" s="89"/>
      <c r="O125" s="89">
        <f t="shared" si="12"/>
        <v>0</v>
      </c>
      <c r="P125" s="91"/>
      <c r="Q125" s="88"/>
      <c r="R125" s="75">
        <f t="shared" si="13"/>
        <v>207781.651376147</v>
      </c>
      <c r="S125" s="75">
        <f t="shared" si="14"/>
        <v>10389.0825688073</v>
      </c>
      <c r="T125" s="75">
        <f t="shared" si="15"/>
        <v>207781.651376147</v>
      </c>
      <c r="U125" s="75">
        <f t="shared" si="16"/>
        <v>10389.0825688073</v>
      </c>
    </row>
    <row r="126" hidden="1" spans="1:21">
      <c r="A126" s="55">
        <v>123</v>
      </c>
      <c r="B126" s="71" t="s">
        <v>2190</v>
      </c>
      <c r="C126" s="72">
        <v>81.93</v>
      </c>
      <c r="D126" s="73">
        <v>3000</v>
      </c>
      <c r="E126" s="73">
        <f t="shared" si="10"/>
        <v>245790</v>
      </c>
      <c r="F126" s="74" t="s">
        <v>2191</v>
      </c>
      <c r="G126" s="75">
        <v>245790</v>
      </c>
      <c r="H126" s="75">
        <f t="shared" si="11"/>
        <v>0</v>
      </c>
      <c r="I126" s="86">
        <f>VLOOKUP(B126,多浪小区账面房号及收款金额!$A$2:$B$474,2,0)</f>
        <v>245790</v>
      </c>
      <c r="J126" s="86"/>
      <c r="K126" s="87">
        <f t="shared" si="18"/>
        <v>0</v>
      </c>
      <c r="L126" s="88"/>
      <c r="M126" s="88"/>
      <c r="N126" s="89">
        <f>VLOOKUP(B126,[2]信息汇总表!$M$2:$T$816,8,0)</f>
        <v>245790</v>
      </c>
      <c r="O126" s="89">
        <f t="shared" si="12"/>
        <v>225495.412844037</v>
      </c>
      <c r="P126" s="91">
        <v>225495.41</v>
      </c>
      <c r="Q126" s="88"/>
      <c r="R126" s="75">
        <f t="shared" si="13"/>
        <v>225495.412844037</v>
      </c>
      <c r="S126" s="75">
        <f t="shared" si="14"/>
        <v>11274.7706422018</v>
      </c>
      <c r="T126" s="75">
        <f t="shared" si="15"/>
        <v>0.00284403667319566</v>
      </c>
      <c r="U126" s="75">
        <f t="shared" si="16"/>
        <v>0.000142201834023581</v>
      </c>
    </row>
    <row r="127" ht="37.5" hidden="1" spans="1:21">
      <c r="A127" s="55">
        <v>124</v>
      </c>
      <c r="B127" s="76" t="s">
        <v>2192</v>
      </c>
      <c r="C127" s="72">
        <v>77.94</v>
      </c>
      <c r="D127" s="73">
        <v>3100</v>
      </c>
      <c r="E127" s="73">
        <f t="shared" si="10"/>
        <v>241614</v>
      </c>
      <c r="F127" s="74" t="s">
        <v>2193</v>
      </c>
      <c r="G127" s="75">
        <v>241614</v>
      </c>
      <c r="H127" s="75">
        <f t="shared" si="11"/>
        <v>0</v>
      </c>
      <c r="I127" s="86">
        <f>VLOOKUP(B127,多浪小区账面房号及收款金额!$A$2:$B$474,2,0)</f>
        <v>246614</v>
      </c>
      <c r="J127" s="86"/>
      <c r="K127" s="87">
        <f t="shared" si="18"/>
        <v>-5000</v>
      </c>
      <c r="L127" s="92" t="s">
        <v>2194</v>
      </c>
      <c r="M127" s="88"/>
      <c r="N127" s="89">
        <f>VLOOKUP(B127,[2]信息汇总表!$M$2:$T$816,8,0)</f>
        <v>241614</v>
      </c>
      <c r="O127" s="89">
        <f t="shared" si="12"/>
        <v>221664.220183486</v>
      </c>
      <c r="P127" s="91">
        <v>221664.22</v>
      </c>
      <c r="Q127" s="88"/>
      <c r="R127" s="75">
        <f t="shared" si="13"/>
        <v>226251.376146789</v>
      </c>
      <c r="S127" s="75">
        <f t="shared" si="14"/>
        <v>11312.5688073394</v>
      </c>
      <c r="T127" s="75">
        <f t="shared" si="15"/>
        <v>4587.15614678897</v>
      </c>
      <c r="U127" s="75">
        <f t="shared" si="16"/>
        <v>229.357807339447</v>
      </c>
    </row>
    <row r="128" hidden="1" spans="1:21">
      <c r="A128" s="55">
        <v>125</v>
      </c>
      <c r="B128" s="71" t="s">
        <v>2195</v>
      </c>
      <c r="C128" s="72">
        <v>81.93</v>
      </c>
      <c r="D128" s="73">
        <v>2836.97</v>
      </c>
      <c r="E128" s="73">
        <f t="shared" si="10"/>
        <v>232433</v>
      </c>
      <c r="F128" s="74" t="s">
        <v>2196</v>
      </c>
      <c r="G128" s="75">
        <v>232433</v>
      </c>
      <c r="H128" s="75">
        <f t="shared" si="11"/>
        <v>0</v>
      </c>
      <c r="I128" s="86">
        <f>VLOOKUP(B128,多浪小区账面房号及收款金额!$A$2:$B$474,2,0)</f>
        <v>232433</v>
      </c>
      <c r="J128" s="86"/>
      <c r="K128" s="87">
        <f t="shared" si="18"/>
        <v>0</v>
      </c>
      <c r="L128" s="88"/>
      <c r="M128" s="88"/>
      <c r="N128" s="89">
        <f>VLOOKUP(B128,[2]信息汇总表!$M$2:$T$816,8,0)</f>
        <v>232433</v>
      </c>
      <c r="O128" s="89">
        <f t="shared" si="12"/>
        <v>213241.28440367</v>
      </c>
      <c r="P128" s="91">
        <v>213241.28</v>
      </c>
      <c r="Q128" s="88"/>
      <c r="R128" s="75">
        <f t="shared" si="13"/>
        <v>213241.28440367</v>
      </c>
      <c r="S128" s="75">
        <f t="shared" si="14"/>
        <v>10662.0642201835</v>
      </c>
      <c r="T128" s="75">
        <f t="shared" si="15"/>
        <v>0.00440366970724426</v>
      </c>
      <c r="U128" s="75">
        <f t="shared" si="16"/>
        <v>0.000220183484998415</v>
      </c>
    </row>
    <row r="129" hidden="1" spans="1:21">
      <c r="A129" s="55">
        <v>126</v>
      </c>
      <c r="B129" s="76" t="s">
        <v>2197</v>
      </c>
      <c r="C129" s="72">
        <v>77.94</v>
      </c>
      <c r="D129" s="73">
        <v>2950</v>
      </c>
      <c r="E129" s="73">
        <f t="shared" si="10"/>
        <v>229923</v>
      </c>
      <c r="F129" s="74" t="s">
        <v>1962</v>
      </c>
      <c r="G129" s="75">
        <v>229923</v>
      </c>
      <c r="H129" s="75">
        <f t="shared" si="11"/>
        <v>0</v>
      </c>
      <c r="I129" s="86">
        <f>VLOOKUP(B129,多浪小区账面房号及收款金额!$A$2:$B$474,2,0)</f>
        <v>229923</v>
      </c>
      <c r="J129" s="86"/>
      <c r="K129" s="87">
        <f t="shared" si="18"/>
        <v>0</v>
      </c>
      <c r="L129" s="88"/>
      <c r="M129" s="88"/>
      <c r="N129" s="89"/>
      <c r="O129" s="89">
        <f t="shared" si="12"/>
        <v>0</v>
      </c>
      <c r="P129" s="91"/>
      <c r="Q129" s="88"/>
      <c r="R129" s="75">
        <f t="shared" si="13"/>
        <v>210938.532110092</v>
      </c>
      <c r="S129" s="75">
        <f t="shared" si="14"/>
        <v>10546.9266055046</v>
      </c>
      <c r="T129" s="75">
        <f t="shared" si="15"/>
        <v>210938.532110092</v>
      </c>
      <c r="U129" s="75">
        <f t="shared" si="16"/>
        <v>10546.9266055046</v>
      </c>
    </row>
    <row r="130" hidden="1" spans="1:21">
      <c r="A130" s="55">
        <v>127</v>
      </c>
      <c r="B130" s="71" t="s">
        <v>2198</v>
      </c>
      <c r="C130" s="72">
        <v>81.93</v>
      </c>
      <c r="D130" s="73">
        <v>2800</v>
      </c>
      <c r="E130" s="73">
        <f t="shared" si="10"/>
        <v>229404</v>
      </c>
      <c r="F130" s="74" t="s">
        <v>2199</v>
      </c>
      <c r="G130" s="75">
        <v>229404</v>
      </c>
      <c r="H130" s="75">
        <f t="shared" si="11"/>
        <v>0</v>
      </c>
      <c r="I130" s="86">
        <f>VLOOKUP(B130,多浪小区账面房号及收款金额!$A$2:$B$474,2,0)</f>
        <v>229404</v>
      </c>
      <c r="J130" s="86"/>
      <c r="K130" s="87">
        <f t="shared" si="18"/>
        <v>0</v>
      </c>
      <c r="L130" s="88"/>
      <c r="M130" s="88"/>
      <c r="N130" s="89">
        <f>VLOOKUP(B130,[2]信息汇总表!$M$2:$T$816,8,0)</f>
        <v>229404</v>
      </c>
      <c r="O130" s="89">
        <f t="shared" si="12"/>
        <v>210462.385321101</v>
      </c>
      <c r="P130" s="91">
        <v>210462.39</v>
      </c>
      <c r="Q130" s="88"/>
      <c r="R130" s="75">
        <f t="shared" si="13"/>
        <v>210462.385321101</v>
      </c>
      <c r="S130" s="75">
        <f t="shared" si="14"/>
        <v>10523.119266055</v>
      </c>
      <c r="T130" s="75">
        <f t="shared" si="15"/>
        <v>-0.00467889910214581</v>
      </c>
      <c r="U130" s="75">
        <f t="shared" si="16"/>
        <v>-0.000233944954743492</v>
      </c>
    </row>
    <row r="131" hidden="1" spans="1:21">
      <c r="A131" s="55">
        <v>128</v>
      </c>
      <c r="B131" s="76" t="s">
        <v>2200</v>
      </c>
      <c r="C131" s="72">
        <v>77.94</v>
      </c>
      <c r="D131" s="73">
        <v>2800</v>
      </c>
      <c r="E131" s="73">
        <f t="shared" si="10"/>
        <v>218232</v>
      </c>
      <c r="F131" s="74" t="s">
        <v>2201</v>
      </c>
      <c r="G131" s="75">
        <v>218232</v>
      </c>
      <c r="H131" s="75">
        <f t="shared" si="11"/>
        <v>0</v>
      </c>
      <c r="I131" s="86">
        <f>VLOOKUP(B131,多浪小区账面房号及收款金额!$A$2:$B$474,2,0)</f>
        <v>218232</v>
      </c>
      <c r="J131" s="86"/>
      <c r="K131" s="87">
        <f t="shared" si="18"/>
        <v>0</v>
      </c>
      <c r="L131" s="88"/>
      <c r="M131" s="88"/>
      <c r="N131" s="89"/>
      <c r="O131" s="89">
        <f t="shared" si="12"/>
        <v>0</v>
      </c>
      <c r="P131" s="91"/>
      <c r="Q131" s="88"/>
      <c r="R131" s="75">
        <f t="shared" si="13"/>
        <v>200212.844036697</v>
      </c>
      <c r="S131" s="75">
        <f t="shared" si="14"/>
        <v>10010.6422018349</v>
      </c>
      <c r="T131" s="75">
        <f t="shared" si="15"/>
        <v>200212.844036697</v>
      </c>
      <c r="U131" s="75">
        <f t="shared" si="16"/>
        <v>10010.6422018349</v>
      </c>
    </row>
    <row r="132" ht="12" hidden="1" customHeight="1" spans="1:21">
      <c r="A132" s="55">
        <v>129</v>
      </c>
      <c r="B132" s="71" t="s">
        <v>2202</v>
      </c>
      <c r="C132" s="72">
        <v>81.93</v>
      </c>
      <c r="D132" s="73">
        <v>2600</v>
      </c>
      <c r="E132" s="73">
        <f t="shared" ref="E132:E195" si="19">ROUND(IF(F132&lt;&gt;0,C132*D132,0),0)</f>
        <v>213018</v>
      </c>
      <c r="F132" s="74" t="s">
        <v>2203</v>
      </c>
      <c r="G132" s="75">
        <v>213018</v>
      </c>
      <c r="H132" s="75">
        <f t="shared" si="11"/>
        <v>0</v>
      </c>
      <c r="I132" s="86">
        <f>VLOOKUP(B132,多浪小区账面房号及收款金额!$A$2:$B$474,2,0)</f>
        <v>213018</v>
      </c>
      <c r="J132" s="86"/>
      <c r="K132" s="87">
        <f t="shared" si="18"/>
        <v>0</v>
      </c>
      <c r="L132" s="88"/>
      <c r="M132" s="88"/>
      <c r="N132" s="89">
        <f>VLOOKUP(B132,[2]信息汇总表!$M$2:$T$816,8,0)</f>
        <v>213018</v>
      </c>
      <c r="O132" s="89">
        <f t="shared" si="12"/>
        <v>195429.357798165</v>
      </c>
      <c r="P132" s="91">
        <v>195429.36</v>
      </c>
      <c r="Q132" s="88"/>
      <c r="R132" s="75">
        <f t="shared" si="13"/>
        <v>195429.357798165</v>
      </c>
      <c r="S132" s="75">
        <f t="shared" si="14"/>
        <v>9771.46788990826</v>
      </c>
      <c r="T132" s="75">
        <f t="shared" si="15"/>
        <v>-0.00220183486817405</v>
      </c>
      <c r="U132" s="75">
        <f t="shared" si="16"/>
        <v>-0.000110091743408702</v>
      </c>
    </row>
    <row r="133" hidden="1" spans="1:21">
      <c r="A133" s="55">
        <v>130</v>
      </c>
      <c r="B133" s="76" t="s">
        <v>2204</v>
      </c>
      <c r="C133" s="72">
        <v>77.94</v>
      </c>
      <c r="D133" s="73">
        <v>2600</v>
      </c>
      <c r="E133" s="73">
        <f t="shared" si="19"/>
        <v>202644</v>
      </c>
      <c r="F133" s="74" t="s">
        <v>2205</v>
      </c>
      <c r="G133" s="75">
        <v>202644</v>
      </c>
      <c r="H133" s="75">
        <f t="shared" ref="H133:H196" si="20">E133-G133</f>
        <v>0</v>
      </c>
      <c r="I133" s="86">
        <f>VLOOKUP(B133,多浪小区账面房号及收款金额!$A$2:$B$474,2,0)</f>
        <v>202644</v>
      </c>
      <c r="J133" s="86"/>
      <c r="K133" s="87">
        <f t="shared" si="18"/>
        <v>0</v>
      </c>
      <c r="L133" s="88"/>
      <c r="M133" s="88"/>
      <c r="N133" s="89">
        <f>VLOOKUP(B133,[2]信息汇总表!$M$2:$T$816,8,0)</f>
        <v>202644</v>
      </c>
      <c r="O133" s="89">
        <f t="shared" ref="O133:O196" si="21">N133/1.09</f>
        <v>185911.926605505</v>
      </c>
      <c r="P133" s="91">
        <v>185911.93</v>
      </c>
      <c r="Q133" s="88"/>
      <c r="R133" s="75">
        <f t="shared" ref="R133:R196" si="22">I133/1.09</f>
        <v>185911.926605505</v>
      </c>
      <c r="S133" s="75">
        <f t="shared" ref="S133:S196" si="23">R133*0.05</f>
        <v>9295.59633027523</v>
      </c>
      <c r="T133" s="75">
        <f t="shared" ref="T133:T196" si="24">R133-P133</f>
        <v>-0.00339449543389492</v>
      </c>
      <c r="U133" s="75">
        <f t="shared" ref="U133:U196" si="25">S133-(P133*0.05)</f>
        <v>-0.000169724771694746</v>
      </c>
    </row>
    <row r="134" ht="36.75" hidden="1" spans="1:21">
      <c r="A134" s="55">
        <v>131</v>
      </c>
      <c r="B134" s="71" t="s">
        <v>2206</v>
      </c>
      <c r="C134" s="72">
        <v>77.94</v>
      </c>
      <c r="D134" s="73">
        <v>3000</v>
      </c>
      <c r="E134" s="73">
        <f t="shared" si="19"/>
        <v>233820</v>
      </c>
      <c r="F134" s="74" t="s">
        <v>2003</v>
      </c>
      <c r="G134" s="75">
        <v>233820</v>
      </c>
      <c r="H134" s="75">
        <f t="shared" si="20"/>
        <v>0</v>
      </c>
      <c r="I134" s="86">
        <f>VLOOKUP(B134,多浪小区账面房号及收款金额!$A$2:$B$474,2,0)</f>
        <v>228820</v>
      </c>
      <c r="J134" s="86"/>
      <c r="K134" s="87">
        <f t="shared" si="18"/>
        <v>5000</v>
      </c>
      <c r="L134" s="92" t="s">
        <v>2207</v>
      </c>
      <c r="M134" s="88"/>
      <c r="N134" s="89"/>
      <c r="O134" s="89">
        <f t="shared" si="21"/>
        <v>0</v>
      </c>
      <c r="P134" s="91"/>
      <c r="Q134" s="88"/>
      <c r="R134" s="75">
        <f t="shared" si="22"/>
        <v>209926.605504587</v>
      </c>
      <c r="S134" s="75">
        <f t="shared" si="23"/>
        <v>10496.3302752294</v>
      </c>
      <c r="T134" s="75">
        <f t="shared" si="24"/>
        <v>209926.605504587</v>
      </c>
      <c r="U134" s="75">
        <f t="shared" si="25"/>
        <v>10496.3302752294</v>
      </c>
    </row>
    <row r="135" ht="24.75" hidden="1" spans="1:21">
      <c r="A135" s="55">
        <v>132</v>
      </c>
      <c r="B135" s="76" t="s">
        <v>2208</v>
      </c>
      <c r="C135" s="72">
        <v>81.45</v>
      </c>
      <c r="D135" s="73">
        <v>3093.92</v>
      </c>
      <c r="E135" s="73">
        <f t="shared" si="19"/>
        <v>252000</v>
      </c>
      <c r="F135" s="74" t="s">
        <v>2209</v>
      </c>
      <c r="G135" s="75">
        <v>252000</v>
      </c>
      <c r="H135" s="75">
        <f t="shared" si="20"/>
        <v>0</v>
      </c>
      <c r="I135" s="86">
        <f>VLOOKUP(B135,多浪小区账面房号及收款金额!$A$2:$B$474,2,0)</f>
        <v>257000</v>
      </c>
      <c r="J135" s="86"/>
      <c r="K135" s="87">
        <f t="shared" si="18"/>
        <v>-5000</v>
      </c>
      <c r="L135" s="92" t="s">
        <v>2210</v>
      </c>
      <c r="M135" s="88"/>
      <c r="N135" s="89"/>
      <c r="O135" s="89">
        <f t="shared" si="21"/>
        <v>0</v>
      </c>
      <c r="P135" s="91"/>
      <c r="Q135" s="88"/>
      <c r="R135" s="75">
        <f t="shared" si="22"/>
        <v>235779.816513761</v>
      </c>
      <c r="S135" s="75">
        <f t="shared" si="23"/>
        <v>11788.9908256881</v>
      </c>
      <c r="T135" s="75">
        <f t="shared" si="24"/>
        <v>235779.816513761</v>
      </c>
      <c r="U135" s="75">
        <f t="shared" si="25"/>
        <v>11788.9908256881</v>
      </c>
    </row>
    <row r="136" hidden="1" spans="1:21">
      <c r="A136" s="55">
        <v>133</v>
      </c>
      <c r="B136" s="71" t="s">
        <v>2211</v>
      </c>
      <c r="C136" s="72">
        <v>77.94</v>
      </c>
      <c r="D136" s="73">
        <v>2980</v>
      </c>
      <c r="E136" s="73">
        <f t="shared" si="19"/>
        <v>232261</v>
      </c>
      <c r="F136" s="74" t="s">
        <v>2212</v>
      </c>
      <c r="G136" s="75">
        <v>232261</v>
      </c>
      <c r="H136" s="75">
        <f t="shared" si="20"/>
        <v>0</v>
      </c>
      <c r="I136" s="86">
        <f>VLOOKUP(B136,多浪小区账面房号及收款金额!$A$2:$B$474,2,0)</f>
        <v>232261</v>
      </c>
      <c r="J136" s="86"/>
      <c r="K136" s="87">
        <f t="shared" si="18"/>
        <v>0</v>
      </c>
      <c r="L136" s="88"/>
      <c r="M136" s="88"/>
      <c r="N136" s="89">
        <f>VLOOKUP(B136,[2]信息汇总表!$M$2:$T$816,8,0)</f>
        <v>232261</v>
      </c>
      <c r="O136" s="89">
        <f t="shared" si="21"/>
        <v>213083.486238532</v>
      </c>
      <c r="P136" s="91">
        <v>213083.49</v>
      </c>
      <c r="Q136" s="88"/>
      <c r="R136" s="75">
        <f t="shared" si="22"/>
        <v>213083.486238532</v>
      </c>
      <c r="S136" s="75">
        <f t="shared" si="23"/>
        <v>10654.1743119266</v>
      </c>
      <c r="T136" s="75">
        <f t="shared" si="24"/>
        <v>-0.00376146790222265</v>
      </c>
      <c r="U136" s="75">
        <f t="shared" si="25"/>
        <v>-0.000188073396202526</v>
      </c>
    </row>
    <row r="137" hidden="1" spans="1:21">
      <c r="A137" s="55">
        <v>134</v>
      </c>
      <c r="B137" s="76" t="s">
        <v>2213</v>
      </c>
      <c r="C137" s="72">
        <v>81.45</v>
      </c>
      <c r="D137" s="73">
        <v>2900</v>
      </c>
      <c r="E137" s="73">
        <f t="shared" si="19"/>
        <v>236205</v>
      </c>
      <c r="F137" s="74" t="s">
        <v>2214</v>
      </c>
      <c r="G137" s="75">
        <v>236205</v>
      </c>
      <c r="H137" s="75">
        <f t="shared" si="20"/>
        <v>0</v>
      </c>
      <c r="I137" s="86">
        <f>VLOOKUP(B137,多浪小区账面房号及收款金额!$A$2:$B$474,2,0)</f>
        <v>236205</v>
      </c>
      <c r="J137" s="86"/>
      <c r="K137" s="87">
        <f t="shared" si="18"/>
        <v>0</v>
      </c>
      <c r="L137" s="88"/>
      <c r="M137" s="88"/>
      <c r="N137" s="89">
        <f>VLOOKUP(B137,[2]信息汇总表!$M$2:$T$816,8,0)</f>
        <v>236205</v>
      </c>
      <c r="O137" s="89">
        <f t="shared" si="21"/>
        <v>216701.834862385</v>
      </c>
      <c r="P137" s="91">
        <v>216701.834862385</v>
      </c>
      <c r="Q137" s="88"/>
      <c r="R137" s="75">
        <f t="shared" si="22"/>
        <v>216701.834862385</v>
      </c>
      <c r="S137" s="75">
        <f t="shared" si="23"/>
        <v>10835.0917431193</v>
      </c>
      <c r="T137" s="75">
        <f t="shared" si="24"/>
        <v>2.91038304567337e-10</v>
      </c>
      <c r="U137" s="75">
        <f t="shared" si="25"/>
        <v>1.45519152283669e-11</v>
      </c>
    </row>
    <row r="138" hidden="1" spans="1:21">
      <c r="A138" s="55">
        <v>135</v>
      </c>
      <c r="B138" s="71" t="s">
        <v>2215</v>
      </c>
      <c r="C138" s="72">
        <v>77.94</v>
      </c>
      <c r="D138" s="73">
        <v>2845</v>
      </c>
      <c r="E138" s="73">
        <f t="shared" si="19"/>
        <v>221739</v>
      </c>
      <c r="F138" s="74" t="s">
        <v>2216</v>
      </c>
      <c r="G138" s="75">
        <v>221739</v>
      </c>
      <c r="H138" s="75">
        <f t="shared" si="20"/>
        <v>0</v>
      </c>
      <c r="I138" s="86">
        <f>VLOOKUP(B138,多浪小区账面房号及收款金额!$A$2:$B$474,2,0)</f>
        <v>221739</v>
      </c>
      <c r="J138" s="86"/>
      <c r="K138" s="87">
        <f t="shared" si="18"/>
        <v>0</v>
      </c>
      <c r="L138" s="88"/>
      <c r="M138" s="88"/>
      <c r="N138" s="89">
        <f>VLOOKUP(B138,[2]信息汇总表!$M$2:$T$816,8,0)</f>
        <v>221739</v>
      </c>
      <c r="O138" s="89">
        <f t="shared" si="21"/>
        <v>203430.275229358</v>
      </c>
      <c r="P138" s="91">
        <v>203430.28</v>
      </c>
      <c r="Q138" s="88"/>
      <c r="R138" s="75">
        <f t="shared" si="22"/>
        <v>203430.275229358</v>
      </c>
      <c r="S138" s="75">
        <f t="shared" si="23"/>
        <v>10171.5137614679</v>
      </c>
      <c r="T138" s="75">
        <f t="shared" si="24"/>
        <v>-0.00477064220467582</v>
      </c>
      <c r="U138" s="75">
        <f t="shared" si="25"/>
        <v>-0.000238532111325185</v>
      </c>
    </row>
    <row r="139" hidden="1" spans="1:21">
      <c r="A139" s="55">
        <v>136</v>
      </c>
      <c r="B139" s="76" t="s">
        <v>2217</v>
      </c>
      <c r="C139" s="72">
        <v>81.45</v>
      </c>
      <c r="D139" s="73">
        <v>2995.7</v>
      </c>
      <c r="E139" s="73">
        <f t="shared" si="19"/>
        <v>244000</v>
      </c>
      <c r="F139" s="74" t="s">
        <v>2218</v>
      </c>
      <c r="G139" s="75">
        <v>244000</v>
      </c>
      <c r="H139" s="75">
        <f t="shared" si="20"/>
        <v>0</v>
      </c>
      <c r="I139" s="86">
        <f>VLOOKUP(B139,多浪小区账面房号及收款金额!$A$2:$B$474,2,0)</f>
        <v>244000</v>
      </c>
      <c r="J139" s="86"/>
      <c r="K139" s="87">
        <f t="shared" si="18"/>
        <v>0</v>
      </c>
      <c r="L139" s="88"/>
      <c r="M139" s="88"/>
      <c r="N139" s="89">
        <f>VLOOKUP(B139,[2]信息汇总表!$M$2:$T$816,8,0)</f>
        <v>244000</v>
      </c>
      <c r="O139" s="89">
        <f t="shared" si="21"/>
        <v>223853.211009174</v>
      </c>
      <c r="P139" s="91">
        <v>223853.21</v>
      </c>
      <c r="Q139" s="88"/>
      <c r="R139" s="75">
        <f t="shared" si="22"/>
        <v>223853.211009174</v>
      </c>
      <c r="S139" s="75">
        <f t="shared" si="23"/>
        <v>11192.6605504587</v>
      </c>
      <c r="T139" s="75">
        <f t="shared" si="24"/>
        <v>0.00100917430245318</v>
      </c>
      <c r="U139" s="75">
        <f t="shared" si="25"/>
        <v>5.04587151226588e-5</v>
      </c>
    </row>
    <row r="140" hidden="1" spans="1:21">
      <c r="A140" s="55">
        <v>137</v>
      </c>
      <c r="B140" s="71" t="s">
        <v>2219</v>
      </c>
      <c r="C140" s="72">
        <v>77.94</v>
      </c>
      <c r="D140" s="73">
        <v>2800</v>
      </c>
      <c r="E140" s="73">
        <f t="shared" si="19"/>
        <v>218232</v>
      </c>
      <c r="F140" s="74" t="s">
        <v>2220</v>
      </c>
      <c r="G140" s="75">
        <v>218232</v>
      </c>
      <c r="H140" s="75">
        <f t="shared" si="20"/>
        <v>0</v>
      </c>
      <c r="I140" s="86">
        <f>VLOOKUP(B140,多浪小区账面房号及收款金额!$A$2:$B$474,2,0)</f>
        <v>218232</v>
      </c>
      <c r="J140" s="86"/>
      <c r="K140" s="87">
        <f t="shared" si="18"/>
        <v>0</v>
      </c>
      <c r="L140" s="88"/>
      <c r="M140" s="88"/>
      <c r="N140" s="89">
        <f>VLOOKUP(B140,[2]信息汇总表!$M$2:$T$816,8,0)</f>
        <v>218232</v>
      </c>
      <c r="O140" s="89">
        <f t="shared" si="21"/>
        <v>200212.844036697</v>
      </c>
      <c r="P140" s="91">
        <v>200212.84</v>
      </c>
      <c r="Q140" s="88"/>
      <c r="R140" s="75">
        <f t="shared" si="22"/>
        <v>200212.844036697</v>
      </c>
      <c r="S140" s="75">
        <f t="shared" si="23"/>
        <v>10010.6422018349</v>
      </c>
      <c r="T140" s="75">
        <f t="shared" si="24"/>
        <v>0.00403669723891653</v>
      </c>
      <c r="U140" s="75">
        <f t="shared" si="25"/>
        <v>0.000201834862309624</v>
      </c>
    </row>
    <row r="141" hidden="1" spans="1:21">
      <c r="A141" s="55">
        <v>138</v>
      </c>
      <c r="B141" s="76" t="s">
        <v>2221</v>
      </c>
      <c r="C141" s="72">
        <v>81.45</v>
      </c>
      <c r="D141" s="73">
        <v>2800</v>
      </c>
      <c r="E141" s="73">
        <f t="shared" si="19"/>
        <v>228060</v>
      </c>
      <c r="F141" s="74" t="s">
        <v>2222</v>
      </c>
      <c r="G141" s="75">
        <v>228060</v>
      </c>
      <c r="H141" s="75">
        <f t="shared" si="20"/>
        <v>0</v>
      </c>
      <c r="I141" s="86">
        <f>VLOOKUP(B141,多浪小区账面房号及收款金额!$A$2:$B$474,2,0)</f>
        <v>228060</v>
      </c>
      <c r="J141" s="86"/>
      <c r="K141" s="87">
        <f t="shared" si="18"/>
        <v>0</v>
      </c>
      <c r="L141" s="88"/>
      <c r="M141" s="88"/>
      <c r="N141" s="89">
        <f>VLOOKUP(B141,[2]信息汇总表!$M$2:$T$816,8,0)</f>
        <v>228060</v>
      </c>
      <c r="O141" s="89">
        <f t="shared" si="21"/>
        <v>209229.357798165</v>
      </c>
      <c r="P141" s="91">
        <v>209229.36</v>
      </c>
      <c r="Q141" s="88"/>
      <c r="R141" s="75">
        <f t="shared" si="22"/>
        <v>209229.357798165</v>
      </c>
      <c r="S141" s="75">
        <f t="shared" si="23"/>
        <v>10461.4678899083</v>
      </c>
      <c r="T141" s="75">
        <f t="shared" si="24"/>
        <v>-0.00220183486817405</v>
      </c>
      <c r="U141" s="75">
        <f t="shared" si="25"/>
        <v>-0.000110091743408702</v>
      </c>
    </row>
    <row r="142" hidden="1" spans="1:21">
      <c r="A142" s="55">
        <v>139</v>
      </c>
      <c r="B142" s="71" t="s">
        <v>2223</v>
      </c>
      <c r="C142" s="72">
        <v>77.94</v>
      </c>
      <c r="D142" s="73">
        <v>2600</v>
      </c>
      <c r="E142" s="73">
        <f t="shared" si="19"/>
        <v>202644</v>
      </c>
      <c r="F142" s="74" t="s">
        <v>2224</v>
      </c>
      <c r="G142" s="75">
        <v>202644</v>
      </c>
      <c r="H142" s="75">
        <f t="shared" si="20"/>
        <v>0</v>
      </c>
      <c r="I142" s="86">
        <f>VLOOKUP(B142,多浪小区账面房号及收款金额!$A$2:$B$474,2,0)</f>
        <v>202644</v>
      </c>
      <c r="J142" s="86"/>
      <c r="K142" s="87">
        <f t="shared" si="18"/>
        <v>0</v>
      </c>
      <c r="L142" s="88"/>
      <c r="M142" s="88"/>
      <c r="N142" s="89">
        <f>VLOOKUP(B142,[2]信息汇总表!$M$2:$T$816,8,0)</f>
        <v>202644</v>
      </c>
      <c r="O142" s="89">
        <f t="shared" si="21"/>
        <v>185911.926605505</v>
      </c>
      <c r="P142" s="91">
        <v>185911.93</v>
      </c>
      <c r="Q142" s="88"/>
      <c r="R142" s="75">
        <f t="shared" si="22"/>
        <v>185911.926605505</v>
      </c>
      <c r="S142" s="75">
        <f t="shared" si="23"/>
        <v>9295.59633027523</v>
      </c>
      <c r="T142" s="75">
        <f t="shared" si="24"/>
        <v>-0.00339449543389492</v>
      </c>
      <c r="U142" s="75">
        <f t="shared" si="25"/>
        <v>-0.000169724771694746</v>
      </c>
    </row>
    <row r="143" hidden="1" spans="1:21">
      <c r="A143" s="55">
        <v>140</v>
      </c>
      <c r="B143" s="76" t="s">
        <v>2225</v>
      </c>
      <c r="C143" s="72">
        <v>81.45</v>
      </c>
      <c r="D143" s="73">
        <v>2700</v>
      </c>
      <c r="E143" s="73">
        <f t="shared" si="19"/>
        <v>219915</v>
      </c>
      <c r="F143" s="74" t="s">
        <v>2226</v>
      </c>
      <c r="G143" s="75">
        <v>219915</v>
      </c>
      <c r="H143" s="75">
        <f t="shared" si="20"/>
        <v>0</v>
      </c>
      <c r="I143" s="86">
        <f>VLOOKUP(B143,多浪小区账面房号及收款金额!$A$2:$B$474,2,0)</f>
        <v>219915</v>
      </c>
      <c r="J143" s="86"/>
      <c r="K143" s="87">
        <f t="shared" si="18"/>
        <v>0</v>
      </c>
      <c r="L143" s="88"/>
      <c r="M143" s="88"/>
      <c r="N143" s="89">
        <f>VLOOKUP(B143,[2]信息汇总表!$M$2:$T$816,8,0)</f>
        <v>219915</v>
      </c>
      <c r="O143" s="89">
        <f t="shared" si="21"/>
        <v>201756.880733945</v>
      </c>
      <c r="P143" s="91">
        <v>201756.88</v>
      </c>
      <c r="Q143" s="88"/>
      <c r="R143" s="75">
        <f t="shared" si="22"/>
        <v>201756.880733945</v>
      </c>
      <c r="S143" s="75">
        <f t="shared" si="23"/>
        <v>10087.8440366972</v>
      </c>
      <c r="T143" s="75">
        <f t="shared" si="24"/>
        <v>0.000733944936655462</v>
      </c>
      <c r="U143" s="75">
        <f t="shared" si="25"/>
        <v>3.6697247196571e-5</v>
      </c>
    </row>
    <row r="144" hidden="1" spans="1:21">
      <c r="A144" s="55">
        <v>141</v>
      </c>
      <c r="B144" s="71" t="s">
        <v>2227</v>
      </c>
      <c r="C144" s="72">
        <v>77.94</v>
      </c>
      <c r="D144" s="73">
        <v>2953.85</v>
      </c>
      <c r="E144" s="73">
        <f t="shared" si="19"/>
        <v>230223</v>
      </c>
      <c r="F144" s="74" t="s">
        <v>2228</v>
      </c>
      <c r="G144" s="75">
        <v>230223</v>
      </c>
      <c r="H144" s="75">
        <f t="shared" si="20"/>
        <v>0</v>
      </c>
      <c r="I144" s="86">
        <f>VLOOKUP(B144,多浪小区账面房号及收款金额!$A$2:$B$474,2,0)</f>
        <v>230223</v>
      </c>
      <c r="J144" s="86"/>
      <c r="K144" s="87">
        <f t="shared" si="18"/>
        <v>0</v>
      </c>
      <c r="L144" s="88"/>
      <c r="M144" s="88"/>
      <c r="N144" s="89">
        <f>VLOOKUP(B144,[2]信息汇总表!$M$2:$T$816,8,0)</f>
        <v>230223</v>
      </c>
      <c r="O144" s="89">
        <f t="shared" si="21"/>
        <v>211213.76146789</v>
      </c>
      <c r="P144" s="91">
        <v>211213.76146789</v>
      </c>
      <c r="Q144" s="88"/>
      <c r="R144" s="75">
        <f t="shared" si="22"/>
        <v>211213.76146789</v>
      </c>
      <c r="S144" s="75">
        <f t="shared" si="23"/>
        <v>10560.6880733945</v>
      </c>
      <c r="T144" s="75">
        <f t="shared" si="24"/>
        <v>0</v>
      </c>
      <c r="U144" s="75">
        <f t="shared" si="25"/>
        <v>0</v>
      </c>
    </row>
    <row r="145" hidden="1" spans="1:21">
      <c r="A145" s="55">
        <v>142</v>
      </c>
      <c r="B145" s="76" t="s">
        <v>2229</v>
      </c>
      <c r="C145" s="72">
        <v>81.93</v>
      </c>
      <c r="D145" s="73">
        <v>3037</v>
      </c>
      <c r="E145" s="73">
        <f t="shared" si="19"/>
        <v>248821</v>
      </c>
      <c r="F145" s="74" t="s">
        <v>2230</v>
      </c>
      <c r="G145" s="75">
        <v>248821</v>
      </c>
      <c r="H145" s="75">
        <f t="shared" si="20"/>
        <v>0</v>
      </c>
      <c r="I145" s="86">
        <f>VLOOKUP(B145,多浪小区账面房号及收款金额!$A$2:$B$474,2,0)</f>
        <v>248821</v>
      </c>
      <c r="J145" s="86"/>
      <c r="K145" s="87">
        <f t="shared" si="18"/>
        <v>0</v>
      </c>
      <c r="L145" s="88"/>
      <c r="M145" s="88"/>
      <c r="N145" s="89">
        <f>VLOOKUP(B145,[2]信息汇总表!$M$2:$T$816,8,0)</f>
        <v>248821</v>
      </c>
      <c r="O145" s="89">
        <f t="shared" si="21"/>
        <v>228276.146788991</v>
      </c>
      <c r="P145" s="91">
        <v>228276.15</v>
      </c>
      <c r="Q145" s="88"/>
      <c r="R145" s="75">
        <f t="shared" si="22"/>
        <v>228276.146788991</v>
      </c>
      <c r="S145" s="75">
        <f t="shared" si="23"/>
        <v>11413.8073394495</v>
      </c>
      <c r="T145" s="75">
        <f t="shared" si="24"/>
        <v>-0.00321100919973105</v>
      </c>
      <c r="U145" s="75">
        <f t="shared" si="25"/>
        <v>-0.00016055046035035</v>
      </c>
    </row>
    <row r="146" hidden="1" spans="1:21">
      <c r="A146" s="55">
        <v>143</v>
      </c>
      <c r="B146" s="71" t="s">
        <v>2231</v>
      </c>
      <c r="C146" s="72">
        <v>77.94</v>
      </c>
      <c r="D146" s="73">
        <v>2938.16</v>
      </c>
      <c r="E146" s="73">
        <f t="shared" si="19"/>
        <v>229000</v>
      </c>
      <c r="F146" s="74" t="s">
        <v>2232</v>
      </c>
      <c r="G146" s="75">
        <v>229000</v>
      </c>
      <c r="H146" s="75">
        <f t="shared" si="20"/>
        <v>0</v>
      </c>
      <c r="I146" s="86">
        <f>VLOOKUP(B146,多浪小区账面房号及收款金额!$A$2:$B$474,2,0)</f>
        <v>229000</v>
      </c>
      <c r="J146" s="86"/>
      <c r="K146" s="87">
        <f t="shared" si="18"/>
        <v>0</v>
      </c>
      <c r="L146" s="88"/>
      <c r="M146" s="88"/>
      <c r="N146" s="89">
        <f>VLOOKUP(B146,[2]信息汇总表!$M$2:$T$816,8,0)</f>
        <v>229000</v>
      </c>
      <c r="O146" s="89">
        <f t="shared" si="21"/>
        <v>210091.743119266</v>
      </c>
      <c r="P146" s="91">
        <v>210091.74</v>
      </c>
      <c r="Q146" s="88"/>
      <c r="R146" s="75">
        <f t="shared" si="22"/>
        <v>210091.743119266</v>
      </c>
      <c r="S146" s="75">
        <f t="shared" si="23"/>
        <v>10504.5871559633</v>
      </c>
      <c r="T146" s="75">
        <f t="shared" si="24"/>
        <v>0.00311926603899337</v>
      </c>
      <c r="U146" s="75">
        <f t="shared" si="25"/>
        <v>0.000155963301949669</v>
      </c>
    </row>
    <row r="147" hidden="1" spans="1:21">
      <c r="A147" s="55">
        <v>144</v>
      </c>
      <c r="B147" s="76" t="s">
        <v>2233</v>
      </c>
      <c r="C147" s="72">
        <v>81.93</v>
      </c>
      <c r="D147" s="73">
        <v>2930</v>
      </c>
      <c r="E147" s="73">
        <f t="shared" si="19"/>
        <v>240055</v>
      </c>
      <c r="F147" s="74" t="s">
        <v>2234</v>
      </c>
      <c r="G147" s="75">
        <v>240055</v>
      </c>
      <c r="H147" s="75">
        <f t="shared" si="20"/>
        <v>0</v>
      </c>
      <c r="I147" s="86">
        <f>VLOOKUP(B147,多浪小区账面房号及收款金额!$A$2:$B$474,2,0)</f>
        <v>240055</v>
      </c>
      <c r="J147" s="86"/>
      <c r="K147" s="87">
        <f t="shared" si="18"/>
        <v>0</v>
      </c>
      <c r="L147" s="88"/>
      <c r="M147" s="88"/>
      <c r="N147" s="89">
        <f>VLOOKUP(B147,[2]信息汇总表!$M$2:$T$816,8,0)</f>
        <v>240055</v>
      </c>
      <c r="O147" s="89">
        <f t="shared" si="21"/>
        <v>220233.944954128</v>
      </c>
      <c r="P147" s="91">
        <v>220233.94</v>
      </c>
      <c r="Q147" s="88"/>
      <c r="R147" s="75">
        <f t="shared" si="22"/>
        <v>220233.944954128</v>
      </c>
      <c r="S147" s="75">
        <f t="shared" si="23"/>
        <v>11011.6972477064</v>
      </c>
      <c r="T147" s="75">
        <f t="shared" si="24"/>
        <v>0.00495412840973586</v>
      </c>
      <c r="U147" s="75">
        <f t="shared" si="25"/>
        <v>0.000247706420850591</v>
      </c>
    </row>
    <row r="148" hidden="1" spans="1:21">
      <c r="A148" s="55">
        <v>145</v>
      </c>
      <c r="B148" s="71" t="s">
        <v>2235</v>
      </c>
      <c r="C148" s="72">
        <v>77.94</v>
      </c>
      <c r="D148" s="73">
        <v>2822.68</v>
      </c>
      <c r="E148" s="73">
        <f t="shared" si="19"/>
        <v>220000</v>
      </c>
      <c r="F148" s="74" t="s">
        <v>2236</v>
      </c>
      <c r="G148" s="75">
        <v>220000</v>
      </c>
      <c r="H148" s="75">
        <f t="shared" si="20"/>
        <v>0</v>
      </c>
      <c r="I148" s="86">
        <f>VLOOKUP(B148,多浪小区账面房号及收款金额!$A$2:$B$474,2,0)</f>
        <v>220000</v>
      </c>
      <c r="J148" s="86"/>
      <c r="K148" s="87">
        <f t="shared" si="18"/>
        <v>0</v>
      </c>
      <c r="L148" s="88"/>
      <c r="M148" s="88"/>
      <c r="N148" s="89">
        <f>VLOOKUP(B148,[2]信息汇总表!$M$2:$T$816,8,0)</f>
        <v>220000</v>
      </c>
      <c r="O148" s="89">
        <f t="shared" si="21"/>
        <v>201834.862385321</v>
      </c>
      <c r="P148" s="91">
        <v>201834.86</v>
      </c>
      <c r="Q148" s="88"/>
      <c r="R148" s="75">
        <f t="shared" si="22"/>
        <v>201834.862385321</v>
      </c>
      <c r="S148" s="75">
        <f t="shared" si="23"/>
        <v>10091.7431192661</v>
      </c>
      <c r="T148" s="75">
        <f t="shared" si="24"/>
        <v>0.00238532110233791</v>
      </c>
      <c r="U148" s="75">
        <f t="shared" si="25"/>
        <v>0.000119266054753098</v>
      </c>
    </row>
    <row r="149" hidden="1" spans="1:21">
      <c r="A149" s="55">
        <v>146</v>
      </c>
      <c r="B149" s="76" t="s">
        <v>2237</v>
      </c>
      <c r="C149" s="72">
        <v>81.93</v>
      </c>
      <c r="D149" s="73">
        <v>3000</v>
      </c>
      <c r="E149" s="73">
        <f t="shared" si="19"/>
        <v>245790</v>
      </c>
      <c r="F149" s="74" t="s">
        <v>2238</v>
      </c>
      <c r="G149" s="75">
        <v>245790</v>
      </c>
      <c r="H149" s="75">
        <f t="shared" si="20"/>
        <v>0</v>
      </c>
      <c r="I149" s="86">
        <f>VLOOKUP(B149,多浪小区账面房号及收款金额!$A$2:$B$474,2,0)</f>
        <v>245790</v>
      </c>
      <c r="J149" s="86"/>
      <c r="K149" s="87">
        <f t="shared" ref="K149:K193" si="26">G149-I149</f>
        <v>0</v>
      </c>
      <c r="L149" s="88"/>
      <c r="M149" s="88"/>
      <c r="N149" s="89"/>
      <c r="O149" s="89">
        <f t="shared" si="21"/>
        <v>0</v>
      </c>
      <c r="P149" s="91"/>
      <c r="Q149" s="88"/>
      <c r="R149" s="75">
        <f t="shared" si="22"/>
        <v>225495.412844037</v>
      </c>
      <c r="S149" s="75">
        <f t="shared" si="23"/>
        <v>11274.7706422018</v>
      </c>
      <c r="T149" s="75">
        <f t="shared" si="24"/>
        <v>225495.412844037</v>
      </c>
      <c r="U149" s="75">
        <f t="shared" si="25"/>
        <v>11274.7706422018</v>
      </c>
    </row>
    <row r="150" hidden="1" spans="1:21">
      <c r="A150" s="55">
        <v>147</v>
      </c>
      <c r="B150" s="71" t="s">
        <v>2239</v>
      </c>
      <c r="C150" s="72">
        <v>77.94</v>
      </c>
      <c r="D150" s="73">
        <v>2790</v>
      </c>
      <c r="E150" s="73">
        <f t="shared" si="19"/>
        <v>217453</v>
      </c>
      <c r="F150" s="74" t="s">
        <v>2240</v>
      </c>
      <c r="G150" s="75">
        <v>217453</v>
      </c>
      <c r="H150" s="75">
        <f t="shared" si="20"/>
        <v>0</v>
      </c>
      <c r="I150" s="86">
        <f>VLOOKUP(B150,多浪小区账面房号及收款金额!$A$2:$B$474,2,0)</f>
        <v>217453</v>
      </c>
      <c r="J150" s="86"/>
      <c r="K150" s="87">
        <f t="shared" si="26"/>
        <v>0</v>
      </c>
      <c r="L150" s="88"/>
      <c r="M150" s="88"/>
      <c r="N150" s="89">
        <f>VLOOKUP(B150,[2]信息汇总表!$M$2:$T$816,8,0)</f>
        <v>217453</v>
      </c>
      <c r="O150" s="89">
        <f t="shared" si="21"/>
        <v>199498.165137615</v>
      </c>
      <c r="P150" s="91">
        <v>199498.17</v>
      </c>
      <c r="Q150" s="88"/>
      <c r="R150" s="75">
        <f t="shared" si="22"/>
        <v>199498.165137615</v>
      </c>
      <c r="S150" s="75">
        <f t="shared" si="23"/>
        <v>9974.90825688074</v>
      </c>
      <c r="T150" s="75">
        <f t="shared" si="24"/>
        <v>-0.00486238533630967</v>
      </c>
      <c r="U150" s="75">
        <f t="shared" si="25"/>
        <v>-0.000243119266087888</v>
      </c>
    </row>
    <row r="151" hidden="1" spans="1:21">
      <c r="A151" s="55">
        <v>148</v>
      </c>
      <c r="B151" s="76" t="s">
        <v>2241</v>
      </c>
      <c r="C151" s="72">
        <v>81.93</v>
      </c>
      <c r="D151" s="73">
        <v>2800</v>
      </c>
      <c r="E151" s="73">
        <f t="shared" si="19"/>
        <v>229404</v>
      </c>
      <c r="F151" s="74" t="s">
        <v>2242</v>
      </c>
      <c r="G151" s="75">
        <v>229404</v>
      </c>
      <c r="H151" s="75">
        <f t="shared" si="20"/>
        <v>0</v>
      </c>
      <c r="I151" s="86">
        <f>VLOOKUP(B151,多浪小区账面房号及收款金额!$A$2:$B$474,2,0)</f>
        <v>229404</v>
      </c>
      <c r="J151" s="86"/>
      <c r="K151" s="87">
        <f t="shared" si="26"/>
        <v>0</v>
      </c>
      <c r="L151" s="88"/>
      <c r="M151" s="88"/>
      <c r="N151" s="89">
        <f>VLOOKUP(B151,[2]信息汇总表!$M$2:$T$816,8,0)</f>
        <v>229404</v>
      </c>
      <c r="O151" s="89">
        <f t="shared" si="21"/>
        <v>210462.385321101</v>
      </c>
      <c r="P151" s="91">
        <v>210462.39</v>
      </c>
      <c r="Q151" s="88"/>
      <c r="R151" s="75">
        <f t="shared" si="22"/>
        <v>210462.385321101</v>
      </c>
      <c r="S151" s="75">
        <f t="shared" si="23"/>
        <v>10523.119266055</v>
      </c>
      <c r="T151" s="75">
        <f t="shared" si="24"/>
        <v>-0.00467889910214581</v>
      </c>
      <c r="U151" s="75">
        <f t="shared" si="25"/>
        <v>-0.000233944954743492</v>
      </c>
    </row>
    <row r="152" hidden="1" spans="1:21">
      <c r="A152" s="55">
        <v>149</v>
      </c>
      <c r="B152" s="71" t="s">
        <v>2243</v>
      </c>
      <c r="C152" s="72">
        <v>77.94</v>
      </c>
      <c r="D152" s="73">
        <v>2680</v>
      </c>
      <c r="E152" s="73">
        <f t="shared" si="19"/>
        <v>208879</v>
      </c>
      <c r="F152" s="74" t="s">
        <v>2244</v>
      </c>
      <c r="G152" s="75">
        <v>208879</v>
      </c>
      <c r="H152" s="75">
        <f t="shared" si="20"/>
        <v>0</v>
      </c>
      <c r="I152" s="86">
        <f>VLOOKUP(B152,多浪小区账面房号及收款金额!$A$2:$B$474,2,0)</f>
        <v>208879</v>
      </c>
      <c r="J152" s="86"/>
      <c r="K152" s="87">
        <f t="shared" si="26"/>
        <v>0</v>
      </c>
      <c r="L152" s="88"/>
      <c r="M152" s="88"/>
      <c r="N152" s="89"/>
      <c r="O152" s="89">
        <f t="shared" si="21"/>
        <v>0</v>
      </c>
      <c r="P152" s="91"/>
      <c r="Q152" s="88"/>
      <c r="R152" s="75">
        <f t="shared" si="22"/>
        <v>191632.110091743</v>
      </c>
      <c r="S152" s="75">
        <f t="shared" si="23"/>
        <v>9581.60550458716</v>
      </c>
      <c r="T152" s="75">
        <f t="shared" si="24"/>
        <v>191632.110091743</v>
      </c>
      <c r="U152" s="75">
        <f t="shared" si="25"/>
        <v>9581.60550458716</v>
      </c>
    </row>
    <row r="153" hidden="1" spans="1:21">
      <c r="A153" s="55">
        <v>150</v>
      </c>
      <c r="B153" s="76" t="s">
        <v>2245</v>
      </c>
      <c r="C153" s="72">
        <v>81.93</v>
      </c>
      <c r="D153" s="73">
        <v>2680</v>
      </c>
      <c r="E153" s="73">
        <f t="shared" si="19"/>
        <v>219572</v>
      </c>
      <c r="F153" s="74" t="s">
        <v>2246</v>
      </c>
      <c r="G153" s="75">
        <v>5000</v>
      </c>
      <c r="H153" s="75">
        <f t="shared" si="20"/>
        <v>214572</v>
      </c>
      <c r="I153" s="86">
        <f>VLOOKUP(B153,多浪小区账面房号及收款金额!$A$2:$B$474,2,0)</f>
        <v>5000</v>
      </c>
      <c r="J153" s="86"/>
      <c r="K153" s="87">
        <f t="shared" si="26"/>
        <v>0</v>
      </c>
      <c r="L153" s="88"/>
      <c r="M153" s="88"/>
      <c r="N153" s="89"/>
      <c r="O153" s="89">
        <f t="shared" si="21"/>
        <v>0</v>
      </c>
      <c r="P153" s="91"/>
      <c r="Q153" s="88"/>
      <c r="R153" s="75">
        <f t="shared" si="22"/>
        <v>4587.15596330275</v>
      </c>
      <c r="S153" s="75">
        <f t="shared" si="23"/>
        <v>229.357798165138</v>
      </c>
      <c r="T153" s="75">
        <f t="shared" si="24"/>
        <v>4587.15596330275</v>
      </c>
      <c r="U153" s="75">
        <f t="shared" si="25"/>
        <v>229.357798165138</v>
      </c>
    </row>
    <row r="154" hidden="1" spans="1:21">
      <c r="A154" s="55">
        <v>151</v>
      </c>
      <c r="B154" s="71" t="s">
        <v>2247</v>
      </c>
      <c r="C154" s="72">
        <v>81.93</v>
      </c>
      <c r="D154" s="73">
        <v>2950</v>
      </c>
      <c r="E154" s="73">
        <f t="shared" si="19"/>
        <v>241694</v>
      </c>
      <c r="F154" s="74" t="s">
        <v>2248</v>
      </c>
      <c r="G154" s="75">
        <v>241694</v>
      </c>
      <c r="H154" s="75">
        <f t="shared" si="20"/>
        <v>0</v>
      </c>
      <c r="I154" s="86">
        <f>VLOOKUP(B154,多浪小区账面房号及收款金额!$A$2:$B$474,2,0)</f>
        <v>201694</v>
      </c>
      <c r="J154" s="86"/>
      <c r="K154" s="87">
        <f t="shared" si="26"/>
        <v>40000</v>
      </c>
      <c r="L154" s="92"/>
      <c r="M154" s="88"/>
      <c r="N154" s="89"/>
      <c r="O154" s="89">
        <f t="shared" si="21"/>
        <v>0</v>
      </c>
      <c r="P154" s="91"/>
      <c r="Q154" s="88"/>
      <c r="R154" s="75">
        <f t="shared" si="22"/>
        <v>185040.366972477</v>
      </c>
      <c r="S154" s="75">
        <f t="shared" si="23"/>
        <v>9252.01834862385</v>
      </c>
      <c r="T154" s="75">
        <f t="shared" si="24"/>
        <v>185040.366972477</v>
      </c>
      <c r="U154" s="75">
        <f t="shared" si="25"/>
        <v>9252.01834862385</v>
      </c>
    </row>
    <row r="155" hidden="1" spans="1:21">
      <c r="A155" s="55">
        <v>152</v>
      </c>
      <c r="B155" s="76" t="s">
        <v>2249</v>
      </c>
      <c r="C155" s="72">
        <v>77.94</v>
      </c>
      <c r="D155" s="73">
        <v>3000</v>
      </c>
      <c r="E155" s="73">
        <f t="shared" si="19"/>
        <v>233820</v>
      </c>
      <c r="F155" s="74" t="s">
        <v>2250</v>
      </c>
      <c r="G155" s="75">
        <v>223820</v>
      </c>
      <c r="H155" s="75">
        <f t="shared" si="20"/>
        <v>10000</v>
      </c>
      <c r="I155" s="86">
        <f>VLOOKUP(B155,多浪小区账面房号及收款金额!$A$2:$B$474,2,0)</f>
        <v>223820</v>
      </c>
      <c r="J155" s="86"/>
      <c r="K155" s="87">
        <f t="shared" si="26"/>
        <v>0</v>
      </c>
      <c r="L155" s="88"/>
      <c r="M155" s="88"/>
      <c r="N155" s="89"/>
      <c r="O155" s="89">
        <f t="shared" si="21"/>
        <v>0</v>
      </c>
      <c r="P155" s="91"/>
      <c r="Q155" s="88"/>
      <c r="R155" s="75">
        <f t="shared" si="22"/>
        <v>205339.449541284</v>
      </c>
      <c r="S155" s="75">
        <f t="shared" si="23"/>
        <v>10266.9724770642</v>
      </c>
      <c r="T155" s="75">
        <f t="shared" si="24"/>
        <v>205339.449541284</v>
      </c>
      <c r="U155" s="75">
        <f t="shared" si="25"/>
        <v>10266.9724770642</v>
      </c>
    </row>
    <row r="156" hidden="1" spans="1:21">
      <c r="A156" s="55">
        <v>153</v>
      </c>
      <c r="B156" s="71" t="s">
        <v>2251</v>
      </c>
      <c r="C156" s="72">
        <v>81.93</v>
      </c>
      <c r="D156" s="73">
        <v>2962</v>
      </c>
      <c r="E156" s="73">
        <f t="shared" si="19"/>
        <v>242677</v>
      </c>
      <c r="F156" s="74" t="s">
        <v>2252</v>
      </c>
      <c r="G156" s="75">
        <v>242677</v>
      </c>
      <c r="H156" s="75">
        <f t="shared" si="20"/>
        <v>0</v>
      </c>
      <c r="I156" s="86">
        <f>VLOOKUP(B156,多浪小区账面房号及收款金额!$A$2:$B$474,2,0)</f>
        <v>242677</v>
      </c>
      <c r="J156" s="86"/>
      <c r="K156" s="87">
        <f t="shared" si="26"/>
        <v>0</v>
      </c>
      <c r="L156" s="88"/>
      <c r="M156" s="88"/>
      <c r="N156" s="89">
        <f>VLOOKUP(B156,[2]信息汇总表!$M$2:$T$816,8,0)</f>
        <v>242677</v>
      </c>
      <c r="O156" s="89">
        <f t="shared" si="21"/>
        <v>222639.449541284</v>
      </c>
      <c r="P156" s="91">
        <v>267889.91</v>
      </c>
      <c r="Q156" s="88"/>
      <c r="R156" s="75">
        <f t="shared" si="22"/>
        <v>222639.449541284</v>
      </c>
      <c r="S156" s="75">
        <f t="shared" si="23"/>
        <v>11131.9724770642</v>
      </c>
      <c r="T156" s="75">
        <f t="shared" si="24"/>
        <v>-45250.4604587156</v>
      </c>
      <c r="U156" s="75">
        <f t="shared" si="25"/>
        <v>-2262.52302293578</v>
      </c>
    </row>
    <row r="157" hidden="1" spans="1:21">
      <c r="A157" s="55">
        <v>154</v>
      </c>
      <c r="B157" s="76" t="s">
        <v>2253</v>
      </c>
      <c r="C157" s="72">
        <v>77.94</v>
      </c>
      <c r="D157" s="73">
        <v>3100</v>
      </c>
      <c r="E157" s="73">
        <f t="shared" si="19"/>
        <v>241614</v>
      </c>
      <c r="F157" s="74" t="s">
        <v>2254</v>
      </c>
      <c r="G157" s="75">
        <v>241614</v>
      </c>
      <c r="H157" s="75">
        <f t="shared" si="20"/>
        <v>0</v>
      </c>
      <c r="I157" s="86">
        <f>VLOOKUP(B157,多浪小区账面房号及收款金额!$A$2:$B$474,2,0)</f>
        <v>241614</v>
      </c>
      <c r="J157" s="86"/>
      <c r="K157" s="87">
        <f t="shared" si="26"/>
        <v>0</v>
      </c>
      <c r="L157" s="88"/>
      <c r="M157" s="88"/>
      <c r="N157" s="89">
        <f>VLOOKUP(B157,[2]信息汇总表!$M$2:$T$816,8,0)</f>
        <v>241614</v>
      </c>
      <c r="O157" s="89">
        <f t="shared" si="21"/>
        <v>221664.220183486</v>
      </c>
      <c r="P157" s="91">
        <v>221664.220183486</v>
      </c>
      <c r="Q157" s="88"/>
      <c r="R157" s="75">
        <f t="shared" si="22"/>
        <v>221664.220183486</v>
      </c>
      <c r="S157" s="75">
        <f t="shared" si="23"/>
        <v>11083.2110091743</v>
      </c>
      <c r="T157" s="75">
        <f t="shared" si="24"/>
        <v>2.3283064365387e-10</v>
      </c>
      <c r="U157" s="75">
        <f t="shared" si="25"/>
        <v>0</v>
      </c>
    </row>
    <row r="158" hidden="1" spans="1:21">
      <c r="A158" s="55">
        <v>155</v>
      </c>
      <c r="B158" s="71" t="s">
        <v>2255</v>
      </c>
      <c r="C158" s="72">
        <v>81.93</v>
      </c>
      <c r="D158" s="73">
        <v>3002.2</v>
      </c>
      <c r="E158" s="73">
        <f t="shared" si="19"/>
        <v>245970</v>
      </c>
      <c r="F158" s="74" t="s">
        <v>2256</v>
      </c>
      <c r="G158" s="75">
        <v>225790</v>
      </c>
      <c r="H158" s="75">
        <f t="shared" si="20"/>
        <v>20180</v>
      </c>
      <c r="I158" s="86">
        <f>VLOOKUP(B158,多浪小区账面房号及收款金额!$A$2:$B$474,2,0)</f>
        <v>225790</v>
      </c>
      <c r="J158" s="86"/>
      <c r="K158" s="87">
        <f t="shared" si="26"/>
        <v>0</v>
      </c>
      <c r="L158" s="88"/>
      <c r="M158" s="88"/>
      <c r="N158" s="89"/>
      <c r="O158" s="89">
        <f t="shared" si="21"/>
        <v>0</v>
      </c>
      <c r="P158" s="91"/>
      <c r="Q158" s="88"/>
      <c r="R158" s="75">
        <f t="shared" si="22"/>
        <v>207146.788990826</v>
      </c>
      <c r="S158" s="75">
        <f t="shared" si="23"/>
        <v>10357.3394495413</v>
      </c>
      <c r="T158" s="75">
        <f t="shared" si="24"/>
        <v>207146.788990826</v>
      </c>
      <c r="U158" s="75">
        <f t="shared" si="25"/>
        <v>10357.3394495413</v>
      </c>
    </row>
    <row r="159" hidden="1" spans="1:21">
      <c r="A159" s="55">
        <v>156</v>
      </c>
      <c r="B159" s="76" t="s">
        <v>2257</v>
      </c>
      <c r="C159" s="72">
        <v>77.94</v>
      </c>
      <c r="D159" s="73">
        <v>3000</v>
      </c>
      <c r="E159" s="73">
        <f t="shared" si="19"/>
        <v>233820</v>
      </c>
      <c r="F159" s="74" t="s">
        <v>2258</v>
      </c>
      <c r="G159" s="75">
        <v>233820</v>
      </c>
      <c r="H159" s="75">
        <f t="shared" si="20"/>
        <v>0</v>
      </c>
      <c r="I159" s="86">
        <f>VLOOKUP(B159,多浪小区账面房号及收款金额!$A$2:$B$474,2,0)</f>
        <v>233820</v>
      </c>
      <c r="J159" s="86"/>
      <c r="K159" s="87">
        <f t="shared" si="26"/>
        <v>0</v>
      </c>
      <c r="L159" s="88"/>
      <c r="M159" s="88"/>
      <c r="N159" s="89">
        <f>VLOOKUP(B159,[2]信息汇总表!$M$2:$T$816,8,0)</f>
        <v>233820</v>
      </c>
      <c r="O159" s="89">
        <f t="shared" si="21"/>
        <v>214513.76146789</v>
      </c>
      <c r="P159" s="91">
        <v>214513.76</v>
      </c>
      <c r="Q159" s="88"/>
      <c r="R159" s="75">
        <f t="shared" si="22"/>
        <v>214513.76146789</v>
      </c>
      <c r="S159" s="75">
        <f t="shared" si="23"/>
        <v>10725.6880733945</v>
      </c>
      <c r="T159" s="75">
        <f t="shared" si="24"/>
        <v>0.00146788987331092</v>
      </c>
      <c r="U159" s="75">
        <f t="shared" si="25"/>
        <v>7.33944925741525e-5</v>
      </c>
    </row>
    <row r="160" hidden="1" spans="1:21">
      <c r="A160" s="55">
        <v>157</v>
      </c>
      <c r="B160" s="71" t="s">
        <v>2259</v>
      </c>
      <c r="C160" s="72">
        <v>81.93</v>
      </c>
      <c r="D160" s="73">
        <v>2800</v>
      </c>
      <c r="E160" s="73">
        <f t="shared" si="19"/>
        <v>229404</v>
      </c>
      <c r="F160" s="74" t="s">
        <v>2260</v>
      </c>
      <c r="G160" s="75">
        <v>229404</v>
      </c>
      <c r="H160" s="75">
        <f t="shared" si="20"/>
        <v>0</v>
      </c>
      <c r="I160" s="86">
        <f>VLOOKUP(B160,多浪小区账面房号及收款金额!$A$2:$B$474,2,0)</f>
        <v>229404</v>
      </c>
      <c r="J160" s="86"/>
      <c r="K160" s="87">
        <f t="shared" si="26"/>
        <v>0</v>
      </c>
      <c r="L160" s="88"/>
      <c r="M160" s="88"/>
      <c r="N160" s="89">
        <f>VLOOKUP(B160,[2]信息汇总表!$M$2:$T$816,8,0)</f>
        <v>229404</v>
      </c>
      <c r="O160" s="89">
        <f t="shared" si="21"/>
        <v>210462.385321101</v>
      </c>
      <c r="P160" s="91">
        <v>210462.39</v>
      </c>
      <c r="Q160" s="88"/>
      <c r="R160" s="75">
        <f t="shared" si="22"/>
        <v>210462.385321101</v>
      </c>
      <c r="S160" s="75">
        <f t="shared" si="23"/>
        <v>10523.119266055</v>
      </c>
      <c r="T160" s="75">
        <f t="shared" si="24"/>
        <v>-0.00467889910214581</v>
      </c>
      <c r="U160" s="75">
        <f t="shared" si="25"/>
        <v>-0.000233944954743492</v>
      </c>
    </row>
    <row r="161" hidden="1" spans="1:21">
      <c r="A161" s="55">
        <v>158</v>
      </c>
      <c r="B161" s="76" t="s">
        <v>2261</v>
      </c>
      <c r="C161" s="72">
        <v>77.94</v>
      </c>
      <c r="D161" s="73">
        <v>2770</v>
      </c>
      <c r="E161" s="73">
        <f t="shared" si="19"/>
        <v>215894</v>
      </c>
      <c r="F161" s="74" t="s">
        <v>2262</v>
      </c>
      <c r="G161" s="75">
        <v>215894</v>
      </c>
      <c r="H161" s="75">
        <f t="shared" si="20"/>
        <v>0</v>
      </c>
      <c r="I161" s="86">
        <f>VLOOKUP(B161,多浪小区账面房号及收款金额!$A$2:$B$474,2,0)</f>
        <v>215894</v>
      </c>
      <c r="J161" s="86"/>
      <c r="K161" s="87">
        <f t="shared" si="26"/>
        <v>0</v>
      </c>
      <c r="L161" s="88"/>
      <c r="M161" s="88"/>
      <c r="N161" s="89"/>
      <c r="O161" s="89">
        <f t="shared" si="21"/>
        <v>0</v>
      </c>
      <c r="P161" s="91"/>
      <c r="Q161" s="88"/>
      <c r="R161" s="75">
        <f t="shared" si="22"/>
        <v>198067.889908257</v>
      </c>
      <c r="S161" s="75">
        <f t="shared" si="23"/>
        <v>9903.39449541284</v>
      </c>
      <c r="T161" s="75">
        <f t="shared" si="24"/>
        <v>198067.889908257</v>
      </c>
      <c r="U161" s="75">
        <f t="shared" si="25"/>
        <v>9903.39449541284</v>
      </c>
    </row>
    <row r="162" hidden="1" spans="1:21">
      <c r="A162" s="55">
        <v>159</v>
      </c>
      <c r="B162" s="71" t="s">
        <v>2263</v>
      </c>
      <c r="C162" s="72">
        <v>81.93</v>
      </c>
      <c r="D162" s="73">
        <v>2650</v>
      </c>
      <c r="E162" s="73">
        <f t="shared" si="19"/>
        <v>217115</v>
      </c>
      <c r="F162" s="74" t="s">
        <v>2264</v>
      </c>
      <c r="G162" s="75">
        <v>217115</v>
      </c>
      <c r="H162" s="75">
        <f t="shared" si="20"/>
        <v>0</v>
      </c>
      <c r="I162" s="86">
        <f>VLOOKUP(B162,多浪小区账面房号及收款金额!$A$2:$B$474,2,0)</f>
        <v>217115</v>
      </c>
      <c r="J162" s="86"/>
      <c r="K162" s="87">
        <f t="shared" si="26"/>
        <v>0</v>
      </c>
      <c r="L162" s="88"/>
      <c r="M162" s="88"/>
      <c r="N162" s="89">
        <f>VLOOKUP(B162,[2]信息汇总表!$M$2:$T$816,8,0)</f>
        <v>217115</v>
      </c>
      <c r="O162" s="89">
        <f t="shared" si="21"/>
        <v>199188.073394495</v>
      </c>
      <c r="P162" s="91">
        <v>199188.07</v>
      </c>
      <c r="Q162" s="88"/>
      <c r="R162" s="75">
        <f t="shared" si="22"/>
        <v>199188.073394495</v>
      </c>
      <c r="S162" s="75">
        <f t="shared" si="23"/>
        <v>9959.40366972477</v>
      </c>
      <c r="T162" s="75">
        <f t="shared" si="24"/>
        <v>0.00339449540479109</v>
      </c>
      <c r="U162" s="75">
        <f t="shared" si="25"/>
        <v>0.000169724771694746</v>
      </c>
    </row>
    <row r="163" hidden="1" spans="1:21">
      <c r="A163" s="55">
        <v>160</v>
      </c>
      <c r="B163" s="76" t="s">
        <v>2265</v>
      </c>
      <c r="C163" s="72">
        <v>77.94</v>
      </c>
      <c r="D163" s="73">
        <v>2600</v>
      </c>
      <c r="E163" s="73">
        <f t="shared" si="19"/>
        <v>202644</v>
      </c>
      <c r="F163" s="74" t="s">
        <v>2266</v>
      </c>
      <c r="G163" s="75">
        <v>202644</v>
      </c>
      <c r="H163" s="75">
        <f t="shared" si="20"/>
        <v>0</v>
      </c>
      <c r="I163" s="86">
        <f>VLOOKUP(B163,多浪小区账面房号及收款金额!$A$2:$B$474,2,0)</f>
        <v>202644</v>
      </c>
      <c r="J163" s="86"/>
      <c r="K163" s="87">
        <f t="shared" si="26"/>
        <v>0</v>
      </c>
      <c r="L163" s="88"/>
      <c r="M163" s="88"/>
      <c r="N163" s="89">
        <f>VLOOKUP(B163,[2]信息汇总表!$M$2:$T$816,8,0)</f>
        <v>202644</v>
      </c>
      <c r="O163" s="89">
        <f t="shared" si="21"/>
        <v>185911.926605505</v>
      </c>
      <c r="P163" s="91">
        <v>185911.93</v>
      </c>
      <c r="Q163" s="88"/>
      <c r="R163" s="75">
        <f t="shared" si="22"/>
        <v>185911.926605505</v>
      </c>
      <c r="S163" s="75">
        <f t="shared" si="23"/>
        <v>9295.59633027523</v>
      </c>
      <c r="T163" s="75">
        <f t="shared" si="24"/>
        <v>-0.00339449543389492</v>
      </c>
      <c r="U163" s="75">
        <f t="shared" si="25"/>
        <v>-0.000169724771694746</v>
      </c>
    </row>
    <row r="164" hidden="1" spans="1:21">
      <c r="A164" s="55">
        <v>161</v>
      </c>
      <c r="B164" s="71" t="s">
        <v>2267</v>
      </c>
      <c r="C164" s="72">
        <v>77.94</v>
      </c>
      <c r="D164" s="73">
        <v>3079</v>
      </c>
      <c r="E164" s="73">
        <f t="shared" si="19"/>
        <v>239977</v>
      </c>
      <c r="F164" s="74" t="s">
        <v>2268</v>
      </c>
      <c r="G164" s="75">
        <v>240000</v>
      </c>
      <c r="H164" s="75">
        <f t="shared" si="20"/>
        <v>-23</v>
      </c>
      <c r="I164" s="86">
        <f>VLOOKUP(B164,多浪小区账面房号及收款金额!$A$2:$B$474,2,0)</f>
        <v>240000</v>
      </c>
      <c r="J164" s="86"/>
      <c r="K164" s="87">
        <f t="shared" si="26"/>
        <v>0</v>
      </c>
      <c r="L164" s="88"/>
      <c r="M164" s="88"/>
      <c r="N164" s="89">
        <f>VLOOKUP(B164,[2]信息汇总表!$M$2:$T$816,8,0)</f>
        <v>240000</v>
      </c>
      <c r="O164" s="89">
        <f t="shared" si="21"/>
        <v>220183.486238532</v>
      </c>
      <c r="P164" s="91">
        <v>220183.49</v>
      </c>
      <c r="Q164" s="88"/>
      <c r="R164" s="75">
        <f t="shared" si="22"/>
        <v>220183.486238532</v>
      </c>
      <c r="S164" s="75">
        <f t="shared" si="23"/>
        <v>11009.1743119266</v>
      </c>
      <c r="T164" s="75">
        <f t="shared" si="24"/>
        <v>-0.00376146790222265</v>
      </c>
      <c r="U164" s="75">
        <f t="shared" si="25"/>
        <v>-0.000188073396202526</v>
      </c>
    </row>
    <row r="165" hidden="1" spans="1:21">
      <c r="A165" s="55">
        <v>162</v>
      </c>
      <c r="B165" s="76" t="s">
        <v>2269</v>
      </c>
      <c r="C165" s="72">
        <v>81.45</v>
      </c>
      <c r="D165" s="73">
        <v>3098</v>
      </c>
      <c r="E165" s="73">
        <f t="shared" si="19"/>
        <v>252332</v>
      </c>
      <c r="F165" s="74" t="s">
        <v>2270</v>
      </c>
      <c r="G165" s="75">
        <v>252332</v>
      </c>
      <c r="H165" s="75">
        <f t="shared" si="20"/>
        <v>0</v>
      </c>
      <c r="I165" s="86">
        <f>VLOOKUP(B165,多浪小区账面房号及收款金额!$A$2:$B$474,2,0)</f>
        <v>252332</v>
      </c>
      <c r="J165" s="86"/>
      <c r="K165" s="87">
        <f t="shared" si="26"/>
        <v>0</v>
      </c>
      <c r="L165" s="88"/>
      <c r="M165" s="88"/>
      <c r="N165" s="89"/>
      <c r="O165" s="89">
        <f t="shared" si="21"/>
        <v>0</v>
      </c>
      <c r="P165" s="91"/>
      <c r="Q165" s="88"/>
      <c r="R165" s="75">
        <f t="shared" si="22"/>
        <v>231497.247706422</v>
      </c>
      <c r="S165" s="75">
        <f t="shared" si="23"/>
        <v>11574.8623853211</v>
      </c>
      <c r="T165" s="75">
        <f t="shared" si="24"/>
        <v>231497.247706422</v>
      </c>
      <c r="U165" s="75">
        <f t="shared" si="25"/>
        <v>11574.8623853211</v>
      </c>
    </row>
    <row r="166" hidden="1" spans="1:21">
      <c r="A166" s="55">
        <v>163</v>
      </c>
      <c r="B166" s="71" t="s">
        <v>2271</v>
      </c>
      <c r="C166" s="72">
        <v>77.94</v>
      </c>
      <c r="D166" s="73">
        <v>2950.99</v>
      </c>
      <c r="E166" s="73">
        <f t="shared" si="19"/>
        <v>230000</v>
      </c>
      <c r="F166" s="74" t="s">
        <v>2272</v>
      </c>
      <c r="G166" s="75">
        <v>230000</v>
      </c>
      <c r="H166" s="75">
        <f t="shared" si="20"/>
        <v>0</v>
      </c>
      <c r="I166" s="86">
        <f>VLOOKUP(B166,多浪小区账面房号及收款金额!$A$2:$B$474,2,0)</f>
        <v>230000</v>
      </c>
      <c r="J166" s="86"/>
      <c r="K166" s="87">
        <f t="shared" si="26"/>
        <v>0</v>
      </c>
      <c r="L166" s="88"/>
      <c r="M166" s="88"/>
      <c r="N166" s="89">
        <f>VLOOKUP(B166,[2]信息汇总表!$M$2:$T$816,8,0)</f>
        <v>230000</v>
      </c>
      <c r="O166" s="89">
        <f t="shared" si="21"/>
        <v>211009.174311927</v>
      </c>
      <c r="P166" s="91">
        <v>211009.17</v>
      </c>
      <c r="Q166" s="88"/>
      <c r="R166" s="75">
        <f t="shared" si="22"/>
        <v>211009.174311927</v>
      </c>
      <c r="S166" s="75">
        <f t="shared" si="23"/>
        <v>10550.4587155963</v>
      </c>
      <c r="T166" s="75">
        <f t="shared" si="24"/>
        <v>0.00431192657561041</v>
      </c>
      <c r="U166" s="75">
        <f t="shared" si="25"/>
        <v>0.000215596330235712</v>
      </c>
    </row>
    <row r="167" hidden="1" spans="1:21">
      <c r="A167" s="55">
        <v>164</v>
      </c>
      <c r="B167" s="76" t="s">
        <v>2273</v>
      </c>
      <c r="C167" s="72">
        <v>81.45</v>
      </c>
      <c r="D167" s="73">
        <v>3000</v>
      </c>
      <c r="E167" s="73">
        <f t="shared" si="19"/>
        <v>244350</v>
      </c>
      <c r="F167" s="74" t="s">
        <v>2274</v>
      </c>
      <c r="G167" s="75">
        <v>244350</v>
      </c>
      <c r="H167" s="75">
        <f t="shared" si="20"/>
        <v>0</v>
      </c>
      <c r="I167" s="86">
        <f>VLOOKUP(B167,多浪小区账面房号及收款金额!$A$2:$B$474,2,0)</f>
        <v>244350</v>
      </c>
      <c r="J167" s="86"/>
      <c r="K167" s="87">
        <f t="shared" si="26"/>
        <v>0</v>
      </c>
      <c r="L167" s="88"/>
      <c r="M167" s="88"/>
      <c r="N167" s="89">
        <f>VLOOKUP(B167,[2]信息汇总表!$M$2:$T$816,8,0)</f>
        <v>244350</v>
      </c>
      <c r="O167" s="89">
        <f t="shared" si="21"/>
        <v>224174.311926605</v>
      </c>
      <c r="P167" s="91">
        <v>224174.31</v>
      </c>
      <c r="Q167" s="88"/>
      <c r="R167" s="75">
        <f t="shared" si="22"/>
        <v>224174.311926605</v>
      </c>
      <c r="S167" s="75">
        <f t="shared" si="23"/>
        <v>11208.7155963303</v>
      </c>
      <c r="T167" s="75">
        <f t="shared" si="24"/>
        <v>0.00192660550237633</v>
      </c>
      <c r="U167" s="75">
        <f t="shared" si="25"/>
        <v>9.63302754826145e-5</v>
      </c>
    </row>
    <row r="168" hidden="1" spans="1:21">
      <c r="A168" s="55">
        <v>165</v>
      </c>
      <c r="B168" s="71" t="s">
        <v>2275</v>
      </c>
      <c r="C168" s="72">
        <v>77.94</v>
      </c>
      <c r="D168" s="73">
        <v>3000</v>
      </c>
      <c r="E168" s="73">
        <f t="shared" si="19"/>
        <v>233820</v>
      </c>
      <c r="F168" s="74" t="s">
        <v>2276</v>
      </c>
      <c r="G168" s="75">
        <v>233820</v>
      </c>
      <c r="H168" s="75">
        <f t="shared" si="20"/>
        <v>0</v>
      </c>
      <c r="I168" s="86">
        <f>VLOOKUP(B168,多浪小区账面房号及收款金额!$A$2:$B$474,2,0)</f>
        <v>233820</v>
      </c>
      <c r="J168" s="86"/>
      <c r="K168" s="87">
        <f t="shared" si="26"/>
        <v>0</v>
      </c>
      <c r="L168" s="88"/>
      <c r="M168" s="88"/>
      <c r="N168" s="89">
        <f>VLOOKUP(B168,[2]信息汇总表!$M$2:$T$816,8,0)</f>
        <v>233820</v>
      </c>
      <c r="O168" s="89">
        <f t="shared" si="21"/>
        <v>214513.76146789</v>
      </c>
      <c r="P168" s="91">
        <v>214513.76</v>
      </c>
      <c r="Q168" s="88"/>
      <c r="R168" s="75">
        <f t="shared" si="22"/>
        <v>214513.76146789</v>
      </c>
      <c r="S168" s="75">
        <f t="shared" si="23"/>
        <v>10725.6880733945</v>
      </c>
      <c r="T168" s="75">
        <f t="shared" si="24"/>
        <v>0.00146788987331092</v>
      </c>
      <c r="U168" s="75">
        <f t="shared" si="25"/>
        <v>7.33944925741525e-5</v>
      </c>
    </row>
    <row r="169" hidden="1" spans="1:21">
      <c r="A169" s="55">
        <v>166</v>
      </c>
      <c r="B169" s="76" t="s">
        <v>2277</v>
      </c>
      <c r="C169" s="72">
        <v>81.45</v>
      </c>
      <c r="D169" s="73">
        <v>2980</v>
      </c>
      <c r="E169" s="73">
        <f t="shared" si="19"/>
        <v>242721</v>
      </c>
      <c r="F169" s="74" t="s">
        <v>2278</v>
      </c>
      <c r="G169" s="75">
        <v>242721</v>
      </c>
      <c r="H169" s="75">
        <f t="shared" si="20"/>
        <v>0</v>
      </c>
      <c r="I169" s="86">
        <f>VLOOKUP(B169,多浪小区账面房号及收款金额!$A$2:$B$474,2,0)</f>
        <v>242721</v>
      </c>
      <c r="J169" s="86"/>
      <c r="K169" s="87">
        <f t="shared" si="26"/>
        <v>0</v>
      </c>
      <c r="L169" s="88"/>
      <c r="M169" s="88"/>
      <c r="N169" s="89">
        <f>VLOOKUP(B169,[2]信息汇总表!$M$2:$T$816,8,0)</f>
        <v>242721</v>
      </c>
      <c r="O169" s="89">
        <f t="shared" si="21"/>
        <v>222679.816513761</v>
      </c>
      <c r="P169" s="91">
        <v>222679.82</v>
      </c>
      <c r="Q169" s="88"/>
      <c r="R169" s="75">
        <f t="shared" si="22"/>
        <v>222679.816513761</v>
      </c>
      <c r="S169" s="75">
        <f t="shared" si="23"/>
        <v>11133.9908256881</v>
      </c>
      <c r="T169" s="75">
        <f t="shared" si="24"/>
        <v>-0.00348623856552877</v>
      </c>
      <c r="U169" s="75">
        <f t="shared" si="25"/>
        <v>-0.000174311928276438</v>
      </c>
    </row>
    <row r="170" hidden="1" spans="1:21">
      <c r="A170" s="55">
        <v>167</v>
      </c>
      <c r="B170" s="71" t="s">
        <v>2279</v>
      </c>
      <c r="C170" s="72">
        <v>77.94</v>
      </c>
      <c r="D170" s="73">
        <v>2950</v>
      </c>
      <c r="E170" s="73">
        <f t="shared" si="19"/>
        <v>229923</v>
      </c>
      <c r="F170" s="74" t="s">
        <v>2280</v>
      </c>
      <c r="G170" s="75">
        <v>229923</v>
      </c>
      <c r="H170" s="75">
        <f t="shared" si="20"/>
        <v>0</v>
      </c>
      <c r="I170" s="86">
        <f>VLOOKUP(B170,多浪小区账面房号及收款金额!$A$2:$B$474,2,0)</f>
        <v>229923</v>
      </c>
      <c r="J170" s="86"/>
      <c r="K170" s="87">
        <f t="shared" si="26"/>
        <v>0</v>
      </c>
      <c r="L170" s="88"/>
      <c r="M170" s="88"/>
      <c r="N170" s="89">
        <f>VLOOKUP(B170,[2]信息汇总表!$M$2:$T$816,8,0)</f>
        <v>229923</v>
      </c>
      <c r="O170" s="89">
        <f t="shared" si="21"/>
        <v>210938.532110092</v>
      </c>
      <c r="P170" s="91">
        <v>210938.53</v>
      </c>
      <c r="Q170" s="88"/>
      <c r="R170" s="75">
        <f t="shared" si="22"/>
        <v>210938.532110092</v>
      </c>
      <c r="S170" s="75">
        <f t="shared" si="23"/>
        <v>10546.9266055046</v>
      </c>
      <c r="T170" s="75">
        <f t="shared" si="24"/>
        <v>0.0021100917365402</v>
      </c>
      <c r="U170" s="75">
        <f t="shared" si="25"/>
        <v>0.00010550458682701</v>
      </c>
    </row>
    <row r="171" hidden="1" spans="1:21">
      <c r="A171" s="55">
        <v>168</v>
      </c>
      <c r="B171" s="76" t="s">
        <v>2281</v>
      </c>
      <c r="C171" s="72">
        <v>81.45</v>
      </c>
      <c r="D171" s="73">
        <v>2800</v>
      </c>
      <c r="E171" s="73">
        <f t="shared" si="19"/>
        <v>228060</v>
      </c>
      <c r="F171" s="74" t="s">
        <v>2282</v>
      </c>
      <c r="G171" s="75">
        <v>228060</v>
      </c>
      <c r="H171" s="75">
        <f t="shared" si="20"/>
        <v>0</v>
      </c>
      <c r="I171" s="86">
        <f>VLOOKUP(B171,多浪小区账面房号及收款金额!$A$2:$B$474,2,0)</f>
        <v>228060</v>
      </c>
      <c r="J171" s="86"/>
      <c r="K171" s="87">
        <f t="shared" si="26"/>
        <v>0</v>
      </c>
      <c r="L171" s="88"/>
      <c r="M171" s="88"/>
      <c r="N171" s="89">
        <f>VLOOKUP(B171,[2]信息汇总表!$M$2:$T$816,8,0)</f>
        <v>228060</v>
      </c>
      <c r="O171" s="89">
        <f t="shared" si="21"/>
        <v>209229.357798165</v>
      </c>
      <c r="P171" s="91">
        <v>209229.36</v>
      </c>
      <c r="Q171" s="88"/>
      <c r="R171" s="75">
        <f t="shared" si="22"/>
        <v>209229.357798165</v>
      </c>
      <c r="S171" s="75">
        <f t="shared" si="23"/>
        <v>10461.4678899083</v>
      </c>
      <c r="T171" s="75">
        <f t="shared" si="24"/>
        <v>-0.00220183486817405</v>
      </c>
      <c r="U171" s="75">
        <f t="shared" si="25"/>
        <v>-0.000110091743408702</v>
      </c>
    </row>
    <row r="172" hidden="1" spans="1:21">
      <c r="A172" s="55">
        <v>169</v>
      </c>
      <c r="B172" s="71" t="s">
        <v>2283</v>
      </c>
      <c r="C172" s="72">
        <v>77.94</v>
      </c>
      <c r="D172" s="73">
        <v>2600</v>
      </c>
      <c r="E172" s="73">
        <f t="shared" si="19"/>
        <v>202644</v>
      </c>
      <c r="F172" s="74" t="s">
        <v>2284</v>
      </c>
      <c r="G172" s="75">
        <v>202644</v>
      </c>
      <c r="H172" s="75">
        <f t="shared" si="20"/>
        <v>0</v>
      </c>
      <c r="I172" s="86">
        <f>VLOOKUP(B172,多浪小区账面房号及收款金额!$A$2:$B$474,2,0)</f>
        <v>202644</v>
      </c>
      <c r="J172" s="86"/>
      <c r="K172" s="87">
        <f t="shared" si="26"/>
        <v>0</v>
      </c>
      <c r="L172" s="88"/>
      <c r="M172" s="88"/>
      <c r="N172" s="89">
        <f>VLOOKUP(B172,[2]信息汇总表!$M$2:$T$816,8,0)</f>
        <v>202644</v>
      </c>
      <c r="O172" s="89">
        <f t="shared" si="21"/>
        <v>185911.926605505</v>
      </c>
      <c r="P172" s="91">
        <v>185911.93</v>
      </c>
      <c r="Q172" s="88"/>
      <c r="R172" s="75">
        <f t="shared" si="22"/>
        <v>185911.926605505</v>
      </c>
      <c r="S172" s="75">
        <f t="shared" si="23"/>
        <v>9295.59633027523</v>
      </c>
      <c r="T172" s="75">
        <f t="shared" si="24"/>
        <v>-0.00339449543389492</v>
      </c>
      <c r="U172" s="75">
        <f t="shared" si="25"/>
        <v>-0.000169724771694746</v>
      </c>
    </row>
    <row r="173" hidden="1" spans="1:21">
      <c r="A173" s="55">
        <v>170</v>
      </c>
      <c r="B173" s="76" t="s">
        <v>2285</v>
      </c>
      <c r="C173" s="72">
        <v>81.45</v>
      </c>
      <c r="D173" s="73">
        <v>2650</v>
      </c>
      <c r="E173" s="73">
        <f t="shared" si="19"/>
        <v>215843</v>
      </c>
      <c r="F173" s="74" t="s">
        <v>2286</v>
      </c>
      <c r="G173" s="75">
        <v>215843</v>
      </c>
      <c r="H173" s="75">
        <f t="shared" si="20"/>
        <v>0</v>
      </c>
      <c r="I173" s="86">
        <f>VLOOKUP(B173,多浪小区账面房号及收款金额!$A$2:$B$474,2,0)</f>
        <v>215843</v>
      </c>
      <c r="J173" s="86"/>
      <c r="K173" s="87">
        <f t="shared" si="26"/>
        <v>0</v>
      </c>
      <c r="L173" s="88"/>
      <c r="M173" s="88"/>
      <c r="N173" s="89">
        <f>VLOOKUP(B173,[2]信息汇总表!$M$2:$T$816,8,0)</f>
        <v>215843</v>
      </c>
      <c r="O173" s="89">
        <f t="shared" si="21"/>
        <v>198021.100917431</v>
      </c>
      <c r="P173" s="91"/>
      <c r="Q173" s="88"/>
      <c r="R173" s="75">
        <f t="shared" si="22"/>
        <v>198021.100917431</v>
      </c>
      <c r="S173" s="75">
        <f t="shared" si="23"/>
        <v>9901.05504587156</v>
      </c>
      <c r="T173" s="75">
        <f t="shared" si="24"/>
        <v>198021.100917431</v>
      </c>
      <c r="U173" s="75">
        <f t="shared" si="25"/>
        <v>9901.05504587156</v>
      </c>
    </row>
    <row r="174" hidden="1" spans="1:21">
      <c r="A174" s="55">
        <v>171</v>
      </c>
      <c r="B174" s="71" t="s">
        <v>2287</v>
      </c>
      <c r="C174" s="72">
        <v>77.94</v>
      </c>
      <c r="D174" s="73">
        <v>3000</v>
      </c>
      <c r="E174" s="73">
        <f t="shared" si="19"/>
        <v>233820</v>
      </c>
      <c r="F174" s="74" t="s">
        <v>2288</v>
      </c>
      <c r="G174" s="75">
        <v>233820</v>
      </c>
      <c r="H174" s="75">
        <f t="shared" si="20"/>
        <v>0</v>
      </c>
      <c r="I174" s="86">
        <f>VLOOKUP(B174,多浪小区账面房号及收款金额!$A$2:$B$474,2,0)</f>
        <v>233820</v>
      </c>
      <c r="J174" s="86"/>
      <c r="K174" s="87">
        <f t="shared" si="26"/>
        <v>0</v>
      </c>
      <c r="L174" s="88"/>
      <c r="M174" s="88"/>
      <c r="N174" s="89">
        <f>VLOOKUP(B174,[2]信息汇总表!$M$2:$T$816,8,0)</f>
        <v>233820</v>
      </c>
      <c r="O174" s="89">
        <f t="shared" si="21"/>
        <v>214513.76146789</v>
      </c>
      <c r="P174" s="91">
        <v>214513.76</v>
      </c>
      <c r="Q174" s="88"/>
      <c r="R174" s="75">
        <f t="shared" si="22"/>
        <v>214513.76146789</v>
      </c>
      <c r="S174" s="75">
        <f t="shared" si="23"/>
        <v>10725.6880733945</v>
      </c>
      <c r="T174" s="75">
        <f t="shared" si="24"/>
        <v>0.00146788987331092</v>
      </c>
      <c r="U174" s="75">
        <f t="shared" si="25"/>
        <v>7.33944925741525e-5</v>
      </c>
    </row>
    <row r="175" hidden="1" spans="1:21">
      <c r="A175" s="55">
        <v>172</v>
      </c>
      <c r="B175" s="76" t="s">
        <v>2289</v>
      </c>
      <c r="C175" s="72">
        <v>81.93</v>
      </c>
      <c r="D175" s="73">
        <v>2941.535</v>
      </c>
      <c r="E175" s="73">
        <f t="shared" si="19"/>
        <v>241000</v>
      </c>
      <c r="F175" s="74" t="s">
        <v>2290</v>
      </c>
      <c r="G175" s="75">
        <v>241000</v>
      </c>
      <c r="H175" s="75">
        <f t="shared" si="20"/>
        <v>0</v>
      </c>
      <c r="I175" s="86">
        <f>VLOOKUP(B175,多浪小区账面房号及收款金额!$A$2:$B$474,2,0)</f>
        <v>241000</v>
      </c>
      <c r="J175" s="86"/>
      <c r="K175" s="87">
        <f t="shared" si="26"/>
        <v>0</v>
      </c>
      <c r="L175" s="88"/>
      <c r="M175" s="88"/>
      <c r="N175" s="89">
        <f>VLOOKUP(B175,[2]信息汇总表!$M$2:$T$816,8,0)</f>
        <v>241000</v>
      </c>
      <c r="O175" s="89">
        <f t="shared" si="21"/>
        <v>221100.917431193</v>
      </c>
      <c r="P175" s="91">
        <v>221100.92</v>
      </c>
      <c r="Q175" s="88"/>
      <c r="R175" s="75">
        <f t="shared" si="22"/>
        <v>221100.917431193</v>
      </c>
      <c r="S175" s="75">
        <f t="shared" si="23"/>
        <v>11055.0458715596</v>
      </c>
      <c r="T175" s="75">
        <f t="shared" si="24"/>
        <v>-0.00256880736560561</v>
      </c>
      <c r="U175" s="75">
        <f t="shared" si="25"/>
        <v>-0.000128440369735472</v>
      </c>
    </row>
    <row r="176" hidden="1" spans="1:21">
      <c r="A176" s="55">
        <v>173</v>
      </c>
      <c r="B176" s="71" t="s">
        <v>2291</v>
      </c>
      <c r="C176" s="72">
        <v>77.94</v>
      </c>
      <c r="D176" s="73">
        <v>3100</v>
      </c>
      <c r="E176" s="73">
        <f t="shared" si="19"/>
        <v>241614</v>
      </c>
      <c r="F176" s="74" t="s">
        <v>2292</v>
      </c>
      <c r="G176" s="75">
        <v>241614</v>
      </c>
      <c r="H176" s="75">
        <f t="shared" si="20"/>
        <v>0</v>
      </c>
      <c r="I176" s="86">
        <f>VLOOKUP(B176,多浪小区账面房号及收款金额!$A$2:$B$474,2,0)</f>
        <v>241614</v>
      </c>
      <c r="J176" s="86"/>
      <c r="K176" s="87">
        <f t="shared" si="26"/>
        <v>0</v>
      </c>
      <c r="L176" s="88"/>
      <c r="M176" s="88"/>
      <c r="N176" s="89"/>
      <c r="O176" s="89">
        <f t="shared" si="21"/>
        <v>0</v>
      </c>
      <c r="P176" s="91"/>
      <c r="Q176" s="88"/>
      <c r="R176" s="75">
        <f t="shared" si="22"/>
        <v>221664.220183486</v>
      </c>
      <c r="S176" s="75">
        <f t="shared" si="23"/>
        <v>11083.2110091743</v>
      </c>
      <c r="T176" s="75">
        <f t="shared" si="24"/>
        <v>221664.220183486</v>
      </c>
      <c r="U176" s="75">
        <f t="shared" si="25"/>
        <v>11083.2110091743</v>
      </c>
    </row>
    <row r="177" hidden="1" spans="1:21">
      <c r="A177" s="55">
        <v>174</v>
      </c>
      <c r="B177" s="76" t="s">
        <v>2293</v>
      </c>
      <c r="C177" s="72">
        <v>81.93</v>
      </c>
      <c r="D177" s="73">
        <v>2900</v>
      </c>
      <c r="E177" s="73">
        <f t="shared" si="19"/>
        <v>237597</v>
      </c>
      <c r="F177" s="74" t="s">
        <v>2294</v>
      </c>
      <c r="G177" s="75">
        <v>237597</v>
      </c>
      <c r="H177" s="75">
        <f t="shared" si="20"/>
        <v>0</v>
      </c>
      <c r="I177" s="86">
        <f>VLOOKUP(B177,多浪小区账面房号及收款金额!$A$2:$B$474,2,0)</f>
        <v>237597</v>
      </c>
      <c r="J177" s="86"/>
      <c r="K177" s="87">
        <f t="shared" si="26"/>
        <v>0</v>
      </c>
      <c r="L177" s="88"/>
      <c r="M177" s="88"/>
      <c r="N177" s="89">
        <f>VLOOKUP(B177,[2]信息汇总表!$M$2:$T$816,8,0)</f>
        <v>237597</v>
      </c>
      <c r="O177" s="89">
        <f t="shared" si="21"/>
        <v>217978.899082569</v>
      </c>
      <c r="P177" s="91">
        <v>217978.9</v>
      </c>
      <c r="Q177" s="88"/>
      <c r="R177" s="75">
        <f t="shared" si="22"/>
        <v>217978.899082569</v>
      </c>
      <c r="S177" s="75">
        <f t="shared" si="23"/>
        <v>10898.9449541284</v>
      </c>
      <c r="T177" s="75">
        <f t="shared" si="24"/>
        <v>-0.000917431199923158</v>
      </c>
      <c r="U177" s="75">
        <f t="shared" si="25"/>
        <v>-4.58715585409664e-5</v>
      </c>
    </row>
    <row r="178" hidden="1" spans="1:21">
      <c r="A178" s="55">
        <v>175</v>
      </c>
      <c r="B178" s="71" t="s">
        <v>2295</v>
      </c>
      <c r="C178" s="72">
        <v>77.94</v>
      </c>
      <c r="D178" s="73">
        <v>2943.58</v>
      </c>
      <c r="E178" s="73">
        <f t="shared" si="19"/>
        <v>229423</v>
      </c>
      <c r="F178" s="74" t="s">
        <v>2296</v>
      </c>
      <c r="G178" s="75">
        <v>229423</v>
      </c>
      <c r="H178" s="75">
        <f t="shared" si="20"/>
        <v>0</v>
      </c>
      <c r="I178" s="86">
        <f>VLOOKUP(B178,多浪小区账面房号及收款金额!$A$2:$B$474,2,0)</f>
        <v>233423</v>
      </c>
      <c r="J178" s="86"/>
      <c r="K178" s="87">
        <f t="shared" si="26"/>
        <v>-4000</v>
      </c>
      <c r="L178" s="92" t="s">
        <v>2297</v>
      </c>
      <c r="M178" s="88" t="s">
        <v>2298</v>
      </c>
      <c r="N178" s="89">
        <f>VLOOKUP(B178,[2]信息汇总表!$M$2:$T$816,8,0)</f>
        <v>229423</v>
      </c>
      <c r="O178" s="89">
        <f t="shared" si="21"/>
        <v>210479.816513761</v>
      </c>
      <c r="P178" s="91">
        <v>210479.82</v>
      </c>
      <c r="Q178" s="88"/>
      <c r="R178" s="75">
        <f t="shared" si="22"/>
        <v>214149.541284404</v>
      </c>
      <c r="S178" s="75">
        <f t="shared" si="23"/>
        <v>10707.4770642202</v>
      </c>
      <c r="T178" s="75">
        <f t="shared" si="24"/>
        <v>3669.72128440364</v>
      </c>
      <c r="U178" s="75">
        <f t="shared" si="25"/>
        <v>183.486064220182</v>
      </c>
    </row>
    <row r="179" hidden="1" spans="1:21">
      <c r="A179" s="55">
        <v>176</v>
      </c>
      <c r="B179" s="76" t="s">
        <v>2299</v>
      </c>
      <c r="C179" s="72">
        <v>81.93</v>
      </c>
      <c r="D179" s="73">
        <v>2800</v>
      </c>
      <c r="E179" s="73">
        <f t="shared" si="19"/>
        <v>229404</v>
      </c>
      <c r="F179" s="74" t="s">
        <v>2300</v>
      </c>
      <c r="G179" s="75">
        <v>210404</v>
      </c>
      <c r="H179" s="75">
        <f t="shared" si="20"/>
        <v>19000</v>
      </c>
      <c r="I179" s="86">
        <f>VLOOKUP(B179,多浪小区账面房号及收款金额!$A$2:$B$474,2,0)</f>
        <v>210404</v>
      </c>
      <c r="J179" s="86"/>
      <c r="K179" s="87">
        <f t="shared" si="26"/>
        <v>0</v>
      </c>
      <c r="L179" s="88"/>
      <c r="M179" s="88"/>
      <c r="N179" s="89"/>
      <c r="O179" s="89">
        <f t="shared" si="21"/>
        <v>0</v>
      </c>
      <c r="P179" s="91"/>
      <c r="Q179" s="88"/>
      <c r="R179" s="75">
        <f t="shared" si="22"/>
        <v>193031.19266055</v>
      </c>
      <c r="S179" s="75">
        <f t="shared" si="23"/>
        <v>9651.55963302752</v>
      </c>
      <c r="T179" s="75">
        <f t="shared" si="24"/>
        <v>193031.19266055</v>
      </c>
      <c r="U179" s="75">
        <f t="shared" si="25"/>
        <v>9651.55963302752</v>
      </c>
    </row>
    <row r="180" hidden="1" spans="1:21">
      <c r="A180" s="55">
        <v>177</v>
      </c>
      <c r="B180" s="71" t="s">
        <v>2301</v>
      </c>
      <c r="C180" s="72">
        <v>77.94</v>
      </c>
      <c r="D180" s="73">
        <v>2663.84</v>
      </c>
      <c r="E180" s="73">
        <f t="shared" si="19"/>
        <v>207620</v>
      </c>
      <c r="F180" s="74" t="s">
        <v>2302</v>
      </c>
      <c r="G180" s="75">
        <v>207620</v>
      </c>
      <c r="H180" s="75">
        <f t="shared" si="20"/>
        <v>0</v>
      </c>
      <c r="I180" s="86">
        <f>VLOOKUP(B180,多浪小区账面房号及收款金额!$A$2:$B$474,2,0)</f>
        <v>207620</v>
      </c>
      <c r="J180" s="86"/>
      <c r="K180" s="87">
        <f t="shared" si="26"/>
        <v>0</v>
      </c>
      <c r="L180" s="88"/>
      <c r="M180" s="88"/>
      <c r="N180" s="89">
        <f>VLOOKUP(B180,[2]信息汇总表!$M$2:$T$816,8,0)</f>
        <v>207620</v>
      </c>
      <c r="O180" s="89">
        <f t="shared" si="21"/>
        <v>190477.064220183</v>
      </c>
      <c r="P180" s="91">
        <v>190477.06</v>
      </c>
      <c r="Q180" s="88"/>
      <c r="R180" s="75">
        <f t="shared" si="22"/>
        <v>190477.064220183</v>
      </c>
      <c r="S180" s="75">
        <f t="shared" si="23"/>
        <v>9523.85321100917</v>
      </c>
      <c r="T180" s="75">
        <f t="shared" si="24"/>
        <v>0.0042201834730804</v>
      </c>
      <c r="U180" s="75">
        <f t="shared" si="25"/>
        <v>0.00021100917365402</v>
      </c>
    </row>
    <row r="181" hidden="1" spans="1:21">
      <c r="A181" s="55">
        <v>178</v>
      </c>
      <c r="B181" s="76" t="s">
        <v>2303</v>
      </c>
      <c r="C181" s="72">
        <v>81.93</v>
      </c>
      <c r="D181" s="73">
        <v>2800</v>
      </c>
      <c r="E181" s="73">
        <f t="shared" si="19"/>
        <v>229404</v>
      </c>
      <c r="F181" s="74" t="s">
        <v>2304</v>
      </c>
      <c r="G181" s="75">
        <v>229404</v>
      </c>
      <c r="H181" s="75">
        <f t="shared" si="20"/>
        <v>0</v>
      </c>
      <c r="I181" s="86">
        <f>VLOOKUP(B181,多浪小区账面房号及收款金额!$A$2:$B$474,2,0)</f>
        <v>229404</v>
      </c>
      <c r="J181" s="86"/>
      <c r="K181" s="87">
        <f t="shared" si="26"/>
        <v>0</v>
      </c>
      <c r="L181" s="88"/>
      <c r="M181" s="88"/>
      <c r="N181" s="89">
        <f>VLOOKUP(B181,[2]信息汇总表!$M$2:$T$816,8,0)</f>
        <v>229404</v>
      </c>
      <c r="O181" s="89">
        <f t="shared" si="21"/>
        <v>210462.385321101</v>
      </c>
      <c r="P181" s="91">
        <v>210462.39</v>
      </c>
      <c r="Q181" s="88"/>
      <c r="R181" s="75">
        <f t="shared" si="22"/>
        <v>210462.385321101</v>
      </c>
      <c r="S181" s="75">
        <f t="shared" si="23"/>
        <v>10523.119266055</v>
      </c>
      <c r="T181" s="75">
        <f t="shared" si="24"/>
        <v>-0.00467889910214581</v>
      </c>
      <c r="U181" s="75">
        <f t="shared" si="25"/>
        <v>-0.000233944954743492</v>
      </c>
    </row>
    <row r="182" hidden="1" spans="1:21">
      <c r="A182" s="55">
        <v>179</v>
      </c>
      <c r="B182" s="71" t="s">
        <v>2305</v>
      </c>
      <c r="C182" s="72">
        <v>77.94</v>
      </c>
      <c r="D182" s="73">
        <v>2680</v>
      </c>
      <c r="E182" s="73">
        <f t="shared" si="19"/>
        <v>208879</v>
      </c>
      <c r="F182" s="74" t="s">
        <v>2306</v>
      </c>
      <c r="G182" s="75">
        <v>208879</v>
      </c>
      <c r="H182" s="75">
        <f t="shared" si="20"/>
        <v>0</v>
      </c>
      <c r="I182" s="86">
        <f>VLOOKUP(B182,多浪小区账面房号及收款金额!$A$2:$B$474,2,0)</f>
        <v>208879</v>
      </c>
      <c r="J182" s="86"/>
      <c r="K182" s="87">
        <f t="shared" si="26"/>
        <v>0</v>
      </c>
      <c r="L182" s="88"/>
      <c r="M182" s="88"/>
      <c r="N182" s="89">
        <f>VLOOKUP(B182,[2]信息汇总表!$M$2:$T$816,8,0)</f>
        <v>208879</v>
      </c>
      <c r="O182" s="89">
        <f t="shared" si="21"/>
        <v>191632.110091743</v>
      </c>
      <c r="P182" s="91">
        <v>191632.11</v>
      </c>
      <c r="Q182" s="88"/>
      <c r="R182" s="75">
        <f t="shared" si="22"/>
        <v>191632.110091743</v>
      </c>
      <c r="S182" s="75">
        <f t="shared" si="23"/>
        <v>9581.60550458716</v>
      </c>
      <c r="T182" s="75">
        <f t="shared" si="24"/>
        <v>9.1743131633848e-5</v>
      </c>
      <c r="U182" s="75">
        <f t="shared" si="25"/>
        <v>4.5871565816924e-6</v>
      </c>
    </row>
    <row r="183" hidden="1" spans="1:21">
      <c r="A183" s="55">
        <v>180</v>
      </c>
      <c r="B183" s="76" t="s">
        <v>2307</v>
      </c>
      <c r="C183" s="72">
        <v>81.93</v>
      </c>
      <c r="D183" s="73">
        <v>2600</v>
      </c>
      <c r="E183" s="73">
        <f t="shared" si="19"/>
        <v>213018</v>
      </c>
      <c r="F183" s="74" t="s">
        <v>2308</v>
      </c>
      <c r="G183" s="75">
        <v>213018</v>
      </c>
      <c r="H183" s="75">
        <f t="shared" si="20"/>
        <v>0</v>
      </c>
      <c r="I183" s="86">
        <f>VLOOKUP(B183,多浪小区账面房号及收款金额!$A$2:$B$474,2,0)</f>
        <v>213018</v>
      </c>
      <c r="J183" s="86"/>
      <c r="K183" s="87">
        <f t="shared" si="26"/>
        <v>0</v>
      </c>
      <c r="L183" s="88"/>
      <c r="M183" s="88"/>
      <c r="N183" s="89"/>
      <c r="O183" s="89">
        <f t="shared" si="21"/>
        <v>0</v>
      </c>
      <c r="P183" s="91"/>
      <c r="Q183" s="88"/>
      <c r="R183" s="75">
        <f t="shared" si="22"/>
        <v>195429.357798165</v>
      </c>
      <c r="S183" s="75">
        <f t="shared" si="23"/>
        <v>9771.46788990826</v>
      </c>
      <c r="T183" s="75">
        <f t="shared" si="24"/>
        <v>195429.357798165</v>
      </c>
      <c r="U183" s="75">
        <f t="shared" si="25"/>
        <v>9771.46788990826</v>
      </c>
    </row>
    <row r="184" ht="24.75" hidden="1" spans="1:21">
      <c r="A184" s="55">
        <v>181</v>
      </c>
      <c r="B184" s="71" t="s">
        <v>2309</v>
      </c>
      <c r="C184" s="72">
        <v>85.38</v>
      </c>
      <c r="D184" s="73">
        <v>3100</v>
      </c>
      <c r="E184" s="73">
        <f t="shared" si="19"/>
        <v>264678</v>
      </c>
      <c r="F184" s="74" t="s">
        <v>2310</v>
      </c>
      <c r="G184" s="75">
        <v>264678</v>
      </c>
      <c r="H184" s="75">
        <f t="shared" si="20"/>
        <v>0</v>
      </c>
      <c r="I184" s="86">
        <f>VLOOKUP(B184,多浪小区账面房号及收款金额!$A$2:$B$474,2,0)</f>
        <v>498328</v>
      </c>
      <c r="J184" s="86"/>
      <c r="K184" s="95">
        <f t="shared" si="26"/>
        <v>-233650</v>
      </c>
      <c r="L184" s="92" t="s">
        <v>2311</v>
      </c>
      <c r="M184" s="88"/>
      <c r="N184" s="89"/>
      <c r="O184" s="89">
        <f t="shared" si="21"/>
        <v>0</v>
      </c>
      <c r="P184" s="91"/>
      <c r="Q184" s="88"/>
      <c r="R184" s="75">
        <f t="shared" si="22"/>
        <v>457181.651376147</v>
      </c>
      <c r="S184" s="75">
        <f t="shared" si="23"/>
        <v>22859.0825688073</v>
      </c>
      <c r="T184" s="75">
        <f t="shared" si="24"/>
        <v>457181.651376147</v>
      </c>
      <c r="U184" s="75">
        <f t="shared" si="25"/>
        <v>22859.0825688073</v>
      </c>
    </row>
    <row r="185" ht="12" hidden="1" customHeight="1" spans="1:21">
      <c r="A185" s="55">
        <v>182</v>
      </c>
      <c r="B185" s="76" t="s">
        <v>2312</v>
      </c>
      <c r="C185" s="72">
        <v>84.85</v>
      </c>
      <c r="D185" s="73">
        <v>3200</v>
      </c>
      <c r="E185" s="73">
        <f t="shared" si="19"/>
        <v>271520</v>
      </c>
      <c r="F185" s="74" t="s">
        <v>2313</v>
      </c>
      <c r="G185" s="75">
        <v>271520</v>
      </c>
      <c r="H185" s="75">
        <f t="shared" si="20"/>
        <v>0</v>
      </c>
      <c r="I185" s="86">
        <f>VLOOKUP(B185,多浪小区账面房号及收款金额!$A$2:$B$474,2,0)</f>
        <v>271520</v>
      </c>
      <c r="J185" s="86"/>
      <c r="K185" s="87">
        <f t="shared" si="26"/>
        <v>0</v>
      </c>
      <c r="L185" s="88"/>
      <c r="M185" s="88"/>
      <c r="N185" s="89">
        <f>VLOOKUP(B185,[2]信息汇总表!$M$2:$T$816,8,0)</f>
        <v>271520</v>
      </c>
      <c r="O185" s="89">
        <f t="shared" si="21"/>
        <v>249100.917431193</v>
      </c>
      <c r="P185" s="91">
        <v>249100.92</v>
      </c>
      <c r="Q185" s="88"/>
      <c r="R185" s="75">
        <f t="shared" si="22"/>
        <v>249100.917431193</v>
      </c>
      <c r="S185" s="75">
        <f t="shared" si="23"/>
        <v>12455.0458715596</v>
      </c>
      <c r="T185" s="75">
        <f t="shared" si="24"/>
        <v>-0.00256880736560561</v>
      </c>
      <c r="U185" s="75">
        <f t="shared" si="25"/>
        <v>-0.000128440369735472</v>
      </c>
    </row>
    <row r="186" hidden="1" spans="1:21">
      <c r="A186" s="55">
        <v>183</v>
      </c>
      <c r="B186" s="71" t="s">
        <v>2314</v>
      </c>
      <c r="C186" s="72">
        <v>85.38</v>
      </c>
      <c r="D186" s="73">
        <v>3080</v>
      </c>
      <c r="E186" s="73">
        <f t="shared" si="19"/>
        <v>262970</v>
      </c>
      <c r="F186" s="74" t="s">
        <v>2315</v>
      </c>
      <c r="G186" s="75">
        <v>262970</v>
      </c>
      <c r="H186" s="75">
        <f t="shared" si="20"/>
        <v>0</v>
      </c>
      <c r="I186" s="86">
        <f>VLOOKUP(B186,多浪小区账面房号及收款金额!$A$2:$B$474,2,0)</f>
        <v>262970</v>
      </c>
      <c r="J186" s="86"/>
      <c r="K186" s="87">
        <f t="shared" si="26"/>
        <v>0</v>
      </c>
      <c r="L186" s="88"/>
      <c r="M186" s="88"/>
      <c r="N186" s="89">
        <f>VLOOKUP(B186,[2]信息汇总表!$M$2:$T$816,8,0)</f>
        <v>262970.4</v>
      </c>
      <c r="O186" s="89">
        <f t="shared" si="21"/>
        <v>241257.247706422</v>
      </c>
      <c r="P186" s="91">
        <v>241257.25</v>
      </c>
      <c r="Q186" s="88"/>
      <c r="R186" s="75">
        <f t="shared" si="22"/>
        <v>241256.880733945</v>
      </c>
      <c r="S186" s="75">
        <f t="shared" si="23"/>
        <v>12062.8440366972</v>
      </c>
      <c r="T186" s="75">
        <f t="shared" si="24"/>
        <v>-0.369266055058688</v>
      </c>
      <c r="U186" s="75">
        <f t="shared" si="25"/>
        <v>-0.0184633027529344</v>
      </c>
    </row>
    <row r="187" hidden="1" spans="1:21">
      <c r="A187" s="55">
        <v>184</v>
      </c>
      <c r="B187" s="76" t="s">
        <v>2316</v>
      </c>
      <c r="C187" s="72">
        <v>84.85</v>
      </c>
      <c r="D187" s="73">
        <v>3080</v>
      </c>
      <c r="E187" s="73">
        <f t="shared" si="19"/>
        <v>261338</v>
      </c>
      <c r="F187" s="74" t="s">
        <v>2317</v>
      </c>
      <c r="G187" s="75">
        <v>261338</v>
      </c>
      <c r="H187" s="75">
        <f t="shared" si="20"/>
        <v>0</v>
      </c>
      <c r="I187" s="86">
        <f>VLOOKUP(B187,多浪小区账面房号及收款金额!$A$2:$B$474,2,0)</f>
        <v>261338</v>
      </c>
      <c r="J187" s="86"/>
      <c r="K187" s="87">
        <f t="shared" si="26"/>
        <v>0</v>
      </c>
      <c r="L187" s="88"/>
      <c r="M187" s="88"/>
      <c r="N187" s="89">
        <f>VLOOKUP(B187,[2]信息汇总表!$M$2:$T$816,8,0)</f>
        <v>261338</v>
      </c>
      <c r="O187" s="89">
        <f t="shared" si="21"/>
        <v>239759.633027523</v>
      </c>
      <c r="P187" s="91">
        <v>239759.63</v>
      </c>
      <c r="Q187" s="88"/>
      <c r="R187" s="75">
        <f t="shared" si="22"/>
        <v>239759.633027523</v>
      </c>
      <c r="S187" s="75">
        <f t="shared" si="23"/>
        <v>11987.9816513761</v>
      </c>
      <c r="T187" s="75">
        <f t="shared" si="24"/>
        <v>0.00302752290735953</v>
      </c>
      <c r="U187" s="75">
        <f t="shared" si="25"/>
        <v>0.000151376145367976</v>
      </c>
    </row>
    <row r="188" hidden="1" spans="1:21">
      <c r="A188" s="55">
        <v>185</v>
      </c>
      <c r="B188" s="71" t="s">
        <v>2318</v>
      </c>
      <c r="C188" s="72">
        <v>85.38</v>
      </c>
      <c r="D188" s="73">
        <v>2980</v>
      </c>
      <c r="E188" s="73">
        <f t="shared" si="19"/>
        <v>254432</v>
      </c>
      <c r="F188" s="74" t="s">
        <v>2319</v>
      </c>
      <c r="G188" s="75">
        <v>254432</v>
      </c>
      <c r="H188" s="75">
        <f t="shared" si="20"/>
        <v>0</v>
      </c>
      <c r="I188" s="86">
        <f>VLOOKUP(B188,多浪小区账面房号及收款金额!$A$2:$B$474,2,0)</f>
        <v>254432</v>
      </c>
      <c r="J188" s="86"/>
      <c r="K188" s="87">
        <f t="shared" si="26"/>
        <v>0</v>
      </c>
      <c r="L188" s="88"/>
      <c r="M188" s="88"/>
      <c r="N188" s="89"/>
      <c r="O188" s="89">
        <f t="shared" si="21"/>
        <v>0</v>
      </c>
      <c r="P188" s="91"/>
      <c r="Q188" s="88"/>
      <c r="R188" s="75">
        <f t="shared" si="22"/>
        <v>233423.853211009</v>
      </c>
      <c r="S188" s="75">
        <f t="shared" si="23"/>
        <v>11671.1926605505</v>
      </c>
      <c r="T188" s="75">
        <f t="shared" si="24"/>
        <v>233423.853211009</v>
      </c>
      <c r="U188" s="75">
        <f t="shared" si="25"/>
        <v>11671.1926605505</v>
      </c>
    </row>
    <row r="189" hidden="1" spans="1:21">
      <c r="A189" s="55">
        <v>186</v>
      </c>
      <c r="B189" s="76" t="s">
        <v>2320</v>
      </c>
      <c r="C189" s="72">
        <v>84.85</v>
      </c>
      <c r="D189" s="73">
        <v>3100</v>
      </c>
      <c r="E189" s="73">
        <f t="shared" si="19"/>
        <v>263035</v>
      </c>
      <c r="F189" s="74" t="s">
        <v>2321</v>
      </c>
      <c r="G189" s="75">
        <v>263035</v>
      </c>
      <c r="H189" s="75">
        <f t="shared" si="20"/>
        <v>0</v>
      </c>
      <c r="I189" s="86">
        <f>VLOOKUP(B189,多浪小区账面房号及收款金额!$A$2:$B$474,2,0)</f>
        <v>263035</v>
      </c>
      <c r="J189" s="86"/>
      <c r="K189" s="87">
        <f t="shared" si="26"/>
        <v>0</v>
      </c>
      <c r="L189" s="88"/>
      <c r="M189" s="88"/>
      <c r="N189" s="89">
        <f>VLOOKUP(B189,[2]信息汇总表!$M$2:$T$816,8,0)</f>
        <v>263035</v>
      </c>
      <c r="O189" s="89">
        <f t="shared" si="21"/>
        <v>241316.513761468</v>
      </c>
      <c r="P189" s="91">
        <v>241316.513761468</v>
      </c>
      <c r="Q189" s="88"/>
      <c r="R189" s="75">
        <f t="shared" si="22"/>
        <v>241316.513761468</v>
      </c>
      <c r="S189" s="75">
        <f t="shared" si="23"/>
        <v>12065.8256880734</v>
      </c>
      <c r="T189" s="75">
        <f t="shared" si="24"/>
        <v>0</v>
      </c>
      <c r="U189" s="75">
        <f t="shared" si="25"/>
        <v>0</v>
      </c>
    </row>
    <row r="190" ht="24.75" hidden="1" spans="1:21">
      <c r="A190" s="55">
        <v>187</v>
      </c>
      <c r="B190" s="71" t="s">
        <v>2322</v>
      </c>
      <c r="C190" s="72">
        <v>85.38</v>
      </c>
      <c r="D190" s="73">
        <v>2800</v>
      </c>
      <c r="E190" s="73">
        <f t="shared" si="19"/>
        <v>239064</v>
      </c>
      <c r="F190" s="74" t="s">
        <v>2323</v>
      </c>
      <c r="G190" s="75">
        <v>239064</v>
      </c>
      <c r="H190" s="75">
        <f t="shared" si="20"/>
        <v>0</v>
      </c>
      <c r="I190" s="86">
        <f>VLOOKUP(B190,多浪小区账面房号及收款金额!$A$2:$B$474,2,0)</f>
        <v>5414</v>
      </c>
      <c r="J190" s="86"/>
      <c r="K190" s="95">
        <f t="shared" si="26"/>
        <v>233650</v>
      </c>
      <c r="L190" s="92" t="s">
        <v>2324</v>
      </c>
      <c r="M190" s="88"/>
      <c r="N190" s="89">
        <f>VLOOKUP(B190,[2]信息汇总表!$M$2:$T$816,8,0)</f>
        <v>239064</v>
      </c>
      <c r="O190" s="89">
        <f t="shared" si="21"/>
        <v>219324.770642202</v>
      </c>
      <c r="P190" s="91">
        <v>219324.77</v>
      </c>
      <c r="Q190" s="88"/>
      <c r="R190" s="75">
        <f t="shared" si="22"/>
        <v>4966.97247706422</v>
      </c>
      <c r="S190" s="75">
        <f t="shared" si="23"/>
        <v>248.348623853211</v>
      </c>
      <c r="T190" s="75">
        <f t="shared" si="24"/>
        <v>-214357.797522936</v>
      </c>
      <c r="U190" s="75">
        <f t="shared" si="25"/>
        <v>-10717.8898761468</v>
      </c>
    </row>
    <row r="191" hidden="1" spans="1:21">
      <c r="A191" s="55">
        <v>188</v>
      </c>
      <c r="B191" s="76" t="s">
        <v>2325</v>
      </c>
      <c r="C191" s="72">
        <v>84.85</v>
      </c>
      <c r="D191" s="73">
        <v>2800</v>
      </c>
      <c r="E191" s="73">
        <f t="shared" si="19"/>
        <v>237580</v>
      </c>
      <c r="F191" s="74" t="s">
        <v>2326</v>
      </c>
      <c r="G191" s="75">
        <v>237580</v>
      </c>
      <c r="H191" s="75">
        <f t="shared" si="20"/>
        <v>0</v>
      </c>
      <c r="I191" s="86">
        <f>VLOOKUP(B191,多浪小区账面房号及收款金额!$A$2:$B$474,2,0)</f>
        <v>237580</v>
      </c>
      <c r="J191" s="86"/>
      <c r="K191" s="87">
        <f t="shared" si="26"/>
        <v>0</v>
      </c>
      <c r="L191" s="88"/>
      <c r="M191" s="88"/>
      <c r="N191" s="89">
        <f>VLOOKUP(B191,[2]信息汇总表!$M$2:$T$816,8,0)</f>
        <v>237580</v>
      </c>
      <c r="O191" s="89">
        <f t="shared" si="21"/>
        <v>217963.302752294</v>
      </c>
      <c r="P191" s="91">
        <v>217963.3</v>
      </c>
      <c r="Q191" s="88"/>
      <c r="R191" s="75">
        <f t="shared" si="22"/>
        <v>217963.302752294</v>
      </c>
      <c r="S191" s="75">
        <f t="shared" si="23"/>
        <v>10898.1651376147</v>
      </c>
      <c r="T191" s="75">
        <f t="shared" si="24"/>
        <v>0.00275229357066564</v>
      </c>
      <c r="U191" s="75">
        <f t="shared" si="25"/>
        <v>0.000137614677441888</v>
      </c>
    </row>
    <row r="192" ht="24.75" hidden="1" spans="1:21">
      <c r="A192" s="55">
        <v>189</v>
      </c>
      <c r="B192" s="76" t="s">
        <v>2327</v>
      </c>
      <c r="C192" s="72">
        <v>85.38</v>
      </c>
      <c r="D192" s="73">
        <v>2600</v>
      </c>
      <c r="E192" s="73">
        <f t="shared" si="19"/>
        <v>221988</v>
      </c>
      <c r="F192" s="74" t="s">
        <v>2328</v>
      </c>
      <c r="G192" s="75">
        <v>221988</v>
      </c>
      <c r="H192" s="75">
        <f t="shared" si="20"/>
        <v>0</v>
      </c>
      <c r="I192" s="86">
        <f>VLOOKUP(B192,多浪小区账面房号及收款金额!$A$2:$B$474,2,0)</f>
        <v>76988</v>
      </c>
      <c r="J192" s="86"/>
      <c r="K192" s="87">
        <f t="shared" si="26"/>
        <v>145000</v>
      </c>
      <c r="L192" s="92" t="s">
        <v>2329</v>
      </c>
      <c r="M192" s="88" t="s">
        <v>2330</v>
      </c>
      <c r="N192" s="89">
        <f>VLOOKUP(B192,[2]信息汇总表!$M$2:$T$816,8,0)</f>
        <v>221988</v>
      </c>
      <c r="O192" s="89">
        <f t="shared" si="21"/>
        <v>203658.71559633</v>
      </c>
      <c r="P192" s="91">
        <v>203658.72</v>
      </c>
      <c r="Q192" s="88"/>
      <c r="R192" s="75">
        <f t="shared" si="22"/>
        <v>70631.1926605505</v>
      </c>
      <c r="S192" s="75">
        <f t="shared" si="23"/>
        <v>3531.55963302752</v>
      </c>
      <c r="T192" s="75">
        <f t="shared" si="24"/>
        <v>-133027.52733945</v>
      </c>
      <c r="U192" s="75">
        <f t="shared" si="25"/>
        <v>-6651.37636697248</v>
      </c>
    </row>
    <row r="193" ht="24.75" hidden="1" spans="1:21">
      <c r="A193" s="55">
        <v>190</v>
      </c>
      <c r="B193" s="76" t="s">
        <v>2331</v>
      </c>
      <c r="C193" s="72">
        <v>84.85</v>
      </c>
      <c r="D193" s="73">
        <v>2650.00589275192</v>
      </c>
      <c r="E193" s="73">
        <f t="shared" si="19"/>
        <v>224853</v>
      </c>
      <c r="F193" s="74" t="s">
        <v>2332</v>
      </c>
      <c r="G193" s="75">
        <v>224853</v>
      </c>
      <c r="H193" s="75">
        <f t="shared" si="20"/>
        <v>0</v>
      </c>
      <c r="I193" s="86">
        <f>VLOOKUP(B193,多浪小区账面房号及收款金额!$A$2:$B$474,2,0)</f>
        <v>369853</v>
      </c>
      <c r="J193" s="86"/>
      <c r="K193" s="87">
        <f t="shared" si="26"/>
        <v>-145000</v>
      </c>
      <c r="L193" s="92" t="s">
        <v>2333</v>
      </c>
      <c r="M193" s="88"/>
      <c r="N193" s="89">
        <f>VLOOKUP(B193,[2]信息汇总表!$M$2:$T$816,8,0)</f>
        <v>224853</v>
      </c>
      <c r="O193" s="89">
        <f t="shared" si="21"/>
        <v>206287.155963303</v>
      </c>
      <c r="P193" s="91">
        <v>206287.16</v>
      </c>
      <c r="Q193" s="88"/>
      <c r="R193" s="75">
        <f t="shared" si="22"/>
        <v>339314.678899083</v>
      </c>
      <c r="S193" s="75">
        <f t="shared" si="23"/>
        <v>16965.7339449541</v>
      </c>
      <c r="T193" s="75">
        <f t="shared" si="24"/>
        <v>133027.518899083</v>
      </c>
      <c r="U193" s="75">
        <f t="shared" si="25"/>
        <v>6651.37594495413</v>
      </c>
    </row>
    <row r="194" hidden="1" spans="1:21">
      <c r="A194" s="55">
        <v>191</v>
      </c>
      <c r="B194" s="76" t="s">
        <v>2334</v>
      </c>
      <c r="C194" s="72">
        <v>91.51</v>
      </c>
      <c r="D194" s="73">
        <v>2980</v>
      </c>
      <c r="E194" s="73">
        <f t="shared" ref="E194:E206" si="27">ROUND(IF(F194&lt;&gt;0,C194*D194,0),0)</f>
        <v>272700</v>
      </c>
      <c r="F194" s="74" t="s">
        <v>2335</v>
      </c>
      <c r="G194" s="75">
        <v>272700</v>
      </c>
      <c r="H194" s="75">
        <f t="shared" si="20"/>
        <v>0</v>
      </c>
      <c r="I194" s="86">
        <f>VLOOKUP(B194,多浪小区账面房号及收款金额!$A$2:$B$474,2,0)</f>
        <v>272700</v>
      </c>
      <c r="J194" s="86"/>
      <c r="K194" s="87">
        <f t="shared" ref="K194:K203" si="28">G194-I194</f>
        <v>0</v>
      </c>
      <c r="L194" s="88"/>
      <c r="M194" s="88"/>
      <c r="N194" s="89">
        <f>VLOOKUP(B194,[2]信息汇总表!$M$2:$T$816,8,0)</f>
        <v>272699.8</v>
      </c>
      <c r="O194" s="89">
        <f t="shared" si="21"/>
        <v>250183.302752294</v>
      </c>
      <c r="P194" s="91">
        <v>250183.49</v>
      </c>
      <c r="Q194" s="88"/>
      <c r="R194" s="75">
        <f t="shared" si="22"/>
        <v>250183.486238532</v>
      </c>
      <c r="S194" s="75">
        <f t="shared" si="23"/>
        <v>12509.1743119266</v>
      </c>
      <c r="T194" s="75">
        <f t="shared" si="24"/>
        <v>-0.00376146790222265</v>
      </c>
      <c r="U194" s="75">
        <f t="shared" si="25"/>
        <v>-0.000188073396202526</v>
      </c>
    </row>
    <row r="195" hidden="1" spans="1:21">
      <c r="A195" s="55">
        <v>192</v>
      </c>
      <c r="B195" s="76" t="s">
        <v>2336</v>
      </c>
      <c r="C195" s="72">
        <v>91.51</v>
      </c>
      <c r="D195" s="73">
        <v>3000</v>
      </c>
      <c r="E195" s="73">
        <f t="shared" si="27"/>
        <v>274530</v>
      </c>
      <c r="F195" s="74" t="s">
        <v>2337</v>
      </c>
      <c r="G195" s="75">
        <v>274530</v>
      </c>
      <c r="H195" s="75">
        <f t="shared" ref="H194:H207" si="29">E195-G195</f>
        <v>0</v>
      </c>
      <c r="I195" s="86">
        <f>VLOOKUP(B195,多浪小区账面房号及收款金额!$A$2:$B$474,2,0)</f>
        <v>274530</v>
      </c>
      <c r="J195" s="86"/>
      <c r="K195" s="87">
        <f t="shared" si="28"/>
        <v>0</v>
      </c>
      <c r="L195" s="92"/>
      <c r="M195" s="88"/>
      <c r="N195" s="89">
        <f>VLOOKUP(B195,[2]信息汇总表!$M$2:$T$816,8,0)</f>
        <v>6530</v>
      </c>
      <c r="O195" s="89">
        <f t="shared" si="21"/>
        <v>5990.82568807339</v>
      </c>
      <c r="P195" s="91">
        <v>5990.83</v>
      </c>
      <c r="Q195" s="88"/>
      <c r="R195" s="75">
        <f t="shared" si="22"/>
        <v>251862.385321101</v>
      </c>
      <c r="S195" s="75">
        <f t="shared" si="23"/>
        <v>12593.119266055</v>
      </c>
      <c r="T195" s="75">
        <f t="shared" si="24"/>
        <v>245871.555321101</v>
      </c>
      <c r="U195" s="75">
        <f t="shared" si="25"/>
        <v>12293.577766055</v>
      </c>
    </row>
    <row r="196" ht="38.25" hidden="1" spans="1:21">
      <c r="A196" s="55">
        <v>193</v>
      </c>
      <c r="B196" s="76" t="s">
        <v>2338</v>
      </c>
      <c r="C196" s="72">
        <v>91.51</v>
      </c>
      <c r="D196" s="73">
        <v>2950</v>
      </c>
      <c r="E196" s="73">
        <f t="shared" si="27"/>
        <v>269955</v>
      </c>
      <c r="F196" s="74" t="s">
        <v>2339</v>
      </c>
      <c r="G196" s="75">
        <v>269955</v>
      </c>
      <c r="H196" s="75">
        <f t="shared" si="29"/>
        <v>0</v>
      </c>
      <c r="I196" s="86">
        <f>VLOOKUP(B196,多浪小区账面房号及收款金额!$A$2:$B$474,2,0)</f>
        <v>139955</v>
      </c>
      <c r="J196" s="96">
        <f>'2019年12月-2023年7月科目余额表'!H6</f>
        <v>130000</v>
      </c>
      <c r="K196" s="87">
        <f>G196-I196-J196</f>
        <v>0</v>
      </c>
      <c r="L196" s="92" t="s">
        <v>2340</v>
      </c>
      <c r="M196" s="88"/>
      <c r="N196" s="89">
        <f>VLOOKUP(B196,[2]信息汇总表!$M$2:$T$816,8,0)</f>
        <v>269955</v>
      </c>
      <c r="O196" s="89">
        <f t="shared" si="21"/>
        <v>247665.137614679</v>
      </c>
      <c r="P196" s="91">
        <v>247665.14</v>
      </c>
      <c r="Q196" s="88"/>
      <c r="R196" s="75">
        <f t="shared" si="22"/>
        <v>128399.082568807</v>
      </c>
      <c r="S196" s="75">
        <f t="shared" si="23"/>
        <v>6419.95412844037</v>
      </c>
      <c r="T196" s="75">
        <f t="shared" si="24"/>
        <v>-119266.057431193</v>
      </c>
      <c r="U196" s="75">
        <f t="shared" si="25"/>
        <v>-5963.30287155963</v>
      </c>
    </row>
    <row r="197" ht="34" hidden="1" customHeight="1" spans="1:21">
      <c r="A197" s="55">
        <v>194</v>
      </c>
      <c r="B197" s="76" t="s">
        <v>2341</v>
      </c>
      <c r="C197" s="72">
        <v>91.51</v>
      </c>
      <c r="D197" s="73">
        <v>2930</v>
      </c>
      <c r="E197" s="73">
        <f t="shared" si="27"/>
        <v>268124</v>
      </c>
      <c r="F197" s="74" t="s">
        <v>2342</v>
      </c>
      <c r="G197" s="75">
        <v>268124</v>
      </c>
      <c r="H197" s="75">
        <f t="shared" si="29"/>
        <v>0</v>
      </c>
      <c r="I197" s="86">
        <f>VLOOKUP(B197,多浪小区账面房号及收款金额!$A$2:$B$474,2,0)</f>
        <v>83124</v>
      </c>
      <c r="J197" s="96">
        <f>'2019年12月-2023年7月科目余额表'!H4</f>
        <v>185000</v>
      </c>
      <c r="K197" s="87">
        <f>G197-I197-J197</f>
        <v>0</v>
      </c>
      <c r="L197" s="92" t="s">
        <v>2343</v>
      </c>
      <c r="M197" s="88"/>
      <c r="N197" s="89">
        <f>VLOOKUP(B197,[2]信息汇总表!$M$2:$T$816,8,0)</f>
        <v>268124</v>
      </c>
      <c r="O197" s="89">
        <f t="shared" ref="O197:O260" si="30">N197/1.09</f>
        <v>245985.321100917</v>
      </c>
      <c r="P197" s="91">
        <v>245985.32</v>
      </c>
      <c r="Q197" s="88"/>
      <c r="R197" s="75">
        <f t="shared" ref="R197:R260" si="31">I197/1.09</f>
        <v>76260.5504587156</v>
      </c>
      <c r="S197" s="75">
        <f t="shared" ref="S197:S260" si="32">R197*0.05</f>
        <v>3813.02752293578</v>
      </c>
      <c r="T197" s="75">
        <f t="shared" ref="T197:T260" si="33">R197-P197</f>
        <v>-169724.769541284</v>
      </c>
      <c r="U197" s="75">
        <f t="shared" ref="U197:U260" si="34">S197-(P197*0.05)</f>
        <v>-8486.23847706422</v>
      </c>
    </row>
    <row r="198" hidden="1" spans="1:21">
      <c r="A198" s="55">
        <v>195</v>
      </c>
      <c r="B198" s="76" t="s">
        <v>2344</v>
      </c>
      <c r="C198" s="72">
        <v>91.51</v>
      </c>
      <c r="D198" s="73">
        <v>2830</v>
      </c>
      <c r="E198" s="73">
        <f t="shared" si="27"/>
        <v>258973</v>
      </c>
      <c r="F198" s="74" t="s">
        <v>2345</v>
      </c>
      <c r="G198" s="75">
        <v>258973</v>
      </c>
      <c r="H198" s="75">
        <f t="shared" si="29"/>
        <v>0</v>
      </c>
      <c r="I198" s="86">
        <f>VLOOKUP(B198,多浪小区账面房号及收款金额!$A$2:$B$474,2,0)+'2023年8-11月预收账款'!K28</f>
        <v>258973</v>
      </c>
      <c r="J198" s="86"/>
      <c r="K198" s="87">
        <f t="shared" si="28"/>
        <v>0</v>
      </c>
      <c r="L198" s="92"/>
      <c r="M198" s="88"/>
      <c r="N198" s="89">
        <v>258973.3</v>
      </c>
      <c r="O198" s="89">
        <f t="shared" si="30"/>
        <v>237590.183486239</v>
      </c>
      <c r="P198" s="91">
        <v>137614.6789</v>
      </c>
      <c r="Q198" s="88">
        <v>108973.3</v>
      </c>
      <c r="R198" s="75">
        <f t="shared" si="31"/>
        <v>237589.908256881</v>
      </c>
      <c r="S198" s="75">
        <f t="shared" si="32"/>
        <v>11879.495412844</v>
      </c>
      <c r="T198" s="75">
        <f t="shared" si="33"/>
        <v>99975.2293568807</v>
      </c>
      <c r="U198" s="75">
        <f t="shared" si="34"/>
        <v>4998.76146784404</v>
      </c>
    </row>
    <row r="199" hidden="1" spans="1:21">
      <c r="A199" s="55">
        <v>196</v>
      </c>
      <c r="B199" s="76" t="s">
        <v>2346</v>
      </c>
      <c r="C199" s="72">
        <v>91.51</v>
      </c>
      <c r="D199" s="73">
        <v>2830</v>
      </c>
      <c r="E199" s="73">
        <f t="shared" si="27"/>
        <v>258973</v>
      </c>
      <c r="F199" s="74" t="s">
        <v>2347</v>
      </c>
      <c r="G199" s="75">
        <v>190973</v>
      </c>
      <c r="H199" s="75">
        <f t="shared" si="29"/>
        <v>68000</v>
      </c>
      <c r="I199" s="86">
        <f>VLOOKUP(B199,多浪小区账面房号及收款金额!$A$2:$B$474,2,0)+'2023年8-11月预收账款'!K33</f>
        <v>258973</v>
      </c>
      <c r="J199" s="86"/>
      <c r="K199" s="87">
        <f t="shared" si="28"/>
        <v>-68000</v>
      </c>
      <c r="L199" s="92"/>
      <c r="M199" s="88"/>
      <c r="N199" s="89">
        <v>258973</v>
      </c>
      <c r="O199" s="89">
        <f t="shared" si="30"/>
        <v>237589.908256881</v>
      </c>
      <c r="P199" s="91"/>
      <c r="Q199" s="88"/>
      <c r="R199" s="75">
        <f t="shared" si="31"/>
        <v>237589.908256881</v>
      </c>
      <c r="S199" s="75">
        <f t="shared" si="32"/>
        <v>11879.495412844</v>
      </c>
      <c r="T199" s="75">
        <f t="shared" si="33"/>
        <v>237589.908256881</v>
      </c>
      <c r="U199" s="75">
        <f t="shared" si="34"/>
        <v>11879.495412844</v>
      </c>
    </row>
    <row r="200" hidden="1" spans="1:21">
      <c r="A200" s="55">
        <v>197</v>
      </c>
      <c r="B200" s="76" t="s">
        <v>2348</v>
      </c>
      <c r="C200" s="72">
        <v>91.51</v>
      </c>
      <c r="D200" s="73">
        <v>2680</v>
      </c>
      <c r="E200" s="73">
        <f t="shared" si="27"/>
        <v>245247</v>
      </c>
      <c r="F200" s="74" t="s">
        <v>2349</v>
      </c>
      <c r="G200" s="75">
        <v>245247</v>
      </c>
      <c r="H200" s="75">
        <f t="shared" si="29"/>
        <v>0</v>
      </c>
      <c r="I200" s="86">
        <f>VLOOKUP(B200,多浪小区账面房号及收款金额!$A$2:$B$474,2,0)</f>
        <v>245247</v>
      </c>
      <c r="J200" s="86"/>
      <c r="K200" s="87">
        <f t="shared" si="28"/>
        <v>0</v>
      </c>
      <c r="L200" s="88"/>
      <c r="M200" s="88"/>
      <c r="N200" s="89"/>
      <c r="O200" s="89">
        <f t="shared" si="30"/>
        <v>0</v>
      </c>
      <c r="P200" s="91"/>
      <c r="Q200" s="88"/>
      <c r="R200" s="75">
        <f t="shared" si="31"/>
        <v>224997.247706422</v>
      </c>
      <c r="S200" s="75">
        <f t="shared" si="32"/>
        <v>11249.8623853211</v>
      </c>
      <c r="T200" s="75">
        <f t="shared" si="33"/>
        <v>224997.247706422</v>
      </c>
      <c r="U200" s="75">
        <f t="shared" si="34"/>
        <v>11249.8623853211</v>
      </c>
    </row>
    <row r="201" hidden="1" spans="1:21">
      <c r="A201" s="55">
        <v>198</v>
      </c>
      <c r="B201" s="76" t="s">
        <v>2350</v>
      </c>
      <c r="C201" s="72">
        <v>91.51</v>
      </c>
      <c r="D201" s="73">
        <v>2680</v>
      </c>
      <c r="E201" s="73">
        <f t="shared" si="27"/>
        <v>245247</v>
      </c>
      <c r="F201" s="74" t="s">
        <v>2351</v>
      </c>
      <c r="G201" s="75">
        <v>245247</v>
      </c>
      <c r="H201" s="75">
        <f t="shared" si="29"/>
        <v>0</v>
      </c>
      <c r="I201" s="86">
        <f>VLOOKUP(B201,多浪小区账面房号及收款金额!$A$2:$B$474,2,0)</f>
        <v>245247</v>
      </c>
      <c r="J201" s="86"/>
      <c r="K201" s="87">
        <f t="shared" si="28"/>
        <v>0</v>
      </c>
      <c r="L201" s="88"/>
      <c r="M201" s="88"/>
      <c r="N201" s="89"/>
      <c r="O201" s="89">
        <f t="shared" si="30"/>
        <v>0</v>
      </c>
      <c r="P201" s="91"/>
      <c r="Q201" s="88"/>
      <c r="R201" s="75">
        <f t="shared" si="31"/>
        <v>224997.247706422</v>
      </c>
      <c r="S201" s="75">
        <f t="shared" si="32"/>
        <v>11249.8623853211</v>
      </c>
      <c r="T201" s="75">
        <f t="shared" si="33"/>
        <v>224997.247706422</v>
      </c>
      <c r="U201" s="75">
        <f t="shared" si="34"/>
        <v>11249.8623853211</v>
      </c>
    </row>
    <row r="202" hidden="1" spans="1:21">
      <c r="A202" s="55">
        <v>199</v>
      </c>
      <c r="B202" s="76" t="s">
        <v>2352</v>
      </c>
      <c r="C202" s="72">
        <v>91.51</v>
      </c>
      <c r="D202" s="73">
        <v>2600</v>
      </c>
      <c r="E202" s="73">
        <f t="shared" si="27"/>
        <v>237926</v>
      </c>
      <c r="F202" s="74" t="s">
        <v>2353</v>
      </c>
      <c r="G202" s="75">
        <v>237926</v>
      </c>
      <c r="H202" s="75">
        <f t="shared" si="29"/>
        <v>0</v>
      </c>
      <c r="I202" s="86">
        <f>VLOOKUP(B202,多浪小区账面房号及收款金额!$A$2:$B$474,2,0)+'2023年8-11月预收账款'!K2+'2023年8-11月预收账款'!K20+'2023年8-11月预收账款'!K26+'2023年8-11月预收账款'!K32</f>
        <v>237926</v>
      </c>
      <c r="J202" s="86"/>
      <c r="K202" s="87">
        <f t="shared" si="28"/>
        <v>0</v>
      </c>
      <c r="L202" s="92"/>
      <c r="M202" s="88"/>
      <c r="N202" s="89">
        <v>237926</v>
      </c>
      <c r="O202" s="89">
        <f t="shared" si="30"/>
        <v>218280.733944954</v>
      </c>
      <c r="P202" s="91">
        <v>312.844</v>
      </c>
      <c r="Q202" s="88">
        <v>237585.00004</v>
      </c>
      <c r="R202" s="75">
        <f t="shared" si="31"/>
        <v>218280.733944954</v>
      </c>
      <c r="S202" s="75">
        <f t="shared" si="32"/>
        <v>10914.0366972477</v>
      </c>
      <c r="T202" s="75">
        <f t="shared" si="33"/>
        <v>217967.889944954</v>
      </c>
      <c r="U202" s="75">
        <f t="shared" si="34"/>
        <v>10898.3944972477</v>
      </c>
    </row>
    <row r="203" hidden="1" spans="1:21">
      <c r="A203" s="55">
        <v>200</v>
      </c>
      <c r="B203" s="76" t="s">
        <v>2354</v>
      </c>
      <c r="C203" s="72">
        <v>91.51</v>
      </c>
      <c r="D203" s="73">
        <v>2600</v>
      </c>
      <c r="E203" s="73">
        <f t="shared" si="27"/>
        <v>237926</v>
      </c>
      <c r="F203" s="74" t="s">
        <v>2355</v>
      </c>
      <c r="G203" s="75">
        <v>242501.5</v>
      </c>
      <c r="H203" s="75">
        <f t="shared" si="29"/>
        <v>-4575.5</v>
      </c>
      <c r="I203" s="86">
        <f>VLOOKUP(B203,多浪小区账面房号及收款金额!$A$2:$B$474,2,0)+'2023年8-11月预收账款'!K9+'2023年8-11月预收账款'!K13+'2023年8-11月预收账款'!K30</f>
        <v>242501.5</v>
      </c>
      <c r="J203" s="86"/>
      <c r="K203" s="87">
        <f t="shared" si="28"/>
        <v>0</v>
      </c>
      <c r="L203" s="92"/>
      <c r="M203" s="88"/>
      <c r="N203" s="89">
        <v>242501.5</v>
      </c>
      <c r="O203" s="89">
        <f t="shared" si="30"/>
        <v>222478.440366972</v>
      </c>
      <c r="P203" s="91"/>
      <c r="Q203" s="88"/>
      <c r="R203" s="75">
        <f t="shared" si="31"/>
        <v>222478.440366972</v>
      </c>
      <c r="S203" s="75">
        <f t="shared" si="32"/>
        <v>11123.9220183486</v>
      </c>
      <c r="T203" s="75">
        <f t="shared" si="33"/>
        <v>222478.440366972</v>
      </c>
      <c r="U203" s="75">
        <f t="shared" si="34"/>
        <v>11123.9220183486</v>
      </c>
    </row>
    <row r="204" hidden="1" spans="1:21">
      <c r="A204" s="55">
        <v>201</v>
      </c>
      <c r="B204" s="71" t="s">
        <v>2356</v>
      </c>
      <c r="C204" s="72">
        <v>84.85</v>
      </c>
      <c r="D204" s="73">
        <v>3200</v>
      </c>
      <c r="E204" s="73">
        <f t="shared" si="27"/>
        <v>271520</v>
      </c>
      <c r="F204" s="74" t="s">
        <v>2357</v>
      </c>
      <c r="G204" s="75">
        <v>271520</v>
      </c>
      <c r="H204" s="75">
        <f t="shared" si="29"/>
        <v>0</v>
      </c>
      <c r="I204" s="86">
        <f>VLOOKUP(B204,多浪小区账面房号及收款金额!$A$2:$B$474,2,0)</f>
        <v>271520</v>
      </c>
      <c r="J204" s="86"/>
      <c r="K204" s="87">
        <f t="shared" ref="K204:K223" si="35">G204-I204</f>
        <v>0</v>
      </c>
      <c r="L204" s="88"/>
      <c r="M204" s="88"/>
      <c r="N204" s="89"/>
      <c r="O204" s="89">
        <f t="shared" si="30"/>
        <v>0</v>
      </c>
      <c r="P204" s="91"/>
      <c r="Q204" s="88"/>
      <c r="R204" s="75">
        <f t="shared" si="31"/>
        <v>249100.917431193</v>
      </c>
      <c r="S204" s="75">
        <f t="shared" si="32"/>
        <v>12455.0458715596</v>
      </c>
      <c r="T204" s="75">
        <f t="shared" si="33"/>
        <v>249100.917431193</v>
      </c>
      <c r="U204" s="75">
        <f t="shared" si="34"/>
        <v>12455.0458715596</v>
      </c>
    </row>
    <row r="205" hidden="1" spans="1:21">
      <c r="A205" s="55">
        <v>202</v>
      </c>
      <c r="B205" s="76" t="s">
        <v>2358</v>
      </c>
      <c r="C205" s="72">
        <v>85.38</v>
      </c>
      <c r="D205" s="73">
        <v>3200</v>
      </c>
      <c r="E205" s="73">
        <f t="shared" si="27"/>
        <v>273216</v>
      </c>
      <c r="F205" s="74" t="s">
        <v>2359</v>
      </c>
      <c r="G205" s="75">
        <v>273216</v>
      </c>
      <c r="H205" s="75">
        <f t="shared" si="29"/>
        <v>0</v>
      </c>
      <c r="I205" s="86">
        <f>VLOOKUP(B205,多浪小区账面房号及收款金额!$A$2:$B$474,2,0)</f>
        <v>273216</v>
      </c>
      <c r="J205" s="86"/>
      <c r="K205" s="87">
        <f t="shared" si="35"/>
        <v>0</v>
      </c>
      <c r="L205" s="88"/>
      <c r="M205" s="88"/>
      <c r="N205" s="89">
        <f>VLOOKUP(B205,[2]信息汇总表!$M$2:$T$816,8,0)</f>
        <v>273216</v>
      </c>
      <c r="O205" s="89">
        <f t="shared" si="30"/>
        <v>250656.880733945</v>
      </c>
      <c r="P205" s="91">
        <v>250656.88</v>
      </c>
      <c r="Q205" s="88"/>
      <c r="R205" s="75">
        <f t="shared" si="31"/>
        <v>250656.880733945</v>
      </c>
      <c r="S205" s="75">
        <f t="shared" si="32"/>
        <v>12532.8440366972</v>
      </c>
      <c r="T205" s="75">
        <f t="shared" si="33"/>
        <v>0.000733944936655462</v>
      </c>
      <c r="U205" s="75">
        <f t="shared" si="34"/>
        <v>3.6697247196571e-5</v>
      </c>
    </row>
    <row r="206" hidden="1" spans="1:21">
      <c r="A206" s="55">
        <v>203</v>
      </c>
      <c r="B206" s="71" t="s">
        <v>2360</v>
      </c>
      <c r="C206" s="72">
        <v>84.85</v>
      </c>
      <c r="D206" s="73">
        <v>3080</v>
      </c>
      <c r="E206" s="73">
        <f t="shared" si="27"/>
        <v>261338</v>
      </c>
      <c r="F206" s="74" t="s">
        <v>2361</v>
      </c>
      <c r="G206" s="75">
        <v>261338</v>
      </c>
      <c r="H206" s="75">
        <f t="shared" si="29"/>
        <v>0</v>
      </c>
      <c r="I206" s="86">
        <f>VLOOKUP(B206,多浪小区账面房号及收款金额!$A$2:$B$474,2,0)</f>
        <v>261338</v>
      </c>
      <c r="J206" s="86"/>
      <c r="K206" s="87">
        <f t="shared" si="35"/>
        <v>0</v>
      </c>
      <c r="L206" s="88"/>
      <c r="M206" s="88"/>
      <c r="N206" s="89">
        <f>VLOOKUP(B206,[2]信息汇总表!$M$2:$T$816,8,0)</f>
        <v>261338</v>
      </c>
      <c r="O206" s="89">
        <f t="shared" si="30"/>
        <v>239759.633027523</v>
      </c>
      <c r="P206" s="91">
        <v>239759.63</v>
      </c>
      <c r="Q206" s="88"/>
      <c r="R206" s="75">
        <f t="shared" si="31"/>
        <v>239759.633027523</v>
      </c>
      <c r="S206" s="75">
        <f t="shared" si="32"/>
        <v>11987.9816513761</v>
      </c>
      <c r="T206" s="75">
        <f t="shared" si="33"/>
        <v>0.00302752290735953</v>
      </c>
      <c r="U206" s="75">
        <f t="shared" si="34"/>
        <v>0.000151376145367976</v>
      </c>
    </row>
    <row r="207" hidden="1" spans="1:21">
      <c r="A207" s="55">
        <v>204</v>
      </c>
      <c r="B207" s="76" t="s">
        <v>2362</v>
      </c>
      <c r="C207" s="72">
        <v>85.38</v>
      </c>
      <c r="D207" s="73">
        <v>3050</v>
      </c>
      <c r="E207" s="73">
        <f t="shared" ref="E207:E248" si="36">ROUND(IF(F207&lt;&gt;0,C207*D207,0),0)</f>
        <v>260409</v>
      </c>
      <c r="F207" s="74" t="s">
        <v>2363</v>
      </c>
      <c r="G207" s="75">
        <v>260409</v>
      </c>
      <c r="H207" s="75">
        <f t="shared" si="29"/>
        <v>0</v>
      </c>
      <c r="I207" s="86">
        <f>VLOOKUP(B207,多浪小区账面房号及收款金额!$A$2:$B$474,2,0)</f>
        <v>260409</v>
      </c>
      <c r="J207" s="86"/>
      <c r="K207" s="87">
        <f t="shared" si="35"/>
        <v>0</v>
      </c>
      <c r="L207" s="88"/>
      <c r="M207" s="88"/>
      <c r="N207" s="89">
        <f>VLOOKUP(B207,[2]信息汇总表!$M$2:$T$816,8,0)</f>
        <v>260409</v>
      </c>
      <c r="O207" s="89">
        <f t="shared" si="30"/>
        <v>238907.339449541</v>
      </c>
      <c r="P207" s="91">
        <v>238907.34</v>
      </c>
      <c r="Q207" s="88"/>
      <c r="R207" s="75">
        <f t="shared" si="31"/>
        <v>238907.339449541</v>
      </c>
      <c r="S207" s="75">
        <f t="shared" si="32"/>
        <v>11945.3669724771</v>
      </c>
      <c r="T207" s="75">
        <f t="shared" si="33"/>
        <v>-0.000550458731595427</v>
      </c>
      <c r="U207" s="75">
        <f t="shared" si="34"/>
        <v>-2.75229358521756e-5</v>
      </c>
    </row>
    <row r="208" hidden="1" spans="1:21">
      <c r="A208" s="55">
        <v>205</v>
      </c>
      <c r="B208" s="71" t="s">
        <v>2364</v>
      </c>
      <c r="C208" s="72">
        <v>84.85</v>
      </c>
      <c r="D208" s="73">
        <v>3000</v>
      </c>
      <c r="E208" s="73">
        <f t="shared" si="36"/>
        <v>254550</v>
      </c>
      <c r="F208" s="74" t="s">
        <v>2365</v>
      </c>
      <c r="G208" s="75">
        <v>254550</v>
      </c>
      <c r="H208" s="75">
        <f t="shared" ref="H208:H254" si="37">E208-G208</f>
        <v>0</v>
      </c>
      <c r="I208" s="86">
        <f>VLOOKUP(B208,多浪小区账面房号及收款金额!$A$2:$B$474,2,0)</f>
        <v>254550</v>
      </c>
      <c r="J208" s="86"/>
      <c r="K208" s="87">
        <f t="shared" si="35"/>
        <v>0</v>
      </c>
      <c r="L208" s="88"/>
      <c r="M208" s="88"/>
      <c r="N208" s="89">
        <f>VLOOKUP(B208,[2]信息汇总表!$M$2:$T$816,8,0)</f>
        <v>254550</v>
      </c>
      <c r="O208" s="89">
        <f t="shared" si="30"/>
        <v>233532.110091743</v>
      </c>
      <c r="P208" s="91">
        <v>233532.11</v>
      </c>
      <c r="Q208" s="88"/>
      <c r="R208" s="75">
        <f t="shared" si="31"/>
        <v>233532.110091743</v>
      </c>
      <c r="S208" s="75">
        <f t="shared" si="32"/>
        <v>11676.6055045872</v>
      </c>
      <c r="T208" s="75">
        <f t="shared" si="33"/>
        <v>9.17431025300175e-5</v>
      </c>
      <c r="U208" s="75">
        <f t="shared" si="34"/>
        <v>4.58715476270299e-6</v>
      </c>
    </row>
    <row r="209" hidden="1" spans="1:21">
      <c r="A209" s="55">
        <v>206</v>
      </c>
      <c r="B209" s="76" t="s">
        <v>2366</v>
      </c>
      <c r="C209" s="72">
        <v>85.38</v>
      </c>
      <c r="D209" s="73">
        <v>2980</v>
      </c>
      <c r="E209" s="73">
        <f t="shared" si="36"/>
        <v>254432</v>
      </c>
      <c r="F209" s="74" t="s">
        <v>2367</v>
      </c>
      <c r="G209" s="75">
        <v>254432</v>
      </c>
      <c r="H209" s="75">
        <f t="shared" si="37"/>
        <v>0</v>
      </c>
      <c r="I209" s="86">
        <f>VLOOKUP(B209,多浪小区账面房号及收款金额!$A$2:$B$474,2,0)</f>
        <v>254432</v>
      </c>
      <c r="J209" s="86"/>
      <c r="K209" s="87">
        <f t="shared" si="35"/>
        <v>0</v>
      </c>
      <c r="L209" s="88"/>
      <c r="M209" s="88"/>
      <c r="N209" s="89">
        <f>VLOOKUP(B209,[2]信息汇总表!$M$2:$T$816,8,0)</f>
        <v>254432</v>
      </c>
      <c r="O209" s="89">
        <f t="shared" si="30"/>
        <v>233423.853211009</v>
      </c>
      <c r="P209" s="91">
        <v>233423.85</v>
      </c>
      <c r="Q209" s="88"/>
      <c r="R209" s="75">
        <f t="shared" si="31"/>
        <v>233423.853211009</v>
      </c>
      <c r="S209" s="75">
        <f t="shared" si="32"/>
        <v>11671.1926605505</v>
      </c>
      <c r="T209" s="75">
        <f t="shared" si="33"/>
        <v>0.00321100914152339</v>
      </c>
      <c r="U209" s="75">
        <f t="shared" si="34"/>
        <v>0.000160550456712372</v>
      </c>
    </row>
    <row r="210" hidden="1" spans="1:21">
      <c r="A210" s="55">
        <v>207</v>
      </c>
      <c r="B210" s="71" t="s">
        <v>2368</v>
      </c>
      <c r="C210" s="72">
        <v>84.85</v>
      </c>
      <c r="D210" s="73">
        <v>2800</v>
      </c>
      <c r="E210" s="73">
        <f t="shared" si="36"/>
        <v>237580</v>
      </c>
      <c r="F210" s="74" t="s">
        <v>2369</v>
      </c>
      <c r="G210" s="75">
        <v>237580</v>
      </c>
      <c r="H210" s="75">
        <f t="shared" si="37"/>
        <v>0</v>
      </c>
      <c r="I210" s="86">
        <f>VLOOKUP(B210,多浪小区账面房号及收款金额!$A$2:$B$474,2,0)</f>
        <v>237580</v>
      </c>
      <c r="J210" s="86"/>
      <c r="K210" s="87">
        <f t="shared" si="35"/>
        <v>0</v>
      </c>
      <c r="L210" s="88"/>
      <c r="M210" s="88"/>
      <c r="N210" s="89">
        <f>VLOOKUP(B210,[2]信息汇总表!$M$2:$T$816,8,0)</f>
        <v>237580</v>
      </c>
      <c r="O210" s="89">
        <f t="shared" si="30"/>
        <v>217963.302752294</v>
      </c>
      <c r="P210" s="91">
        <v>217963.3</v>
      </c>
      <c r="Q210" s="88"/>
      <c r="R210" s="75">
        <f t="shared" si="31"/>
        <v>217963.302752294</v>
      </c>
      <c r="S210" s="75">
        <f t="shared" si="32"/>
        <v>10898.1651376147</v>
      </c>
      <c r="T210" s="75">
        <f t="shared" si="33"/>
        <v>0.00275229357066564</v>
      </c>
      <c r="U210" s="75">
        <f t="shared" si="34"/>
        <v>0.000137614677441888</v>
      </c>
    </row>
    <row r="211" hidden="1" spans="1:21">
      <c r="A211" s="55">
        <v>208</v>
      </c>
      <c r="B211" s="76" t="s">
        <v>2370</v>
      </c>
      <c r="C211" s="72">
        <v>85.38</v>
      </c>
      <c r="D211" s="73">
        <v>2850</v>
      </c>
      <c r="E211" s="73">
        <f t="shared" si="36"/>
        <v>243333</v>
      </c>
      <c r="F211" s="74" t="s">
        <v>2371</v>
      </c>
      <c r="G211" s="75">
        <v>243333</v>
      </c>
      <c r="H211" s="75">
        <f t="shared" si="37"/>
        <v>0</v>
      </c>
      <c r="I211" s="86">
        <f>VLOOKUP(B211,多浪小区账面房号及收款金额!$A$2:$B$474,2,0)</f>
        <v>243333</v>
      </c>
      <c r="J211" s="86"/>
      <c r="K211" s="87">
        <f t="shared" si="35"/>
        <v>0</v>
      </c>
      <c r="L211" s="88"/>
      <c r="M211" s="88"/>
      <c r="N211" s="89">
        <f>VLOOKUP(B211,[2]信息汇总表!$M$2:$T$816,8,0)</f>
        <v>243333</v>
      </c>
      <c r="O211" s="89">
        <f t="shared" si="30"/>
        <v>223241.28440367</v>
      </c>
      <c r="P211" s="91">
        <v>223241.28</v>
      </c>
      <c r="Q211" s="88"/>
      <c r="R211" s="75">
        <f t="shared" si="31"/>
        <v>223241.28440367</v>
      </c>
      <c r="S211" s="75">
        <f t="shared" si="32"/>
        <v>11162.0642201835</v>
      </c>
      <c r="T211" s="75">
        <f t="shared" si="33"/>
        <v>0.00440366970724426</v>
      </c>
      <c r="U211" s="75">
        <f t="shared" si="34"/>
        <v>0.000220183484998415</v>
      </c>
    </row>
    <row r="212" hidden="1" spans="1:21">
      <c r="A212" s="55">
        <v>209</v>
      </c>
      <c r="B212" s="71" t="s">
        <v>2372</v>
      </c>
      <c r="C212" s="72">
        <v>84.85</v>
      </c>
      <c r="D212" s="73">
        <v>2600</v>
      </c>
      <c r="E212" s="73">
        <f t="shared" si="36"/>
        <v>220610</v>
      </c>
      <c r="F212" s="74" t="s">
        <v>2373</v>
      </c>
      <c r="G212" s="75">
        <v>220610</v>
      </c>
      <c r="H212" s="75">
        <f t="shared" si="37"/>
        <v>0</v>
      </c>
      <c r="I212" s="86">
        <f>VLOOKUP(B212,多浪小区账面房号及收款金额!$A$2:$B$474,2,0)</f>
        <v>220610</v>
      </c>
      <c r="J212" s="86"/>
      <c r="K212" s="87">
        <f t="shared" si="35"/>
        <v>0</v>
      </c>
      <c r="L212" s="88"/>
      <c r="M212" s="88"/>
      <c r="N212" s="89">
        <f>VLOOKUP(B212,[2]信息汇总表!$M$2:$T$816,8,0)</f>
        <v>220610</v>
      </c>
      <c r="O212" s="89">
        <f t="shared" si="30"/>
        <v>202394.495412844</v>
      </c>
      <c r="P212" s="91">
        <v>202394.5</v>
      </c>
      <c r="Q212" s="88"/>
      <c r="R212" s="75">
        <f t="shared" si="31"/>
        <v>202394.495412844</v>
      </c>
      <c r="S212" s="75">
        <f t="shared" si="32"/>
        <v>10119.7247706422</v>
      </c>
      <c r="T212" s="75">
        <f t="shared" si="33"/>
        <v>-0.00458715597051196</v>
      </c>
      <c r="U212" s="75">
        <f t="shared" si="34"/>
        <v>-0.0002293577981618</v>
      </c>
    </row>
    <row r="213" hidden="1" spans="1:21">
      <c r="A213" s="55">
        <v>210</v>
      </c>
      <c r="B213" s="76" t="s">
        <v>2374</v>
      </c>
      <c r="C213" s="72">
        <v>85.38</v>
      </c>
      <c r="D213" s="73">
        <v>2834.24689622863</v>
      </c>
      <c r="E213" s="73">
        <f t="shared" si="36"/>
        <v>241988</v>
      </c>
      <c r="F213" s="74" t="s">
        <v>2375</v>
      </c>
      <c r="G213" s="75">
        <v>241988</v>
      </c>
      <c r="H213" s="75">
        <f t="shared" si="37"/>
        <v>0</v>
      </c>
      <c r="I213" s="86">
        <f>VLOOKUP(B213,多浪小区账面房号及收款金额!$A$2:$B$474,2,0)</f>
        <v>221988</v>
      </c>
      <c r="J213" s="86"/>
      <c r="K213" s="87">
        <f t="shared" si="35"/>
        <v>20000</v>
      </c>
      <c r="L213" s="92"/>
      <c r="M213" s="88"/>
      <c r="N213" s="89"/>
      <c r="O213" s="89">
        <f t="shared" si="30"/>
        <v>0</v>
      </c>
      <c r="P213" s="91"/>
      <c r="Q213" s="88"/>
      <c r="R213" s="75">
        <f t="shared" si="31"/>
        <v>203658.71559633</v>
      </c>
      <c r="S213" s="75">
        <f t="shared" si="32"/>
        <v>10182.9357798165</v>
      </c>
      <c r="T213" s="75">
        <f t="shared" si="33"/>
        <v>203658.71559633</v>
      </c>
      <c r="U213" s="75">
        <f t="shared" si="34"/>
        <v>10182.9357798165</v>
      </c>
    </row>
    <row r="214" hidden="1" spans="1:21">
      <c r="A214" s="55">
        <v>211</v>
      </c>
      <c r="B214" s="76" t="s">
        <v>2376</v>
      </c>
      <c r="C214" s="72">
        <v>82.35</v>
      </c>
      <c r="D214" s="73">
        <v>3242.26</v>
      </c>
      <c r="E214" s="73">
        <f t="shared" si="36"/>
        <v>267000</v>
      </c>
      <c r="F214" s="74" t="s">
        <v>2377</v>
      </c>
      <c r="G214" s="75">
        <v>267000</v>
      </c>
      <c r="H214" s="75">
        <f t="shared" si="37"/>
        <v>0</v>
      </c>
      <c r="I214" s="86">
        <f>VLOOKUP(B214,多浪小区账面房号及收款金额!$A$2:$B$474,2,0)</f>
        <v>267000</v>
      </c>
      <c r="J214" s="86"/>
      <c r="K214" s="87">
        <f t="shared" si="35"/>
        <v>0</v>
      </c>
      <c r="L214" s="88"/>
      <c r="M214" s="88"/>
      <c r="N214" s="89">
        <f>VLOOKUP(B214,[2]信息汇总表!$M$2:$T$816,8,0)</f>
        <v>267000</v>
      </c>
      <c r="O214" s="89">
        <f t="shared" si="30"/>
        <v>244954.128440367</v>
      </c>
      <c r="P214" s="91">
        <v>244954.13</v>
      </c>
      <c r="Q214" s="88"/>
      <c r="R214" s="75">
        <f t="shared" si="31"/>
        <v>244954.128440367</v>
      </c>
      <c r="S214" s="75">
        <f t="shared" si="32"/>
        <v>12247.7064220183</v>
      </c>
      <c r="T214" s="75">
        <f t="shared" si="33"/>
        <v>-0.00155963306315243</v>
      </c>
      <c r="U214" s="75">
        <f t="shared" si="34"/>
        <v>-7.79816527938237e-5</v>
      </c>
    </row>
    <row r="215" hidden="1" spans="1:21">
      <c r="A215" s="55">
        <v>212</v>
      </c>
      <c r="B215" s="76" t="s">
        <v>2378</v>
      </c>
      <c r="C215" s="72">
        <v>74.44</v>
      </c>
      <c r="D215" s="73">
        <v>3160</v>
      </c>
      <c r="E215" s="73">
        <f t="shared" si="36"/>
        <v>235230</v>
      </c>
      <c r="F215" s="74" t="s">
        <v>2379</v>
      </c>
      <c r="G215" s="75">
        <v>235230</v>
      </c>
      <c r="H215" s="75">
        <f t="shared" si="37"/>
        <v>0</v>
      </c>
      <c r="I215" s="86">
        <f>VLOOKUP(B215,多浪小区账面房号及收款金额!$A$2:$B$474,2,0)</f>
        <v>235230</v>
      </c>
      <c r="J215" s="86"/>
      <c r="K215" s="87">
        <f t="shared" si="35"/>
        <v>0</v>
      </c>
      <c r="L215" s="88"/>
      <c r="M215" s="88"/>
      <c r="N215" s="89">
        <f>VLOOKUP(B215,[2]信息汇总表!$M$2:$T$816,8,0)</f>
        <v>235230</v>
      </c>
      <c r="O215" s="89">
        <f t="shared" si="30"/>
        <v>215807.339449541</v>
      </c>
      <c r="P215" s="91">
        <v>215807.34</v>
      </c>
      <c r="Q215" s="88"/>
      <c r="R215" s="75">
        <f t="shared" si="31"/>
        <v>215807.339449541</v>
      </c>
      <c r="S215" s="75">
        <f t="shared" si="32"/>
        <v>10790.3669724771</v>
      </c>
      <c r="T215" s="75">
        <f t="shared" si="33"/>
        <v>-0.000550458731595427</v>
      </c>
      <c r="U215" s="75">
        <f t="shared" si="34"/>
        <v>-2.75229358521756e-5</v>
      </c>
    </row>
    <row r="216" hidden="1" spans="1:21">
      <c r="A216" s="55">
        <v>213</v>
      </c>
      <c r="B216" s="76" t="s">
        <v>2380</v>
      </c>
      <c r="C216" s="72">
        <v>82.35</v>
      </c>
      <c r="D216" s="73">
        <v>3350</v>
      </c>
      <c r="E216" s="73">
        <f t="shared" si="36"/>
        <v>275873</v>
      </c>
      <c r="F216" s="74" t="s">
        <v>2381</v>
      </c>
      <c r="G216" s="75">
        <v>275873</v>
      </c>
      <c r="H216" s="75">
        <f t="shared" si="37"/>
        <v>0</v>
      </c>
      <c r="I216" s="86">
        <f>VLOOKUP(B216,多浪小区账面房号及收款金额!$A$2:$B$474,2,0)</f>
        <v>275873</v>
      </c>
      <c r="J216" s="86"/>
      <c r="K216" s="87">
        <f t="shared" si="35"/>
        <v>0</v>
      </c>
      <c r="L216" s="88"/>
      <c r="M216" s="88"/>
      <c r="N216" s="89">
        <f>VLOOKUP(B216,[2]信息汇总表!$M$2:$T$816,8,0)</f>
        <v>275873</v>
      </c>
      <c r="O216" s="89">
        <f t="shared" si="30"/>
        <v>253094.495412844</v>
      </c>
      <c r="P216" s="91">
        <v>253094.5</v>
      </c>
      <c r="Q216" s="88"/>
      <c r="R216" s="75">
        <f t="shared" si="31"/>
        <v>253094.495412844</v>
      </c>
      <c r="S216" s="75">
        <f t="shared" si="32"/>
        <v>12654.7247706422</v>
      </c>
      <c r="T216" s="75">
        <f t="shared" si="33"/>
        <v>-0.00458715597051196</v>
      </c>
      <c r="U216" s="75">
        <f t="shared" si="34"/>
        <v>-0.0002293577981618</v>
      </c>
    </row>
    <row r="217" hidden="1" spans="1:21">
      <c r="A217" s="55">
        <v>214</v>
      </c>
      <c r="B217" s="76" t="s">
        <v>2382</v>
      </c>
      <c r="C217" s="72">
        <v>74.44</v>
      </c>
      <c r="D217" s="73">
        <v>3348.49</v>
      </c>
      <c r="E217" s="73">
        <f t="shared" si="36"/>
        <v>249262</v>
      </c>
      <c r="F217" s="74" t="s">
        <v>2383</v>
      </c>
      <c r="G217" s="75">
        <v>249262</v>
      </c>
      <c r="H217" s="75">
        <f t="shared" si="37"/>
        <v>0</v>
      </c>
      <c r="I217" s="86">
        <f>VLOOKUP(B217,多浪小区账面房号及收款金额!$A$2:$B$474,2,0)</f>
        <v>249262</v>
      </c>
      <c r="J217" s="86"/>
      <c r="K217" s="87">
        <f t="shared" si="35"/>
        <v>0</v>
      </c>
      <c r="L217" s="88"/>
      <c r="M217" s="88"/>
      <c r="N217" s="89">
        <f>VLOOKUP(B217,[2]信息汇总表!$M$2:$T$816,8,0)</f>
        <v>249262</v>
      </c>
      <c r="O217" s="89">
        <f t="shared" si="30"/>
        <v>228680.733944954</v>
      </c>
      <c r="P217" s="91">
        <v>228680.73</v>
      </c>
      <c r="Q217" s="88"/>
      <c r="R217" s="75">
        <f t="shared" si="31"/>
        <v>228680.733944954</v>
      </c>
      <c r="S217" s="75">
        <f t="shared" si="32"/>
        <v>11434.0366972477</v>
      </c>
      <c r="T217" s="75">
        <f t="shared" si="33"/>
        <v>0.00394495410728268</v>
      </c>
      <c r="U217" s="75">
        <f t="shared" si="34"/>
        <v>0.000197247703908943</v>
      </c>
    </row>
    <row r="218" hidden="1" spans="1:21">
      <c r="A218" s="55">
        <v>215</v>
      </c>
      <c r="B218" s="76" t="s">
        <v>2384</v>
      </c>
      <c r="C218" s="72">
        <v>82.35</v>
      </c>
      <c r="D218" s="73">
        <v>3350</v>
      </c>
      <c r="E218" s="73">
        <f t="shared" si="36"/>
        <v>275873</v>
      </c>
      <c r="F218" s="74" t="s">
        <v>2385</v>
      </c>
      <c r="G218" s="75">
        <v>275873</v>
      </c>
      <c r="H218" s="75">
        <f t="shared" si="37"/>
        <v>0</v>
      </c>
      <c r="I218" s="86">
        <f>VLOOKUP(B218,多浪小区账面房号及收款金额!$A$2:$B$474,2,0)</f>
        <v>275873</v>
      </c>
      <c r="J218" s="86"/>
      <c r="K218" s="87">
        <f t="shared" si="35"/>
        <v>0</v>
      </c>
      <c r="L218" s="88"/>
      <c r="M218" s="88"/>
      <c r="N218" s="89">
        <f>VLOOKUP(B218,[2]信息汇总表!$M$2:$T$816,8,0)</f>
        <v>275873</v>
      </c>
      <c r="O218" s="89">
        <f t="shared" si="30"/>
        <v>253094.495412844</v>
      </c>
      <c r="P218" s="91">
        <v>253094.5</v>
      </c>
      <c r="Q218" s="88"/>
      <c r="R218" s="75">
        <f t="shared" si="31"/>
        <v>253094.495412844</v>
      </c>
      <c r="S218" s="75">
        <f t="shared" si="32"/>
        <v>12654.7247706422</v>
      </c>
      <c r="T218" s="75">
        <f t="shared" si="33"/>
        <v>-0.00458715597051196</v>
      </c>
      <c r="U218" s="75">
        <f t="shared" si="34"/>
        <v>-0.0002293577981618</v>
      </c>
    </row>
    <row r="219" hidden="1" spans="1:21">
      <c r="A219" s="55">
        <v>216</v>
      </c>
      <c r="B219" s="76" t="s">
        <v>2386</v>
      </c>
      <c r="C219" s="72">
        <v>74.44</v>
      </c>
      <c r="D219" s="73">
        <v>3310</v>
      </c>
      <c r="E219" s="73">
        <f t="shared" si="36"/>
        <v>246396</v>
      </c>
      <c r="F219" s="74" t="s">
        <v>2387</v>
      </c>
      <c r="G219" s="75">
        <v>246396</v>
      </c>
      <c r="H219" s="75">
        <f t="shared" si="37"/>
        <v>0</v>
      </c>
      <c r="I219" s="86">
        <f>VLOOKUP(B219,多浪小区账面房号及收款金额!$A$2:$B$474,2,0)</f>
        <v>246396</v>
      </c>
      <c r="J219" s="86"/>
      <c r="K219" s="87">
        <f t="shared" si="35"/>
        <v>0</v>
      </c>
      <c r="L219" s="88"/>
      <c r="M219" s="88"/>
      <c r="N219" s="89">
        <f>VLOOKUP(B219,[2]信息汇总表!$M$2:$T$816,8,0)</f>
        <v>246396</v>
      </c>
      <c r="O219" s="89">
        <f t="shared" si="30"/>
        <v>226051.376146789</v>
      </c>
      <c r="P219" s="91">
        <v>226051.38</v>
      </c>
      <c r="Q219" s="88"/>
      <c r="R219" s="75">
        <f t="shared" si="31"/>
        <v>226051.376146789</v>
      </c>
      <c r="S219" s="75">
        <f t="shared" si="32"/>
        <v>11302.5688073394</v>
      </c>
      <c r="T219" s="75">
        <f t="shared" si="33"/>
        <v>-0.0038532110338565</v>
      </c>
      <c r="U219" s="75">
        <f t="shared" si="34"/>
        <v>-0.000192660552784218</v>
      </c>
    </row>
    <row r="220" hidden="1" spans="1:21">
      <c r="A220" s="55">
        <v>217</v>
      </c>
      <c r="B220" s="76" t="s">
        <v>2388</v>
      </c>
      <c r="C220" s="72">
        <v>82.35</v>
      </c>
      <c r="D220" s="73">
        <v>3350</v>
      </c>
      <c r="E220" s="73">
        <f t="shared" si="36"/>
        <v>275873</v>
      </c>
      <c r="F220" s="74" t="s">
        <v>2389</v>
      </c>
      <c r="G220" s="75">
        <v>275873</v>
      </c>
      <c r="H220" s="75">
        <f t="shared" si="37"/>
        <v>0</v>
      </c>
      <c r="I220" s="86">
        <f>VLOOKUP(B220,多浪小区账面房号及收款金额!$A$2:$B$474,2,0)</f>
        <v>275873</v>
      </c>
      <c r="J220" s="86"/>
      <c r="K220" s="87">
        <f t="shared" si="35"/>
        <v>0</v>
      </c>
      <c r="L220" s="88"/>
      <c r="M220" s="88"/>
      <c r="N220" s="89">
        <f>VLOOKUP(B220,[2]信息汇总表!$M$2:$T$816,8,0)</f>
        <v>275873</v>
      </c>
      <c r="O220" s="89">
        <f t="shared" si="30"/>
        <v>253094.495412844</v>
      </c>
      <c r="P220" s="91">
        <v>253094.5</v>
      </c>
      <c r="Q220" s="88"/>
      <c r="R220" s="75">
        <f t="shared" si="31"/>
        <v>253094.495412844</v>
      </c>
      <c r="S220" s="75">
        <f t="shared" si="32"/>
        <v>12654.7247706422</v>
      </c>
      <c r="T220" s="75">
        <f t="shared" si="33"/>
        <v>-0.00458715597051196</v>
      </c>
      <c r="U220" s="75">
        <f t="shared" si="34"/>
        <v>-0.0002293577981618</v>
      </c>
    </row>
    <row r="221" hidden="1" spans="1:21">
      <c r="A221" s="55">
        <v>218</v>
      </c>
      <c r="B221" s="76" t="s">
        <v>2390</v>
      </c>
      <c r="C221" s="72">
        <v>74.44</v>
      </c>
      <c r="D221" s="73">
        <v>3300</v>
      </c>
      <c r="E221" s="73">
        <f t="shared" si="36"/>
        <v>245652</v>
      </c>
      <c r="F221" s="74" t="s">
        <v>2391</v>
      </c>
      <c r="G221" s="75">
        <v>245652</v>
      </c>
      <c r="H221" s="75">
        <f t="shared" si="37"/>
        <v>0</v>
      </c>
      <c r="I221" s="86">
        <f>VLOOKUP(B221,多浪小区账面房号及收款金额!$A$2:$B$474,2,0)</f>
        <v>245652</v>
      </c>
      <c r="J221" s="86"/>
      <c r="K221" s="87">
        <f t="shared" si="35"/>
        <v>0</v>
      </c>
      <c r="L221" s="88"/>
      <c r="M221" s="88"/>
      <c r="N221" s="89">
        <f>VLOOKUP(B221,[2]信息汇总表!$M$2:$T$816,8,0)</f>
        <v>245652</v>
      </c>
      <c r="O221" s="89">
        <f t="shared" si="30"/>
        <v>225368.80733945</v>
      </c>
      <c r="P221" s="91">
        <v>225368.81</v>
      </c>
      <c r="Q221" s="88"/>
      <c r="R221" s="75">
        <f t="shared" si="31"/>
        <v>225368.80733945</v>
      </c>
      <c r="S221" s="75">
        <f t="shared" si="32"/>
        <v>11268.4403669725</v>
      </c>
      <c r="T221" s="75">
        <f t="shared" si="33"/>
        <v>-0.00266055046813563</v>
      </c>
      <c r="U221" s="75">
        <f t="shared" si="34"/>
        <v>-0.000133027522679185</v>
      </c>
    </row>
    <row r="222" hidden="1" spans="1:21">
      <c r="A222" s="55">
        <v>219</v>
      </c>
      <c r="B222" s="76" t="s">
        <v>2392</v>
      </c>
      <c r="C222" s="72">
        <v>82.35</v>
      </c>
      <c r="D222" s="73">
        <v>3000</v>
      </c>
      <c r="E222" s="73">
        <f t="shared" si="36"/>
        <v>247050</v>
      </c>
      <c r="F222" s="74" t="s">
        <v>2393</v>
      </c>
      <c r="G222" s="75">
        <v>247050</v>
      </c>
      <c r="H222" s="75">
        <f t="shared" si="37"/>
        <v>0</v>
      </c>
      <c r="I222" s="86">
        <f>VLOOKUP(B222,多浪小区账面房号及收款金额!$A$2:$B$474,2,0)</f>
        <v>247050</v>
      </c>
      <c r="J222" s="86"/>
      <c r="K222" s="87">
        <f t="shared" si="35"/>
        <v>0</v>
      </c>
      <c r="L222" s="88"/>
      <c r="M222" s="88"/>
      <c r="N222" s="89">
        <f>VLOOKUP(B222,[2]信息汇总表!$M$2:$T$816,8,0)+[2]信息汇总表!$T$566</f>
        <v>247050</v>
      </c>
      <c r="O222" s="89">
        <f t="shared" si="30"/>
        <v>226651.376146789</v>
      </c>
      <c r="P222" s="91">
        <f>180733.94+45917.43</f>
        <v>226651.37</v>
      </c>
      <c r="Q222" s="88"/>
      <c r="R222" s="75">
        <f t="shared" si="31"/>
        <v>226651.376146789</v>
      </c>
      <c r="S222" s="75">
        <f t="shared" si="32"/>
        <v>11332.5688073394</v>
      </c>
      <c r="T222" s="75">
        <f t="shared" si="33"/>
        <v>0.00614678897545673</v>
      </c>
      <c r="U222" s="75">
        <f t="shared" si="34"/>
        <v>0.000307339447317645</v>
      </c>
    </row>
    <row r="223" hidden="1" spans="1:21">
      <c r="A223" s="55">
        <v>220</v>
      </c>
      <c r="B223" s="76" t="s">
        <v>2394</v>
      </c>
      <c r="C223" s="72">
        <v>74.44</v>
      </c>
      <c r="D223" s="73">
        <v>2990</v>
      </c>
      <c r="E223" s="73">
        <f t="shared" si="36"/>
        <v>222576</v>
      </c>
      <c r="F223" s="74" t="s">
        <v>2395</v>
      </c>
      <c r="G223" s="75">
        <v>222576</v>
      </c>
      <c r="H223" s="75">
        <f t="shared" si="37"/>
        <v>0</v>
      </c>
      <c r="I223" s="86">
        <f>VLOOKUP(B223,多浪小区账面房号及收款金额!$A$2:$B$474,2,0)</f>
        <v>222576</v>
      </c>
      <c r="J223" s="86"/>
      <c r="K223" s="87">
        <f t="shared" si="35"/>
        <v>0</v>
      </c>
      <c r="L223" s="88"/>
      <c r="M223" s="88"/>
      <c r="N223" s="89">
        <f>VLOOKUP(B223,[2]信息汇总表!$M$2:$T$816,8,0)</f>
        <v>222576</v>
      </c>
      <c r="O223" s="89">
        <f t="shared" si="30"/>
        <v>204198.165137615</v>
      </c>
      <c r="P223" s="91">
        <v>204198.17</v>
      </c>
      <c r="Q223" s="88"/>
      <c r="R223" s="75">
        <f t="shared" si="31"/>
        <v>204198.165137615</v>
      </c>
      <c r="S223" s="75">
        <f t="shared" si="32"/>
        <v>10209.9082568807</v>
      </c>
      <c r="T223" s="75">
        <f t="shared" si="33"/>
        <v>-0.00486238533630967</v>
      </c>
      <c r="U223" s="75">
        <f t="shared" si="34"/>
        <v>-0.000243119266087888</v>
      </c>
    </row>
    <row r="224" hidden="1" spans="1:21">
      <c r="A224" s="55">
        <v>221</v>
      </c>
      <c r="B224" s="76" t="s">
        <v>2396</v>
      </c>
      <c r="C224" s="72">
        <v>82.35</v>
      </c>
      <c r="D224" s="73">
        <v>2900</v>
      </c>
      <c r="E224" s="73">
        <f t="shared" si="36"/>
        <v>238815</v>
      </c>
      <c r="F224" s="74" t="s">
        <v>2397</v>
      </c>
      <c r="G224" s="75">
        <v>238815</v>
      </c>
      <c r="H224" s="75">
        <f t="shared" si="37"/>
        <v>0</v>
      </c>
      <c r="I224" s="86">
        <f>VLOOKUP(B224,多浪小区账面房号及收款金额!$A$2:$B$474,2,0)</f>
        <v>238815</v>
      </c>
      <c r="J224" s="86"/>
      <c r="K224" s="87">
        <f t="shared" ref="K224:K258" si="38">G224-I224</f>
        <v>0</v>
      </c>
      <c r="L224" s="88"/>
      <c r="M224" s="88"/>
      <c r="N224" s="89">
        <f>VLOOKUP(B224,[2]信息汇总表!$M$2:$T$816,8,0)</f>
        <v>238815</v>
      </c>
      <c r="O224" s="89">
        <f t="shared" si="30"/>
        <v>219096.330275229</v>
      </c>
      <c r="P224" s="91">
        <v>219096.33</v>
      </c>
      <c r="Q224" s="88"/>
      <c r="R224" s="75">
        <f t="shared" si="31"/>
        <v>219096.330275229</v>
      </c>
      <c r="S224" s="75">
        <f t="shared" si="32"/>
        <v>10954.8165137615</v>
      </c>
      <c r="T224" s="75">
        <f t="shared" si="33"/>
        <v>0.000275229365797713</v>
      </c>
      <c r="U224" s="75">
        <f t="shared" si="34"/>
        <v>1.37614679260878e-5</v>
      </c>
    </row>
    <row r="225" hidden="1" spans="1:21">
      <c r="A225" s="55">
        <v>222</v>
      </c>
      <c r="B225" s="76" t="s">
        <v>2398</v>
      </c>
      <c r="C225" s="72">
        <v>74.44</v>
      </c>
      <c r="D225" s="73">
        <v>2850</v>
      </c>
      <c r="E225" s="73">
        <f t="shared" si="36"/>
        <v>212154</v>
      </c>
      <c r="F225" s="74" t="s">
        <v>2399</v>
      </c>
      <c r="G225" s="75">
        <v>212154</v>
      </c>
      <c r="H225" s="75">
        <f t="shared" si="37"/>
        <v>0</v>
      </c>
      <c r="I225" s="86">
        <f>VLOOKUP(B225,多浪小区账面房号及收款金额!$A$2:$B$474,2,0)</f>
        <v>212154</v>
      </c>
      <c r="J225" s="86"/>
      <c r="K225" s="87">
        <f t="shared" si="38"/>
        <v>0</v>
      </c>
      <c r="L225" s="88"/>
      <c r="M225" s="88"/>
      <c r="N225" s="89">
        <f>VLOOKUP(B225,[2]信息汇总表!$M$2:$T$816,8,0)</f>
        <v>212154</v>
      </c>
      <c r="O225" s="89">
        <f t="shared" si="30"/>
        <v>194636.697247706</v>
      </c>
      <c r="P225" s="91">
        <v>194636.7</v>
      </c>
      <c r="Q225" s="88"/>
      <c r="R225" s="75">
        <f t="shared" si="31"/>
        <v>194636.697247706</v>
      </c>
      <c r="S225" s="75">
        <f t="shared" si="32"/>
        <v>9731.83486238532</v>
      </c>
      <c r="T225" s="75">
        <f t="shared" si="33"/>
        <v>-0.00275229359976947</v>
      </c>
      <c r="U225" s="75">
        <f t="shared" si="34"/>
        <v>-0.000137614679260878</v>
      </c>
    </row>
    <row r="226" hidden="1" spans="1:21">
      <c r="A226" s="55">
        <v>223</v>
      </c>
      <c r="B226" s="76" t="s">
        <v>2400</v>
      </c>
      <c r="C226" s="72">
        <v>74.44</v>
      </c>
      <c r="D226" s="73">
        <v>3200</v>
      </c>
      <c r="E226" s="73">
        <f t="shared" si="36"/>
        <v>238208</v>
      </c>
      <c r="F226" s="74" t="s">
        <v>2401</v>
      </c>
      <c r="G226" s="75">
        <v>238208</v>
      </c>
      <c r="H226" s="75">
        <f t="shared" si="37"/>
        <v>0</v>
      </c>
      <c r="I226" s="86">
        <f>VLOOKUP(B226,多浪小区账面房号及收款金额!$A$2:$B$474,2,0)</f>
        <v>238208</v>
      </c>
      <c r="J226" s="86"/>
      <c r="K226" s="87">
        <f t="shared" si="38"/>
        <v>0</v>
      </c>
      <c r="L226" s="88"/>
      <c r="M226" s="88"/>
      <c r="N226" s="89">
        <f>VLOOKUP(B226,[2]信息汇总表!$M$2:$T$816,8,0)</f>
        <v>238208</v>
      </c>
      <c r="O226" s="89">
        <f t="shared" si="30"/>
        <v>218539.449541284</v>
      </c>
      <c r="P226" s="91">
        <v>218539.45</v>
      </c>
      <c r="Q226" s="88"/>
      <c r="R226" s="75">
        <f t="shared" si="31"/>
        <v>218539.449541284</v>
      </c>
      <c r="S226" s="75">
        <f t="shared" si="32"/>
        <v>10926.9724770642</v>
      </c>
      <c r="T226" s="75">
        <f t="shared" si="33"/>
        <v>-0.000458715629065409</v>
      </c>
      <c r="U226" s="75">
        <f t="shared" si="34"/>
        <v>-2.29357810894726e-5</v>
      </c>
    </row>
    <row r="227" hidden="1" spans="1:21">
      <c r="A227" s="55">
        <v>224</v>
      </c>
      <c r="B227" s="76" t="s">
        <v>2402</v>
      </c>
      <c r="C227" s="72">
        <v>82.35</v>
      </c>
      <c r="D227" s="73">
        <v>3200</v>
      </c>
      <c r="E227" s="73">
        <f t="shared" si="36"/>
        <v>263520</v>
      </c>
      <c r="F227" s="74" t="s">
        <v>2403</v>
      </c>
      <c r="G227" s="75">
        <v>263520</v>
      </c>
      <c r="H227" s="75">
        <f t="shared" si="37"/>
        <v>0</v>
      </c>
      <c r="I227" s="86">
        <f>VLOOKUP(B227,多浪小区账面房号及收款金额!$A$2:$B$474,2,0)</f>
        <v>263520</v>
      </c>
      <c r="J227" s="86"/>
      <c r="K227" s="87">
        <f t="shared" si="38"/>
        <v>0</v>
      </c>
      <c r="L227" s="88"/>
      <c r="M227" s="88"/>
      <c r="N227" s="89">
        <f>VLOOKUP(B227,[2]信息汇总表!$M$2:$T$816,8,0)</f>
        <v>263520</v>
      </c>
      <c r="O227" s="89">
        <f t="shared" si="30"/>
        <v>241761.467889908</v>
      </c>
      <c r="P227" s="91">
        <v>241761.47</v>
      </c>
      <c r="Q227" s="88"/>
      <c r="R227" s="75">
        <f t="shared" si="31"/>
        <v>241761.467889908</v>
      </c>
      <c r="S227" s="75">
        <f t="shared" si="32"/>
        <v>12088.0733944954</v>
      </c>
      <c r="T227" s="75">
        <f t="shared" si="33"/>
        <v>-0.00211009176564403</v>
      </c>
      <c r="U227" s="75">
        <f t="shared" si="34"/>
        <v>-0.000105504588645999</v>
      </c>
    </row>
    <row r="228" hidden="1" spans="1:21">
      <c r="A228" s="55">
        <v>225</v>
      </c>
      <c r="B228" s="76" t="s">
        <v>2404</v>
      </c>
      <c r="C228" s="72">
        <v>74.44</v>
      </c>
      <c r="D228" s="73">
        <v>3344</v>
      </c>
      <c r="E228" s="73">
        <f t="shared" si="36"/>
        <v>248927</v>
      </c>
      <c r="F228" s="74" t="s">
        <v>2405</v>
      </c>
      <c r="G228" s="75">
        <v>249000</v>
      </c>
      <c r="H228" s="75">
        <f t="shared" si="37"/>
        <v>-73</v>
      </c>
      <c r="I228" s="86">
        <f>VLOOKUP(B228,多浪小区账面房号及收款金额!$A$2:$B$474,2,0)</f>
        <v>249000</v>
      </c>
      <c r="J228" s="86"/>
      <c r="K228" s="87">
        <f t="shared" si="38"/>
        <v>0</v>
      </c>
      <c r="L228" s="88"/>
      <c r="M228" s="88"/>
      <c r="N228" s="89"/>
      <c r="O228" s="89">
        <f t="shared" si="30"/>
        <v>0</v>
      </c>
      <c r="P228" s="91"/>
      <c r="Q228" s="88"/>
      <c r="R228" s="75">
        <f t="shared" si="31"/>
        <v>228440.366972477</v>
      </c>
      <c r="S228" s="75">
        <f t="shared" si="32"/>
        <v>11422.0183486239</v>
      </c>
      <c r="T228" s="75">
        <f t="shared" si="33"/>
        <v>228440.366972477</v>
      </c>
      <c r="U228" s="75">
        <f t="shared" si="34"/>
        <v>11422.0183486239</v>
      </c>
    </row>
    <row r="229" hidden="1" spans="1:21">
      <c r="A229" s="55">
        <v>226</v>
      </c>
      <c r="B229" s="76" t="s">
        <v>2406</v>
      </c>
      <c r="C229" s="72">
        <v>82.35</v>
      </c>
      <c r="D229" s="73">
        <v>3350</v>
      </c>
      <c r="E229" s="73">
        <f t="shared" si="36"/>
        <v>275873</v>
      </c>
      <c r="F229" s="74" t="s">
        <v>2407</v>
      </c>
      <c r="G229" s="75">
        <v>275873</v>
      </c>
      <c r="H229" s="75">
        <f t="shared" si="37"/>
        <v>0</v>
      </c>
      <c r="I229" s="86">
        <f>VLOOKUP(B229,多浪小区账面房号及收款金额!$A$2:$B$474,2,0)</f>
        <v>275873</v>
      </c>
      <c r="J229" s="86"/>
      <c r="K229" s="87">
        <f t="shared" si="38"/>
        <v>0</v>
      </c>
      <c r="L229" s="88"/>
      <c r="M229" s="88"/>
      <c r="N229" s="89">
        <f>VLOOKUP(B229,[2]信息汇总表!$M$2:$T$816,8,0)</f>
        <v>275873</v>
      </c>
      <c r="O229" s="89">
        <f t="shared" si="30"/>
        <v>253094.495412844</v>
      </c>
      <c r="P229" s="91">
        <v>253094.5</v>
      </c>
      <c r="Q229" s="88"/>
      <c r="R229" s="75">
        <f t="shared" si="31"/>
        <v>253094.495412844</v>
      </c>
      <c r="S229" s="75">
        <f t="shared" si="32"/>
        <v>12654.7247706422</v>
      </c>
      <c r="T229" s="75">
        <f t="shared" si="33"/>
        <v>-0.00458715597051196</v>
      </c>
      <c r="U229" s="75">
        <f t="shared" si="34"/>
        <v>-0.0002293577981618</v>
      </c>
    </row>
    <row r="230" hidden="1" spans="1:21">
      <c r="A230" s="55">
        <v>227</v>
      </c>
      <c r="B230" s="76" t="s">
        <v>2408</v>
      </c>
      <c r="C230" s="72">
        <v>74.44</v>
      </c>
      <c r="D230" s="73">
        <v>3318.11</v>
      </c>
      <c r="E230" s="73">
        <f t="shared" si="36"/>
        <v>247000</v>
      </c>
      <c r="F230" s="74" t="s">
        <v>2409</v>
      </c>
      <c r="G230" s="75">
        <v>247000</v>
      </c>
      <c r="H230" s="75">
        <f t="shared" si="37"/>
        <v>0</v>
      </c>
      <c r="I230" s="86">
        <f>VLOOKUP(B230,多浪小区账面房号及收款金额!$A$2:$B$474,2,0)</f>
        <v>247000</v>
      </c>
      <c r="J230" s="86"/>
      <c r="K230" s="87">
        <f t="shared" si="38"/>
        <v>0</v>
      </c>
      <c r="L230" s="88"/>
      <c r="M230" s="88"/>
      <c r="N230" s="89">
        <f>VLOOKUP(B230,[2]信息汇总表!$M$2:$T$816,8,0)</f>
        <v>247000</v>
      </c>
      <c r="O230" s="89">
        <f t="shared" si="30"/>
        <v>226605.504587156</v>
      </c>
      <c r="P230" s="91">
        <v>226605.5</v>
      </c>
      <c r="Q230" s="88"/>
      <c r="R230" s="75">
        <f t="shared" si="31"/>
        <v>226605.504587156</v>
      </c>
      <c r="S230" s="75">
        <f t="shared" si="32"/>
        <v>11330.2752293578</v>
      </c>
      <c r="T230" s="75">
        <f t="shared" si="33"/>
        <v>0.00458715594140813</v>
      </c>
      <c r="U230" s="75">
        <f t="shared" si="34"/>
        <v>0.000229357796342811</v>
      </c>
    </row>
    <row r="231" hidden="1" spans="1:21">
      <c r="A231" s="55">
        <v>228</v>
      </c>
      <c r="B231" s="76" t="s">
        <v>2410</v>
      </c>
      <c r="C231" s="72">
        <v>82.35</v>
      </c>
      <c r="D231" s="73">
        <v>3350</v>
      </c>
      <c r="E231" s="73">
        <f t="shared" si="36"/>
        <v>275873</v>
      </c>
      <c r="F231" s="74" t="s">
        <v>2411</v>
      </c>
      <c r="G231" s="75">
        <v>275873</v>
      </c>
      <c r="H231" s="75">
        <f t="shared" si="37"/>
        <v>0</v>
      </c>
      <c r="I231" s="86">
        <f>VLOOKUP(B231,多浪小区账面房号及收款金额!$A$2:$B$474,2,0)</f>
        <v>275873</v>
      </c>
      <c r="J231" s="86"/>
      <c r="K231" s="87">
        <f t="shared" si="38"/>
        <v>0</v>
      </c>
      <c r="L231" s="88"/>
      <c r="M231" s="88"/>
      <c r="N231" s="89">
        <f>VLOOKUP(B231,[2]信息汇总表!$M$2:$T$816,8,0)</f>
        <v>275873</v>
      </c>
      <c r="O231" s="89">
        <f t="shared" si="30"/>
        <v>253094.495412844</v>
      </c>
      <c r="P231" s="91">
        <v>253094.5</v>
      </c>
      <c r="Q231" s="88"/>
      <c r="R231" s="75">
        <f t="shared" si="31"/>
        <v>253094.495412844</v>
      </c>
      <c r="S231" s="75">
        <f t="shared" si="32"/>
        <v>12654.7247706422</v>
      </c>
      <c r="T231" s="75">
        <f t="shared" si="33"/>
        <v>-0.00458715597051196</v>
      </c>
      <c r="U231" s="75">
        <f t="shared" si="34"/>
        <v>-0.0002293577981618</v>
      </c>
    </row>
    <row r="232" hidden="1" spans="1:21">
      <c r="A232" s="55">
        <v>229</v>
      </c>
      <c r="B232" s="76" t="s">
        <v>2412</v>
      </c>
      <c r="C232" s="72">
        <v>74.44</v>
      </c>
      <c r="D232" s="73">
        <v>3300</v>
      </c>
      <c r="E232" s="73">
        <f t="shared" si="36"/>
        <v>245652</v>
      </c>
      <c r="F232" s="74" t="s">
        <v>2413</v>
      </c>
      <c r="G232" s="75">
        <v>245652</v>
      </c>
      <c r="H232" s="75">
        <f t="shared" si="37"/>
        <v>0</v>
      </c>
      <c r="I232" s="86">
        <f>VLOOKUP(B232,多浪小区账面房号及收款金额!$A$2:$B$474,2,0)</f>
        <v>245652</v>
      </c>
      <c r="J232" s="86"/>
      <c r="K232" s="87">
        <f t="shared" si="38"/>
        <v>0</v>
      </c>
      <c r="L232" s="88"/>
      <c r="M232" s="88"/>
      <c r="N232" s="89">
        <f>VLOOKUP(B232,[2]信息汇总表!$M$2:$T$816,8,0)</f>
        <v>245652</v>
      </c>
      <c r="O232" s="89">
        <f t="shared" si="30"/>
        <v>225368.80733945</v>
      </c>
      <c r="P232" s="91">
        <v>225368.81</v>
      </c>
      <c r="Q232" s="88"/>
      <c r="R232" s="75">
        <f t="shared" si="31"/>
        <v>225368.80733945</v>
      </c>
      <c r="S232" s="75">
        <f t="shared" si="32"/>
        <v>11268.4403669725</v>
      </c>
      <c r="T232" s="75">
        <f t="shared" si="33"/>
        <v>-0.00266055046813563</v>
      </c>
      <c r="U232" s="75">
        <f t="shared" si="34"/>
        <v>-0.000133027522679185</v>
      </c>
    </row>
    <row r="233" hidden="1" spans="1:21">
      <c r="A233" s="55">
        <v>230</v>
      </c>
      <c r="B233" s="76" t="s">
        <v>2414</v>
      </c>
      <c r="C233" s="72">
        <v>82.35</v>
      </c>
      <c r="D233" s="73">
        <v>3300</v>
      </c>
      <c r="E233" s="73">
        <f t="shared" si="36"/>
        <v>271755</v>
      </c>
      <c r="F233" s="74" t="s">
        <v>2415</v>
      </c>
      <c r="G233" s="75">
        <v>271755</v>
      </c>
      <c r="H233" s="75">
        <f t="shared" si="37"/>
        <v>0</v>
      </c>
      <c r="I233" s="86">
        <f>VLOOKUP(B233,多浪小区账面房号及收款金额!$A$2:$B$474,2,0)</f>
        <v>271755</v>
      </c>
      <c r="J233" s="86"/>
      <c r="K233" s="87">
        <f t="shared" si="38"/>
        <v>0</v>
      </c>
      <c r="L233" s="88"/>
      <c r="M233" s="88"/>
      <c r="N233" s="89"/>
      <c r="O233" s="89">
        <f t="shared" si="30"/>
        <v>0</v>
      </c>
      <c r="P233" s="91"/>
      <c r="Q233" s="88"/>
      <c r="R233" s="75">
        <f t="shared" si="31"/>
        <v>249316.513761468</v>
      </c>
      <c r="S233" s="75">
        <f t="shared" si="32"/>
        <v>12465.8256880734</v>
      </c>
      <c r="T233" s="75">
        <f t="shared" si="33"/>
        <v>249316.513761468</v>
      </c>
      <c r="U233" s="75">
        <f t="shared" si="34"/>
        <v>12465.8256880734</v>
      </c>
    </row>
    <row r="234" hidden="1" spans="1:21">
      <c r="A234" s="55">
        <v>231</v>
      </c>
      <c r="B234" s="76" t="s">
        <v>2416</v>
      </c>
      <c r="C234" s="72">
        <v>74.44</v>
      </c>
      <c r="D234" s="73">
        <v>3050</v>
      </c>
      <c r="E234" s="73">
        <f t="shared" si="36"/>
        <v>227042</v>
      </c>
      <c r="F234" s="74" t="s">
        <v>2417</v>
      </c>
      <c r="G234" s="75">
        <v>227042</v>
      </c>
      <c r="H234" s="75">
        <f t="shared" si="37"/>
        <v>0</v>
      </c>
      <c r="I234" s="86">
        <f>VLOOKUP(B234,多浪小区账面房号及收款金额!$A$2:$B$474,2,0)</f>
        <v>227042</v>
      </c>
      <c r="J234" s="86"/>
      <c r="K234" s="87">
        <f t="shared" si="38"/>
        <v>0</v>
      </c>
      <c r="L234" s="88"/>
      <c r="M234" s="88"/>
      <c r="N234" s="89">
        <f>VLOOKUP(B234,[2]信息汇总表!$M$2:$T$816,8,0)</f>
        <v>227042</v>
      </c>
      <c r="O234" s="89">
        <f t="shared" si="30"/>
        <v>208295.412844037</v>
      </c>
      <c r="P234" s="91">
        <v>208295.41</v>
      </c>
      <c r="Q234" s="88"/>
      <c r="R234" s="75">
        <f t="shared" si="31"/>
        <v>208295.412844037</v>
      </c>
      <c r="S234" s="75">
        <f t="shared" si="32"/>
        <v>10414.7706422018</v>
      </c>
      <c r="T234" s="75">
        <f t="shared" si="33"/>
        <v>0.00284403667319566</v>
      </c>
      <c r="U234" s="75">
        <f t="shared" si="34"/>
        <v>0.000142201834023581</v>
      </c>
    </row>
    <row r="235" hidden="1" spans="1:21">
      <c r="A235" s="55">
        <v>232</v>
      </c>
      <c r="B235" s="76" t="s">
        <v>2418</v>
      </c>
      <c r="C235" s="72">
        <v>82.35</v>
      </c>
      <c r="D235" s="73">
        <v>3050</v>
      </c>
      <c r="E235" s="73">
        <f t="shared" si="36"/>
        <v>251168</v>
      </c>
      <c r="F235" s="74" t="s">
        <v>2419</v>
      </c>
      <c r="G235" s="75">
        <v>251168</v>
      </c>
      <c r="H235" s="75">
        <f t="shared" si="37"/>
        <v>0</v>
      </c>
      <c r="I235" s="86">
        <f>VLOOKUP(B235,多浪小区账面房号及收款金额!$A$2:$B$474,2,0)</f>
        <v>251168</v>
      </c>
      <c r="J235" s="86"/>
      <c r="K235" s="87">
        <f t="shared" si="38"/>
        <v>0</v>
      </c>
      <c r="L235" s="88"/>
      <c r="M235" s="88"/>
      <c r="N235" s="89">
        <f>VLOOKUP(B235,[2]信息汇总表!$M$2:$T$816,8,0)</f>
        <v>251168</v>
      </c>
      <c r="O235" s="89">
        <f t="shared" si="30"/>
        <v>230429.357798165</v>
      </c>
      <c r="P235" s="91">
        <v>230429.36</v>
      </c>
      <c r="Q235" s="88"/>
      <c r="R235" s="75">
        <f t="shared" si="31"/>
        <v>230429.357798165</v>
      </c>
      <c r="S235" s="75">
        <f t="shared" si="32"/>
        <v>11521.4678899083</v>
      </c>
      <c r="T235" s="75">
        <f t="shared" si="33"/>
        <v>-0.00220183486817405</v>
      </c>
      <c r="U235" s="75">
        <f t="shared" si="34"/>
        <v>-0.000110091743408702</v>
      </c>
    </row>
    <row r="236" hidden="1" spans="1:21">
      <c r="A236" s="55">
        <v>233</v>
      </c>
      <c r="B236" s="76" t="s">
        <v>2420</v>
      </c>
      <c r="C236" s="72">
        <v>74.44</v>
      </c>
      <c r="D236" s="73">
        <v>2800</v>
      </c>
      <c r="E236" s="73">
        <f t="shared" si="36"/>
        <v>208432</v>
      </c>
      <c r="F236" s="74" t="s">
        <v>2421</v>
      </c>
      <c r="G236" s="75">
        <v>208432</v>
      </c>
      <c r="H236" s="75">
        <f t="shared" si="37"/>
        <v>0</v>
      </c>
      <c r="I236" s="86">
        <f>VLOOKUP(B236,多浪小区账面房号及收款金额!$A$2:$B$474,2,0)</f>
        <v>208432</v>
      </c>
      <c r="J236" s="86"/>
      <c r="K236" s="87">
        <f t="shared" si="38"/>
        <v>0</v>
      </c>
      <c r="L236" s="88"/>
      <c r="M236" s="88"/>
      <c r="N236" s="89">
        <f>VLOOKUP(B236,[2]信息汇总表!$M$2:$T$816,8,0)</f>
        <v>208432</v>
      </c>
      <c r="O236" s="89">
        <f t="shared" si="30"/>
        <v>191222.018348624</v>
      </c>
      <c r="P236" s="91">
        <v>191222.02</v>
      </c>
      <c r="Q236" s="88"/>
      <c r="R236" s="75">
        <f t="shared" si="31"/>
        <v>191222.018348624</v>
      </c>
      <c r="S236" s="75">
        <f t="shared" si="32"/>
        <v>9561.10091743119</v>
      </c>
      <c r="T236" s="75">
        <f t="shared" si="33"/>
        <v>-0.00165137613657862</v>
      </c>
      <c r="U236" s="75">
        <f t="shared" si="34"/>
        <v>-8.25688075565267e-5</v>
      </c>
    </row>
    <row r="237" hidden="1" spans="1:21">
      <c r="A237" s="55">
        <v>234</v>
      </c>
      <c r="B237" s="76" t="s">
        <v>2422</v>
      </c>
      <c r="C237" s="72">
        <v>82.35</v>
      </c>
      <c r="D237" s="73">
        <v>2800</v>
      </c>
      <c r="E237" s="73">
        <f t="shared" si="36"/>
        <v>230580</v>
      </c>
      <c r="F237" s="74" t="s">
        <v>2423</v>
      </c>
      <c r="G237" s="75">
        <v>230580</v>
      </c>
      <c r="H237" s="75">
        <f t="shared" si="37"/>
        <v>0</v>
      </c>
      <c r="I237" s="86">
        <f>VLOOKUP(B237,多浪小区账面房号及收款金额!$A$2:$B$474,2,0)</f>
        <v>230580</v>
      </c>
      <c r="J237" s="86"/>
      <c r="K237" s="87">
        <f t="shared" si="38"/>
        <v>0</v>
      </c>
      <c r="L237" s="88"/>
      <c r="M237" s="88"/>
      <c r="N237" s="89">
        <f>VLOOKUP(B237,[2]信息汇总表!$M$2:$T$816,8,0)</f>
        <v>230580</v>
      </c>
      <c r="O237" s="89">
        <f t="shared" si="30"/>
        <v>211541.28440367</v>
      </c>
      <c r="P237" s="91">
        <v>211541.28</v>
      </c>
      <c r="Q237" s="88"/>
      <c r="R237" s="75">
        <f t="shared" si="31"/>
        <v>211541.28440367</v>
      </c>
      <c r="S237" s="75">
        <f t="shared" si="32"/>
        <v>10577.0642201835</v>
      </c>
      <c r="T237" s="75">
        <f t="shared" si="33"/>
        <v>0.00440366970724426</v>
      </c>
      <c r="U237" s="75">
        <f t="shared" si="34"/>
        <v>0.000220183484998415</v>
      </c>
    </row>
    <row r="238" hidden="1" spans="1:21">
      <c r="A238" s="55">
        <v>235</v>
      </c>
      <c r="B238" s="76" t="s">
        <v>2424</v>
      </c>
      <c r="C238" s="72">
        <v>82.65</v>
      </c>
      <c r="D238" s="73">
        <v>3139.31</v>
      </c>
      <c r="E238" s="73">
        <f t="shared" si="36"/>
        <v>259464</v>
      </c>
      <c r="F238" s="74" t="s">
        <v>2425</v>
      </c>
      <c r="G238" s="75">
        <v>259463.97</v>
      </c>
      <c r="H238" s="75">
        <f t="shared" si="37"/>
        <v>0.0299999999988358</v>
      </c>
      <c r="I238" s="86">
        <f>VLOOKUP(B238,多浪小区账面房号及收款金额!$A$2:$B$474,2,0)</f>
        <v>259463.97</v>
      </c>
      <c r="J238" s="86"/>
      <c r="K238" s="87">
        <f t="shared" si="38"/>
        <v>0</v>
      </c>
      <c r="L238" s="88"/>
      <c r="M238" s="88"/>
      <c r="N238" s="89">
        <f>VLOOKUP(B238,[2]信息汇总表!$M$2:$T$816,8,0)</f>
        <v>259463.97</v>
      </c>
      <c r="O238" s="89">
        <f t="shared" si="30"/>
        <v>238040.339449541</v>
      </c>
      <c r="P238" s="91">
        <v>238040.34</v>
      </c>
      <c r="Q238" s="88"/>
      <c r="R238" s="75">
        <f t="shared" si="31"/>
        <v>238040.339449541</v>
      </c>
      <c r="S238" s="75">
        <f t="shared" si="32"/>
        <v>11902.0169724771</v>
      </c>
      <c r="T238" s="75">
        <f t="shared" si="33"/>
        <v>-0.000550458731595427</v>
      </c>
      <c r="U238" s="75">
        <f t="shared" si="34"/>
        <v>-2.75229358521756e-5</v>
      </c>
    </row>
    <row r="239" hidden="1" spans="1:21">
      <c r="A239" s="55">
        <v>236</v>
      </c>
      <c r="B239" s="76" t="s">
        <v>2426</v>
      </c>
      <c r="C239" s="72">
        <v>74.18</v>
      </c>
      <c r="D239" s="73">
        <v>3195</v>
      </c>
      <c r="E239" s="73">
        <f t="shared" si="36"/>
        <v>237005</v>
      </c>
      <c r="F239" s="74" t="s">
        <v>2427</v>
      </c>
      <c r="G239" s="75">
        <v>237000</v>
      </c>
      <c r="H239" s="75">
        <f t="shared" si="37"/>
        <v>5</v>
      </c>
      <c r="I239" s="86">
        <f>VLOOKUP(B239,多浪小区账面房号及收款金额!$A$2:$B$474,2,0)</f>
        <v>237000</v>
      </c>
      <c r="J239" s="86"/>
      <c r="K239" s="87">
        <f t="shared" si="38"/>
        <v>0</v>
      </c>
      <c r="L239" s="88"/>
      <c r="M239" s="88"/>
      <c r="N239" s="89">
        <f>VLOOKUP(B239,[2]信息汇总表!$M$2:$T$816,8,0)</f>
        <v>237000</v>
      </c>
      <c r="O239" s="89">
        <f t="shared" si="30"/>
        <v>217431.19266055</v>
      </c>
      <c r="P239" s="91">
        <v>217431.19</v>
      </c>
      <c r="Q239" s="88"/>
      <c r="R239" s="75">
        <f t="shared" si="31"/>
        <v>217431.19266055</v>
      </c>
      <c r="S239" s="75">
        <f t="shared" si="32"/>
        <v>10871.5596330275</v>
      </c>
      <c r="T239" s="75">
        <f t="shared" si="33"/>
        <v>0.00266055043903179</v>
      </c>
      <c r="U239" s="75">
        <f t="shared" si="34"/>
        <v>0.000133027520860196</v>
      </c>
    </row>
    <row r="240" hidden="1" spans="1:21">
      <c r="A240" s="55">
        <v>237</v>
      </c>
      <c r="B240" s="76" t="s">
        <v>2428</v>
      </c>
      <c r="C240" s="72">
        <v>82.65</v>
      </c>
      <c r="D240" s="73">
        <v>3330</v>
      </c>
      <c r="E240" s="73">
        <f t="shared" si="36"/>
        <v>275225</v>
      </c>
      <c r="F240" s="74" t="s">
        <v>2429</v>
      </c>
      <c r="G240" s="75">
        <v>275225</v>
      </c>
      <c r="H240" s="75">
        <f t="shared" si="37"/>
        <v>0</v>
      </c>
      <c r="I240" s="86">
        <f>VLOOKUP(B240,多浪小区账面房号及收款金额!$A$2:$B$474,2,0)</f>
        <v>275225</v>
      </c>
      <c r="J240" s="86"/>
      <c r="K240" s="87">
        <f t="shared" si="38"/>
        <v>0</v>
      </c>
      <c r="L240" s="88"/>
      <c r="M240" s="88"/>
      <c r="N240" s="89">
        <f>VLOOKUP(B240,[2]信息汇总表!$M$2:$T$816,8,0)</f>
        <v>275225</v>
      </c>
      <c r="O240" s="89">
        <f t="shared" si="30"/>
        <v>252500</v>
      </c>
      <c r="P240" s="91">
        <v>252500</v>
      </c>
      <c r="Q240" s="88"/>
      <c r="R240" s="75">
        <f t="shared" si="31"/>
        <v>252500</v>
      </c>
      <c r="S240" s="75">
        <f t="shared" si="32"/>
        <v>12625</v>
      </c>
      <c r="T240" s="75">
        <f t="shared" si="33"/>
        <v>0</v>
      </c>
      <c r="U240" s="75">
        <f t="shared" si="34"/>
        <v>0</v>
      </c>
    </row>
    <row r="241" hidden="1" spans="1:21">
      <c r="A241" s="55">
        <v>238</v>
      </c>
      <c r="B241" s="76" t="s">
        <v>2430</v>
      </c>
      <c r="C241" s="72">
        <v>74.18</v>
      </c>
      <c r="D241" s="73">
        <v>3348</v>
      </c>
      <c r="E241" s="73">
        <f t="shared" si="36"/>
        <v>248355</v>
      </c>
      <c r="F241" s="74" t="s">
        <v>2431</v>
      </c>
      <c r="G241" s="75">
        <v>248355</v>
      </c>
      <c r="H241" s="75">
        <f t="shared" si="37"/>
        <v>0</v>
      </c>
      <c r="I241" s="86">
        <f>VLOOKUP(B241,多浪小区账面房号及收款金额!$A$2:$B$474,2,0)</f>
        <v>248355</v>
      </c>
      <c r="J241" s="86"/>
      <c r="K241" s="87">
        <f t="shared" si="38"/>
        <v>0</v>
      </c>
      <c r="L241" s="88"/>
      <c r="M241" s="88"/>
      <c r="N241" s="89"/>
      <c r="O241" s="89">
        <f t="shared" si="30"/>
        <v>0</v>
      </c>
      <c r="P241" s="91"/>
      <c r="Q241" s="88"/>
      <c r="R241" s="75">
        <f t="shared" si="31"/>
        <v>227848.623853211</v>
      </c>
      <c r="S241" s="75">
        <f t="shared" si="32"/>
        <v>11392.4311926606</v>
      </c>
      <c r="T241" s="75">
        <f t="shared" si="33"/>
        <v>227848.623853211</v>
      </c>
      <c r="U241" s="75">
        <f t="shared" si="34"/>
        <v>11392.4311926606</v>
      </c>
    </row>
    <row r="242" hidden="1" spans="1:21">
      <c r="A242" s="55">
        <v>239</v>
      </c>
      <c r="B242" s="76" t="s">
        <v>2432</v>
      </c>
      <c r="C242" s="72">
        <v>82.65</v>
      </c>
      <c r="D242" s="73">
        <v>3400</v>
      </c>
      <c r="E242" s="73">
        <f t="shared" si="36"/>
        <v>281010</v>
      </c>
      <c r="F242" s="74" t="s">
        <v>2433</v>
      </c>
      <c r="G242" s="75">
        <v>281010</v>
      </c>
      <c r="H242" s="75">
        <f t="shared" si="37"/>
        <v>0</v>
      </c>
      <c r="I242" s="86">
        <f>VLOOKUP(B242,多浪小区账面房号及收款金额!$A$2:$B$474,2,0)</f>
        <v>281010</v>
      </c>
      <c r="J242" s="86"/>
      <c r="K242" s="87">
        <f t="shared" si="38"/>
        <v>0</v>
      </c>
      <c r="L242" s="88"/>
      <c r="M242" s="88"/>
      <c r="N242" s="89">
        <f>VLOOKUP(B242,[2]信息汇总表!$M$2:$T$816,8,0)</f>
        <v>281010</v>
      </c>
      <c r="O242" s="89">
        <f t="shared" si="30"/>
        <v>257807.339449541</v>
      </c>
      <c r="P242" s="91">
        <v>257807.34</v>
      </c>
      <c r="Q242" s="88"/>
      <c r="R242" s="75">
        <f t="shared" si="31"/>
        <v>257807.339449541</v>
      </c>
      <c r="S242" s="75">
        <f t="shared" si="32"/>
        <v>12890.3669724771</v>
      </c>
      <c r="T242" s="75">
        <f t="shared" si="33"/>
        <v>-0.000550458731595427</v>
      </c>
      <c r="U242" s="75">
        <f t="shared" si="34"/>
        <v>-2.75229358521756e-5</v>
      </c>
    </row>
    <row r="243" hidden="1" spans="1:21">
      <c r="A243" s="55">
        <v>240</v>
      </c>
      <c r="B243" s="76" t="s">
        <v>2434</v>
      </c>
      <c r="C243" s="72">
        <v>74.18</v>
      </c>
      <c r="D243" s="73">
        <v>3343.22</v>
      </c>
      <c r="E243" s="73">
        <f t="shared" si="36"/>
        <v>248000</v>
      </c>
      <c r="F243" s="74" t="s">
        <v>2435</v>
      </c>
      <c r="G243" s="75">
        <v>248000</v>
      </c>
      <c r="H243" s="75">
        <f t="shared" si="37"/>
        <v>0</v>
      </c>
      <c r="I243" s="86">
        <f>VLOOKUP(B243,多浪小区账面房号及收款金额!$A$2:$B$474,2,0)</f>
        <v>248000</v>
      </c>
      <c r="J243" s="86"/>
      <c r="K243" s="87">
        <f t="shared" si="38"/>
        <v>0</v>
      </c>
      <c r="L243" s="88"/>
      <c r="M243" s="88"/>
      <c r="N243" s="89">
        <f>VLOOKUP(B243,[2]信息汇总表!$M$2:$T$816,8,0)</f>
        <v>248000</v>
      </c>
      <c r="O243" s="89">
        <f t="shared" si="30"/>
        <v>227522.935779817</v>
      </c>
      <c r="P243" s="91">
        <v>227522.94</v>
      </c>
      <c r="Q243" s="88"/>
      <c r="R243" s="75">
        <f t="shared" si="31"/>
        <v>227522.935779817</v>
      </c>
      <c r="S243" s="75">
        <f t="shared" si="32"/>
        <v>11376.1467889908</v>
      </c>
      <c r="T243" s="75">
        <f t="shared" si="33"/>
        <v>-0.00422018350218423</v>
      </c>
      <c r="U243" s="75">
        <f t="shared" si="34"/>
        <v>-0.000211009175473009</v>
      </c>
    </row>
    <row r="244" hidden="1" spans="1:21">
      <c r="A244" s="55">
        <v>241</v>
      </c>
      <c r="B244" s="76" t="s">
        <v>2436</v>
      </c>
      <c r="C244" s="72">
        <v>82.65</v>
      </c>
      <c r="D244" s="73">
        <v>3310</v>
      </c>
      <c r="E244" s="73">
        <f t="shared" si="36"/>
        <v>273572</v>
      </c>
      <c r="F244" s="74" t="s">
        <v>2437</v>
      </c>
      <c r="G244" s="75">
        <v>273572</v>
      </c>
      <c r="H244" s="75">
        <f t="shared" ref="H244:H257" si="39">E244-G244</f>
        <v>0</v>
      </c>
      <c r="I244" s="86">
        <f>VLOOKUP(B244,多浪小区账面房号及收款金额!$A$2:$B$474,2,0)</f>
        <v>273572</v>
      </c>
      <c r="J244" s="86"/>
      <c r="K244" s="87">
        <f t="shared" si="38"/>
        <v>0</v>
      </c>
      <c r="L244" s="92"/>
      <c r="M244" s="88" t="s">
        <v>2330</v>
      </c>
      <c r="N244" s="89">
        <f>VLOOKUP(B244,[2]信息汇总表!$M$2:$T$816,8,0)</f>
        <v>273572</v>
      </c>
      <c r="O244" s="89">
        <f t="shared" si="30"/>
        <v>250983.486238532</v>
      </c>
      <c r="P244" s="91"/>
      <c r="Q244" s="88"/>
      <c r="R244" s="75">
        <f t="shared" si="31"/>
        <v>250983.486238532</v>
      </c>
      <c r="S244" s="75">
        <f t="shared" si="32"/>
        <v>12549.1743119266</v>
      </c>
      <c r="T244" s="75">
        <f t="shared" si="33"/>
        <v>250983.486238532</v>
      </c>
      <c r="U244" s="75">
        <f t="shared" si="34"/>
        <v>12549.1743119266</v>
      </c>
    </row>
    <row r="245" hidden="1" spans="1:21">
      <c r="A245" s="55">
        <v>242</v>
      </c>
      <c r="B245" s="76" t="s">
        <v>2438</v>
      </c>
      <c r="C245" s="72">
        <v>74.18</v>
      </c>
      <c r="D245" s="73">
        <v>3350</v>
      </c>
      <c r="E245" s="73">
        <f t="shared" si="36"/>
        <v>248503</v>
      </c>
      <c r="F245" s="74" t="s">
        <v>2439</v>
      </c>
      <c r="G245" s="75">
        <v>248503</v>
      </c>
      <c r="H245" s="75">
        <f t="shared" si="39"/>
        <v>0</v>
      </c>
      <c r="I245" s="86">
        <f>VLOOKUP(B245,多浪小区账面房号及收款金额!$A$2:$B$474,2,0)</f>
        <v>248503</v>
      </c>
      <c r="J245" s="86"/>
      <c r="K245" s="87">
        <f t="shared" si="38"/>
        <v>0</v>
      </c>
      <c r="L245" s="88"/>
      <c r="M245" s="88"/>
      <c r="N245" s="89">
        <f>VLOOKUP(B245,[2]信息汇总表!$M$2:$T$816,8,0)</f>
        <v>248503</v>
      </c>
      <c r="O245" s="89">
        <f t="shared" si="30"/>
        <v>227984.403669725</v>
      </c>
      <c r="P245" s="91"/>
      <c r="Q245" s="88"/>
      <c r="R245" s="75">
        <f t="shared" si="31"/>
        <v>227984.403669725</v>
      </c>
      <c r="S245" s="75">
        <f t="shared" si="32"/>
        <v>11399.2201834862</v>
      </c>
      <c r="T245" s="75">
        <f t="shared" si="33"/>
        <v>227984.403669725</v>
      </c>
      <c r="U245" s="75">
        <f t="shared" si="34"/>
        <v>11399.2201834862</v>
      </c>
    </row>
    <row r="246" hidden="1" spans="1:21">
      <c r="A246" s="55">
        <v>243</v>
      </c>
      <c r="B246" s="76" t="s">
        <v>2440</v>
      </c>
      <c r="C246" s="72">
        <v>82.65</v>
      </c>
      <c r="D246" s="73">
        <v>3000</v>
      </c>
      <c r="E246" s="73">
        <f t="shared" si="36"/>
        <v>247950</v>
      </c>
      <c r="F246" s="74" t="s">
        <v>2441</v>
      </c>
      <c r="G246" s="75">
        <v>247950</v>
      </c>
      <c r="H246" s="75">
        <f t="shared" si="39"/>
        <v>0</v>
      </c>
      <c r="I246" s="86">
        <f>VLOOKUP(B246,多浪小区账面房号及收款金额!$A$2:$B$474,2,0)</f>
        <v>247950</v>
      </c>
      <c r="J246" s="86"/>
      <c r="K246" s="87">
        <f t="shared" si="38"/>
        <v>0</v>
      </c>
      <c r="L246" s="88"/>
      <c r="M246" s="88"/>
      <c r="N246" s="89"/>
      <c r="O246" s="89">
        <f t="shared" si="30"/>
        <v>0</v>
      </c>
      <c r="P246" s="91"/>
      <c r="Q246" s="88"/>
      <c r="R246" s="75">
        <f t="shared" si="31"/>
        <v>227477.064220183</v>
      </c>
      <c r="S246" s="75">
        <f t="shared" si="32"/>
        <v>11373.8532110092</v>
      </c>
      <c r="T246" s="75">
        <f t="shared" si="33"/>
        <v>227477.064220183</v>
      </c>
      <c r="U246" s="75">
        <f t="shared" si="34"/>
        <v>11373.8532110092</v>
      </c>
    </row>
    <row r="247" hidden="1" spans="1:21">
      <c r="A247" s="55">
        <v>244</v>
      </c>
      <c r="B247" s="76" t="s">
        <v>2442</v>
      </c>
      <c r="C247" s="72">
        <v>74.18</v>
      </c>
      <c r="D247" s="73">
        <v>2990</v>
      </c>
      <c r="E247" s="73">
        <f t="shared" si="36"/>
        <v>221798</v>
      </c>
      <c r="F247" s="74" t="s">
        <v>2443</v>
      </c>
      <c r="G247" s="75">
        <v>221798</v>
      </c>
      <c r="H247" s="75">
        <f t="shared" si="39"/>
        <v>0</v>
      </c>
      <c r="I247" s="86">
        <f>VLOOKUP(B247,多浪小区账面房号及收款金额!$A$2:$B$474,2,0)</f>
        <v>221798</v>
      </c>
      <c r="J247" s="86"/>
      <c r="K247" s="87">
        <f t="shared" si="38"/>
        <v>0</v>
      </c>
      <c r="L247" s="88"/>
      <c r="M247" s="88"/>
      <c r="N247" s="89">
        <f>VLOOKUP(B247,[2]信息汇总表!$M$2:$T$816,8,0)</f>
        <v>221798</v>
      </c>
      <c r="O247" s="89">
        <f t="shared" si="30"/>
        <v>203484.403669725</v>
      </c>
      <c r="P247" s="91">
        <v>203484.4</v>
      </c>
      <c r="Q247" s="88"/>
      <c r="R247" s="75">
        <f t="shared" si="31"/>
        <v>203484.403669725</v>
      </c>
      <c r="S247" s="75">
        <f t="shared" si="32"/>
        <v>10174.2201834862</v>
      </c>
      <c r="T247" s="75">
        <f t="shared" si="33"/>
        <v>0.0036697247705888</v>
      </c>
      <c r="U247" s="75">
        <f t="shared" si="34"/>
        <v>0.000183486237801844</v>
      </c>
    </row>
    <row r="248" hidden="1" spans="1:21">
      <c r="A248" s="55">
        <v>245</v>
      </c>
      <c r="B248" s="76" t="s">
        <v>2444</v>
      </c>
      <c r="C248" s="72">
        <v>82.65</v>
      </c>
      <c r="D248" s="73">
        <v>2780</v>
      </c>
      <c r="E248" s="73">
        <f t="shared" si="36"/>
        <v>229767</v>
      </c>
      <c r="F248" s="74" t="s">
        <v>2445</v>
      </c>
      <c r="G248" s="75">
        <v>229767</v>
      </c>
      <c r="H248" s="75">
        <f t="shared" si="39"/>
        <v>0</v>
      </c>
      <c r="I248" s="86">
        <f>VLOOKUP(B248,多浪小区账面房号及收款金额!$A$2:$B$474,2,0)</f>
        <v>229767</v>
      </c>
      <c r="J248" s="86"/>
      <c r="K248" s="87">
        <f t="shared" si="38"/>
        <v>0</v>
      </c>
      <c r="L248" s="92"/>
      <c r="M248" s="88"/>
      <c r="N248" s="89">
        <f>VLOOKUP(B248,[2]信息汇总表!$M$2:$T$816,8,0)</f>
        <v>229767</v>
      </c>
      <c r="O248" s="89">
        <f t="shared" si="30"/>
        <v>210795.412844037</v>
      </c>
      <c r="P248" s="91"/>
      <c r="Q248" s="88"/>
      <c r="R248" s="75">
        <f t="shared" si="31"/>
        <v>210795.412844037</v>
      </c>
      <c r="S248" s="75">
        <f t="shared" si="32"/>
        <v>10539.7706422018</v>
      </c>
      <c r="T248" s="75">
        <f t="shared" si="33"/>
        <v>210795.412844037</v>
      </c>
      <c r="U248" s="75">
        <f t="shared" si="34"/>
        <v>10539.7706422018</v>
      </c>
    </row>
    <row r="249" hidden="1" spans="1:21">
      <c r="A249" s="55">
        <v>246</v>
      </c>
      <c r="B249" s="76" t="s">
        <v>2446</v>
      </c>
      <c r="C249" s="72">
        <v>74.18</v>
      </c>
      <c r="D249" s="73">
        <v>2800</v>
      </c>
      <c r="E249" s="73">
        <f t="shared" ref="E249:E274" si="40">ROUND(IF(F249&lt;&gt;0,C249*D249,0),0)</f>
        <v>207704</v>
      </c>
      <c r="F249" s="74" t="s">
        <v>2447</v>
      </c>
      <c r="G249" s="75">
        <v>207704</v>
      </c>
      <c r="H249" s="75">
        <f t="shared" si="39"/>
        <v>0</v>
      </c>
      <c r="I249" s="86">
        <f>VLOOKUP(B249,多浪小区账面房号及收款金额!$A$2:$B$474,2,0)</f>
        <v>207704</v>
      </c>
      <c r="J249" s="86"/>
      <c r="K249" s="87">
        <f t="shared" si="38"/>
        <v>0</v>
      </c>
      <c r="L249" s="88"/>
      <c r="M249" s="88"/>
      <c r="N249" s="89">
        <f>VLOOKUP(B249,[2]信息汇总表!$M$2:$T$816,8,0)</f>
        <v>207704</v>
      </c>
      <c r="O249" s="89">
        <f t="shared" si="30"/>
        <v>190554.128440367</v>
      </c>
      <c r="P249" s="91">
        <v>190554.13</v>
      </c>
      <c r="Q249" s="88"/>
      <c r="R249" s="75">
        <f t="shared" si="31"/>
        <v>190554.128440367</v>
      </c>
      <c r="S249" s="75">
        <f t="shared" si="32"/>
        <v>9527.70642201835</v>
      </c>
      <c r="T249" s="75">
        <f t="shared" si="33"/>
        <v>-0.0015596330340486</v>
      </c>
      <c r="U249" s="75">
        <f t="shared" si="34"/>
        <v>-7.79816509748343e-5</v>
      </c>
    </row>
    <row r="250" hidden="1" spans="1:21">
      <c r="A250" s="55">
        <v>247</v>
      </c>
      <c r="B250" s="76" t="s">
        <v>2448</v>
      </c>
      <c r="C250" s="72">
        <v>77.6</v>
      </c>
      <c r="D250" s="73">
        <v>3170</v>
      </c>
      <c r="E250" s="73">
        <f t="shared" si="40"/>
        <v>245992</v>
      </c>
      <c r="F250" s="74" t="s">
        <v>2449</v>
      </c>
      <c r="G250" s="75">
        <v>245992</v>
      </c>
      <c r="H250" s="75">
        <f t="shared" si="39"/>
        <v>0</v>
      </c>
      <c r="I250" s="86">
        <f>VLOOKUP(B250,多浪小区账面房号及收款金额!$A$2:$B$474,2,0)</f>
        <v>245992</v>
      </c>
      <c r="J250" s="86"/>
      <c r="K250" s="87">
        <f t="shared" si="38"/>
        <v>0</v>
      </c>
      <c r="L250" s="88"/>
      <c r="M250" s="88"/>
      <c r="N250" s="89">
        <f>VLOOKUP(B250,[2]信息汇总表!$M$2:$T$816,8,0)</f>
        <v>245992</v>
      </c>
      <c r="O250" s="89">
        <f t="shared" si="30"/>
        <v>225680.733944954</v>
      </c>
      <c r="P250" s="91">
        <v>225680.73</v>
      </c>
      <c r="Q250" s="88"/>
      <c r="R250" s="75">
        <f t="shared" si="31"/>
        <v>225680.733944954</v>
      </c>
      <c r="S250" s="75">
        <f t="shared" si="32"/>
        <v>11284.0366972477</v>
      </c>
      <c r="T250" s="75">
        <f t="shared" si="33"/>
        <v>0.00394495410728268</v>
      </c>
      <c r="U250" s="75">
        <f t="shared" si="34"/>
        <v>0.000197247703908943</v>
      </c>
    </row>
    <row r="251" hidden="1" spans="1:21">
      <c r="A251" s="55">
        <v>248</v>
      </c>
      <c r="B251" s="76" t="s">
        <v>2450</v>
      </c>
      <c r="C251" s="72">
        <v>77.6</v>
      </c>
      <c r="D251" s="73">
        <v>3190</v>
      </c>
      <c r="E251" s="73">
        <f t="shared" si="40"/>
        <v>247544</v>
      </c>
      <c r="F251" s="74" t="s">
        <v>2451</v>
      </c>
      <c r="G251" s="75">
        <v>247544</v>
      </c>
      <c r="H251" s="75">
        <f t="shared" si="39"/>
        <v>0</v>
      </c>
      <c r="I251" s="86">
        <f>VLOOKUP(B251,多浪小区账面房号及收款金额!$A$2:$B$474,2,0)</f>
        <v>247544</v>
      </c>
      <c r="J251" s="86"/>
      <c r="K251" s="87">
        <f t="shared" si="38"/>
        <v>0</v>
      </c>
      <c r="L251" s="88"/>
      <c r="M251" s="88"/>
      <c r="N251" s="89">
        <f>VLOOKUP(B251,[2]信息汇总表!$M$2:$T$816,8,0)</f>
        <v>247544</v>
      </c>
      <c r="O251" s="89">
        <f t="shared" si="30"/>
        <v>227104.587155963</v>
      </c>
      <c r="P251" s="91">
        <v>227104.59</v>
      </c>
      <c r="Q251" s="88"/>
      <c r="R251" s="75">
        <f t="shared" si="31"/>
        <v>227104.587155963</v>
      </c>
      <c r="S251" s="75">
        <f t="shared" si="32"/>
        <v>11355.2293577982</v>
      </c>
      <c r="T251" s="75">
        <f t="shared" si="33"/>
        <v>-0.00284403670229949</v>
      </c>
      <c r="U251" s="75">
        <f t="shared" si="34"/>
        <v>-0.00014220183584257</v>
      </c>
    </row>
    <row r="252" hidden="1" spans="1:21">
      <c r="A252" s="55">
        <v>249</v>
      </c>
      <c r="B252" s="76" t="s">
        <v>2452</v>
      </c>
      <c r="C252" s="72">
        <v>77.6</v>
      </c>
      <c r="D252" s="73">
        <v>3350.51</v>
      </c>
      <c r="E252" s="73">
        <f t="shared" si="40"/>
        <v>260000</v>
      </c>
      <c r="F252" s="74" t="s">
        <v>2453</v>
      </c>
      <c r="G252" s="75">
        <v>260000</v>
      </c>
      <c r="H252" s="75">
        <f t="shared" si="39"/>
        <v>0</v>
      </c>
      <c r="I252" s="86">
        <f>VLOOKUP(B252,多浪小区账面房号及收款金额!$A$2:$B$474,2,0)</f>
        <v>260000</v>
      </c>
      <c r="J252" s="86"/>
      <c r="K252" s="87">
        <f t="shared" si="38"/>
        <v>0</v>
      </c>
      <c r="L252" s="88"/>
      <c r="M252" s="88"/>
      <c r="N252" s="89">
        <f>VLOOKUP(B252,[2]信息汇总表!$M$2:$T$816,8,0)</f>
        <v>260000</v>
      </c>
      <c r="O252" s="89">
        <f t="shared" si="30"/>
        <v>238532.110091743</v>
      </c>
      <c r="P252" s="91">
        <v>238532.11</v>
      </c>
      <c r="Q252" s="88"/>
      <c r="R252" s="75">
        <f t="shared" si="31"/>
        <v>238532.110091743</v>
      </c>
      <c r="S252" s="75">
        <f t="shared" si="32"/>
        <v>11926.6055045872</v>
      </c>
      <c r="T252" s="75">
        <f t="shared" si="33"/>
        <v>9.17431025300175e-5</v>
      </c>
      <c r="U252" s="75">
        <f t="shared" si="34"/>
        <v>4.58715476270299e-6</v>
      </c>
    </row>
    <row r="253" hidden="1" spans="1:21">
      <c r="A253" s="55">
        <v>250</v>
      </c>
      <c r="B253" s="76" t="s">
        <v>2454</v>
      </c>
      <c r="C253" s="72">
        <v>77.6</v>
      </c>
      <c r="D253" s="73">
        <v>3340</v>
      </c>
      <c r="E253" s="73">
        <f t="shared" si="40"/>
        <v>259184</v>
      </c>
      <c r="F253" s="74" t="s">
        <v>2455</v>
      </c>
      <c r="G253" s="75">
        <v>259184</v>
      </c>
      <c r="H253" s="75">
        <f t="shared" si="39"/>
        <v>0</v>
      </c>
      <c r="I253" s="86">
        <f>VLOOKUP(B253,多浪小区账面房号及收款金额!$A$2:$B$474,2,0)</f>
        <v>259184</v>
      </c>
      <c r="J253" s="86"/>
      <c r="K253" s="87">
        <f t="shared" si="38"/>
        <v>0</v>
      </c>
      <c r="L253" s="88"/>
      <c r="M253" s="88"/>
      <c r="N253" s="89">
        <f>VLOOKUP(B253,[2]信息汇总表!$M$2:$T$816,8,0)</f>
        <v>259184</v>
      </c>
      <c r="O253" s="89">
        <f t="shared" si="30"/>
        <v>237783.486238532</v>
      </c>
      <c r="P253" s="91">
        <v>237783.49</v>
      </c>
      <c r="Q253" s="88"/>
      <c r="R253" s="75">
        <f t="shared" si="31"/>
        <v>237783.486238532</v>
      </c>
      <c r="S253" s="75">
        <f t="shared" si="32"/>
        <v>11889.1743119266</v>
      </c>
      <c r="T253" s="75">
        <f t="shared" si="33"/>
        <v>-0.00376146790222265</v>
      </c>
      <c r="U253" s="75">
        <f t="shared" si="34"/>
        <v>-0.000188073396202526</v>
      </c>
    </row>
    <row r="254" hidden="1" spans="1:21">
      <c r="A254" s="55">
        <v>251</v>
      </c>
      <c r="B254" s="76" t="s">
        <v>2456</v>
      </c>
      <c r="C254" s="72">
        <v>77.6</v>
      </c>
      <c r="D254" s="73">
        <v>3326</v>
      </c>
      <c r="E254" s="73">
        <f t="shared" si="40"/>
        <v>258098</v>
      </c>
      <c r="F254" s="74" t="s">
        <v>2457</v>
      </c>
      <c r="G254" s="75">
        <v>258098</v>
      </c>
      <c r="H254" s="75">
        <f t="shared" si="39"/>
        <v>0</v>
      </c>
      <c r="I254" s="86">
        <f>VLOOKUP(B254,多浪小区账面房号及收款金额!$A$2:$B$474,2,0)</f>
        <v>258098</v>
      </c>
      <c r="J254" s="86"/>
      <c r="K254" s="87">
        <f t="shared" si="38"/>
        <v>0</v>
      </c>
      <c r="L254" s="88"/>
      <c r="M254" s="88"/>
      <c r="N254" s="89">
        <f>VLOOKUP(B254,[2]信息汇总表!$M$2:$T$816,8,0)+[2]信息汇总表!$T$415</f>
        <v>258098</v>
      </c>
      <c r="O254" s="89">
        <f t="shared" si="30"/>
        <v>236787.155963303</v>
      </c>
      <c r="P254" s="91">
        <f>9264.22+227522.94</f>
        <v>236787.16</v>
      </c>
      <c r="Q254" s="88"/>
      <c r="R254" s="75">
        <f t="shared" si="31"/>
        <v>236787.155963303</v>
      </c>
      <c r="S254" s="75">
        <f t="shared" si="32"/>
        <v>11839.3577981651</v>
      </c>
      <c r="T254" s="75">
        <f t="shared" si="33"/>
        <v>-0.00403669726802036</v>
      </c>
      <c r="U254" s="75">
        <f t="shared" si="34"/>
        <v>-0.000201834862309624</v>
      </c>
    </row>
    <row r="255" hidden="1" spans="1:21">
      <c r="A255" s="55">
        <v>252</v>
      </c>
      <c r="B255" s="76" t="s">
        <v>2458</v>
      </c>
      <c r="C255" s="72">
        <v>77.6</v>
      </c>
      <c r="D255" s="73">
        <v>3050</v>
      </c>
      <c r="E255" s="73">
        <f t="shared" si="40"/>
        <v>236680</v>
      </c>
      <c r="F255" s="74" t="s">
        <v>2459</v>
      </c>
      <c r="G255" s="75">
        <v>236680</v>
      </c>
      <c r="H255" s="75">
        <f t="shared" si="39"/>
        <v>0</v>
      </c>
      <c r="I255" s="86">
        <f>VLOOKUP(B255,多浪小区账面房号及收款金额!$A$2:$B$474,2,0)</f>
        <v>236680</v>
      </c>
      <c r="J255" s="86"/>
      <c r="K255" s="87">
        <f t="shared" si="38"/>
        <v>0</v>
      </c>
      <c r="L255" s="88"/>
      <c r="M255" s="88"/>
      <c r="N255" s="89">
        <f>VLOOKUP(B255,[2]信息汇总表!$M$2:$T$816,8,0)</f>
        <v>236680</v>
      </c>
      <c r="O255" s="89">
        <f t="shared" si="30"/>
        <v>217137.614678899</v>
      </c>
      <c r="P255" s="91">
        <v>217137.61</v>
      </c>
      <c r="Q255" s="88"/>
      <c r="R255" s="75">
        <f t="shared" si="31"/>
        <v>217137.614678899</v>
      </c>
      <c r="S255" s="75">
        <f t="shared" si="32"/>
        <v>10856.880733945</v>
      </c>
      <c r="T255" s="75">
        <f t="shared" si="33"/>
        <v>0.00467889907304198</v>
      </c>
      <c r="U255" s="75">
        <f t="shared" si="34"/>
        <v>0.000233944954743492</v>
      </c>
    </row>
    <row r="256" hidden="1" spans="1:21">
      <c r="A256" s="55">
        <v>253</v>
      </c>
      <c r="B256" s="76" t="s">
        <v>2460</v>
      </c>
      <c r="C256" s="72">
        <v>77.6</v>
      </c>
      <c r="D256" s="73">
        <v>3300</v>
      </c>
      <c r="E256" s="73">
        <f t="shared" si="40"/>
        <v>256080</v>
      </c>
      <c r="F256" s="74" t="s">
        <v>2461</v>
      </c>
      <c r="G256" s="75">
        <v>256080</v>
      </c>
      <c r="H256" s="75">
        <f t="shared" si="39"/>
        <v>0</v>
      </c>
      <c r="I256" s="86">
        <f>VLOOKUP(B256,多浪小区账面房号及收款金额!$A$2:$B$474,2,0)</f>
        <v>256080</v>
      </c>
      <c r="J256" s="86"/>
      <c r="K256" s="87">
        <f t="shared" si="38"/>
        <v>0</v>
      </c>
      <c r="L256" s="88"/>
      <c r="M256" s="88"/>
      <c r="N256" s="89">
        <f>VLOOKUP(B256,[2]信息汇总表!$M$2:$T$816,8,0)+[2]信息汇总表!$T$567</f>
        <v>256080</v>
      </c>
      <c r="O256" s="89">
        <f t="shared" si="30"/>
        <v>234935.779816514</v>
      </c>
      <c r="P256" s="91">
        <f>187155.96+47779.82</f>
        <v>234935.78</v>
      </c>
      <c r="Q256" s="88"/>
      <c r="R256" s="75">
        <f t="shared" si="31"/>
        <v>234935.779816514</v>
      </c>
      <c r="S256" s="75">
        <f t="shared" si="32"/>
        <v>11746.7889908257</v>
      </c>
      <c r="T256" s="75">
        <f t="shared" si="33"/>
        <v>-0.000183486263267696</v>
      </c>
      <c r="U256" s="75">
        <f t="shared" si="34"/>
        <v>-9.1743131633848e-6</v>
      </c>
    </row>
    <row r="257" hidden="1" spans="1:21">
      <c r="A257" s="55">
        <v>254</v>
      </c>
      <c r="B257" s="76" t="s">
        <v>2462</v>
      </c>
      <c r="C257" s="72">
        <v>77.6</v>
      </c>
      <c r="D257" s="73">
        <v>3350</v>
      </c>
      <c r="E257" s="73">
        <f t="shared" si="40"/>
        <v>259960</v>
      </c>
      <c r="F257" s="74" t="s">
        <v>2463</v>
      </c>
      <c r="G257" s="75">
        <v>259960</v>
      </c>
      <c r="H257" s="75">
        <f t="shared" si="39"/>
        <v>0</v>
      </c>
      <c r="I257" s="86">
        <f>VLOOKUP(B257,多浪小区账面房号及收款金额!$A$2:$B$474,2,0)</f>
        <v>259960</v>
      </c>
      <c r="J257" s="86"/>
      <c r="K257" s="87">
        <f t="shared" si="38"/>
        <v>0</v>
      </c>
      <c r="L257" s="88"/>
      <c r="M257" s="88"/>
      <c r="N257" s="89">
        <f>VLOOKUP(B257,[2]信息汇总表!$M$2:$T$816,8,0)+[2]信息汇总表!$T$564</f>
        <v>259960</v>
      </c>
      <c r="O257" s="89">
        <f t="shared" si="30"/>
        <v>238495.412844037</v>
      </c>
      <c r="P257" s="91">
        <f>189908.26+48587.16</f>
        <v>238495.42</v>
      </c>
      <c r="Q257" s="88"/>
      <c r="R257" s="75">
        <f t="shared" si="31"/>
        <v>238495.412844037</v>
      </c>
      <c r="S257" s="75">
        <f t="shared" si="32"/>
        <v>11924.7706422018</v>
      </c>
      <c r="T257" s="75">
        <f t="shared" si="33"/>
        <v>-0.00715596333611757</v>
      </c>
      <c r="U257" s="75">
        <f t="shared" si="34"/>
        <v>-0.000357798166078283</v>
      </c>
    </row>
    <row r="258" hidden="1" spans="1:21">
      <c r="A258" s="55">
        <v>255</v>
      </c>
      <c r="B258" s="76" t="s">
        <v>2464</v>
      </c>
      <c r="C258" s="72">
        <v>77.6</v>
      </c>
      <c r="D258" s="73">
        <v>3000</v>
      </c>
      <c r="E258" s="73">
        <f t="shared" si="40"/>
        <v>232800</v>
      </c>
      <c r="F258" s="74" t="s">
        <v>2465</v>
      </c>
      <c r="G258" s="75">
        <v>232800</v>
      </c>
      <c r="H258" s="75">
        <f t="shared" ref="H258:H305" si="41">E258-G258</f>
        <v>0</v>
      </c>
      <c r="I258" s="86">
        <f>VLOOKUP(B258,多浪小区账面房号及收款金额!$A$2:$B$474,2,0)</f>
        <v>232800</v>
      </c>
      <c r="J258" s="86"/>
      <c r="K258" s="87">
        <f t="shared" si="38"/>
        <v>0</v>
      </c>
      <c r="L258" s="88"/>
      <c r="M258" s="88"/>
      <c r="N258" s="89">
        <f>VLOOKUP(B258,[2]信息汇总表!$M$2:$T$816,8,0)</f>
        <v>232800</v>
      </c>
      <c r="O258" s="89">
        <f t="shared" si="30"/>
        <v>213577.981651376</v>
      </c>
      <c r="P258" s="91">
        <v>213577.98</v>
      </c>
      <c r="Q258" s="88"/>
      <c r="R258" s="75">
        <f t="shared" si="31"/>
        <v>213577.981651376</v>
      </c>
      <c r="S258" s="75">
        <f t="shared" si="32"/>
        <v>10678.8990825688</v>
      </c>
      <c r="T258" s="75">
        <f t="shared" si="33"/>
        <v>0.00165137610747479</v>
      </c>
      <c r="U258" s="75">
        <f t="shared" si="34"/>
        <v>8.25688057375373e-5</v>
      </c>
    </row>
    <row r="259" hidden="1" spans="1:21">
      <c r="A259" s="55">
        <v>256</v>
      </c>
      <c r="B259" s="76" t="s">
        <v>2466</v>
      </c>
      <c r="C259" s="72">
        <v>77.6</v>
      </c>
      <c r="D259" s="73">
        <v>3000</v>
      </c>
      <c r="E259" s="73">
        <f t="shared" si="40"/>
        <v>232800</v>
      </c>
      <c r="F259" s="74" t="s">
        <v>2467</v>
      </c>
      <c r="G259" s="75">
        <v>232800</v>
      </c>
      <c r="H259" s="75">
        <f t="shared" si="41"/>
        <v>0</v>
      </c>
      <c r="I259" s="86">
        <f>VLOOKUP(B259,多浪小区账面房号及收款金额!$A$2:$B$474,2,0)</f>
        <v>232800</v>
      </c>
      <c r="J259" s="86"/>
      <c r="K259" s="87">
        <f t="shared" ref="K259:K276" si="42">G259-I259</f>
        <v>0</v>
      </c>
      <c r="L259" s="88"/>
      <c r="M259" s="88"/>
      <c r="N259" s="89"/>
      <c r="O259" s="89">
        <f t="shared" si="30"/>
        <v>0</v>
      </c>
      <c r="P259" s="91"/>
      <c r="Q259" s="88"/>
      <c r="R259" s="75">
        <f t="shared" si="31"/>
        <v>213577.981651376</v>
      </c>
      <c r="S259" s="75">
        <f t="shared" si="32"/>
        <v>10678.8990825688</v>
      </c>
      <c r="T259" s="75">
        <f t="shared" si="33"/>
        <v>213577.981651376</v>
      </c>
      <c r="U259" s="75">
        <f t="shared" si="34"/>
        <v>10678.8990825688</v>
      </c>
    </row>
    <row r="260" hidden="1" spans="1:21">
      <c r="A260" s="55">
        <v>257</v>
      </c>
      <c r="B260" s="76" t="s">
        <v>2468</v>
      </c>
      <c r="C260" s="72">
        <v>77.6</v>
      </c>
      <c r="D260" s="73">
        <v>2850</v>
      </c>
      <c r="E260" s="73">
        <f t="shared" si="40"/>
        <v>221160</v>
      </c>
      <c r="F260" s="74" t="s">
        <v>2469</v>
      </c>
      <c r="G260" s="75">
        <v>221160</v>
      </c>
      <c r="H260" s="75">
        <f t="shared" si="41"/>
        <v>0</v>
      </c>
      <c r="I260" s="86">
        <f>VLOOKUP(B260,多浪小区账面房号及收款金额!$A$2:$B$474,2,0)</f>
        <v>221160</v>
      </c>
      <c r="J260" s="86"/>
      <c r="K260" s="87">
        <f t="shared" si="42"/>
        <v>0</v>
      </c>
      <c r="L260" s="88"/>
      <c r="M260" s="88"/>
      <c r="N260" s="89">
        <f>VLOOKUP(B260,[2]信息汇总表!$M$2:$T$816,8,0)</f>
        <v>221160</v>
      </c>
      <c r="O260" s="89">
        <f t="shared" si="30"/>
        <v>202899.082568807</v>
      </c>
      <c r="P260" s="91">
        <v>202899.08</v>
      </c>
      <c r="Q260" s="88"/>
      <c r="R260" s="75">
        <f t="shared" si="31"/>
        <v>202899.082568807</v>
      </c>
      <c r="S260" s="75">
        <f t="shared" si="32"/>
        <v>10144.9541284404</v>
      </c>
      <c r="T260" s="75">
        <f t="shared" si="33"/>
        <v>0.00256880733650178</v>
      </c>
      <c r="U260" s="75">
        <f t="shared" si="34"/>
        <v>0.000128440367916483</v>
      </c>
    </row>
    <row r="261" hidden="1" spans="1:21">
      <c r="A261" s="55">
        <v>258</v>
      </c>
      <c r="B261" s="76" t="s">
        <v>2470</v>
      </c>
      <c r="C261" s="72">
        <v>77.6</v>
      </c>
      <c r="D261" s="73">
        <v>2850</v>
      </c>
      <c r="E261" s="73">
        <f t="shared" si="40"/>
        <v>221160</v>
      </c>
      <c r="F261" s="74" t="s">
        <v>2471</v>
      </c>
      <c r="G261" s="75">
        <v>221160</v>
      </c>
      <c r="H261" s="75">
        <f t="shared" si="41"/>
        <v>0</v>
      </c>
      <c r="I261" s="86">
        <f>VLOOKUP(B261,多浪小区账面房号及收款金额!$A$2:$B$474,2,0)</f>
        <v>221160</v>
      </c>
      <c r="J261" s="86"/>
      <c r="K261" s="87">
        <f t="shared" si="42"/>
        <v>0</v>
      </c>
      <c r="L261" s="88"/>
      <c r="M261" s="88"/>
      <c r="N261" s="89">
        <f>VLOOKUP(B261,[2]信息汇总表!$M$2:$T$816,8,0)</f>
        <v>221160</v>
      </c>
      <c r="O261" s="89">
        <f t="shared" ref="O261:O324" si="43">N261/1.09</f>
        <v>202899.082568807</v>
      </c>
      <c r="P261" s="91">
        <v>202899.08</v>
      </c>
      <c r="Q261" s="88"/>
      <c r="R261" s="75">
        <f t="shared" ref="R261:R324" si="44">I261/1.09</f>
        <v>202899.082568807</v>
      </c>
      <c r="S261" s="75">
        <f t="shared" ref="S261:S324" si="45">R261*0.05</f>
        <v>10144.9541284404</v>
      </c>
      <c r="T261" s="75">
        <f t="shared" ref="T261:T324" si="46">R261-P261</f>
        <v>0.00256880733650178</v>
      </c>
      <c r="U261" s="75">
        <f t="shared" ref="U261:U324" si="47">S261-(P261*0.05)</f>
        <v>0.000128440367916483</v>
      </c>
    </row>
    <row r="262" hidden="1" spans="1:21">
      <c r="A262" s="55">
        <v>259</v>
      </c>
      <c r="B262" s="76" t="s">
        <v>2472</v>
      </c>
      <c r="C262" s="72">
        <v>74.18</v>
      </c>
      <c r="D262" s="73">
        <v>3181.45</v>
      </c>
      <c r="E262" s="73">
        <f t="shared" si="40"/>
        <v>236000</v>
      </c>
      <c r="F262" s="74" t="s">
        <v>2473</v>
      </c>
      <c r="G262" s="75">
        <v>236000</v>
      </c>
      <c r="H262" s="75">
        <f t="shared" si="41"/>
        <v>0</v>
      </c>
      <c r="I262" s="86">
        <f>VLOOKUP(B262,多浪小区账面房号及收款金额!$A$2:$B$474,2,0)</f>
        <v>236000</v>
      </c>
      <c r="J262" s="86"/>
      <c r="K262" s="87">
        <f t="shared" si="42"/>
        <v>0</v>
      </c>
      <c r="L262" s="88"/>
      <c r="M262" s="88"/>
      <c r="N262" s="89">
        <f>VLOOKUP(B262,[2]信息汇总表!$M$2:$T$816,8,0)</f>
        <v>236000</v>
      </c>
      <c r="O262" s="89">
        <f t="shared" si="43"/>
        <v>216513.76146789</v>
      </c>
      <c r="P262" s="91">
        <v>216513.76</v>
      </c>
      <c r="Q262" s="88"/>
      <c r="R262" s="75">
        <f t="shared" si="44"/>
        <v>216513.76146789</v>
      </c>
      <c r="S262" s="75">
        <f t="shared" si="45"/>
        <v>10825.6880733945</v>
      </c>
      <c r="T262" s="75">
        <f t="shared" si="46"/>
        <v>0.00146788987331092</v>
      </c>
      <c r="U262" s="75">
        <f t="shared" si="47"/>
        <v>7.33944925741525e-5</v>
      </c>
    </row>
    <row r="263" hidden="1" spans="1:21">
      <c r="A263" s="55">
        <v>260</v>
      </c>
      <c r="B263" s="76" t="s">
        <v>2474</v>
      </c>
      <c r="C263" s="72">
        <v>82.65</v>
      </c>
      <c r="D263" s="73">
        <v>3250</v>
      </c>
      <c r="E263" s="73">
        <f t="shared" si="40"/>
        <v>268613</v>
      </c>
      <c r="F263" s="74" t="s">
        <v>2475</v>
      </c>
      <c r="G263" s="75">
        <v>268613</v>
      </c>
      <c r="H263" s="75">
        <f t="shared" si="41"/>
        <v>0</v>
      </c>
      <c r="I263" s="86">
        <f>VLOOKUP(B263,多浪小区账面房号及收款金额!$A$2:$B$474,2,0)</f>
        <v>268613</v>
      </c>
      <c r="J263" s="86"/>
      <c r="K263" s="87">
        <f t="shared" si="42"/>
        <v>0</v>
      </c>
      <c r="L263" s="88"/>
      <c r="M263" s="88"/>
      <c r="N263" s="89">
        <f>VLOOKUP(B263,[2]信息汇总表!$M$2:$T$816,8,0)</f>
        <v>268613</v>
      </c>
      <c r="O263" s="89">
        <f t="shared" si="43"/>
        <v>246433.944954128</v>
      </c>
      <c r="P263" s="91">
        <v>246433.94</v>
      </c>
      <c r="Q263" s="88"/>
      <c r="R263" s="75">
        <f t="shared" si="44"/>
        <v>246433.944954128</v>
      </c>
      <c r="S263" s="75">
        <f t="shared" si="45"/>
        <v>12321.6972477064</v>
      </c>
      <c r="T263" s="75">
        <f t="shared" si="46"/>
        <v>0.00495412840973586</v>
      </c>
      <c r="U263" s="75">
        <f t="shared" si="47"/>
        <v>0.000247706420850591</v>
      </c>
    </row>
    <row r="264" hidden="1" spans="1:21">
      <c r="A264" s="55">
        <v>261</v>
      </c>
      <c r="B264" s="76" t="s">
        <v>2476</v>
      </c>
      <c r="C264" s="72">
        <v>74.18</v>
      </c>
      <c r="D264" s="73">
        <v>3340</v>
      </c>
      <c r="E264" s="73">
        <f t="shared" si="40"/>
        <v>247761</v>
      </c>
      <c r="F264" s="74" t="s">
        <v>2477</v>
      </c>
      <c r="G264" s="75">
        <v>247761</v>
      </c>
      <c r="H264" s="75">
        <f t="shared" si="41"/>
        <v>0</v>
      </c>
      <c r="I264" s="86">
        <f>VLOOKUP(B264,多浪小区账面房号及收款金额!$A$2:$B$474,2,0)</f>
        <v>247761</v>
      </c>
      <c r="J264" s="86"/>
      <c r="K264" s="87">
        <f t="shared" si="42"/>
        <v>0</v>
      </c>
      <c r="L264" s="88"/>
      <c r="M264" s="88"/>
      <c r="N264" s="89">
        <f>VLOOKUP(B264,[2]信息汇总表!$M$2:$T$816,8,0)</f>
        <v>247761</v>
      </c>
      <c r="O264" s="89">
        <f t="shared" si="43"/>
        <v>227303.669724771</v>
      </c>
      <c r="P264" s="91">
        <v>227303.67</v>
      </c>
      <c r="Q264" s="88"/>
      <c r="R264" s="75">
        <f t="shared" si="44"/>
        <v>227303.669724771</v>
      </c>
      <c r="S264" s="75">
        <f t="shared" si="45"/>
        <v>11365.1834862385</v>
      </c>
      <c r="T264" s="75">
        <f t="shared" si="46"/>
        <v>-0.000275229394901544</v>
      </c>
      <c r="U264" s="75">
        <f t="shared" si="47"/>
        <v>-1.37614697450772e-5</v>
      </c>
    </row>
    <row r="265" hidden="1" spans="1:21">
      <c r="A265" s="55">
        <v>262</v>
      </c>
      <c r="B265" s="76" t="s">
        <v>2478</v>
      </c>
      <c r="C265" s="72">
        <v>82.65</v>
      </c>
      <c r="D265" s="73">
        <v>3363.58</v>
      </c>
      <c r="E265" s="73">
        <f t="shared" si="40"/>
        <v>278000</v>
      </c>
      <c r="F265" s="74" t="s">
        <v>2479</v>
      </c>
      <c r="G265" s="75">
        <v>278000</v>
      </c>
      <c r="H265" s="75">
        <f t="shared" si="41"/>
        <v>0</v>
      </c>
      <c r="I265" s="86">
        <f>VLOOKUP(B265,多浪小区账面房号及收款金额!$A$2:$B$474,2,0)</f>
        <v>278000</v>
      </c>
      <c r="J265" s="86"/>
      <c r="K265" s="87">
        <f t="shared" si="42"/>
        <v>0</v>
      </c>
      <c r="L265" s="88"/>
      <c r="M265" s="88"/>
      <c r="N265" s="89">
        <f>VLOOKUP(B265,[2]信息汇总表!$M$2:$T$816,8,0)</f>
        <v>278000</v>
      </c>
      <c r="O265" s="89">
        <f t="shared" si="43"/>
        <v>255045.871559633</v>
      </c>
      <c r="P265" s="91">
        <v>255045.87</v>
      </c>
      <c r="Q265" s="88"/>
      <c r="R265" s="75">
        <f t="shared" si="44"/>
        <v>255045.871559633</v>
      </c>
      <c r="S265" s="75">
        <f t="shared" si="45"/>
        <v>12752.2935779817</v>
      </c>
      <c r="T265" s="75">
        <f t="shared" si="46"/>
        <v>0.00155963300494477</v>
      </c>
      <c r="U265" s="75">
        <f t="shared" si="47"/>
        <v>7.79816509748343e-5</v>
      </c>
    </row>
    <row r="266" hidden="1" spans="1:21">
      <c r="A266" s="55">
        <v>263</v>
      </c>
      <c r="B266" s="76" t="s">
        <v>2480</v>
      </c>
      <c r="C266" s="72">
        <v>74.18</v>
      </c>
      <c r="D266" s="73">
        <v>3300</v>
      </c>
      <c r="E266" s="73">
        <f t="shared" si="40"/>
        <v>244794</v>
      </c>
      <c r="F266" s="74" t="s">
        <v>2481</v>
      </c>
      <c r="G266" s="75">
        <v>244794</v>
      </c>
      <c r="H266" s="75">
        <f t="shared" si="41"/>
        <v>0</v>
      </c>
      <c r="I266" s="86">
        <f>VLOOKUP(B266,多浪小区账面房号及收款金额!$A$2:$B$474,2,0)</f>
        <v>244794</v>
      </c>
      <c r="J266" s="86"/>
      <c r="K266" s="87">
        <f t="shared" si="42"/>
        <v>0</v>
      </c>
      <c r="L266" s="88"/>
      <c r="M266" s="88"/>
      <c r="N266" s="89">
        <f>VLOOKUP(B266,[2]信息汇总表!$M$2:$T$816,8,0)</f>
        <v>244794</v>
      </c>
      <c r="O266" s="89">
        <f t="shared" si="43"/>
        <v>224581.651376147</v>
      </c>
      <c r="P266" s="91">
        <v>224581.65</v>
      </c>
      <c r="Q266" s="88"/>
      <c r="R266" s="75">
        <f t="shared" si="44"/>
        <v>224581.651376147</v>
      </c>
      <c r="S266" s="75">
        <f t="shared" si="45"/>
        <v>11229.0825688073</v>
      </c>
      <c r="T266" s="75">
        <f t="shared" si="46"/>
        <v>0.00137614677078091</v>
      </c>
      <c r="U266" s="75">
        <f t="shared" si="47"/>
        <v>6.88073378114495e-5</v>
      </c>
    </row>
    <row r="267" hidden="1" spans="1:21">
      <c r="A267" s="55">
        <v>264</v>
      </c>
      <c r="B267" s="76" t="s">
        <v>2482</v>
      </c>
      <c r="C267" s="72">
        <v>82.65</v>
      </c>
      <c r="D267" s="73">
        <v>3300</v>
      </c>
      <c r="E267" s="73">
        <f t="shared" si="40"/>
        <v>272745</v>
      </c>
      <c r="F267" s="74" t="s">
        <v>2483</v>
      </c>
      <c r="G267" s="75">
        <v>272745</v>
      </c>
      <c r="H267" s="75">
        <f t="shared" si="41"/>
        <v>0</v>
      </c>
      <c r="I267" s="86">
        <f>VLOOKUP(B267,多浪小区账面房号及收款金额!$A$2:$B$474,2,0)</f>
        <v>272745</v>
      </c>
      <c r="J267" s="86"/>
      <c r="K267" s="87">
        <f t="shared" si="42"/>
        <v>0</v>
      </c>
      <c r="L267" s="88"/>
      <c r="M267" s="88"/>
      <c r="N267" s="89">
        <f>VLOOKUP(B267,[2]信息汇总表!$M$2:$T$816,8,0)</f>
        <v>272745</v>
      </c>
      <c r="O267" s="89">
        <f t="shared" si="43"/>
        <v>250224.770642202</v>
      </c>
      <c r="P267" s="91">
        <v>250224.77</v>
      </c>
      <c r="Q267" s="88"/>
      <c r="R267" s="75">
        <f t="shared" si="44"/>
        <v>250224.770642202</v>
      </c>
      <c r="S267" s="75">
        <f t="shared" si="45"/>
        <v>12511.2385321101</v>
      </c>
      <c r="T267" s="75">
        <f t="shared" si="46"/>
        <v>0.000642201834125444</v>
      </c>
      <c r="U267" s="75">
        <f t="shared" si="47"/>
        <v>3.2110092433868e-5</v>
      </c>
    </row>
    <row r="268" hidden="1" spans="1:21">
      <c r="A268" s="55">
        <v>265</v>
      </c>
      <c r="B268" s="76" t="s">
        <v>2484</v>
      </c>
      <c r="C268" s="72">
        <v>74.18</v>
      </c>
      <c r="D268" s="73">
        <v>3300</v>
      </c>
      <c r="E268" s="73">
        <f t="shared" si="40"/>
        <v>244794</v>
      </c>
      <c r="F268" s="74" t="s">
        <v>2485</v>
      </c>
      <c r="G268" s="75">
        <v>244794</v>
      </c>
      <c r="H268" s="75">
        <f t="shared" si="41"/>
        <v>0</v>
      </c>
      <c r="I268" s="86">
        <f>VLOOKUP(B268,多浪小区账面房号及收款金额!$A$2:$B$474,2,0)</f>
        <v>244794</v>
      </c>
      <c r="J268" s="86"/>
      <c r="K268" s="87">
        <f t="shared" si="42"/>
        <v>0</v>
      </c>
      <c r="L268" s="88"/>
      <c r="M268" s="88"/>
      <c r="N268" s="89">
        <f>VLOOKUP(B268,[2]信息汇总表!$M$2:$T$816,8,0)</f>
        <v>244794</v>
      </c>
      <c r="O268" s="89">
        <f t="shared" si="43"/>
        <v>224581.651376147</v>
      </c>
      <c r="P268" s="91">
        <v>224581.65</v>
      </c>
      <c r="Q268" s="88"/>
      <c r="R268" s="75">
        <f t="shared" si="44"/>
        <v>224581.651376147</v>
      </c>
      <c r="S268" s="75">
        <f t="shared" si="45"/>
        <v>11229.0825688073</v>
      </c>
      <c r="T268" s="75">
        <f t="shared" si="46"/>
        <v>0.00137614677078091</v>
      </c>
      <c r="U268" s="75">
        <f t="shared" si="47"/>
        <v>6.88073378114495e-5</v>
      </c>
    </row>
    <row r="269" hidden="1" spans="1:21">
      <c r="A269" s="55">
        <v>266</v>
      </c>
      <c r="B269" s="76" t="s">
        <v>2486</v>
      </c>
      <c r="C269" s="72">
        <v>82.65</v>
      </c>
      <c r="D269" s="73">
        <v>3350</v>
      </c>
      <c r="E269" s="73">
        <f t="shared" si="40"/>
        <v>276878</v>
      </c>
      <c r="F269" s="74" t="s">
        <v>2487</v>
      </c>
      <c r="G269" s="75">
        <v>276878</v>
      </c>
      <c r="H269" s="75">
        <f t="shared" si="41"/>
        <v>0</v>
      </c>
      <c r="I269" s="86">
        <f>VLOOKUP(B269,多浪小区账面房号及收款金额!$A$2:$B$474,2,0)</f>
        <v>276878</v>
      </c>
      <c r="J269" s="86"/>
      <c r="K269" s="87">
        <f t="shared" si="42"/>
        <v>0</v>
      </c>
      <c r="L269" s="88"/>
      <c r="M269" s="88"/>
      <c r="N269" s="89">
        <f>VLOOKUP(B269,[2]信息汇总表!$M$2:$T$816,8,0)</f>
        <v>276878</v>
      </c>
      <c r="O269" s="89">
        <f t="shared" si="43"/>
        <v>254016.513761468</v>
      </c>
      <c r="P269" s="91">
        <v>254016.51</v>
      </c>
      <c r="Q269" s="88"/>
      <c r="R269" s="75">
        <f t="shared" si="44"/>
        <v>254016.513761468</v>
      </c>
      <c r="S269" s="75">
        <f t="shared" si="45"/>
        <v>12700.8256880734</v>
      </c>
      <c r="T269" s="75">
        <f t="shared" si="46"/>
        <v>0.00376146787311882</v>
      </c>
      <c r="U269" s="75">
        <f t="shared" si="47"/>
        <v>0.000188073394383537</v>
      </c>
    </row>
    <row r="270" hidden="1" spans="1:21">
      <c r="A270" s="55">
        <v>267</v>
      </c>
      <c r="B270" s="76" t="s">
        <v>2488</v>
      </c>
      <c r="C270" s="72">
        <v>74.18</v>
      </c>
      <c r="D270" s="73">
        <v>3020</v>
      </c>
      <c r="E270" s="73">
        <f t="shared" si="40"/>
        <v>224024</v>
      </c>
      <c r="F270" s="74" t="s">
        <v>2489</v>
      </c>
      <c r="G270" s="75">
        <v>224024</v>
      </c>
      <c r="H270" s="75">
        <f t="shared" si="41"/>
        <v>0</v>
      </c>
      <c r="I270" s="86">
        <f>VLOOKUP(B270,多浪小区账面房号及收款金额!$A$2:$B$474,2,0)</f>
        <v>224024</v>
      </c>
      <c r="J270" s="86"/>
      <c r="K270" s="87">
        <f t="shared" si="42"/>
        <v>0</v>
      </c>
      <c r="L270" s="88"/>
      <c r="M270" s="88"/>
      <c r="N270" s="89">
        <f>VLOOKUP(B270,[2]信息汇总表!$M$2:$T$816,8,0)</f>
        <v>224024</v>
      </c>
      <c r="O270" s="89">
        <f t="shared" si="43"/>
        <v>205526.605504587</v>
      </c>
      <c r="P270" s="91">
        <v>205526.61</v>
      </c>
      <c r="Q270" s="88"/>
      <c r="R270" s="75">
        <f t="shared" si="44"/>
        <v>205526.605504587</v>
      </c>
      <c r="S270" s="75">
        <f t="shared" si="45"/>
        <v>10276.3302752294</v>
      </c>
      <c r="T270" s="75">
        <f t="shared" si="46"/>
        <v>-0.00449541283887811</v>
      </c>
      <c r="U270" s="75">
        <f t="shared" si="47"/>
        <v>-0.000224770641580108</v>
      </c>
    </row>
    <row r="271" hidden="1" spans="1:21">
      <c r="A271" s="55">
        <v>268</v>
      </c>
      <c r="B271" s="76" t="s">
        <v>2490</v>
      </c>
      <c r="C271" s="72">
        <v>82.65</v>
      </c>
      <c r="D271" s="73">
        <v>3000</v>
      </c>
      <c r="E271" s="73">
        <f t="shared" si="40"/>
        <v>247950</v>
      </c>
      <c r="F271" s="74" t="s">
        <v>2491</v>
      </c>
      <c r="G271" s="75">
        <v>247950</v>
      </c>
      <c r="H271" s="75">
        <f t="shared" si="41"/>
        <v>0</v>
      </c>
      <c r="I271" s="86">
        <f>VLOOKUP(B271,多浪小区账面房号及收款金额!$A$2:$B$474,2,0)</f>
        <v>247950</v>
      </c>
      <c r="J271" s="86"/>
      <c r="K271" s="87">
        <f t="shared" si="42"/>
        <v>0</v>
      </c>
      <c r="L271" s="88"/>
      <c r="M271" s="88"/>
      <c r="N271" s="89">
        <f>VLOOKUP(B271,[2]信息汇总表!$M$2:$T$816,8,0)</f>
        <v>247950</v>
      </c>
      <c r="O271" s="89">
        <f t="shared" si="43"/>
        <v>227477.064220183</v>
      </c>
      <c r="P271" s="91">
        <v>227477.06</v>
      </c>
      <c r="Q271" s="88"/>
      <c r="R271" s="75">
        <f t="shared" si="44"/>
        <v>227477.064220183</v>
      </c>
      <c r="S271" s="75">
        <f t="shared" si="45"/>
        <v>11373.8532110092</v>
      </c>
      <c r="T271" s="75">
        <f t="shared" si="46"/>
        <v>0.0042201834730804</v>
      </c>
      <c r="U271" s="75">
        <f t="shared" si="47"/>
        <v>0.00021100917365402</v>
      </c>
    </row>
    <row r="272" hidden="1" spans="1:21">
      <c r="A272" s="55">
        <v>269</v>
      </c>
      <c r="B272" s="76" t="s">
        <v>2492</v>
      </c>
      <c r="C272" s="72">
        <v>74.18</v>
      </c>
      <c r="D272" s="73">
        <v>2800</v>
      </c>
      <c r="E272" s="73">
        <f t="shared" si="40"/>
        <v>207704</v>
      </c>
      <c r="F272" s="74" t="s">
        <v>2493</v>
      </c>
      <c r="G272" s="75">
        <v>207704</v>
      </c>
      <c r="H272" s="75">
        <f t="shared" si="41"/>
        <v>0</v>
      </c>
      <c r="I272" s="86">
        <f>VLOOKUP(B272,多浪小区账面房号及收款金额!$A$2:$B$474,2,0)</f>
        <v>207704</v>
      </c>
      <c r="J272" s="86"/>
      <c r="K272" s="87">
        <f t="shared" si="42"/>
        <v>0</v>
      </c>
      <c r="L272" s="88"/>
      <c r="M272" s="88"/>
      <c r="N272" s="89">
        <f>VLOOKUP(B272,[2]信息汇总表!$M$2:$T$816,8,0)</f>
        <v>207704</v>
      </c>
      <c r="O272" s="89">
        <f t="shared" si="43"/>
        <v>190554.128440367</v>
      </c>
      <c r="P272" s="90">
        <v>190554.13</v>
      </c>
      <c r="Q272" s="88"/>
      <c r="R272" s="75">
        <f t="shared" si="44"/>
        <v>190554.128440367</v>
      </c>
      <c r="S272" s="75">
        <f t="shared" si="45"/>
        <v>9527.70642201835</v>
      </c>
      <c r="T272" s="75">
        <f t="shared" si="46"/>
        <v>-0.0015596330340486</v>
      </c>
      <c r="U272" s="75">
        <f t="shared" si="47"/>
        <v>-7.79816509748343e-5</v>
      </c>
    </row>
    <row r="273" hidden="1" spans="1:21">
      <c r="A273" s="55">
        <v>270</v>
      </c>
      <c r="B273" s="76" t="s">
        <v>2494</v>
      </c>
      <c r="C273" s="72">
        <v>82.65</v>
      </c>
      <c r="D273" s="73">
        <v>2850</v>
      </c>
      <c r="E273" s="73">
        <f t="shared" si="40"/>
        <v>235553</v>
      </c>
      <c r="F273" s="74" t="s">
        <v>2495</v>
      </c>
      <c r="G273" s="75">
        <v>235553</v>
      </c>
      <c r="H273" s="75">
        <f t="shared" si="41"/>
        <v>0</v>
      </c>
      <c r="I273" s="86">
        <f>VLOOKUP(B273,多浪小区账面房号及收款金额!$A$2:$B$474,2,0)</f>
        <v>235553</v>
      </c>
      <c r="J273" s="86"/>
      <c r="K273" s="87">
        <f t="shared" si="42"/>
        <v>0</v>
      </c>
      <c r="L273" s="88"/>
      <c r="M273" s="88"/>
      <c r="N273" s="89">
        <f>VLOOKUP(B273,[2]信息汇总表!$M$2:$T$816,8,0)</f>
        <v>235553</v>
      </c>
      <c r="O273" s="89">
        <f t="shared" si="43"/>
        <v>216103.669724771</v>
      </c>
      <c r="P273" s="91">
        <v>216103.67</v>
      </c>
      <c r="Q273" s="88"/>
      <c r="R273" s="75">
        <f t="shared" si="44"/>
        <v>216103.669724771</v>
      </c>
      <c r="S273" s="75">
        <f t="shared" si="45"/>
        <v>10805.1834862385</v>
      </c>
      <c r="T273" s="75">
        <f t="shared" si="46"/>
        <v>-0.000275229394901544</v>
      </c>
      <c r="U273" s="75">
        <f t="shared" si="47"/>
        <v>-1.37614697450772e-5</v>
      </c>
    </row>
    <row r="274" hidden="1" spans="1:21">
      <c r="A274" s="55">
        <v>271</v>
      </c>
      <c r="B274" s="76" t="s">
        <v>2496</v>
      </c>
      <c r="C274" s="72">
        <v>68.16</v>
      </c>
      <c r="D274" s="73">
        <v>3242.37</v>
      </c>
      <c r="E274" s="73">
        <f t="shared" si="40"/>
        <v>221000</v>
      </c>
      <c r="F274" s="74" t="s">
        <v>2497</v>
      </c>
      <c r="G274" s="75">
        <v>221000</v>
      </c>
      <c r="H274" s="75">
        <f t="shared" si="41"/>
        <v>0</v>
      </c>
      <c r="I274" s="86">
        <f>VLOOKUP(B274,多浪小区账面房号及收款金额!$A$2:$B$474,2,0)</f>
        <v>221000</v>
      </c>
      <c r="J274" s="86"/>
      <c r="K274" s="87">
        <f t="shared" si="42"/>
        <v>0</v>
      </c>
      <c r="L274" s="92"/>
      <c r="M274" s="88"/>
      <c r="N274" s="89">
        <f>VLOOKUP(B274,[2]信息汇总表!$M$2:$T$816,8,0)</f>
        <v>221000</v>
      </c>
      <c r="O274" s="89">
        <f t="shared" si="43"/>
        <v>202752.293577982</v>
      </c>
      <c r="P274" s="91">
        <v>202752.29</v>
      </c>
      <c r="Q274" s="88"/>
      <c r="R274" s="75">
        <f t="shared" si="44"/>
        <v>202752.293577982</v>
      </c>
      <c r="S274" s="75">
        <f t="shared" si="45"/>
        <v>10137.6146788991</v>
      </c>
      <c r="T274" s="75">
        <f t="shared" si="46"/>
        <v>0.00357798163895495</v>
      </c>
      <c r="U274" s="75">
        <f t="shared" si="47"/>
        <v>0.000178899081220152</v>
      </c>
    </row>
    <row r="275" hidden="1" spans="1:21">
      <c r="A275" s="55">
        <v>272</v>
      </c>
      <c r="B275" s="76" t="s">
        <v>2498</v>
      </c>
      <c r="C275" s="72">
        <v>68.13</v>
      </c>
      <c r="D275" s="73">
        <v>3163.22</v>
      </c>
      <c r="E275" s="73">
        <f t="shared" ref="E255:E307" si="48">ROUND(IF(F275&lt;&gt;0,C275*D275,0),0)</f>
        <v>215510</v>
      </c>
      <c r="F275" s="74" t="s">
        <v>2499</v>
      </c>
      <c r="G275" s="75">
        <v>215510</v>
      </c>
      <c r="H275" s="75">
        <f t="shared" si="41"/>
        <v>0</v>
      </c>
      <c r="I275" s="86">
        <f>VLOOKUP(B275,多浪小区账面房号及收款金额!$A$2:$B$474,2,0)</f>
        <v>215510</v>
      </c>
      <c r="J275" s="86"/>
      <c r="K275" s="87">
        <f t="shared" si="42"/>
        <v>0</v>
      </c>
      <c r="L275" s="88"/>
      <c r="M275" s="88"/>
      <c r="N275" s="89">
        <v>215510</v>
      </c>
      <c r="O275" s="89">
        <f t="shared" si="43"/>
        <v>197715.596330275</v>
      </c>
      <c r="P275" s="91">
        <v>197715.6</v>
      </c>
      <c r="Q275" s="88"/>
      <c r="R275" s="75">
        <f t="shared" si="44"/>
        <v>197715.596330275</v>
      </c>
      <c r="S275" s="75">
        <f t="shared" si="45"/>
        <v>9885.77981651376</v>
      </c>
      <c r="T275" s="75">
        <f t="shared" si="46"/>
        <v>-0.00366972479969263</v>
      </c>
      <c r="U275" s="75">
        <f t="shared" si="47"/>
        <v>-0.000183486239620834</v>
      </c>
    </row>
    <row r="276" hidden="1" spans="1:21">
      <c r="A276" s="55">
        <v>273</v>
      </c>
      <c r="B276" s="76" t="s">
        <v>2500</v>
      </c>
      <c r="C276" s="72">
        <v>60.56</v>
      </c>
      <c r="D276" s="73">
        <v>3195.18</v>
      </c>
      <c r="E276" s="73">
        <f t="shared" si="48"/>
        <v>193500</v>
      </c>
      <c r="F276" s="74" t="s">
        <v>2501</v>
      </c>
      <c r="G276" s="75">
        <v>193500</v>
      </c>
      <c r="H276" s="75">
        <f t="shared" si="41"/>
        <v>0</v>
      </c>
      <c r="I276" s="86">
        <f>VLOOKUP(B276,多浪小区账面房号及收款金额!$A$2:$B$474,2,0)</f>
        <v>193500</v>
      </c>
      <c r="J276" s="86"/>
      <c r="K276" s="87">
        <f t="shared" si="42"/>
        <v>0</v>
      </c>
      <c r="L276" s="88"/>
      <c r="M276" s="88"/>
      <c r="N276" s="89">
        <f>VLOOKUP(B276,[2]信息汇总表!$M$2:$T$816,8,0)</f>
        <v>193500</v>
      </c>
      <c r="O276" s="89">
        <f t="shared" si="43"/>
        <v>177522.935779817</v>
      </c>
      <c r="P276" s="91">
        <v>177522.94</v>
      </c>
      <c r="Q276" s="88"/>
      <c r="R276" s="75">
        <f t="shared" si="44"/>
        <v>177522.935779817</v>
      </c>
      <c r="S276" s="75">
        <f t="shared" si="45"/>
        <v>8876.14678899083</v>
      </c>
      <c r="T276" s="75">
        <f t="shared" si="46"/>
        <v>-0.00422018350218423</v>
      </c>
      <c r="U276" s="75">
        <f t="shared" si="47"/>
        <v>-0.000211009175473009</v>
      </c>
    </row>
    <row r="277" hidden="1" spans="1:21">
      <c r="A277" s="55">
        <v>274</v>
      </c>
      <c r="B277" s="76" t="s">
        <v>2502</v>
      </c>
      <c r="C277" s="72">
        <v>57.98</v>
      </c>
      <c r="D277" s="73">
        <v>3250</v>
      </c>
      <c r="E277" s="73">
        <f t="shared" si="48"/>
        <v>188435</v>
      </c>
      <c r="F277" s="74" t="s">
        <v>2503</v>
      </c>
      <c r="G277" s="75">
        <v>188435</v>
      </c>
      <c r="H277" s="75">
        <f t="shared" si="41"/>
        <v>0</v>
      </c>
      <c r="I277" s="86">
        <f>VLOOKUP(B277,多浪小区账面房号及收款金额!$A$2:$B$474,2,0)</f>
        <v>188435</v>
      </c>
      <c r="J277" s="86"/>
      <c r="K277" s="87">
        <f t="shared" ref="K277:K285" si="49">G277-I277</f>
        <v>0</v>
      </c>
      <c r="L277" s="88"/>
      <c r="M277" s="88"/>
      <c r="N277" s="89"/>
      <c r="O277" s="89">
        <f t="shared" si="43"/>
        <v>0</v>
      </c>
      <c r="P277" s="91"/>
      <c r="Q277" s="88"/>
      <c r="R277" s="75">
        <f t="shared" si="44"/>
        <v>172876.146788991</v>
      </c>
      <c r="S277" s="75">
        <f t="shared" si="45"/>
        <v>8643.80733944954</v>
      </c>
      <c r="T277" s="75">
        <f t="shared" si="46"/>
        <v>172876.146788991</v>
      </c>
      <c r="U277" s="75">
        <f t="shared" si="47"/>
        <v>8643.80733944954</v>
      </c>
    </row>
    <row r="278" hidden="1" spans="1:21">
      <c r="A278" s="55">
        <v>275</v>
      </c>
      <c r="B278" s="76" t="s">
        <v>2504</v>
      </c>
      <c r="C278" s="72">
        <v>68.16</v>
      </c>
      <c r="D278" s="73">
        <v>3403.28</v>
      </c>
      <c r="E278" s="73">
        <f t="shared" si="48"/>
        <v>231968</v>
      </c>
      <c r="F278" s="74" t="s">
        <v>2505</v>
      </c>
      <c r="G278" s="75">
        <v>231968</v>
      </c>
      <c r="H278" s="75">
        <f t="shared" si="41"/>
        <v>0</v>
      </c>
      <c r="I278" s="86">
        <f>VLOOKUP(B278,多浪小区账面房号及收款金额!$A$2:$B$474,2,0)</f>
        <v>231968</v>
      </c>
      <c r="J278" s="86"/>
      <c r="K278" s="87">
        <f t="shared" si="49"/>
        <v>0</v>
      </c>
      <c r="L278" s="88"/>
      <c r="M278" s="88"/>
      <c r="N278" s="89">
        <f>VLOOKUP(B278,[2]信息汇总表!$M$2:$T$816,8,0)</f>
        <v>231968</v>
      </c>
      <c r="O278" s="89">
        <f t="shared" si="43"/>
        <v>212814.678899083</v>
      </c>
      <c r="P278" s="91">
        <v>212814.68</v>
      </c>
      <c r="Q278" s="88"/>
      <c r="R278" s="75">
        <f t="shared" si="44"/>
        <v>212814.678899083</v>
      </c>
      <c r="S278" s="75">
        <f t="shared" si="45"/>
        <v>10640.7339449541</v>
      </c>
      <c r="T278" s="75">
        <f t="shared" si="46"/>
        <v>-0.00110091743408702</v>
      </c>
      <c r="U278" s="75">
        <f t="shared" si="47"/>
        <v>-5.50458717043512e-5</v>
      </c>
    </row>
    <row r="279" ht="37.5" hidden="1" spans="1:21">
      <c r="A279" s="55">
        <v>276</v>
      </c>
      <c r="B279" s="76" t="s">
        <v>2506</v>
      </c>
      <c r="C279" s="72">
        <v>68.13</v>
      </c>
      <c r="D279" s="73">
        <v>3287.83</v>
      </c>
      <c r="E279" s="73">
        <f t="shared" si="48"/>
        <v>224000</v>
      </c>
      <c r="F279" s="74" t="s">
        <v>2507</v>
      </c>
      <c r="G279" s="75">
        <v>77060</v>
      </c>
      <c r="H279" s="75">
        <f t="shared" si="41"/>
        <v>146940</v>
      </c>
      <c r="I279" s="86">
        <f>VLOOKUP(B279,多浪小区账面房号及收款金额!$A$2:$B$474,2,0)</f>
        <v>220060</v>
      </c>
      <c r="J279" s="86"/>
      <c r="K279" s="87">
        <f t="shared" si="49"/>
        <v>-143000</v>
      </c>
      <c r="L279" s="92" t="s">
        <v>2508</v>
      </c>
      <c r="M279" s="88"/>
      <c r="N279" s="89">
        <f>VLOOKUP(B279,[2]信息汇总表!$M$2:$T$816,8,0)</f>
        <v>220060</v>
      </c>
      <c r="O279" s="89">
        <f t="shared" si="43"/>
        <v>201889.908256881</v>
      </c>
      <c r="P279" s="91">
        <v>201889.91</v>
      </c>
      <c r="Q279" s="88"/>
      <c r="R279" s="75">
        <f t="shared" si="44"/>
        <v>201889.908256881</v>
      </c>
      <c r="S279" s="75">
        <f t="shared" si="45"/>
        <v>10094.495412844</v>
      </c>
      <c r="T279" s="75">
        <f t="shared" si="46"/>
        <v>-0.0017431192973163</v>
      </c>
      <c r="U279" s="75">
        <f t="shared" si="47"/>
        <v>-8.71559641382191e-5</v>
      </c>
    </row>
    <row r="280" hidden="1" spans="1:21">
      <c r="A280" s="55">
        <v>277</v>
      </c>
      <c r="B280" s="76" t="s">
        <v>2509</v>
      </c>
      <c r="C280" s="72">
        <v>60.56</v>
      </c>
      <c r="D280" s="73">
        <v>3550</v>
      </c>
      <c r="E280" s="73">
        <f t="shared" si="48"/>
        <v>214988</v>
      </c>
      <c r="F280" s="74" t="s">
        <v>2510</v>
      </c>
      <c r="G280" s="75">
        <v>214988</v>
      </c>
      <c r="H280" s="75">
        <f t="shared" si="41"/>
        <v>0</v>
      </c>
      <c r="I280" s="86">
        <f>VLOOKUP(B280,多浪小区账面房号及收款金额!$A$2:$B$474,2,0)</f>
        <v>214988</v>
      </c>
      <c r="J280" s="86"/>
      <c r="K280" s="87">
        <f t="shared" si="49"/>
        <v>0</v>
      </c>
      <c r="L280" s="88"/>
      <c r="M280" s="88"/>
      <c r="N280" s="89">
        <f>VLOOKUP(B280,[2]信息汇总表!$M$2:$T$816,8,0)+[2]信息汇总表!$T$570</f>
        <v>214988</v>
      </c>
      <c r="O280" s="89">
        <f t="shared" si="43"/>
        <v>197236.697247706</v>
      </c>
      <c r="P280" s="91">
        <v>906.42</v>
      </c>
      <c r="Q280" s="88"/>
      <c r="R280" s="75">
        <f t="shared" si="44"/>
        <v>197236.697247706</v>
      </c>
      <c r="S280" s="75">
        <f t="shared" si="45"/>
        <v>9861.83486238532</v>
      </c>
      <c r="T280" s="75">
        <f t="shared" si="46"/>
        <v>196330.277247706</v>
      </c>
      <c r="U280" s="75">
        <f t="shared" si="47"/>
        <v>9816.51386238532</v>
      </c>
    </row>
    <row r="281" hidden="1" spans="1:21">
      <c r="A281" s="55">
        <v>278</v>
      </c>
      <c r="B281" s="76" t="s">
        <v>2511</v>
      </c>
      <c r="C281" s="72">
        <v>57.98</v>
      </c>
      <c r="D281" s="73">
        <v>3280</v>
      </c>
      <c r="E281" s="73">
        <f t="shared" si="48"/>
        <v>190174</v>
      </c>
      <c r="F281" s="74" t="s">
        <v>2512</v>
      </c>
      <c r="G281" s="75">
        <v>190174</v>
      </c>
      <c r="H281" s="75">
        <f t="shared" si="41"/>
        <v>0</v>
      </c>
      <c r="I281" s="86">
        <f>VLOOKUP(B281,多浪小区账面房号及收款金额!$A$2:$B$474,2,0)</f>
        <v>190174</v>
      </c>
      <c r="J281" s="86"/>
      <c r="K281" s="87">
        <f t="shared" si="49"/>
        <v>0</v>
      </c>
      <c r="L281" s="88"/>
      <c r="M281" s="88"/>
      <c r="N281" s="89">
        <f>VLOOKUP(B281,[2]信息汇总表!$M$2:$T$816,8,0)</f>
        <v>190174</v>
      </c>
      <c r="O281" s="89">
        <f t="shared" si="43"/>
        <v>174471.559633028</v>
      </c>
      <c r="P281" s="91">
        <v>174471.56</v>
      </c>
      <c r="Q281" s="88"/>
      <c r="R281" s="75">
        <f t="shared" si="44"/>
        <v>174471.559633028</v>
      </c>
      <c r="S281" s="75">
        <f t="shared" si="45"/>
        <v>8723.57798165137</v>
      </c>
      <c r="T281" s="75">
        <f t="shared" si="46"/>
        <v>-0.000366972497431561</v>
      </c>
      <c r="U281" s="75">
        <f t="shared" si="47"/>
        <v>-1.83486245077802e-5</v>
      </c>
    </row>
    <row r="282" hidden="1" spans="1:21">
      <c r="A282" s="55">
        <v>279</v>
      </c>
      <c r="B282" s="76" t="s">
        <v>2513</v>
      </c>
      <c r="C282" s="72">
        <v>68.16</v>
      </c>
      <c r="D282" s="73">
        <v>3372.95</v>
      </c>
      <c r="E282" s="73">
        <f t="shared" si="48"/>
        <v>229900</v>
      </c>
      <c r="F282" s="74" t="s">
        <v>2514</v>
      </c>
      <c r="G282" s="75">
        <v>229900</v>
      </c>
      <c r="H282" s="75">
        <f t="shared" si="41"/>
        <v>0</v>
      </c>
      <c r="I282" s="86">
        <f>VLOOKUP(B282,多浪小区账面房号及收款金额!$A$2:$B$474,2,0)</f>
        <v>229900</v>
      </c>
      <c r="J282" s="86"/>
      <c r="K282" s="87">
        <f t="shared" si="49"/>
        <v>0</v>
      </c>
      <c r="L282" s="88"/>
      <c r="M282" s="88"/>
      <c r="N282" s="89">
        <f>VLOOKUP(B282,[2]信息汇总表!$M$2:$T$816,8,0)</f>
        <v>229900</v>
      </c>
      <c r="O282" s="89">
        <f t="shared" si="43"/>
        <v>210917.431192661</v>
      </c>
      <c r="P282" s="91">
        <v>210917.43</v>
      </c>
      <c r="Q282" s="88"/>
      <c r="R282" s="75">
        <f t="shared" si="44"/>
        <v>210917.431192661</v>
      </c>
      <c r="S282" s="75">
        <f t="shared" si="45"/>
        <v>10545.871559633</v>
      </c>
      <c r="T282" s="75">
        <f t="shared" si="46"/>
        <v>0.00119266053661704</v>
      </c>
      <c r="U282" s="75">
        <f t="shared" si="47"/>
        <v>5.96330264670542e-5</v>
      </c>
    </row>
    <row r="283" hidden="1" spans="1:21">
      <c r="A283" s="55">
        <v>280</v>
      </c>
      <c r="B283" s="76" t="s">
        <v>2515</v>
      </c>
      <c r="C283" s="72">
        <v>68.13</v>
      </c>
      <c r="D283" s="73">
        <v>3200</v>
      </c>
      <c r="E283" s="73">
        <f t="shared" si="48"/>
        <v>218016</v>
      </c>
      <c r="F283" s="74" t="s">
        <v>2516</v>
      </c>
      <c r="G283" s="75">
        <v>218016</v>
      </c>
      <c r="H283" s="75">
        <f t="shared" si="41"/>
        <v>0</v>
      </c>
      <c r="I283" s="86">
        <f>VLOOKUP(B283,多浪小区账面房号及收款金额!$A$2:$B$474,2,0)</f>
        <v>218016</v>
      </c>
      <c r="J283" s="86"/>
      <c r="K283" s="87">
        <f t="shared" si="49"/>
        <v>0</v>
      </c>
      <c r="L283" s="88"/>
      <c r="M283" s="88"/>
      <c r="N283" s="89">
        <f>VLOOKUP(B283,[2]信息汇总表!$M$2:$T$816,8,0)</f>
        <v>218016</v>
      </c>
      <c r="O283" s="89">
        <f t="shared" si="43"/>
        <v>200014.678899083</v>
      </c>
      <c r="P283" s="91">
        <v>200014.68</v>
      </c>
      <c r="Q283" s="88"/>
      <c r="R283" s="75">
        <f t="shared" si="44"/>
        <v>200014.678899083</v>
      </c>
      <c r="S283" s="75">
        <f t="shared" si="45"/>
        <v>10000.7339449541</v>
      </c>
      <c r="T283" s="75">
        <f t="shared" si="46"/>
        <v>-0.00110091743408702</v>
      </c>
      <c r="U283" s="75">
        <f t="shared" si="47"/>
        <v>-5.50458717043512e-5</v>
      </c>
    </row>
    <row r="284" hidden="1" spans="1:21">
      <c r="A284" s="55">
        <v>281</v>
      </c>
      <c r="B284" s="76" t="s">
        <v>2517</v>
      </c>
      <c r="C284" s="72">
        <v>60.56</v>
      </c>
      <c r="D284" s="73">
        <v>3550</v>
      </c>
      <c r="E284" s="73">
        <f t="shared" si="48"/>
        <v>214988</v>
      </c>
      <c r="F284" s="74" t="s">
        <v>2518</v>
      </c>
      <c r="G284" s="75">
        <v>214988</v>
      </c>
      <c r="H284" s="75">
        <f t="shared" si="41"/>
        <v>0</v>
      </c>
      <c r="I284" s="86">
        <f>VLOOKUP(B284,多浪小区账面房号及收款金额!$A$2:$B$474,2,0)</f>
        <v>214988</v>
      </c>
      <c r="J284" s="86"/>
      <c r="K284" s="87">
        <f t="shared" si="49"/>
        <v>0</v>
      </c>
      <c r="L284" s="88"/>
      <c r="M284" s="88"/>
      <c r="N284" s="89">
        <f>VLOOKUP(B284,[2]信息汇总表!$M$2:$T$816,8,0)</f>
        <v>214988</v>
      </c>
      <c r="O284" s="89">
        <f t="shared" si="43"/>
        <v>197236.697247706</v>
      </c>
      <c r="P284" s="91">
        <v>197236.7</v>
      </c>
      <c r="Q284" s="88"/>
      <c r="R284" s="75">
        <f t="shared" si="44"/>
        <v>197236.697247706</v>
      </c>
      <c r="S284" s="75">
        <f t="shared" si="45"/>
        <v>9861.83486238532</v>
      </c>
      <c r="T284" s="75">
        <f t="shared" si="46"/>
        <v>-0.00275229359976947</v>
      </c>
      <c r="U284" s="75">
        <f t="shared" si="47"/>
        <v>-0.000137614679260878</v>
      </c>
    </row>
    <row r="285" hidden="1" spans="1:21">
      <c r="A285" s="55">
        <v>282</v>
      </c>
      <c r="B285" s="76" t="s">
        <v>2519</v>
      </c>
      <c r="C285" s="72">
        <v>57.89</v>
      </c>
      <c r="D285" s="73">
        <v>3530</v>
      </c>
      <c r="E285" s="73">
        <f t="shared" si="48"/>
        <v>204352</v>
      </c>
      <c r="F285" s="74" t="s">
        <v>2520</v>
      </c>
      <c r="G285" s="75">
        <v>204669</v>
      </c>
      <c r="H285" s="75">
        <f t="shared" si="41"/>
        <v>-317</v>
      </c>
      <c r="I285" s="86">
        <f>VLOOKUP(B285,多浪小区账面房号及收款金额!$A$2:$B$474,2,0)</f>
        <v>204669</v>
      </c>
      <c r="J285" s="86"/>
      <c r="K285" s="87">
        <f t="shared" si="49"/>
        <v>0</v>
      </c>
      <c r="L285" s="88"/>
      <c r="M285" s="88" t="s">
        <v>2330</v>
      </c>
      <c r="N285" s="89">
        <f>VLOOKUP(B285,[2]信息汇总表!$M$2:$T$816,8,0)</f>
        <v>204669</v>
      </c>
      <c r="O285" s="89">
        <f t="shared" si="43"/>
        <v>187769.724770642</v>
      </c>
      <c r="P285" s="91">
        <v>187769.72</v>
      </c>
      <c r="Q285" s="88"/>
      <c r="R285" s="75">
        <f t="shared" si="44"/>
        <v>187769.724770642</v>
      </c>
      <c r="S285" s="75">
        <f t="shared" si="45"/>
        <v>9388.48623853211</v>
      </c>
      <c r="T285" s="75">
        <f t="shared" si="46"/>
        <v>0.00477064217557199</v>
      </c>
      <c r="U285" s="75">
        <f t="shared" si="47"/>
        <v>0.000238532107687206</v>
      </c>
    </row>
    <row r="286" hidden="1" spans="1:21">
      <c r="A286" s="55">
        <v>283</v>
      </c>
      <c r="B286" s="76" t="s">
        <v>2521</v>
      </c>
      <c r="C286" s="72">
        <v>68.16</v>
      </c>
      <c r="D286" s="73">
        <v>3300</v>
      </c>
      <c r="E286" s="73">
        <f t="shared" ref="E286:E306" si="50">ROUND(IF(F286&lt;&gt;0,C286*D286,0),0)</f>
        <v>224928</v>
      </c>
      <c r="F286" s="74" t="s">
        <v>2522</v>
      </c>
      <c r="G286" s="75">
        <v>224928</v>
      </c>
      <c r="H286" s="75">
        <f t="shared" ref="H286:H309" si="51">E286-G286</f>
        <v>0</v>
      </c>
      <c r="I286" s="86">
        <f>VLOOKUP(B286,多浪小区账面房号及收款金额!$A$2:$B$474,2,0)</f>
        <v>224928</v>
      </c>
      <c r="J286" s="86"/>
      <c r="K286" s="87">
        <f t="shared" ref="K286:K306" si="52">G286-I286</f>
        <v>0</v>
      </c>
      <c r="L286" s="88"/>
      <c r="M286" s="88"/>
      <c r="N286" s="89">
        <f>VLOOKUP(B286,[2]信息汇总表!$M$2:$T$816,8,0)</f>
        <v>224928</v>
      </c>
      <c r="O286" s="89">
        <f t="shared" si="43"/>
        <v>206355.963302752</v>
      </c>
      <c r="P286" s="91">
        <v>206355.96</v>
      </c>
      <c r="Q286" s="88"/>
      <c r="R286" s="75">
        <f t="shared" si="44"/>
        <v>206355.963302752</v>
      </c>
      <c r="S286" s="75">
        <f t="shared" si="45"/>
        <v>10317.7981651376</v>
      </c>
      <c r="T286" s="75">
        <f t="shared" si="46"/>
        <v>0.00330275227315724</v>
      </c>
      <c r="U286" s="75">
        <f t="shared" si="47"/>
        <v>0.000165137613294064</v>
      </c>
    </row>
    <row r="287" hidden="1" spans="1:21">
      <c r="A287" s="55">
        <v>284</v>
      </c>
      <c r="B287" s="76" t="s">
        <v>2523</v>
      </c>
      <c r="C287" s="72">
        <v>68.13</v>
      </c>
      <c r="D287" s="73">
        <v>3300</v>
      </c>
      <c r="E287" s="73">
        <f t="shared" si="50"/>
        <v>224829</v>
      </c>
      <c r="F287" s="74" t="s">
        <v>2524</v>
      </c>
      <c r="G287" s="75">
        <v>224829</v>
      </c>
      <c r="H287" s="75">
        <f t="shared" si="51"/>
        <v>0</v>
      </c>
      <c r="I287" s="86">
        <f>VLOOKUP(B287,多浪小区账面房号及收款金额!$A$2:$B$474,2,0)</f>
        <v>224829</v>
      </c>
      <c r="J287" s="86"/>
      <c r="K287" s="87">
        <f t="shared" si="52"/>
        <v>0</v>
      </c>
      <c r="L287" s="88"/>
      <c r="M287" s="88"/>
      <c r="N287" s="89">
        <f>VLOOKUP(B287,[2]信息汇总表!$M$2:$T$816,8,0)</f>
        <v>224829</v>
      </c>
      <c r="O287" s="89">
        <f t="shared" si="43"/>
        <v>206265.137614679</v>
      </c>
      <c r="P287" s="91">
        <v>206265.14</v>
      </c>
      <c r="Q287" s="88"/>
      <c r="R287" s="75">
        <f t="shared" si="44"/>
        <v>206265.137614679</v>
      </c>
      <c r="S287" s="75">
        <f t="shared" si="45"/>
        <v>10313.2568807339</v>
      </c>
      <c r="T287" s="75">
        <f t="shared" si="46"/>
        <v>-0.00238532113144174</v>
      </c>
      <c r="U287" s="75">
        <f t="shared" si="47"/>
        <v>-0.000119266056572087</v>
      </c>
    </row>
    <row r="288" hidden="1" spans="1:21">
      <c r="A288" s="55">
        <v>285</v>
      </c>
      <c r="B288" s="76" t="s">
        <v>2525</v>
      </c>
      <c r="C288" s="72">
        <v>60.56</v>
      </c>
      <c r="D288" s="73">
        <v>3400</v>
      </c>
      <c r="E288" s="73">
        <f t="shared" si="50"/>
        <v>205904</v>
      </c>
      <c r="F288" s="74" t="s">
        <v>2526</v>
      </c>
      <c r="G288" s="75">
        <v>205904</v>
      </c>
      <c r="H288" s="75">
        <f t="shared" si="51"/>
        <v>0</v>
      </c>
      <c r="I288" s="86">
        <f>VLOOKUP(B288,多浪小区账面房号及收款金额!$A$2:$B$474,2,0)</f>
        <v>205904</v>
      </c>
      <c r="J288" s="86"/>
      <c r="K288" s="87">
        <f t="shared" si="52"/>
        <v>0</v>
      </c>
      <c r="L288" s="88"/>
      <c r="M288" s="88"/>
      <c r="N288" s="89">
        <f>VLOOKUP(B288,[2]信息汇总表!$M$2:$T$816,8,0)</f>
        <v>205904</v>
      </c>
      <c r="O288" s="89">
        <f t="shared" si="43"/>
        <v>188902.752293578</v>
      </c>
      <c r="P288" s="91">
        <v>188902.75</v>
      </c>
      <c r="Q288" s="88"/>
      <c r="R288" s="75">
        <f t="shared" si="44"/>
        <v>188902.752293578</v>
      </c>
      <c r="S288" s="75">
        <f t="shared" si="45"/>
        <v>9445.1376146789</v>
      </c>
      <c r="T288" s="75">
        <f t="shared" si="46"/>
        <v>0.00229357797070406</v>
      </c>
      <c r="U288" s="75">
        <f t="shared" si="47"/>
        <v>0.000114678898171405</v>
      </c>
    </row>
    <row r="289" hidden="1" spans="1:21">
      <c r="A289" s="55">
        <v>286</v>
      </c>
      <c r="B289" s="76" t="s">
        <v>2527</v>
      </c>
      <c r="C289" s="72">
        <v>57.98</v>
      </c>
      <c r="D289" s="73">
        <v>3350</v>
      </c>
      <c r="E289" s="73">
        <f t="shared" si="50"/>
        <v>194233</v>
      </c>
      <c r="F289" s="74" t="s">
        <v>2528</v>
      </c>
      <c r="G289" s="75">
        <v>194233</v>
      </c>
      <c r="H289" s="75">
        <f t="shared" si="51"/>
        <v>0</v>
      </c>
      <c r="I289" s="86">
        <f>VLOOKUP(B289,多浪小区账面房号及收款金额!$A$2:$B$474,2,0)</f>
        <v>194233</v>
      </c>
      <c r="J289" s="86"/>
      <c r="K289" s="87">
        <f t="shared" si="52"/>
        <v>0</v>
      </c>
      <c r="L289" s="88"/>
      <c r="M289" s="88"/>
      <c r="N289" s="89">
        <f>VLOOKUP(B289,[2]信息汇总表!$M$2:$T$816,8,0)</f>
        <v>194233</v>
      </c>
      <c r="O289" s="89">
        <f t="shared" si="43"/>
        <v>178195.412844037</v>
      </c>
      <c r="P289" s="91">
        <v>178195.41</v>
      </c>
      <c r="Q289" s="88"/>
      <c r="R289" s="75">
        <f t="shared" si="44"/>
        <v>178195.412844037</v>
      </c>
      <c r="S289" s="75">
        <f t="shared" si="45"/>
        <v>8909.77064220183</v>
      </c>
      <c r="T289" s="75">
        <f t="shared" si="46"/>
        <v>0.00284403667319566</v>
      </c>
      <c r="U289" s="75">
        <f t="shared" si="47"/>
        <v>0.000142201834023581</v>
      </c>
    </row>
    <row r="290" hidden="1" spans="1:21">
      <c r="A290" s="55">
        <v>287</v>
      </c>
      <c r="B290" s="76" t="s">
        <v>2529</v>
      </c>
      <c r="C290" s="72">
        <v>68.16</v>
      </c>
      <c r="D290" s="73">
        <v>3053</v>
      </c>
      <c r="E290" s="73">
        <f t="shared" si="50"/>
        <v>208092</v>
      </c>
      <c r="F290" s="74" t="s">
        <v>2530</v>
      </c>
      <c r="G290" s="75">
        <v>208112</v>
      </c>
      <c r="H290" s="75">
        <f t="shared" si="51"/>
        <v>-20</v>
      </c>
      <c r="I290" s="86">
        <f>VLOOKUP(B290,多浪小区账面房号及收款金额!$A$2:$B$474,2,0)</f>
        <v>208112</v>
      </c>
      <c r="J290" s="86"/>
      <c r="K290" s="87">
        <f t="shared" si="52"/>
        <v>0</v>
      </c>
      <c r="L290" s="88"/>
      <c r="M290" s="88"/>
      <c r="N290" s="89">
        <f>VLOOKUP(B290,[2]信息汇总表!$M$2:$T$816,8,0)</f>
        <v>208092</v>
      </c>
      <c r="O290" s="89">
        <f t="shared" si="43"/>
        <v>190910.091743119</v>
      </c>
      <c r="P290" s="91">
        <v>190910.09</v>
      </c>
      <c r="Q290" s="88"/>
      <c r="R290" s="75">
        <f t="shared" si="44"/>
        <v>190928.440366972</v>
      </c>
      <c r="S290" s="75">
        <f t="shared" si="45"/>
        <v>9546.42201834862</v>
      </c>
      <c r="T290" s="75">
        <f t="shared" si="46"/>
        <v>18.3503669724741</v>
      </c>
      <c r="U290" s="75">
        <f t="shared" si="47"/>
        <v>0.917518348622252</v>
      </c>
    </row>
    <row r="291" hidden="1" spans="1:21">
      <c r="A291" s="55">
        <v>288</v>
      </c>
      <c r="B291" s="76" t="s">
        <v>2531</v>
      </c>
      <c r="C291" s="72">
        <v>68.13</v>
      </c>
      <c r="D291" s="73">
        <v>2935.56</v>
      </c>
      <c r="E291" s="73">
        <f t="shared" si="50"/>
        <v>200000</v>
      </c>
      <c r="F291" s="74" t="s">
        <v>2532</v>
      </c>
      <c r="G291" s="75">
        <v>200000</v>
      </c>
      <c r="H291" s="75">
        <f t="shared" si="51"/>
        <v>0</v>
      </c>
      <c r="I291" s="86">
        <f>VLOOKUP(B291,多浪小区账面房号及收款金额!$A$2:$B$474,2,0)</f>
        <v>200000</v>
      </c>
      <c r="J291" s="86"/>
      <c r="K291" s="87">
        <f t="shared" si="52"/>
        <v>0</v>
      </c>
      <c r="L291" s="88"/>
      <c r="M291" s="88"/>
      <c r="N291" s="89">
        <f>VLOOKUP(B291,[2]信息汇总表!$M$2:$T$816,8,0)</f>
        <v>200000</v>
      </c>
      <c r="O291" s="89">
        <f t="shared" si="43"/>
        <v>183486.23853211</v>
      </c>
      <c r="P291" s="91">
        <v>183486.24</v>
      </c>
      <c r="Q291" s="88"/>
      <c r="R291" s="75">
        <f t="shared" si="44"/>
        <v>183486.23853211</v>
      </c>
      <c r="S291" s="75">
        <f t="shared" si="45"/>
        <v>9174.31192660551</v>
      </c>
      <c r="T291" s="75">
        <f t="shared" si="46"/>
        <v>-0.00146788990241475</v>
      </c>
      <c r="U291" s="75">
        <f t="shared" si="47"/>
        <v>-7.33944943931419e-5</v>
      </c>
    </row>
    <row r="292" hidden="1" spans="1:21">
      <c r="A292" s="55">
        <v>289</v>
      </c>
      <c r="B292" s="76" t="s">
        <v>2533</v>
      </c>
      <c r="C292" s="72">
        <v>60.56</v>
      </c>
      <c r="D292" s="73">
        <v>3000</v>
      </c>
      <c r="E292" s="73">
        <f t="shared" si="50"/>
        <v>181680</v>
      </c>
      <c r="F292" s="74" t="s">
        <v>2534</v>
      </c>
      <c r="G292" s="75">
        <v>181680</v>
      </c>
      <c r="H292" s="75">
        <f t="shared" si="51"/>
        <v>0</v>
      </c>
      <c r="I292" s="86">
        <f>VLOOKUP(B292,多浪小区账面房号及收款金额!$A$2:$B$474,2,0)</f>
        <v>181680</v>
      </c>
      <c r="J292" s="86"/>
      <c r="K292" s="87">
        <f t="shared" si="52"/>
        <v>0</v>
      </c>
      <c r="L292" s="88"/>
      <c r="M292" s="88"/>
      <c r="N292" s="89">
        <f>VLOOKUP(B292,[2]信息汇总表!$M$2:$T$816,8,0)</f>
        <v>181680</v>
      </c>
      <c r="O292" s="89">
        <f t="shared" si="43"/>
        <v>166678.899082569</v>
      </c>
      <c r="P292" s="91">
        <v>166678.9</v>
      </c>
      <c r="Q292" s="88"/>
      <c r="R292" s="75">
        <f t="shared" si="44"/>
        <v>166678.899082569</v>
      </c>
      <c r="S292" s="75">
        <f t="shared" si="45"/>
        <v>8333.94495412844</v>
      </c>
      <c r="T292" s="75">
        <f t="shared" si="46"/>
        <v>-0.000917431199923158</v>
      </c>
      <c r="U292" s="75">
        <f t="shared" si="47"/>
        <v>-4.58715603599558e-5</v>
      </c>
    </row>
    <row r="293" hidden="1" spans="1:21">
      <c r="A293" s="55">
        <v>290</v>
      </c>
      <c r="B293" s="76" t="s">
        <v>2535</v>
      </c>
      <c r="C293" s="72">
        <v>57.98</v>
      </c>
      <c r="D293" s="73">
        <v>3100</v>
      </c>
      <c r="E293" s="73">
        <f t="shared" si="50"/>
        <v>179738</v>
      </c>
      <c r="F293" s="74" t="s">
        <v>2536</v>
      </c>
      <c r="G293" s="75">
        <v>179738</v>
      </c>
      <c r="H293" s="75">
        <f t="shared" si="51"/>
        <v>0</v>
      </c>
      <c r="I293" s="86">
        <f>VLOOKUP(B293,多浪小区账面房号及收款金额!$A$2:$B$474,2,0)</f>
        <v>179738</v>
      </c>
      <c r="J293" s="86"/>
      <c r="K293" s="87">
        <f t="shared" si="52"/>
        <v>0</v>
      </c>
      <c r="L293" s="88"/>
      <c r="M293" s="88"/>
      <c r="N293" s="89">
        <f>VLOOKUP(B293,[2]信息汇总表!$M$2:$T$816,8,0)</f>
        <v>179738</v>
      </c>
      <c r="O293" s="89">
        <f t="shared" si="43"/>
        <v>164897.247706422</v>
      </c>
      <c r="P293" s="91">
        <v>164897.25</v>
      </c>
      <c r="Q293" s="88"/>
      <c r="R293" s="75">
        <f t="shared" si="44"/>
        <v>164897.247706422</v>
      </c>
      <c r="S293" s="75">
        <f t="shared" si="45"/>
        <v>8244.8623853211</v>
      </c>
      <c r="T293" s="75">
        <f t="shared" si="46"/>
        <v>-0.00229357799980789</v>
      </c>
      <c r="U293" s="75">
        <f t="shared" si="47"/>
        <v>-0.000114678899990395</v>
      </c>
    </row>
    <row r="294" hidden="1" spans="1:21">
      <c r="A294" s="55">
        <v>291</v>
      </c>
      <c r="B294" s="76" t="s">
        <v>2537</v>
      </c>
      <c r="C294" s="72">
        <v>68.16</v>
      </c>
      <c r="D294" s="73">
        <v>2780</v>
      </c>
      <c r="E294" s="73">
        <f t="shared" si="50"/>
        <v>189485</v>
      </c>
      <c r="F294" s="74" t="s">
        <v>2538</v>
      </c>
      <c r="G294" s="75">
        <v>189485</v>
      </c>
      <c r="H294" s="75">
        <f t="shared" si="51"/>
        <v>0</v>
      </c>
      <c r="I294" s="86">
        <f>VLOOKUP(B294,多浪小区账面房号及收款金额!$A$2:$B$474,2,0)</f>
        <v>189485</v>
      </c>
      <c r="J294" s="86"/>
      <c r="K294" s="87">
        <f t="shared" si="52"/>
        <v>0</v>
      </c>
      <c r="L294" s="88"/>
      <c r="M294" s="88"/>
      <c r="N294" s="89">
        <f>VLOOKUP(B294,[2]信息汇总表!$M$2:$T$816,8,0)</f>
        <v>189485</v>
      </c>
      <c r="O294" s="89">
        <f t="shared" si="43"/>
        <v>173839.449541284</v>
      </c>
      <c r="P294" s="91">
        <v>173839.45</v>
      </c>
      <c r="Q294" s="88"/>
      <c r="R294" s="75">
        <f t="shared" si="44"/>
        <v>173839.449541284</v>
      </c>
      <c r="S294" s="75">
        <f t="shared" si="45"/>
        <v>8691.97247706422</v>
      </c>
      <c r="T294" s="75">
        <f t="shared" si="46"/>
        <v>-0.000458715629065409</v>
      </c>
      <c r="U294" s="75">
        <f t="shared" si="47"/>
        <v>-2.2935782908462e-5</v>
      </c>
    </row>
    <row r="295" hidden="1" spans="1:21">
      <c r="A295" s="55">
        <v>292</v>
      </c>
      <c r="B295" s="76" t="s">
        <v>2539</v>
      </c>
      <c r="C295" s="72">
        <v>68.13</v>
      </c>
      <c r="D295" s="73">
        <v>2964.92</v>
      </c>
      <c r="E295" s="73">
        <f t="shared" si="50"/>
        <v>202000</v>
      </c>
      <c r="F295" s="74" t="s">
        <v>2540</v>
      </c>
      <c r="G295" s="75">
        <v>202000</v>
      </c>
      <c r="H295" s="75">
        <f t="shared" si="51"/>
        <v>0</v>
      </c>
      <c r="I295" s="86">
        <f>VLOOKUP(B295,多浪小区账面房号及收款金额!$A$2:$B$474,2,0)</f>
        <v>202000</v>
      </c>
      <c r="J295" s="86"/>
      <c r="K295" s="87">
        <f t="shared" si="52"/>
        <v>0</v>
      </c>
      <c r="L295" s="88"/>
      <c r="M295" s="88"/>
      <c r="N295" s="89">
        <f>VLOOKUP(B295,[2]信息汇总表!$M$2:$T$816,8,0)</f>
        <v>202000</v>
      </c>
      <c r="O295" s="89">
        <f t="shared" si="43"/>
        <v>185321.100917431</v>
      </c>
      <c r="P295" s="91">
        <v>185321.1</v>
      </c>
      <c r="Q295" s="88"/>
      <c r="R295" s="75">
        <f t="shared" si="44"/>
        <v>185321.100917431</v>
      </c>
      <c r="S295" s="75">
        <f t="shared" si="45"/>
        <v>9266.05504587156</v>
      </c>
      <c r="T295" s="75">
        <f t="shared" si="46"/>
        <v>0.000917431170819327</v>
      </c>
      <c r="U295" s="75">
        <f t="shared" si="47"/>
        <v>4.58715585409664e-5</v>
      </c>
    </row>
    <row r="296" hidden="1" spans="1:21">
      <c r="A296" s="55">
        <v>293</v>
      </c>
      <c r="B296" s="76" t="s">
        <v>2541</v>
      </c>
      <c r="C296" s="72">
        <v>60.56</v>
      </c>
      <c r="D296" s="73">
        <v>2850</v>
      </c>
      <c r="E296" s="73">
        <f t="shared" si="50"/>
        <v>172596</v>
      </c>
      <c r="F296" s="74" t="s">
        <v>2542</v>
      </c>
      <c r="G296" s="75">
        <v>172596</v>
      </c>
      <c r="H296" s="75">
        <f t="shared" si="51"/>
        <v>0</v>
      </c>
      <c r="I296" s="86">
        <f>VLOOKUP(B296,多浪小区账面房号及收款金额!$A$2:$B$474,2,0)</f>
        <v>172596</v>
      </c>
      <c r="J296" s="86"/>
      <c r="K296" s="87">
        <f t="shared" si="52"/>
        <v>0</v>
      </c>
      <c r="L296" s="88"/>
      <c r="M296" s="88"/>
      <c r="N296" s="89">
        <f>VLOOKUP(B296,[2]信息汇总表!$M$2:$T$816,8,0)</f>
        <v>172596</v>
      </c>
      <c r="O296" s="89">
        <f t="shared" si="43"/>
        <v>158344.95412844</v>
      </c>
      <c r="P296" s="91">
        <v>158344.95</v>
      </c>
      <c r="Q296" s="88"/>
      <c r="R296" s="75">
        <f t="shared" si="44"/>
        <v>158344.95412844</v>
      </c>
      <c r="S296" s="75">
        <f t="shared" si="45"/>
        <v>7917.24770642202</v>
      </c>
      <c r="T296" s="75">
        <f t="shared" si="46"/>
        <v>0.00412844034144655</v>
      </c>
      <c r="U296" s="75">
        <f t="shared" si="47"/>
        <v>0.000206422017072327</v>
      </c>
    </row>
    <row r="297" hidden="1" spans="1:21">
      <c r="A297" s="55">
        <v>294</v>
      </c>
      <c r="B297" s="76" t="s">
        <v>2543</v>
      </c>
      <c r="C297" s="72">
        <v>57.98</v>
      </c>
      <c r="D297" s="73">
        <v>2830</v>
      </c>
      <c r="E297" s="73">
        <f t="shared" si="50"/>
        <v>164083</v>
      </c>
      <c r="F297" s="74" t="s">
        <v>2544</v>
      </c>
      <c r="G297" s="75">
        <v>164084</v>
      </c>
      <c r="H297" s="75">
        <f t="shared" si="51"/>
        <v>-1</v>
      </c>
      <c r="I297" s="86">
        <f>VLOOKUP(B297,多浪小区账面房号及收款金额!$A$2:$B$474,2,0)</f>
        <v>164084</v>
      </c>
      <c r="J297" s="86"/>
      <c r="K297" s="87">
        <f t="shared" si="52"/>
        <v>0</v>
      </c>
      <c r="L297" s="88"/>
      <c r="M297" s="88"/>
      <c r="N297" s="89">
        <f>VLOOKUP(B297,[2]信息汇总表!$M$2:$T$816,8,0)</f>
        <v>164084</v>
      </c>
      <c r="O297" s="89">
        <f t="shared" si="43"/>
        <v>150535.779816514</v>
      </c>
      <c r="P297" s="91">
        <v>150535.779816514</v>
      </c>
      <c r="Q297" s="88"/>
      <c r="R297" s="75">
        <f t="shared" si="44"/>
        <v>150535.779816514</v>
      </c>
      <c r="S297" s="75">
        <f t="shared" si="45"/>
        <v>7526.78899082569</v>
      </c>
      <c r="T297" s="75">
        <f t="shared" si="46"/>
        <v>-2.3283064365387e-10</v>
      </c>
      <c r="U297" s="75">
        <f t="shared" si="47"/>
        <v>-1.18234311230481e-11</v>
      </c>
    </row>
    <row r="298" hidden="1" spans="1:21">
      <c r="A298" s="55">
        <v>295</v>
      </c>
      <c r="B298" s="76" t="s">
        <v>2545</v>
      </c>
      <c r="C298" s="72">
        <v>57.98</v>
      </c>
      <c r="D298" s="73">
        <v>3242.5</v>
      </c>
      <c r="E298" s="73">
        <f t="shared" si="50"/>
        <v>188000</v>
      </c>
      <c r="F298" s="74" t="s">
        <v>2546</v>
      </c>
      <c r="G298" s="75">
        <v>188000</v>
      </c>
      <c r="H298" s="75">
        <f t="shared" si="51"/>
        <v>0</v>
      </c>
      <c r="I298" s="86">
        <f>VLOOKUP(B298,多浪小区账面房号及收款金额!$A$2:$B$474,2,0)</f>
        <v>188000</v>
      </c>
      <c r="J298" s="86"/>
      <c r="K298" s="87">
        <f t="shared" si="52"/>
        <v>0</v>
      </c>
      <c r="L298" s="88"/>
      <c r="M298" s="88"/>
      <c r="N298" s="89">
        <f>VLOOKUP(B298,[2]信息汇总表!$M$2:$T$816,8,0)</f>
        <v>188000</v>
      </c>
      <c r="O298" s="89">
        <f t="shared" si="43"/>
        <v>172477.064220183</v>
      </c>
      <c r="P298" s="91">
        <v>172477.06</v>
      </c>
      <c r="Q298" s="88"/>
      <c r="R298" s="75">
        <f t="shared" si="44"/>
        <v>172477.064220183</v>
      </c>
      <c r="S298" s="75">
        <f t="shared" si="45"/>
        <v>8623.85321100917</v>
      </c>
      <c r="T298" s="75">
        <f t="shared" si="46"/>
        <v>0.0042201834730804</v>
      </c>
      <c r="U298" s="75">
        <f t="shared" si="47"/>
        <v>0.00021100917365402</v>
      </c>
    </row>
    <row r="299" hidden="1" spans="1:21">
      <c r="A299" s="55">
        <v>296</v>
      </c>
      <c r="B299" s="76" t="s">
        <v>2547</v>
      </c>
      <c r="C299" s="72">
        <v>60.56</v>
      </c>
      <c r="D299" s="73">
        <v>3200</v>
      </c>
      <c r="E299" s="73">
        <f t="shared" si="50"/>
        <v>193792</v>
      </c>
      <c r="F299" s="74" t="s">
        <v>2548</v>
      </c>
      <c r="G299" s="75">
        <v>193792</v>
      </c>
      <c r="H299" s="75">
        <f t="shared" si="51"/>
        <v>0</v>
      </c>
      <c r="I299" s="86">
        <f>VLOOKUP(B299,多浪小区账面房号及收款金额!$A$2:$B$474,2,0)</f>
        <v>193792</v>
      </c>
      <c r="J299" s="86"/>
      <c r="K299" s="87">
        <f t="shared" si="52"/>
        <v>0</v>
      </c>
      <c r="L299" s="88"/>
      <c r="M299" s="88"/>
      <c r="N299" s="89">
        <f>VLOOKUP(B299,[2]信息汇总表!$M$2:$T$816,8,0)</f>
        <v>193792</v>
      </c>
      <c r="O299" s="89">
        <f t="shared" si="43"/>
        <v>177790.825688073</v>
      </c>
      <c r="P299" s="91">
        <v>177790.825688073</v>
      </c>
      <c r="Q299" s="88"/>
      <c r="R299" s="75">
        <f t="shared" si="44"/>
        <v>177790.825688073</v>
      </c>
      <c r="S299" s="75">
        <f t="shared" si="45"/>
        <v>8889.54128440367</v>
      </c>
      <c r="T299" s="75">
        <f t="shared" si="46"/>
        <v>3.78349795937538e-10</v>
      </c>
      <c r="U299" s="75">
        <f t="shared" si="47"/>
        <v>1.81898940354586e-11</v>
      </c>
    </row>
    <row r="300" hidden="1" spans="1:21">
      <c r="A300" s="55">
        <v>297</v>
      </c>
      <c r="B300" s="76" t="s">
        <v>2549</v>
      </c>
      <c r="C300" s="72">
        <v>68.13</v>
      </c>
      <c r="D300" s="73">
        <v>3243.8</v>
      </c>
      <c r="E300" s="73">
        <f t="shared" si="50"/>
        <v>221000</v>
      </c>
      <c r="F300" s="74" t="s">
        <v>2550</v>
      </c>
      <c r="G300" s="75">
        <v>221000</v>
      </c>
      <c r="H300" s="75">
        <f t="shared" si="51"/>
        <v>0</v>
      </c>
      <c r="I300" s="86">
        <f>VLOOKUP(B300,多浪小区账面房号及收款金额!$A$2:$B$474,2,0)</f>
        <v>221000</v>
      </c>
      <c r="J300" s="86"/>
      <c r="K300" s="87">
        <f t="shared" si="52"/>
        <v>0</v>
      </c>
      <c r="L300" s="88"/>
      <c r="M300" s="88"/>
      <c r="N300" s="89">
        <f>VLOOKUP(B300,[2]信息汇总表!$M$2:$T$816,8,0)</f>
        <v>221000</v>
      </c>
      <c r="O300" s="89">
        <f t="shared" si="43"/>
        <v>202752.293577982</v>
      </c>
      <c r="P300" s="91">
        <v>202752.29</v>
      </c>
      <c r="Q300" s="88"/>
      <c r="R300" s="75">
        <f t="shared" si="44"/>
        <v>202752.293577982</v>
      </c>
      <c r="S300" s="75">
        <f t="shared" si="45"/>
        <v>10137.6146788991</v>
      </c>
      <c r="T300" s="75">
        <f t="shared" si="46"/>
        <v>0.00357798163895495</v>
      </c>
      <c r="U300" s="75">
        <f t="shared" si="47"/>
        <v>0.000178899081220152</v>
      </c>
    </row>
    <row r="301" hidden="1" spans="1:21">
      <c r="A301" s="55">
        <v>298</v>
      </c>
      <c r="B301" s="76" t="s">
        <v>2551</v>
      </c>
      <c r="C301" s="72">
        <v>68.16</v>
      </c>
      <c r="D301" s="73">
        <v>3240</v>
      </c>
      <c r="E301" s="73">
        <f t="shared" si="50"/>
        <v>220838</v>
      </c>
      <c r="F301" s="74" t="s">
        <v>2552</v>
      </c>
      <c r="G301" s="75">
        <v>220838</v>
      </c>
      <c r="H301" s="75">
        <f t="shared" si="51"/>
        <v>0</v>
      </c>
      <c r="I301" s="86">
        <f>VLOOKUP(B301,多浪小区账面房号及收款金额!$A$2:$B$474,2,0)</f>
        <v>220838</v>
      </c>
      <c r="J301" s="86"/>
      <c r="K301" s="87">
        <f t="shared" si="52"/>
        <v>0</v>
      </c>
      <c r="L301" s="88"/>
      <c r="M301" s="88"/>
      <c r="N301" s="89">
        <f>VLOOKUP(B301,[2]信息汇总表!$M$2:$T$816,8,0)</f>
        <v>220838</v>
      </c>
      <c r="O301" s="89">
        <f t="shared" si="43"/>
        <v>202603.669724771</v>
      </c>
      <c r="P301" s="91">
        <v>202603.67</v>
      </c>
      <c r="Q301" s="88"/>
      <c r="R301" s="75">
        <f t="shared" si="44"/>
        <v>202603.669724771</v>
      </c>
      <c r="S301" s="75">
        <f t="shared" si="45"/>
        <v>10130.1834862385</v>
      </c>
      <c r="T301" s="75">
        <f t="shared" si="46"/>
        <v>-0.000275229394901544</v>
      </c>
      <c r="U301" s="75">
        <f t="shared" si="47"/>
        <v>-1.37614697450772e-5</v>
      </c>
    </row>
    <row r="302" hidden="1" spans="1:21">
      <c r="A302" s="55">
        <v>299</v>
      </c>
      <c r="B302" s="76" t="s">
        <v>2553</v>
      </c>
      <c r="C302" s="72">
        <v>57.98</v>
      </c>
      <c r="D302" s="73">
        <v>3600</v>
      </c>
      <c r="E302" s="73">
        <f t="shared" si="50"/>
        <v>208728</v>
      </c>
      <c r="F302" s="74" t="s">
        <v>2554</v>
      </c>
      <c r="G302" s="75">
        <v>204495</v>
      </c>
      <c r="H302" s="75">
        <f t="shared" si="51"/>
        <v>4233</v>
      </c>
      <c r="I302" s="86">
        <f>VLOOKUP(B302,多浪小区账面房号及收款金额!$A$2:$B$474,2,0)+'2023年8-11月预收账款'!K10</f>
        <v>204495</v>
      </c>
      <c r="J302" s="86"/>
      <c r="K302" s="87">
        <f t="shared" si="52"/>
        <v>0</v>
      </c>
      <c r="L302" s="92"/>
      <c r="M302" s="88"/>
      <c r="N302" s="89"/>
      <c r="O302" s="89">
        <f t="shared" si="43"/>
        <v>0</v>
      </c>
      <c r="P302" s="91"/>
      <c r="Q302" s="88"/>
      <c r="R302" s="75">
        <f t="shared" si="44"/>
        <v>187610.091743119</v>
      </c>
      <c r="S302" s="75">
        <f t="shared" si="45"/>
        <v>9380.50458715596</v>
      </c>
      <c r="T302" s="75">
        <f t="shared" si="46"/>
        <v>187610.091743119</v>
      </c>
      <c r="U302" s="75">
        <f t="shared" si="47"/>
        <v>9380.50458715596</v>
      </c>
    </row>
    <row r="303" hidden="1" spans="1:21">
      <c r="A303" s="55">
        <v>300</v>
      </c>
      <c r="B303" s="76" t="s">
        <v>2555</v>
      </c>
      <c r="C303" s="72">
        <v>60.56</v>
      </c>
      <c r="D303" s="73">
        <v>3450</v>
      </c>
      <c r="E303" s="73">
        <f t="shared" si="50"/>
        <v>208932</v>
      </c>
      <c r="F303" s="74" t="s">
        <v>2556</v>
      </c>
      <c r="G303" s="75">
        <v>208932</v>
      </c>
      <c r="H303" s="75">
        <f t="shared" si="51"/>
        <v>0</v>
      </c>
      <c r="I303" s="86">
        <f>VLOOKUP(B303,多浪小区账面房号及收款金额!$A$2:$B$474,2,0)</f>
        <v>208932</v>
      </c>
      <c r="J303" s="86"/>
      <c r="K303" s="87">
        <f t="shared" si="52"/>
        <v>0</v>
      </c>
      <c r="L303" s="88"/>
      <c r="M303" s="88"/>
      <c r="N303" s="89">
        <f>VLOOKUP(B303,[2]信息汇总表!$M$2:$T$816,8,0)</f>
        <v>208932</v>
      </c>
      <c r="O303" s="89">
        <f t="shared" si="43"/>
        <v>191680.733944954</v>
      </c>
      <c r="P303" s="91">
        <v>191680.73</v>
      </c>
      <c r="Q303" s="88"/>
      <c r="R303" s="75">
        <f t="shared" si="44"/>
        <v>191680.733944954</v>
      </c>
      <c r="S303" s="75">
        <f t="shared" si="45"/>
        <v>9584.03669724771</v>
      </c>
      <c r="T303" s="75">
        <f t="shared" si="46"/>
        <v>0.00394495410728268</v>
      </c>
      <c r="U303" s="75">
        <f t="shared" si="47"/>
        <v>0.000197247705727932</v>
      </c>
    </row>
    <row r="304" hidden="1" spans="1:21">
      <c r="A304" s="55">
        <v>301</v>
      </c>
      <c r="B304" s="76" t="s">
        <v>2557</v>
      </c>
      <c r="C304" s="72">
        <v>68.13</v>
      </c>
      <c r="D304" s="73">
        <v>3313.22</v>
      </c>
      <c r="E304" s="73">
        <f t="shared" si="50"/>
        <v>225730</v>
      </c>
      <c r="F304" s="74" t="s">
        <v>2558</v>
      </c>
      <c r="G304" s="75">
        <v>225730</v>
      </c>
      <c r="H304" s="75">
        <f t="shared" si="51"/>
        <v>0</v>
      </c>
      <c r="I304" s="86">
        <f>VLOOKUP(B304,多浪小区账面房号及收款金额!$A$2:$B$474,2,0)</f>
        <v>225730</v>
      </c>
      <c r="J304" s="86"/>
      <c r="K304" s="87">
        <f t="shared" si="52"/>
        <v>0</v>
      </c>
      <c r="L304" s="88"/>
      <c r="M304" s="88"/>
      <c r="N304" s="89">
        <f>VLOOKUP(B304,[2]信息汇总表!$M$2:$T$816,8,0)</f>
        <v>225730</v>
      </c>
      <c r="O304" s="89">
        <f t="shared" si="43"/>
        <v>207091.743119266</v>
      </c>
      <c r="P304" s="91">
        <v>207091.74</v>
      </c>
      <c r="Q304" s="88"/>
      <c r="R304" s="75">
        <f t="shared" si="44"/>
        <v>207091.743119266</v>
      </c>
      <c r="S304" s="75">
        <f t="shared" si="45"/>
        <v>10354.5871559633</v>
      </c>
      <c r="T304" s="75">
        <f t="shared" si="46"/>
        <v>0.00311926603899337</v>
      </c>
      <c r="U304" s="75">
        <f t="shared" si="47"/>
        <v>0.000155963301949669</v>
      </c>
    </row>
    <row r="305" hidden="1" spans="1:21">
      <c r="A305" s="55">
        <v>302</v>
      </c>
      <c r="B305" s="76" t="s">
        <v>2559</v>
      </c>
      <c r="C305" s="72">
        <v>68.16</v>
      </c>
      <c r="D305" s="73">
        <v>3400</v>
      </c>
      <c r="E305" s="73">
        <f t="shared" si="50"/>
        <v>231744</v>
      </c>
      <c r="F305" s="74" t="s">
        <v>2560</v>
      </c>
      <c r="G305" s="75">
        <v>231744</v>
      </c>
      <c r="H305" s="75">
        <f t="shared" si="51"/>
        <v>0</v>
      </c>
      <c r="I305" s="86">
        <f>VLOOKUP(B305,多浪小区账面房号及收款金额!$A$2:$B$474,2,0)</f>
        <v>231744</v>
      </c>
      <c r="J305" s="86"/>
      <c r="K305" s="87">
        <f t="shared" si="52"/>
        <v>0</v>
      </c>
      <c r="L305" s="92"/>
      <c r="M305" s="88"/>
      <c r="N305" s="89"/>
      <c r="O305" s="89">
        <f t="shared" si="43"/>
        <v>0</v>
      </c>
      <c r="P305" s="91"/>
      <c r="Q305" s="88"/>
      <c r="R305" s="75">
        <f t="shared" si="44"/>
        <v>212609.174311927</v>
      </c>
      <c r="S305" s="75">
        <f t="shared" si="45"/>
        <v>10630.4587155963</v>
      </c>
      <c r="T305" s="75">
        <f t="shared" si="46"/>
        <v>212609.174311927</v>
      </c>
      <c r="U305" s="75">
        <f t="shared" si="47"/>
        <v>10630.4587155963</v>
      </c>
    </row>
    <row r="306" hidden="1" spans="1:21">
      <c r="A306" s="55">
        <v>303</v>
      </c>
      <c r="B306" s="76" t="s">
        <v>2561</v>
      </c>
      <c r="C306" s="72">
        <v>57.98</v>
      </c>
      <c r="D306" s="73">
        <v>3500</v>
      </c>
      <c r="E306" s="73">
        <f t="shared" si="50"/>
        <v>202930</v>
      </c>
      <c r="F306" s="74" t="s">
        <v>2562</v>
      </c>
      <c r="G306" s="75">
        <v>202930</v>
      </c>
      <c r="H306" s="75">
        <f t="shared" si="51"/>
        <v>0</v>
      </c>
      <c r="I306" s="86">
        <f>VLOOKUP(B306,多浪小区账面房号及收款金额!$A$2:$B$474,2,0)</f>
        <v>207930</v>
      </c>
      <c r="J306" s="86"/>
      <c r="K306" s="87">
        <f t="shared" si="52"/>
        <v>-5000</v>
      </c>
      <c r="L306" s="88" t="s">
        <v>2563</v>
      </c>
      <c r="M306" s="88" t="s">
        <v>2330</v>
      </c>
      <c r="N306" s="89">
        <f>VLOOKUP(B306,[2]信息汇总表!$M$2:$T$816,8,0)</f>
        <v>202930</v>
      </c>
      <c r="O306" s="89">
        <f t="shared" si="43"/>
        <v>186174.311926605</v>
      </c>
      <c r="P306" s="91">
        <v>186174.31</v>
      </c>
      <c r="Q306" s="88"/>
      <c r="R306" s="75">
        <f t="shared" si="44"/>
        <v>190761.467889908</v>
      </c>
      <c r="S306" s="75">
        <f t="shared" si="45"/>
        <v>9538.07339449541</v>
      </c>
      <c r="T306" s="75">
        <f t="shared" si="46"/>
        <v>4587.15788990824</v>
      </c>
      <c r="U306" s="75">
        <f t="shared" si="47"/>
        <v>229.357894495412</v>
      </c>
    </row>
    <row r="307" hidden="1" spans="1:21">
      <c r="A307" s="55">
        <v>304</v>
      </c>
      <c r="B307" s="76" t="s">
        <v>2564</v>
      </c>
      <c r="C307" s="72">
        <v>60.56</v>
      </c>
      <c r="D307" s="73">
        <v>3354.87</v>
      </c>
      <c r="E307" s="73">
        <f t="shared" ref="E307:E312" si="53">ROUND(IF(F307&lt;&gt;0,C307*D307,0),0)</f>
        <v>203171</v>
      </c>
      <c r="F307" s="74" t="s">
        <v>2565</v>
      </c>
      <c r="G307" s="75">
        <v>203171</v>
      </c>
      <c r="H307" s="75">
        <f t="shared" si="51"/>
        <v>0</v>
      </c>
      <c r="I307" s="86">
        <f>VLOOKUP(B307,多浪小区账面房号及收款金额!$A$2:$B$474,2,0)</f>
        <v>203171</v>
      </c>
      <c r="J307" s="86"/>
      <c r="K307" s="87">
        <f t="shared" ref="K307:K336" si="54">G307-I307</f>
        <v>0</v>
      </c>
      <c r="L307" s="88"/>
      <c r="M307" s="88"/>
      <c r="N307" s="89">
        <f>VLOOKUP(B307,[2]信息汇总表!$M$2:$T$816,8,0)</f>
        <v>203171</v>
      </c>
      <c r="O307" s="89">
        <f t="shared" si="43"/>
        <v>186395.412844037</v>
      </c>
      <c r="P307" s="91">
        <v>186395.41</v>
      </c>
      <c r="Q307" s="88"/>
      <c r="R307" s="75">
        <f t="shared" si="44"/>
        <v>186395.412844037</v>
      </c>
      <c r="S307" s="75">
        <f t="shared" si="45"/>
        <v>9319.77064220183</v>
      </c>
      <c r="T307" s="75">
        <f t="shared" si="46"/>
        <v>0.00284403667319566</v>
      </c>
      <c r="U307" s="75">
        <f t="shared" si="47"/>
        <v>0.000142201834023581</v>
      </c>
    </row>
    <row r="308" hidden="1" spans="1:21">
      <c r="A308" s="55">
        <v>305</v>
      </c>
      <c r="B308" s="76" t="s">
        <v>2566</v>
      </c>
      <c r="C308" s="72">
        <v>68.13</v>
      </c>
      <c r="D308" s="73">
        <v>3360</v>
      </c>
      <c r="E308" s="73">
        <f t="shared" si="53"/>
        <v>228917</v>
      </c>
      <c r="F308" s="74" t="s">
        <v>2567</v>
      </c>
      <c r="G308" s="75">
        <v>228917</v>
      </c>
      <c r="H308" s="75">
        <f t="shared" si="51"/>
        <v>0</v>
      </c>
      <c r="I308" s="86">
        <f>VLOOKUP(B308,多浪小区账面房号及收款金额!$A$2:$B$474,2,0)</f>
        <v>228917</v>
      </c>
      <c r="J308" s="86"/>
      <c r="K308" s="87">
        <f t="shared" si="54"/>
        <v>0</v>
      </c>
      <c r="L308" s="88"/>
      <c r="M308" s="88"/>
      <c r="N308" s="89">
        <f>VLOOKUP(B308,[2]信息汇总表!$M$2:$T$816,8,0)</f>
        <v>228917</v>
      </c>
      <c r="O308" s="89">
        <f t="shared" si="43"/>
        <v>210015.596330275</v>
      </c>
      <c r="P308" s="91">
        <v>210015.6</v>
      </c>
      <c r="Q308" s="88"/>
      <c r="R308" s="75">
        <f t="shared" si="44"/>
        <v>210015.596330275</v>
      </c>
      <c r="S308" s="75">
        <f t="shared" si="45"/>
        <v>10500.7798165138</v>
      </c>
      <c r="T308" s="75">
        <f t="shared" si="46"/>
        <v>-0.00366972479969263</v>
      </c>
      <c r="U308" s="75">
        <f t="shared" si="47"/>
        <v>-0.000183486239620834</v>
      </c>
    </row>
    <row r="309" hidden="1" spans="1:21">
      <c r="A309" s="55">
        <v>306</v>
      </c>
      <c r="B309" s="76" t="s">
        <v>2568</v>
      </c>
      <c r="C309" s="72">
        <v>68.16</v>
      </c>
      <c r="D309" s="73">
        <v>3359.74</v>
      </c>
      <c r="E309" s="73">
        <f t="shared" si="53"/>
        <v>229000</v>
      </c>
      <c r="F309" s="74" t="s">
        <v>2569</v>
      </c>
      <c r="G309" s="75">
        <v>229000</v>
      </c>
      <c r="H309" s="75">
        <f t="shared" si="51"/>
        <v>0</v>
      </c>
      <c r="I309" s="86">
        <f>VLOOKUP(B309,多浪小区账面房号及收款金额!$A$2:$B$474,2,0)</f>
        <v>229000</v>
      </c>
      <c r="J309" s="86"/>
      <c r="K309" s="87">
        <f t="shared" si="54"/>
        <v>0</v>
      </c>
      <c r="L309" s="88"/>
      <c r="M309" s="88"/>
      <c r="N309" s="89">
        <f>VLOOKUP(B309,[2]信息汇总表!$M$2:$T$816,8,0)</f>
        <v>229000</v>
      </c>
      <c r="O309" s="89">
        <f t="shared" si="43"/>
        <v>210091.743119266</v>
      </c>
      <c r="P309" s="91">
        <v>210091.74</v>
      </c>
      <c r="Q309" s="88"/>
      <c r="R309" s="75">
        <f t="shared" si="44"/>
        <v>210091.743119266</v>
      </c>
      <c r="S309" s="75">
        <f t="shared" si="45"/>
        <v>10504.5871559633</v>
      </c>
      <c r="T309" s="75">
        <f t="shared" si="46"/>
        <v>0.00311926603899337</v>
      </c>
      <c r="U309" s="75">
        <f t="shared" si="47"/>
        <v>0.000155963301949669</v>
      </c>
    </row>
    <row r="310" hidden="1" spans="1:21">
      <c r="A310" s="55">
        <v>307</v>
      </c>
      <c r="B310" s="76" t="s">
        <v>2570</v>
      </c>
      <c r="C310" s="72">
        <v>57.98</v>
      </c>
      <c r="D310" s="73">
        <v>3290</v>
      </c>
      <c r="E310" s="73">
        <f t="shared" si="53"/>
        <v>190754</v>
      </c>
      <c r="F310" s="74" t="s">
        <v>2571</v>
      </c>
      <c r="G310" s="75">
        <v>190754</v>
      </c>
      <c r="H310" s="75">
        <f t="shared" ref="H310:H336" si="55">E310-G310</f>
        <v>0</v>
      </c>
      <c r="I310" s="86">
        <f>VLOOKUP(B310,多浪小区账面房号及收款金额!$A$2:$B$474,2,0)</f>
        <v>190754</v>
      </c>
      <c r="J310" s="86"/>
      <c r="K310" s="87">
        <f t="shared" si="54"/>
        <v>0</v>
      </c>
      <c r="L310" s="88"/>
      <c r="M310" s="88"/>
      <c r="N310" s="89">
        <f>VLOOKUP(B310,[2]信息汇总表!$M$2:$T$816,8,0)</f>
        <v>190754</v>
      </c>
      <c r="O310" s="89">
        <f t="shared" si="43"/>
        <v>175003.669724771</v>
      </c>
      <c r="P310" s="91">
        <v>175003.669724771</v>
      </c>
      <c r="Q310" s="88"/>
      <c r="R310" s="75">
        <f t="shared" si="44"/>
        <v>175003.669724771</v>
      </c>
      <c r="S310" s="75">
        <f t="shared" si="45"/>
        <v>8750.18348623853</v>
      </c>
      <c r="T310" s="75">
        <f t="shared" si="46"/>
        <v>-3.78349795937538e-10</v>
      </c>
      <c r="U310" s="75">
        <f t="shared" si="47"/>
        <v>-1.81898940354586e-11</v>
      </c>
    </row>
    <row r="311" hidden="1" spans="1:21">
      <c r="A311" s="55">
        <v>308</v>
      </c>
      <c r="B311" s="76" t="s">
        <v>2572</v>
      </c>
      <c r="C311" s="72">
        <v>60.56</v>
      </c>
      <c r="D311" s="73">
        <v>3300</v>
      </c>
      <c r="E311" s="73">
        <f t="shared" si="53"/>
        <v>199848</v>
      </c>
      <c r="F311" s="74" t="s">
        <v>2573</v>
      </c>
      <c r="G311" s="75">
        <v>199848</v>
      </c>
      <c r="H311" s="75">
        <f t="shared" si="55"/>
        <v>0</v>
      </c>
      <c r="I311" s="86">
        <f>VLOOKUP(B311,多浪小区账面房号及收款金额!$A$2:$B$474,2,0)</f>
        <v>199848</v>
      </c>
      <c r="J311" s="86"/>
      <c r="K311" s="87">
        <f t="shared" si="54"/>
        <v>0</v>
      </c>
      <c r="L311" s="88"/>
      <c r="M311" s="88"/>
      <c r="N311" s="89">
        <f>VLOOKUP(B311,[2]信息汇总表!$M$2:$T$816,8,0)</f>
        <v>199848</v>
      </c>
      <c r="O311" s="89">
        <f t="shared" si="43"/>
        <v>183346.788990826</v>
      </c>
      <c r="P311" s="91">
        <f>183346.79</f>
        <v>183346.79</v>
      </c>
      <c r="Q311" s="88"/>
      <c r="R311" s="75">
        <f t="shared" si="44"/>
        <v>183346.788990826</v>
      </c>
      <c r="S311" s="75">
        <f t="shared" si="45"/>
        <v>9167.33944954128</v>
      </c>
      <c r="T311" s="75">
        <f t="shared" si="46"/>
        <v>-0.00100917433155701</v>
      </c>
      <c r="U311" s="75">
        <f t="shared" si="47"/>
        <v>-5.04587151226588e-5</v>
      </c>
    </row>
    <row r="312" hidden="1" spans="1:21">
      <c r="A312" s="55">
        <v>309</v>
      </c>
      <c r="B312" s="76" t="s">
        <v>2574</v>
      </c>
      <c r="C312" s="72">
        <v>68.13</v>
      </c>
      <c r="D312" s="73">
        <v>3300</v>
      </c>
      <c r="E312" s="73">
        <f t="shared" si="53"/>
        <v>224829</v>
      </c>
      <c r="F312" s="74" t="s">
        <v>2575</v>
      </c>
      <c r="G312" s="75">
        <v>224829</v>
      </c>
      <c r="H312" s="75">
        <f t="shared" si="55"/>
        <v>0</v>
      </c>
      <c r="I312" s="86">
        <f>VLOOKUP(B312,多浪小区账面房号及收款金额!$A$2:$B$474,2,0)</f>
        <v>224829</v>
      </c>
      <c r="J312" s="86"/>
      <c r="K312" s="87">
        <f t="shared" si="54"/>
        <v>0</v>
      </c>
      <c r="L312" s="88"/>
      <c r="M312" s="88"/>
      <c r="N312" s="89">
        <f>VLOOKUP(B312,[2]信息汇总表!$M$2:$T$816,8,0)</f>
        <v>224829</v>
      </c>
      <c r="O312" s="89">
        <f t="shared" si="43"/>
        <v>206265.137614679</v>
      </c>
      <c r="P312" s="91">
        <v>206265.14</v>
      </c>
      <c r="Q312" s="88"/>
      <c r="R312" s="75">
        <f t="shared" si="44"/>
        <v>206265.137614679</v>
      </c>
      <c r="S312" s="75">
        <f t="shared" si="45"/>
        <v>10313.2568807339</v>
      </c>
      <c r="T312" s="75">
        <f t="shared" si="46"/>
        <v>-0.00238532113144174</v>
      </c>
      <c r="U312" s="75">
        <f t="shared" si="47"/>
        <v>-0.000119266056572087</v>
      </c>
    </row>
    <row r="313" hidden="1" spans="1:21">
      <c r="A313" s="55">
        <v>310</v>
      </c>
      <c r="B313" s="76" t="s">
        <v>2576</v>
      </c>
      <c r="C313" s="72">
        <v>68.16</v>
      </c>
      <c r="D313" s="73">
        <v>3320</v>
      </c>
      <c r="E313" s="73">
        <f t="shared" ref="E312:E336" si="56">ROUND(IF(F313&lt;&gt;0,C313*D313,0),0)</f>
        <v>226291</v>
      </c>
      <c r="F313" s="74" t="s">
        <v>2577</v>
      </c>
      <c r="G313" s="75">
        <v>226291</v>
      </c>
      <c r="H313" s="75">
        <f t="shared" si="55"/>
        <v>0</v>
      </c>
      <c r="I313" s="86">
        <f>VLOOKUP(B313,多浪小区账面房号及收款金额!$A$2:$B$474,2,0)</f>
        <v>226291</v>
      </c>
      <c r="J313" s="86"/>
      <c r="K313" s="87">
        <f t="shared" si="54"/>
        <v>0</v>
      </c>
      <c r="L313" s="88"/>
      <c r="M313" s="88"/>
      <c r="N313" s="89">
        <f>VLOOKUP(B313,[2]信息汇总表!$M$2:$T$816,8,0)</f>
        <v>226291</v>
      </c>
      <c r="O313" s="89">
        <f t="shared" si="43"/>
        <v>207606.422018349</v>
      </c>
      <c r="P313" s="91">
        <v>207606.42</v>
      </c>
      <c r="Q313" s="88"/>
      <c r="R313" s="75">
        <f t="shared" si="44"/>
        <v>207606.422018349</v>
      </c>
      <c r="S313" s="75">
        <f t="shared" si="45"/>
        <v>10380.3211009174</v>
      </c>
      <c r="T313" s="75">
        <f t="shared" si="46"/>
        <v>0.00201834860490635</v>
      </c>
      <c r="U313" s="75">
        <f t="shared" si="47"/>
        <v>0.000100917430245318</v>
      </c>
    </row>
    <row r="314" hidden="1" spans="1:21">
      <c r="A314" s="55">
        <v>311</v>
      </c>
      <c r="B314" s="76" t="s">
        <v>2578</v>
      </c>
      <c r="C314" s="72">
        <v>57.98</v>
      </c>
      <c r="D314" s="73">
        <v>3000</v>
      </c>
      <c r="E314" s="73">
        <f t="shared" si="56"/>
        <v>173940</v>
      </c>
      <c r="F314" s="74" t="s">
        <v>2579</v>
      </c>
      <c r="G314" s="75">
        <v>173940</v>
      </c>
      <c r="H314" s="75">
        <f t="shared" si="55"/>
        <v>0</v>
      </c>
      <c r="I314" s="86">
        <f>VLOOKUP(B314,多浪小区账面房号及收款金额!$A$2:$B$474,2,0)</f>
        <v>173940</v>
      </c>
      <c r="J314" s="86"/>
      <c r="K314" s="87">
        <f t="shared" si="54"/>
        <v>0</v>
      </c>
      <c r="L314" s="88"/>
      <c r="M314" s="88"/>
      <c r="N314" s="89">
        <f>VLOOKUP(B314,[2]信息汇总表!$M$2:$T$816,8,0)</f>
        <v>173940</v>
      </c>
      <c r="O314" s="89">
        <f t="shared" si="43"/>
        <v>159577.981651376</v>
      </c>
      <c r="P314" s="91">
        <v>159577.98</v>
      </c>
      <c r="Q314" s="88"/>
      <c r="R314" s="75">
        <f t="shared" si="44"/>
        <v>159577.981651376</v>
      </c>
      <c r="S314" s="75">
        <f t="shared" si="45"/>
        <v>7978.89908256881</v>
      </c>
      <c r="T314" s="75">
        <f t="shared" si="46"/>
        <v>0.00165137613657862</v>
      </c>
      <c r="U314" s="75">
        <f t="shared" si="47"/>
        <v>8.2568806647032e-5</v>
      </c>
    </row>
    <row r="315" hidden="1" spans="1:21">
      <c r="A315" s="55">
        <v>312</v>
      </c>
      <c r="B315" s="76" t="s">
        <v>2580</v>
      </c>
      <c r="C315" s="72">
        <v>60.56</v>
      </c>
      <c r="D315" s="73">
        <v>2950</v>
      </c>
      <c r="E315" s="73">
        <f t="shared" si="56"/>
        <v>178652</v>
      </c>
      <c r="F315" s="74" t="s">
        <v>2581</v>
      </c>
      <c r="G315" s="75">
        <v>178652</v>
      </c>
      <c r="H315" s="75">
        <f t="shared" si="55"/>
        <v>0</v>
      </c>
      <c r="I315" s="86">
        <f>VLOOKUP(B315,多浪小区账面房号及收款金额!$A$2:$B$474,2,0)</f>
        <v>178652</v>
      </c>
      <c r="J315" s="86"/>
      <c r="K315" s="87">
        <f t="shared" si="54"/>
        <v>0</v>
      </c>
      <c r="L315" s="88"/>
      <c r="M315" s="88"/>
      <c r="N315" s="89">
        <f>VLOOKUP(B315,[2]信息汇总表!$M$2:$T$816,8,0)</f>
        <v>178652</v>
      </c>
      <c r="O315" s="89">
        <f t="shared" si="43"/>
        <v>163900.917431193</v>
      </c>
      <c r="P315" s="91">
        <v>163900.92</v>
      </c>
      <c r="Q315" s="88"/>
      <c r="R315" s="75">
        <f t="shared" si="44"/>
        <v>163900.917431193</v>
      </c>
      <c r="S315" s="75">
        <f t="shared" si="45"/>
        <v>8195.04587155963</v>
      </c>
      <c r="T315" s="75">
        <f t="shared" si="46"/>
        <v>-0.00256880736560561</v>
      </c>
      <c r="U315" s="75">
        <f t="shared" si="47"/>
        <v>-0.000128440367916483</v>
      </c>
    </row>
    <row r="316" hidden="1" spans="1:21">
      <c r="A316" s="55">
        <v>313</v>
      </c>
      <c r="B316" s="76" t="s">
        <v>2582</v>
      </c>
      <c r="C316" s="72">
        <v>68.13</v>
      </c>
      <c r="D316" s="73">
        <v>2950</v>
      </c>
      <c r="E316" s="73">
        <f t="shared" si="56"/>
        <v>200984</v>
      </c>
      <c r="F316" s="74" t="s">
        <v>2583</v>
      </c>
      <c r="G316" s="75">
        <v>200984</v>
      </c>
      <c r="H316" s="75">
        <f t="shared" si="55"/>
        <v>0</v>
      </c>
      <c r="I316" s="86">
        <f>VLOOKUP(B316,多浪小区账面房号及收款金额!$A$2:$B$474,2,0)</f>
        <v>200984</v>
      </c>
      <c r="J316" s="86"/>
      <c r="K316" s="87">
        <f t="shared" si="54"/>
        <v>0</v>
      </c>
      <c r="L316" s="88"/>
      <c r="M316" s="88"/>
      <c r="N316" s="89">
        <f>VLOOKUP(B316,[2]信息汇总表!$M$2:$T$816,8,0)</f>
        <v>200984</v>
      </c>
      <c r="O316" s="89">
        <f t="shared" si="43"/>
        <v>184388.990825688</v>
      </c>
      <c r="P316" s="91">
        <v>184388.99</v>
      </c>
      <c r="Q316" s="88"/>
      <c r="R316" s="75">
        <f t="shared" si="44"/>
        <v>184388.990825688</v>
      </c>
      <c r="S316" s="75">
        <f t="shared" si="45"/>
        <v>9219.4495412844</v>
      </c>
      <c r="T316" s="75">
        <f t="shared" si="46"/>
        <v>0.00082568806828931</v>
      </c>
      <c r="U316" s="75">
        <f t="shared" si="47"/>
        <v>4.1284401959274e-5</v>
      </c>
    </row>
    <row r="317" hidden="1" spans="1:21">
      <c r="A317" s="55">
        <v>314</v>
      </c>
      <c r="B317" s="76" t="s">
        <v>2584</v>
      </c>
      <c r="C317" s="72">
        <v>68.16</v>
      </c>
      <c r="D317" s="73">
        <v>3100</v>
      </c>
      <c r="E317" s="73">
        <f t="shared" si="56"/>
        <v>211296</v>
      </c>
      <c r="F317" s="74" t="s">
        <v>2585</v>
      </c>
      <c r="G317" s="75">
        <v>211296</v>
      </c>
      <c r="H317" s="75">
        <f t="shared" si="55"/>
        <v>0</v>
      </c>
      <c r="I317" s="86">
        <f>VLOOKUP(B317,多浪小区账面房号及收款金额!$A$2:$B$474,2,0)</f>
        <v>211296</v>
      </c>
      <c r="J317" s="86"/>
      <c r="K317" s="87">
        <f t="shared" si="54"/>
        <v>0</v>
      </c>
      <c r="L317" s="88"/>
      <c r="M317" s="88"/>
      <c r="N317" s="89">
        <f>VLOOKUP(B317,[2]信息汇总表!$M$2:$T$816,8,0)</f>
        <v>211296</v>
      </c>
      <c r="O317" s="89">
        <f t="shared" si="43"/>
        <v>193849.541284404</v>
      </c>
      <c r="P317" s="91">
        <v>193849.54</v>
      </c>
      <c r="Q317" s="88"/>
      <c r="R317" s="75">
        <f t="shared" si="44"/>
        <v>193849.541284404</v>
      </c>
      <c r="S317" s="75">
        <f t="shared" si="45"/>
        <v>9692.47706422018</v>
      </c>
      <c r="T317" s="75">
        <f t="shared" si="46"/>
        <v>0.00128440363914706</v>
      </c>
      <c r="U317" s="75">
        <f t="shared" si="47"/>
        <v>6.42201812297571e-5</v>
      </c>
    </row>
    <row r="318" hidden="1" spans="1:21">
      <c r="A318" s="55">
        <v>315</v>
      </c>
      <c r="B318" s="76" t="s">
        <v>2586</v>
      </c>
      <c r="C318" s="72">
        <v>57.98</v>
      </c>
      <c r="D318" s="73">
        <v>2900</v>
      </c>
      <c r="E318" s="73">
        <f t="shared" si="56"/>
        <v>168142</v>
      </c>
      <c r="F318" s="74" t="s">
        <v>2587</v>
      </c>
      <c r="G318" s="75">
        <v>168142</v>
      </c>
      <c r="H318" s="75">
        <f t="shared" si="55"/>
        <v>0</v>
      </c>
      <c r="I318" s="86">
        <f>VLOOKUP(B318,多浪小区账面房号及收款金额!$A$2:$B$474,2,0)</f>
        <v>168142</v>
      </c>
      <c r="J318" s="86"/>
      <c r="K318" s="87">
        <f t="shared" si="54"/>
        <v>0</v>
      </c>
      <c r="L318" s="88"/>
      <c r="M318" s="88"/>
      <c r="N318" s="89"/>
      <c r="O318" s="89">
        <f t="shared" si="43"/>
        <v>0</v>
      </c>
      <c r="P318" s="91"/>
      <c r="Q318" s="88"/>
      <c r="R318" s="75">
        <f t="shared" si="44"/>
        <v>154258.71559633</v>
      </c>
      <c r="S318" s="75">
        <f t="shared" si="45"/>
        <v>7712.93577981651</v>
      </c>
      <c r="T318" s="75">
        <f t="shared" si="46"/>
        <v>154258.71559633</v>
      </c>
      <c r="U318" s="75">
        <f t="shared" si="47"/>
        <v>7712.93577981651</v>
      </c>
    </row>
    <row r="319" hidden="1" spans="1:21">
      <c r="A319" s="55">
        <v>316</v>
      </c>
      <c r="B319" s="76" t="s">
        <v>2588</v>
      </c>
      <c r="C319" s="72">
        <v>60.56</v>
      </c>
      <c r="D319" s="73">
        <v>2750</v>
      </c>
      <c r="E319" s="73">
        <f t="shared" si="56"/>
        <v>166540</v>
      </c>
      <c r="F319" s="74" t="s">
        <v>2589</v>
      </c>
      <c r="G319" s="75">
        <v>166540</v>
      </c>
      <c r="H319" s="75">
        <f t="shared" si="55"/>
        <v>0</v>
      </c>
      <c r="I319" s="86">
        <f>VLOOKUP(B319,多浪小区账面房号及收款金额!$A$2:$B$474,2,0)</f>
        <v>166540</v>
      </c>
      <c r="J319" s="86"/>
      <c r="K319" s="87">
        <f t="shared" si="54"/>
        <v>0</v>
      </c>
      <c r="L319" s="88"/>
      <c r="M319" s="88"/>
      <c r="N319" s="89">
        <f>VLOOKUP(B319,[2]信息汇总表!$M$2:$T$816,8,0)</f>
        <v>166540</v>
      </c>
      <c r="O319" s="89">
        <f t="shared" si="43"/>
        <v>152788.990825688</v>
      </c>
      <c r="P319" s="91">
        <v>152788.99</v>
      </c>
      <c r="Q319" s="88"/>
      <c r="R319" s="75">
        <f t="shared" si="44"/>
        <v>152788.990825688</v>
      </c>
      <c r="S319" s="75">
        <f t="shared" si="45"/>
        <v>7639.4495412844</v>
      </c>
      <c r="T319" s="75">
        <f t="shared" si="46"/>
        <v>0.00082568806828931</v>
      </c>
      <c r="U319" s="75">
        <f t="shared" si="47"/>
        <v>4.12844037782634e-5</v>
      </c>
    </row>
    <row r="320" hidden="1" spans="1:21">
      <c r="A320" s="55">
        <v>317</v>
      </c>
      <c r="B320" s="76" t="s">
        <v>2590</v>
      </c>
      <c r="C320" s="72">
        <v>68.13</v>
      </c>
      <c r="D320" s="73">
        <v>2782.91</v>
      </c>
      <c r="E320" s="73">
        <f t="shared" si="56"/>
        <v>189600</v>
      </c>
      <c r="F320" s="74" t="s">
        <v>2591</v>
      </c>
      <c r="G320" s="75">
        <v>189600</v>
      </c>
      <c r="H320" s="75">
        <f t="shared" si="55"/>
        <v>0</v>
      </c>
      <c r="I320" s="86">
        <f>VLOOKUP(B320,多浪小区账面房号及收款金额!$A$2:$B$474,2,0)</f>
        <v>189600</v>
      </c>
      <c r="J320" s="86"/>
      <c r="K320" s="87">
        <f t="shared" si="54"/>
        <v>0</v>
      </c>
      <c r="L320" s="88"/>
      <c r="M320" s="88"/>
      <c r="N320" s="89">
        <f>VLOOKUP(B320,[2]信息汇总表!$M$2:$T$816,8,0)</f>
        <v>189600</v>
      </c>
      <c r="O320" s="89">
        <f t="shared" si="43"/>
        <v>173944.95412844</v>
      </c>
      <c r="P320" s="91">
        <v>173944.95</v>
      </c>
      <c r="Q320" s="88"/>
      <c r="R320" s="75">
        <f t="shared" si="44"/>
        <v>173944.95412844</v>
      </c>
      <c r="S320" s="75">
        <f t="shared" si="45"/>
        <v>8697.24770642202</v>
      </c>
      <c r="T320" s="75">
        <f t="shared" si="46"/>
        <v>0.00412844034144655</v>
      </c>
      <c r="U320" s="75">
        <f t="shared" si="47"/>
        <v>0.000206422017072327</v>
      </c>
    </row>
    <row r="321" hidden="1" spans="1:21">
      <c r="A321" s="55">
        <v>318</v>
      </c>
      <c r="B321" s="76" t="s">
        <v>2592</v>
      </c>
      <c r="C321" s="72">
        <v>68.16</v>
      </c>
      <c r="D321" s="73">
        <v>2900</v>
      </c>
      <c r="E321" s="73">
        <f t="shared" si="56"/>
        <v>197664</v>
      </c>
      <c r="F321" s="74" t="s">
        <v>2593</v>
      </c>
      <c r="G321" s="75">
        <v>197664</v>
      </c>
      <c r="H321" s="75">
        <f t="shared" si="55"/>
        <v>0</v>
      </c>
      <c r="I321" s="86">
        <f>VLOOKUP(B321,多浪小区账面房号及收款金额!$A$2:$B$474,2,0)</f>
        <v>197664</v>
      </c>
      <c r="J321" s="86"/>
      <c r="K321" s="87">
        <f t="shared" si="54"/>
        <v>0</v>
      </c>
      <c r="L321" s="88"/>
      <c r="M321" s="88"/>
      <c r="N321" s="89"/>
      <c r="O321" s="89">
        <f t="shared" si="43"/>
        <v>0</v>
      </c>
      <c r="P321" s="91"/>
      <c r="Q321" s="88"/>
      <c r="R321" s="75">
        <f t="shared" si="44"/>
        <v>181343.119266055</v>
      </c>
      <c r="S321" s="75">
        <f t="shared" si="45"/>
        <v>9067.15596330275</v>
      </c>
      <c r="T321" s="75">
        <f t="shared" si="46"/>
        <v>181343.119266055</v>
      </c>
      <c r="U321" s="75">
        <f t="shared" si="47"/>
        <v>9067.15596330275</v>
      </c>
    </row>
    <row r="322" hidden="1" spans="1:21">
      <c r="A322" s="55">
        <v>319</v>
      </c>
      <c r="B322" s="76" t="s">
        <v>2594</v>
      </c>
      <c r="C322" s="72">
        <v>71.87</v>
      </c>
      <c r="D322" s="73">
        <v>3050</v>
      </c>
      <c r="E322" s="73">
        <f t="shared" si="56"/>
        <v>219204</v>
      </c>
      <c r="F322" s="74" t="s">
        <v>2595</v>
      </c>
      <c r="G322" s="75">
        <v>219204</v>
      </c>
      <c r="H322" s="75">
        <f t="shared" si="55"/>
        <v>0</v>
      </c>
      <c r="I322" s="86">
        <f>VLOOKUP(B322,多浪小区账面房号及收款金额!$A$2:$B$474,2,0)</f>
        <v>219204</v>
      </c>
      <c r="J322" s="86"/>
      <c r="K322" s="87">
        <f t="shared" si="54"/>
        <v>0</v>
      </c>
      <c r="L322" s="88"/>
      <c r="M322" s="88"/>
      <c r="N322" s="89">
        <f>VLOOKUP(B322,[2]信息汇总表!$M$2:$T$816,8,0)</f>
        <v>219204</v>
      </c>
      <c r="O322" s="89">
        <f t="shared" si="43"/>
        <v>201104.587155963</v>
      </c>
      <c r="P322" s="91">
        <v>201104.59</v>
      </c>
      <c r="Q322" s="88"/>
      <c r="R322" s="75">
        <f t="shared" si="44"/>
        <v>201104.587155963</v>
      </c>
      <c r="S322" s="75">
        <f t="shared" si="45"/>
        <v>10055.2293577982</v>
      </c>
      <c r="T322" s="75">
        <f t="shared" si="46"/>
        <v>-0.00284403670229949</v>
      </c>
      <c r="U322" s="75">
        <f t="shared" si="47"/>
        <v>-0.00014220183584257</v>
      </c>
    </row>
    <row r="323" hidden="1" spans="1:21">
      <c r="A323" s="55">
        <v>320</v>
      </c>
      <c r="B323" s="76" t="s">
        <v>2596</v>
      </c>
      <c r="C323" s="72">
        <v>76.45</v>
      </c>
      <c r="D323" s="73">
        <v>3250</v>
      </c>
      <c r="E323" s="73">
        <f t="shared" si="56"/>
        <v>248463</v>
      </c>
      <c r="F323" s="74" t="s">
        <v>2597</v>
      </c>
      <c r="G323" s="75">
        <v>248463</v>
      </c>
      <c r="H323" s="75">
        <f t="shared" si="55"/>
        <v>0</v>
      </c>
      <c r="I323" s="86">
        <f>VLOOKUP(B323,多浪小区账面房号及收款金额!$A$2:$B$474,2,0)</f>
        <v>248463</v>
      </c>
      <c r="J323" s="86"/>
      <c r="K323" s="87">
        <f t="shared" si="54"/>
        <v>0</v>
      </c>
      <c r="L323" s="88"/>
      <c r="M323" s="88"/>
      <c r="N323" s="89">
        <f>VLOOKUP(B323,[2]信息汇总表!$M$2:$T$816,8,0)</f>
        <v>248463</v>
      </c>
      <c r="O323" s="89">
        <f t="shared" si="43"/>
        <v>227947.706422018</v>
      </c>
      <c r="P323" s="91">
        <v>227947.706422018</v>
      </c>
      <c r="Q323" s="88"/>
      <c r="R323" s="75">
        <f t="shared" si="44"/>
        <v>227947.706422018</v>
      </c>
      <c r="S323" s="75">
        <f t="shared" si="45"/>
        <v>11397.3853211009</v>
      </c>
      <c r="T323" s="75">
        <f t="shared" si="46"/>
        <v>3.20142135024071e-10</v>
      </c>
      <c r="U323" s="75">
        <f t="shared" si="47"/>
        <v>1.63709046319127e-11</v>
      </c>
    </row>
    <row r="324" ht="12" hidden="1" customHeight="1" spans="1:21">
      <c r="A324" s="55">
        <v>321</v>
      </c>
      <c r="B324" s="76" t="s">
        <v>2598</v>
      </c>
      <c r="C324" s="72">
        <v>52.21</v>
      </c>
      <c r="D324" s="73">
        <v>3250</v>
      </c>
      <c r="E324" s="73">
        <f t="shared" si="56"/>
        <v>169683</v>
      </c>
      <c r="F324" s="74" t="s">
        <v>2599</v>
      </c>
      <c r="G324" s="75">
        <v>169683</v>
      </c>
      <c r="H324" s="75">
        <f t="shared" si="55"/>
        <v>0</v>
      </c>
      <c r="I324" s="86">
        <f>VLOOKUP(B324,多浪小区账面房号及收款金额!$A$2:$B$474,2,0)</f>
        <v>169683</v>
      </c>
      <c r="J324" s="86"/>
      <c r="K324" s="87">
        <f t="shared" si="54"/>
        <v>0</v>
      </c>
      <c r="L324" s="88"/>
      <c r="M324" s="88"/>
      <c r="N324" s="89">
        <f>VLOOKUP(B324,[2]信息汇总表!$M$2:$T$816,8,0)</f>
        <v>169683</v>
      </c>
      <c r="O324" s="89">
        <f t="shared" si="43"/>
        <v>155672.47706422</v>
      </c>
      <c r="P324" s="91">
        <v>155672.48</v>
      </c>
      <c r="Q324" s="88"/>
      <c r="R324" s="75">
        <f t="shared" si="44"/>
        <v>155672.47706422</v>
      </c>
      <c r="S324" s="75">
        <f t="shared" si="45"/>
        <v>7783.62385321101</v>
      </c>
      <c r="T324" s="75">
        <f t="shared" si="46"/>
        <v>-0.00293577983393334</v>
      </c>
      <c r="U324" s="75">
        <f t="shared" si="47"/>
        <v>-0.000146788991514768</v>
      </c>
    </row>
    <row r="325" hidden="1" spans="1:21">
      <c r="A325" s="55">
        <v>322</v>
      </c>
      <c r="B325" s="76" t="s">
        <v>2600</v>
      </c>
      <c r="C325" s="72">
        <v>51.56</v>
      </c>
      <c r="D325" s="73">
        <v>3100</v>
      </c>
      <c r="E325" s="73">
        <f t="shared" si="56"/>
        <v>159836</v>
      </c>
      <c r="F325" s="74" t="s">
        <v>2601</v>
      </c>
      <c r="G325" s="75">
        <v>159836</v>
      </c>
      <c r="H325" s="75">
        <f t="shared" si="55"/>
        <v>0</v>
      </c>
      <c r="I325" s="86">
        <f>VLOOKUP(B325,多浪小区账面房号及收款金额!$A$2:$B$474,2,0)</f>
        <v>159836</v>
      </c>
      <c r="J325" s="86">
        <f>I325/1.09</f>
        <v>146638.532110092</v>
      </c>
      <c r="K325" s="87">
        <f t="shared" si="54"/>
        <v>0</v>
      </c>
      <c r="L325" s="88"/>
      <c r="M325" s="88"/>
      <c r="N325" s="89"/>
      <c r="O325" s="89">
        <f t="shared" ref="O325:O388" si="57">N325/1.09</f>
        <v>0</v>
      </c>
      <c r="P325" s="91"/>
      <c r="Q325" s="88"/>
      <c r="R325" s="75">
        <f t="shared" ref="R325:R388" si="58">I325/1.09</f>
        <v>146638.532110092</v>
      </c>
      <c r="S325" s="75">
        <f t="shared" ref="S325:S388" si="59">R325*0.05</f>
        <v>7331.92660550459</v>
      </c>
      <c r="T325" s="75">
        <f t="shared" ref="T325:T388" si="60">R325-P325</f>
        <v>146638.532110092</v>
      </c>
      <c r="U325" s="75">
        <f t="shared" ref="U325:U388" si="61">S325-(P325*0.05)</f>
        <v>7331.92660550459</v>
      </c>
    </row>
    <row r="326" hidden="1" spans="1:21">
      <c r="A326" s="55">
        <v>323</v>
      </c>
      <c r="B326" s="76" t="s">
        <v>2602</v>
      </c>
      <c r="C326" s="72">
        <v>71.87</v>
      </c>
      <c r="D326" s="73">
        <v>3250</v>
      </c>
      <c r="E326" s="73">
        <f t="shared" si="56"/>
        <v>233578</v>
      </c>
      <c r="F326" s="74" t="s">
        <v>2603</v>
      </c>
      <c r="G326" s="75">
        <v>233578</v>
      </c>
      <c r="H326" s="75">
        <f t="shared" si="55"/>
        <v>0</v>
      </c>
      <c r="I326" s="86">
        <f>VLOOKUP(B326,多浪小区账面房号及收款金额!$A$2:$B$474,2,0)</f>
        <v>233578</v>
      </c>
      <c r="J326" s="86"/>
      <c r="K326" s="87">
        <f t="shared" si="54"/>
        <v>0</v>
      </c>
      <c r="L326" s="88"/>
      <c r="M326" s="88"/>
      <c r="N326" s="89">
        <f>VLOOKUP(B326,[2]信息汇总表!$M$2:$T$816,8,0)</f>
        <v>233578</v>
      </c>
      <c r="O326" s="89">
        <f t="shared" si="57"/>
        <v>214291.743119266</v>
      </c>
      <c r="P326" s="91">
        <v>214291.74</v>
      </c>
      <c r="Q326" s="88"/>
      <c r="R326" s="75">
        <f t="shared" si="58"/>
        <v>214291.743119266</v>
      </c>
      <c r="S326" s="75">
        <f t="shared" si="59"/>
        <v>10714.5871559633</v>
      </c>
      <c r="T326" s="75">
        <f t="shared" si="60"/>
        <v>0.00311926603899337</v>
      </c>
      <c r="U326" s="75">
        <f t="shared" si="61"/>
        <v>0.000155963301949669</v>
      </c>
    </row>
    <row r="327" hidden="1" spans="1:21">
      <c r="A327" s="55">
        <v>324</v>
      </c>
      <c r="B327" s="76" t="s">
        <v>2604</v>
      </c>
      <c r="C327" s="72">
        <v>76.45</v>
      </c>
      <c r="D327" s="73">
        <v>3350</v>
      </c>
      <c r="E327" s="73">
        <f t="shared" si="56"/>
        <v>256108</v>
      </c>
      <c r="F327" s="74" t="s">
        <v>2605</v>
      </c>
      <c r="G327" s="75">
        <v>256108</v>
      </c>
      <c r="H327" s="75">
        <f t="shared" si="55"/>
        <v>0</v>
      </c>
      <c r="I327" s="86">
        <f>VLOOKUP(B327,多浪小区账面房号及收款金额!$A$2:$B$474,2,0)</f>
        <v>256108</v>
      </c>
      <c r="J327" s="86"/>
      <c r="K327" s="87">
        <f t="shared" si="54"/>
        <v>0</v>
      </c>
      <c r="L327" s="88"/>
      <c r="M327" s="88"/>
      <c r="N327" s="89">
        <f>VLOOKUP(B327,[2]信息汇总表!$M$2:$T$816,8,0)</f>
        <v>256108</v>
      </c>
      <c r="O327" s="89">
        <f t="shared" si="57"/>
        <v>234961.467889908</v>
      </c>
      <c r="P327" s="91">
        <v>234961.47</v>
      </c>
      <c r="Q327" s="88"/>
      <c r="R327" s="75">
        <f t="shared" si="58"/>
        <v>234961.467889908</v>
      </c>
      <c r="S327" s="75">
        <f t="shared" si="59"/>
        <v>11748.0733944954</v>
      </c>
      <c r="T327" s="75">
        <f t="shared" si="60"/>
        <v>-0.00211009176564403</v>
      </c>
      <c r="U327" s="75">
        <f t="shared" si="61"/>
        <v>-0.000105504588645999</v>
      </c>
    </row>
    <row r="328" hidden="1" spans="1:21">
      <c r="A328" s="55">
        <v>325</v>
      </c>
      <c r="B328" s="76" t="s">
        <v>2606</v>
      </c>
      <c r="C328" s="72">
        <v>52.21</v>
      </c>
      <c r="D328" s="73">
        <v>3500</v>
      </c>
      <c r="E328" s="73">
        <f t="shared" si="56"/>
        <v>182735</v>
      </c>
      <c r="F328" s="74" t="s">
        <v>2607</v>
      </c>
      <c r="G328" s="75">
        <v>182735</v>
      </c>
      <c r="H328" s="75">
        <f t="shared" si="55"/>
        <v>0</v>
      </c>
      <c r="I328" s="86">
        <f>VLOOKUP(B328,多浪小区账面房号及收款金额!$A$2:$B$474,2,0)</f>
        <v>182735</v>
      </c>
      <c r="J328" s="86"/>
      <c r="K328" s="87">
        <f t="shared" si="54"/>
        <v>0</v>
      </c>
      <c r="L328" s="88"/>
      <c r="M328" s="88"/>
      <c r="N328" s="89"/>
      <c r="O328" s="89">
        <f t="shared" si="57"/>
        <v>0</v>
      </c>
      <c r="P328" s="91"/>
      <c r="Q328" s="88"/>
      <c r="R328" s="75">
        <f t="shared" si="58"/>
        <v>167646.788990826</v>
      </c>
      <c r="S328" s="75">
        <f t="shared" si="59"/>
        <v>8382.33944954128</v>
      </c>
      <c r="T328" s="75">
        <f t="shared" si="60"/>
        <v>167646.788990826</v>
      </c>
      <c r="U328" s="75">
        <f t="shared" si="61"/>
        <v>8382.33944954128</v>
      </c>
    </row>
    <row r="329" hidden="1" spans="1:21">
      <c r="A329" s="55">
        <v>326</v>
      </c>
      <c r="B329" s="76" t="s">
        <v>2608</v>
      </c>
      <c r="C329" s="72">
        <v>51.56</v>
      </c>
      <c r="D329" s="73">
        <v>3297.13</v>
      </c>
      <c r="E329" s="73">
        <f t="shared" si="56"/>
        <v>170000</v>
      </c>
      <c r="F329" s="74" t="s">
        <v>2609</v>
      </c>
      <c r="G329" s="75">
        <v>170000</v>
      </c>
      <c r="H329" s="75">
        <f t="shared" si="55"/>
        <v>0</v>
      </c>
      <c r="I329" s="86">
        <f>VLOOKUP(B329,多浪小区账面房号及收款金额!$A$2:$B$474,2,0)</f>
        <v>170000</v>
      </c>
      <c r="J329" s="86"/>
      <c r="K329" s="87">
        <f t="shared" si="54"/>
        <v>0</v>
      </c>
      <c r="L329" s="88"/>
      <c r="M329" s="88"/>
      <c r="N329" s="89">
        <f>VLOOKUP(B329,[2]信息汇总表!$M$2:$T$816,8,0)</f>
        <v>170000</v>
      </c>
      <c r="O329" s="89">
        <f t="shared" si="57"/>
        <v>155963.302752294</v>
      </c>
      <c r="P329" s="91">
        <v>172477.06</v>
      </c>
      <c r="Q329" s="88"/>
      <c r="R329" s="75">
        <f t="shared" si="58"/>
        <v>155963.302752294</v>
      </c>
      <c r="S329" s="75">
        <f t="shared" si="59"/>
        <v>7798.16513761468</v>
      </c>
      <c r="T329" s="75">
        <f t="shared" si="60"/>
        <v>-16513.7572477064</v>
      </c>
      <c r="U329" s="75">
        <f t="shared" si="61"/>
        <v>-825.687862385323</v>
      </c>
    </row>
    <row r="330" hidden="1" spans="1:21">
      <c r="A330" s="55">
        <v>327</v>
      </c>
      <c r="B330" s="76" t="s">
        <v>2610</v>
      </c>
      <c r="C330" s="72">
        <v>71.87</v>
      </c>
      <c r="D330" s="73">
        <v>3180</v>
      </c>
      <c r="E330" s="73">
        <f t="shared" si="56"/>
        <v>228547</v>
      </c>
      <c r="F330" s="74" t="s">
        <v>2611</v>
      </c>
      <c r="G330" s="75">
        <v>228547</v>
      </c>
      <c r="H330" s="75">
        <f t="shared" si="55"/>
        <v>0</v>
      </c>
      <c r="I330" s="86">
        <f>VLOOKUP(B330,多浪小区账面房号及收款金额!$A$2:$B$474,2,0)</f>
        <v>228547</v>
      </c>
      <c r="J330" s="86"/>
      <c r="K330" s="87">
        <f t="shared" si="54"/>
        <v>0</v>
      </c>
      <c r="L330" s="88"/>
      <c r="M330" s="88"/>
      <c r="N330" s="89">
        <f>VLOOKUP(B330,[2]信息汇总表!$M$2:$T$816,8,0)</f>
        <v>228547</v>
      </c>
      <c r="O330" s="89">
        <f t="shared" si="57"/>
        <v>209676.146788991</v>
      </c>
      <c r="P330" s="91">
        <v>209676.15</v>
      </c>
      <c r="Q330" s="88"/>
      <c r="R330" s="75">
        <f t="shared" si="58"/>
        <v>209676.146788991</v>
      </c>
      <c r="S330" s="75">
        <f t="shared" si="59"/>
        <v>10483.8073394495</v>
      </c>
      <c r="T330" s="75">
        <f t="shared" si="60"/>
        <v>-0.00321100917062722</v>
      </c>
      <c r="U330" s="75">
        <f t="shared" si="61"/>
        <v>-0.000160550458531361</v>
      </c>
    </row>
    <row r="331" ht="24.75" hidden="1" spans="1:21">
      <c r="A331" s="55">
        <v>328</v>
      </c>
      <c r="B331" s="76" t="s">
        <v>2612</v>
      </c>
      <c r="C331" s="72">
        <v>76.45</v>
      </c>
      <c r="D331" s="73">
        <v>3280</v>
      </c>
      <c r="E331" s="73">
        <f t="shared" si="56"/>
        <v>250756</v>
      </c>
      <c r="F331" s="74" t="s">
        <v>2613</v>
      </c>
      <c r="G331" s="75">
        <v>250756</v>
      </c>
      <c r="H331" s="75">
        <f t="shared" si="55"/>
        <v>0</v>
      </c>
      <c r="I331" s="86">
        <f>VLOOKUP(B331,多浪小区账面房号及收款金额!$A$2:$B$474,2,0)</f>
        <v>250756</v>
      </c>
      <c r="J331" s="86"/>
      <c r="K331" s="87">
        <f t="shared" si="54"/>
        <v>0</v>
      </c>
      <c r="L331" s="92" t="s">
        <v>2614</v>
      </c>
      <c r="M331" s="88"/>
      <c r="N331" s="89">
        <f>VLOOKUP(B331,[2]信息汇总表!$M$2:$T$816,8,0)</f>
        <v>250756</v>
      </c>
      <c r="O331" s="89">
        <f t="shared" si="57"/>
        <v>230051.376146789</v>
      </c>
      <c r="P331" s="91"/>
      <c r="Q331" s="88"/>
      <c r="R331" s="75">
        <f t="shared" si="58"/>
        <v>230051.376146789</v>
      </c>
      <c r="S331" s="75">
        <f t="shared" si="59"/>
        <v>11502.5688073394</v>
      </c>
      <c r="T331" s="75">
        <f t="shared" si="60"/>
        <v>230051.376146789</v>
      </c>
      <c r="U331" s="75">
        <f t="shared" si="61"/>
        <v>11502.5688073394</v>
      </c>
    </row>
    <row r="332" hidden="1" spans="1:21">
      <c r="A332" s="55">
        <v>329</v>
      </c>
      <c r="B332" s="76" t="s">
        <v>2615</v>
      </c>
      <c r="C332" s="72">
        <v>52.21</v>
      </c>
      <c r="D332" s="73">
        <v>3500</v>
      </c>
      <c r="E332" s="73">
        <f t="shared" si="56"/>
        <v>182735</v>
      </c>
      <c r="F332" s="74" t="s">
        <v>2616</v>
      </c>
      <c r="G332" s="75">
        <v>182735</v>
      </c>
      <c r="H332" s="75">
        <f t="shared" si="55"/>
        <v>0</v>
      </c>
      <c r="I332" s="86">
        <f>VLOOKUP(B332,多浪小区账面房号及收款金额!$A$2:$B$474,2,0)</f>
        <v>182735</v>
      </c>
      <c r="J332" s="86"/>
      <c r="K332" s="87">
        <f t="shared" si="54"/>
        <v>0</v>
      </c>
      <c r="L332" s="88"/>
      <c r="M332" s="88"/>
      <c r="N332" s="89">
        <f>VLOOKUP(B332,[2]信息汇总表!$M$2:$T$816,8,0)</f>
        <v>182735</v>
      </c>
      <c r="O332" s="89">
        <f t="shared" si="57"/>
        <v>167646.788990826</v>
      </c>
      <c r="P332" s="91">
        <v>167646.79</v>
      </c>
      <c r="Q332" s="88"/>
      <c r="R332" s="75">
        <f t="shared" si="58"/>
        <v>167646.788990826</v>
      </c>
      <c r="S332" s="75">
        <f t="shared" si="59"/>
        <v>8382.33944954128</v>
      </c>
      <c r="T332" s="75">
        <f t="shared" si="60"/>
        <v>-0.00100917433155701</v>
      </c>
      <c r="U332" s="75">
        <f t="shared" si="61"/>
        <v>-5.04587151226588e-5</v>
      </c>
    </row>
    <row r="333" hidden="1" spans="1:21">
      <c r="A333" s="55">
        <v>330</v>
      </c>
      <c r="B333" s="76" t="s">
        <v>2617</v>
      </c>
      <c r="C333" s="72">
        <v>51.56</v>
      </c>
      <c r="D333" s="73">
        <v>3300</v>
      </c>
      <c r="E333" s="73">
        <f t="shared" si="56"/>
        <v>170148</v>
      </c>
      <c r="F333" s="74" t="s">
        <v>2487</v>
      </c>
      <c r="G333" s="75">
        <v>170148</v>
      </c>
      <c r="H333" s="75">
        <f t="shared" si="55"/>
        <v>0</v>
      </c>
      <c r="I333" s="86">
        <f>VLOOKUP(B333,多浪小区账面房号及收款金额!$A$2:$B$474,2,0)</f>
        <v>170148</v>
      </c>
      <c r="J333" s="86"/>
      <c r="K333" s="87">
        <f t="shared" si="54"/>
        <v>0</v>
      </c>
      <c r="L333" s="88"/>
      <c r="M333" s="88"/>
      <c r="N333" s="89">
        <f>VLOOKUP(B333,[2]信息汇总表!$M$2:$T$816,8,0)</f>
        <v>170148</v>
      </c>
      <c r="O333" s="89">
        <f t="shared" si="57"/>
        <v>156099.082568807</v>
      </c>
      <c r="P333" s="91">
        <v>156099.08</v>
      </c>
      <c r="Q333" s="88"/>
      <c r="R333" s="75">
        <f t="shared" si="58"/>
        <v>156099.082568807</v>
      </c>
      <c r="S333" s="75">
        <f t="shared" si="59"/>
        <v>7804.95412844037</v>
      </c>
      <c r="T333" s="75">
        <f t="shared" si="60"/>
        <v>0.00256880733650178</v>
      </c>
      <c r="U333" s="75">
        <f t="shared" si="61"/>
        <v>0.000128440367006988</v>
      </c>
    </row>
    <row r="334" hidden="1" spans="1:21">
      <c r="A334" s="55">
        <v>331</v>
      </c>
      <c r="B334" s="76" t="s">
        <v>2618</v>
      </c>
      <c r="C334" s="72">
        <v>71.87</v>
      </c>
      <c r="D334" s="73">
        <v>3041</v>
      </c>
      <c r="E334" s="73">
        <f t="shared" si="56"/>
        <v>218557</v>
      </c>
      <c r="F334" s="74" t="s">
        <v>2619</v>
      </c>
      <c r="G334" s="75">
        <v>218573</v>
      </c>
      <c r="H334" s="75">
        <f t="shared" si="55"/>
        <v>-16</v>
      </c>
      <c r="I334" s="86">
        <f>VLOOKUP(B334,多浪小区账面房号及收款金额!$A$2:$B$474,2,0)</f>
        <v>218573</v>
      </c>
      <c r="J334" s="86"/>
      <c r="K334" s="87">
        <f t="shared" si="54"/>
        <v>0</v>
      </c>
      <c r="L334" s="88"/>
      <c r="M334" s="88"/>
      <c r="N334" s="89">
        <f>VLOOKUP(B334,[2]信息汇总表!$M$2:$T$816,8,0)</f>
        <v>218557</v>
      </c>
      <c r="O334" s="89">
        <f t="shared" si="57"/>
        <v>200511.009174312</v>
      </c>
      <c r="P334" s="91">
        <v>200511.01</v>
      </c>
      <c r="Q334" s="88"/>
      <c r="R334" s="75">
        <f t="shared" si="58"/>
        <v>200525.688073394</v>
      </c>
      <c r="S334" s="75">
        <f t="shared" si="59"/>
        <v>10026.2844036697</v>
      </c>
      <c r="T334" s="75">
        <f t="shared" si="60"/>
        <v>14.6780733944615</v>
      </c>
      <c r="U334" s="75">
        <f t="shared" si="61"/>
        <v>0.733903669723077</v>
      </c>
    </row>
    <row r="335" hidden="1" spans="1:21">
      <c r="A335" s="55">
        <v>332</v>
      </c>
      <c r="B335" s="76" t="s">
        <v>2620</v>
      </c>
      <c r="C335" s="72">
        <v>76.45</v>
      </c>
      <c r="D335" s="73">
        <v>3300</v>
      </c>
      <c r="E335" s="73">
        <f t="shared" si="56"/>
        <v>252285</v>
      </c>
      <c r="F335" s="74" t="s">
        <v>2621</v>
      </c>
      <c r="G335" s="75">
        <v>252285</v>
      </c>
      <c r="H335" s="75">
        <f t="shared" si="55"/>
        <v>0</v>
      </c>
      <c r="I335" s="86">
        <f>VLOOKUP(B335,多浪小区账面房号及收款金额!$A$2:$B$474,2,0)</f>
        <v>252285</v>
      </c>
      <c r="J335" s="86"/>
      <c r="K335" s="87">
        <f t="shared" si="54"/>
        <v>0</v>
      </c>
      <c r="L335" s="88"/>
      <c r="M335" s="88"/>
      <c r="N335" s="89">
        <f>VLOOKUP(B335,[2]信息汇总表!$M$2:$T$816,8,0)</f>
        <v>252285</v>
      </c>
      <c r="O335" s="89">
        <f t="shared" si="57"/>
        <v>231454.128440367</v>
      </c>
      <c r="P335" s="91">
        <v>231454.128440367</v>
      </c>
      <c r="Q335" s="88"/>
      <c r="R335" s="75">
        <f t="shared" si="58"/>
        <v>231454.128440367</v>
      </c>
      <c r="S335" s="75">
        <f t="shared" si="59"/>
        <v>11572.7064220183</v>
      </c>
      <c r="T335" s="75">
        <f t="shared" si="60"/>
        <v>0</v>
      </c>
      <c r="U335" s="75">
        <f t="shared" si="61"/>
        <v>0</v>
      </c>
    </row>
    <row r="336" hidden="1" spans="1:21">
      <c r="A336" s="55">
        <v>333</v>
      </c>
      <c r="B336" s="76" t="s">
        <v>2622</v>
      </c>
      <c r="C336" s="72">
        <v>52.21</v>
      </c>
      <c r="D336" s="73">
        <v>3300</v>
      </c>
      <c r="E336" s="73">
        <f t="shared" si="56"/>
        <v>172293</v>
      </c>
      <c r="F336" s="74" t="s">
        <v>2623</v>
      </c>
      <c r="G336" s="75">
        <v>172293</v>
      </c>
      <c r="H336" s="75">
        <f t="shared" si="55"/>
        <v>0</v>
      </c>
      <c r="I336" s="86">
        <f>VLOOKUP(B336,多浪小区账面房号及收款金额!$A$2:$B$474,2,0)</f>
        <v>172293</v>
      </c>
      <c r="J336" s="86"/>
      <c r="K336" s="87">
        <f t="shared" si="54"/>
        <v>0</v>
      </c>
      <c r="L336" s="92"/>
      <c r="M336" s="88"/>
      <c r="N336" s="89">
        <f>VLOOKUP(B336,[2]信息汇总表!$M$2:$T$816,8,0)</f>
        <v>172293</v>
      </c>
      <c r="O336" s="89">
        <f t="shared" si="57"/>
        <v>158066.972477064</v>
      </c>
      <c r="P336" s="91"/>
      <c r="Q336" s="88"/>
      <c r="R336" s="75">
        <f t="shared" si="58"/>
        <v>158066.972477064</v>
      </c>
      <c r="S336" s="75">
        <f t="shared" si="59"/>
        <v>7903.34862385321</v>
      </c>
      <c r="T336" s="75">
        <f t="shared" si="60"/>
        <v>158066.972477064</v>
      </c>
      <c r="U336" s="75">
        <f t="shared" si="61"/>
        <v>7903.34862385321</v>
      </c>
    </row>
    <row r="337" hidden="1" spans="1:21">
      <c r="A337" s="55">
        <v>334</v>
      </c>
      <c r="B337" s="76" t="s">
        <v>2624</v>
      </c>
      <c r="C337" s="72">
        <v>51.56</v>
      </c>
      <c r="D337" s="73">
        <v>3200.16</v>
      </c>
      <c r="E337" s="73">
        <f t="shared" ref="E337:E353" si="62">ROUND(IF(F337&lt;&gt;0,C337*D337,0),0)</f>
        <v>165000</v>
      </c>
      <c r="F337" s="74" t="s">
        <v>2625</v>
      </c>
      <c r="G337" s="75">
        <v>165000</v>
      </c>
      <c r="H337" s="75">
        <f t="shared" ref="H337:H356" si="63">E337-G337</f>
        <v>0</v>
      </c>
      <c r="I337" s="86">
        <f>VLOOKUP(B337,多浪小区账面房号及收款金额!$A$2:$B$474,2,0)</f>
        <v>165000</v>
      </c>
      <c r="J337" s="86"/>
      <c r="K337" s="87">
        <f t="shared" ref="K337:K353" si="64">G337-I337</f>
        <v>0</v>
      </c>
      <c r="L337" s="88"/>
      <c r="M337" s="88"/>
      <c r="N337" s="89">
        <f>VLOOKUP(B337,[2]信息汇总表!$M$2:$T$816,8,0)</f>
        <v>165000</v>
      </c>
      <c r="O337" s="89">
        <f t="shared" si="57"/>
        <v>151376.146788991</v>
      </c>
      <c r="P337" s="91">
        <v>151376.15</v>
      </c>
      <c r="Q337" s="88"/>
      <c r="R337" s="75">
        <f t="shared" si="58"/>
        <v>151376.146788991</v>
      </c>
      <c r="S337" s="75">
        <f t="shared" si="59"/>
        <v>7568.80733944954</v>
      </c>
      <c r="T337" s="75">
        <f t="shared" si="60"/>
        <v>-0.00321100917062722</v>
      </c>
      <c r="U337" s="75">
        <f t="shared" si="61"/>
        <v>-0.000160550458531361</v>
      </c>
    </row>
    <row r="338" hidden="1" spans="1:21">
      <c r="A338" s="55">
        <v>335</v>
      </c>
      <c r="B338" s="76" t="s">
        <v>2626</v>
      </c>
      <c r="C338" s="72">
        <v>71.87</v>
      </c>
      <c r="D338" s="73">
        <v>3000</v>
      </c>
      <c r="E338" s="73">
        <f t="shared" si="62"/>
        <v>215610</v>
      </c>
      <c r="F338" s="74" t="s">
        <v>2627</v>
      </c>
      <c r="G338" s="75">
        <v>215610</v>
      </c>
      <c r="H338" s="75">
        <f t="shared" si="63"/>
        <v>0</v>
      </c>
      <c r="I338" s="86">
        <f>VLOOKUP(B338,多浪小区账面房号及收款金额!$A$2:$B$474,2,0)</f>
        <v>215610</v>
      </c>
      <c r="J338" s="86"/>
      <c r="K338" s="87">
        <f t="shared" si="64"/>
        <v>0</v>
      </c>
      <c r="L338" s="88"/>
      <c r="M338" s="88"/>
      <c r="N338" s="89">
        <f>VLOOKUP(B338,[2]信息汇总表!$M$2:$T$816,8,0)</f>
        <v>215610</v>
      </c>
      <c r="O338" s="89">
        <f t="shared" si="57"/>
        <v>197807.339449541</v>
      </c>
      <c r="P338" s="91">
        <v>197807.34</v>
      </c>
      <c r="Q338" s="88"/>
      <c r="R338" s="75">
        <f t="shared" si="58"/>
        <v>197807.339449541</v>
      </c>
      <c r="S338" s="75">
        <f t="shared" si="59"/>
        <v>9890.36697247706</v>
      </c>
      <c r="T338" s="75">
        <f t="shared" si="60"/>
        <v>-0.000550458731595427</v>
      </c>
      <c r="U338" s="75">
        <f t="shared" si="61"/>
        <v>-2.75229358521756e-5</v>
      </c>
    </row>
    <row r="339" hidden="1" spans="1:21">
      <c r="A339" s="55">
        <v>336</v>
      </c>
      <c r="B339" s="76" t="s">
        <v>2628</v>
      </c>
      <c r="C339" s="72">
        <v>76.45</v>
      </c>
      <c r="D339" s="73">
        <v>3000</v>
      </c>
      <c r="E339" s="73">
        <f t="shared" si="62"/>
        <v>229350</v>
      </c>
      <c r="F339" s="74" t="s">
        <v>2629</v>
      </c>
      <c r="G339" s="75">
        <v>229350</v>
      </c>
      <c r="H339" s="75">
        <f t="shared" si="63"/>
        <v>0</v>
      </c>
      <c r="I339" s="86">
        <f>VLOOKUP(B339,多浪小区账面房号及收款金额!$A$2:$B$474,2,0)</f>
        <v>229350</v>
      </c>
      <c r="J339" s="86"/>
      <c r="K339" s="87">
        <f t="shared" si="64"/>
        <v>0</v>
      </c>
      <c r="L339" s="88"/>
      <c r="M339" s="88"/>
      <c r="N339" s="89">
        <f>VLOOKUP(B339,[2]信息汇总表!$M$2:$T$816,8,0)</f>
        <v>229350</v>
      </c>
      <c r="O339" s="89">
        <f t="shared" si="57"/>
        <v>210412.844036697</v>
      </c>
      <c r="P339" s="91">
        <v>210412.84</v>
      </c>
      <c r="Q339" s="88"/>
      <c r="R339" s="75">
        <f t="shared" si="58"/>
        <v>210412.844036697</v>
      </c>
      <c r="S339" s="75">
        <f t="shared" si="59"/>
        <v>10520.6422018349</v>
      </c>
      <c r="T339" s="75">
        <f t="shared" si="60"/>
        <v>0.00403669723891653</v>
      </c>
      <c r="U339" s="75">
        <f t="shared" si="61"/>
        <v>0.000201834862309624</v>
      </c>
    </row>
    <row r="340" hidden="1" spans="1:21">
      <c r="A340" s="55">
        <v>337</v>
      </c>
      <c r="B340" s="76" t="s">
        <v>2630</v>
      </c>
      <c r="C340" s="72">
        <v>52.21</v>
      </c>
      <c r="D340" s="73">
        <v>3000</v>
      </c>
      <c r="E340" s="73">
        <f t="shared" si="62"/>
        <v>156630</v>
      </c>
      <c r="F340" s="74" t="s">
        <v>2631</v>
      </c>
      <c r="G340" s="75">
        <v>156630</v>
      </c>
      <c r="H340" s="75">
        <f t="shared" si="63"/>
        <v>0</v>
      </c>
      <c r="I340" s="86">
        <f>VLOOKUP(B340,多浪小区账面房号及收款金额!$A$2:$B$474,2,0)</f>
        <v>156630</v>
      </c>
      <c r="J340" s="86"/>
      <c r="K340" s="87">
        <f t="shared" si="64"/>
        <v>0</v>
      </c>
      <c r="L340" s="88"/>
      <c r="M340" s="88"/>
      <c r="N340" s="89">
        <f>VLOOKUP(B340,[2]信息汇总表!$M$2:$T$816,8,0)</f>
        <v>156630</v>
      </c>
      <c r="O340" s="89">
        <f t="shared" si="57"/>
        <v>143697.247706422</v>
      </c>
      <c r="P340" s="91">
        <v>143697.25</v>
      </c>
      <c r="Q340" s="88"/>
      <c r="R340" s="75">
        <f t="shared" si="58"/>
        <v>143697.247706422</v>
      </c>
      <c r="S340" s="75">
        <f t="shared" si="59"/>
        <v>7184.8623853211</v>
      </c>
      <c r="T340" s="75">
        <f t="shared" si="60"/>
        <v>-0.00229357799980789</v>
      </c>
      <c r="U340" s="75">
        <f t="shared" si="61"/>
        <v>-0.000114678899990395</v>
      </c>
    </row>
    <row r="341" hidden="1" spans="1:21">
      <c r="A341" s="55">
        <v>338</v>
      </c>
      <c r="B341" s="76" t="s">
        <v>2632</v>
      </c>
      <c r="C341" s="72">
        <v>51.56</v>
      </c>
      <c r="D341" s="73">
        <v>2909.23</v>
      </c>
      <c r="E341" s="73">
        <f t="shared" si="62"/>
        <v>150000</v>
      </c>
      <c r="F341" s="74" t="s">
        <v>2633</v>
      </c>
      <c r="G341" s="75">
        <v>150000</v>
      </c>
      <c r="H341" s="75">
        <f t="shared" si="63"/>
        <v>0</v>
      </c>
      <c r="I341" s="86">
        <f>VLOOKUP(B341,多浪小区账面房号及收款金额!$A$2:$B$474,2,0)</f>
        <v>150000</v>
      </c>
      <c r="J341" s="86"/>
      <c r="K341" s="87">
        <f t="shared" si="64"/>
        <v>0</v>
      </c>
      <c r="L341" s="88"/>
      <c r="M341" s="88"/>
      <c r="N341" s="89"/>
      <c r="O341" s="89">
        <f t="shared" si="57"/>
        <v>0</v>
      </c>
      <c r="P341" s="91"/>
      <c r="Q341" s="88"/>
      <c r="R341" s="75">
        <f t="shared" si="58"/>
        <v>137614.678899083</v>
      </c>
      <c r="S341" s="75">
        <f t="shared" si="59"/>
        <v>6880.73394495413</v>
      </c>
      <c r="T341" s="75">
        <f t="shared" si="60"/>
        <v>137614.678899083</v>
      </c>
      <c r="U341" s="75">
        <f t="shared" si="61"/>
        <v>6880.73394495413</v>
      </c>
    </row>
    <row r="342" hidden="1" spans="1:21">
      <c r="A342" s="55">
        <v>339</v>
      </c>
      <c r="B342" s="76" t="s">
        <v>2634</v>
      </c>
      <c r="C342" s="72">
        <v>71.87</v>
      </c>
      <c r="D342" s="73">
        <v>2790.86</v>
      </c>
      <c r="E342" s="73">
        <f t="shared" si="62"/>
        <v>200579</v>
      </c>
      <c r="F342" s="74" t="s">
        <v>2635</v>
      </c>
      <c r="G342" s="75">
        <v>200579</v>
      </c>
      <c r="H342" s="75">
        <f t="shared" si="63"/>
        <v>0</v>
      </c>
      <c r="I342" s="86">
        <f>VLOOKUP(B342,多浪小区账面房号及收款金额!$A$2:$B$474,2,0)</f>
        <v>200579</v>
      </c>
      <c r="J342" s="86"/>
      <c r="K342" s="87">
        <f t="shared" si="64"/>
        <v>0</v>
      </c>
      <c r="L342" s="88"/>
      <c r="M342" s="88"/>
      <c r="N342" s="89">
        <f>VLOOKUP(B342,[2]信息汇总表!$M$2:$T$816,8,0)</f>
        <v>200579</v>
      </c>
      <c r="O342" s="89">
        <f t="shared" si="57"/>
        <v>184017.431192661</v>
      </c>
      <c r="P342" s="91">
        <v>184017.43</v>
      </c>
      <c r="Q342" s="88"/>
      <c r="R342" s="75">
        <f t="shared" si="58"/>
        <v>184017.431192661</v>
      </c>
      <c r="S342" s="75">
        <f t="shared" si="59"/>
        <v>9200.87155963303</v>
      </c>
      <c r="T342" s="75">
        <f t="shared" si="60"/>
        <v>0.00119266053661704</v>
      </c>
      <c r="U342" s="75">
        <f t="shared" si="61"/>
        <v>5.96330282860436e-5</v>
      </c>
    </row>
    <row r="343" hidden="1" spans="1:21">
      <c r="A343" s="55">
        <v>340</v>
      </c>
      <c r="B343" s="76" t="s">
        <v>2636</v>
      </c>
      <c r="C343" s="72">
        <v>76.45</v>
      </c>
      <c r="D343" s="73">
        <v>2838.45650752126</v>
      </c>
      <c r="E343" s="73">
        <f t="shared" si="62"/>
        <v>217000</v>
      </c>
      <c r="F343" s="74" t="s">
        <v>2637</v>
      </c>
      <c r="G343" s="75">
        <v>217000</v>
      </c>
      <c r="H343" s="75">
        <f t="shared" si="63"/>
        <v>0</v>
      </c>
      <c r="I343" s="86">
        <f>VLOOKUP(B343,多浪小区账面房号及收款金额!$A$2:$B$474,2,0)</f>
        <v>217000</v>
      </c>
      <c r="J343" s="86"/>
      <c r="K343" s="87">
        <f t="shared" si="64"/>
        <v>0</v>
      </c>
      <c r="L343" s="88"/>
      <c r="M343" s="88"/>
      <c r="N343" s="89">
        <f>VLOOKUP(B343,[2]信息汇总表!$M$2:$T$816,8,0)</f>
        <v>217000</v>
      </c>
      <c r="O343" s="89">
        <f t="shared" si="57"/>
        <v>199082.568807339</v>
      </c>
      <c r="P343" s="91">
        <v>199082.57</v>
      </c>
      <c r="Q343" s="88"/>
      <c r="R343" s="75">
        <f t="shared" si="58"/>
        <v>199082.568807339</v>
      </c>
      <c r="S343" s="75">
        <f t="shared" si="59"/>
        <v>9954.12844036697</v>
      </c>
      <c r="T343" s="75">
        <f t="shared" si="60"/>
        <v>-0.00119266056572087</v>
      </c>
      <c r="U343" s="75">
        <f t="shared" si="61"/>
        <v>-5.96330282860436e-5</v>
      </c>
    </row>
    <row r="344" hidden="1" spans="1:21">
      <c r="A344" s="55">
        <v>341</v>
      </c>
      <c r="B344" s="76" t="s">
        <v>2638</v>
      </c>
      <c r="C344" s="72">
        <v>52.21</v>
      </c>
      <c r="D344" s="73">
        <v>2850</v>
      </c>
      <c r="E344" s="73">
        <f t="shared" si="62"/>
        <v>148799</v>
      </c>
      <c r="F344" s="74" t="s">
        <v>2639</v>
      </c>
      <c r="G344" s="75">
        <v>148799</v>
      </c>
      <c r="H344" s="75">
        <f t="shared" si="63"/>
        <v>0</v>
      </c>
      <c r="I344" s="86">
        <f>VLOOKUP(B344,多浪小区账面房号及收款金额!$A$2:$B$474,2,0)</f>
        <v>148799</v>
      </c>
      <c r="J344" s="86"/>
      <c r="K344" s="87">
        <f t="shared" si="64"/>
        <v>0</v>
      </c>
      <c r="L344" s="88"/>
      <c r="M344" s="88"/>
      <c r="N344" s="89">
        <f>VLOOKUP(B344,[2]信息汇总表!$M$2:$T$816,8,0)</f>
        <v>148799</v>
      </c>
      <c r="O344" s="89">
        <f t="shared" si="57"/>
        <v>136512.844036697</v>
      </c>
      <c r="P344" s="91">
        <v>136512.84</v>
      </c>
      <c r="Q344" s="88"/>
      <c r="R344" s="75">
        <f t="shared" si="58"/>
        <v>136512.844036697</v>
      </c>
      <c r="S344" s="75">
        <f t="shared" si="59"/>
        <v>6825.64220183486</v>
      </c>
      <c r="T344" s="75">
        <f t="shared" si="60"/>
        <v>0.00403669723891653</v>
      </c>
      <c r="U344" s="75">
        <f t="shared" si="61"/>
        <v>0.000201834862309624</v>
      </c>
    </row>
    <row r="345" hidden="1" spans="1:21">
      <c r="A345" s="55">
        <v>342</v>
      </c>
      <c r="B345" s="76" t="s">
        <v>2640</v>
      </c>
      <c r="C345" s="72">
        <v>51.56</v>
      </c>
      <c r="D345" s="73">
        <v>2734.67</v>
      </c>
      <c r="E345" s="73">
        <f t="shared" si="62"/>
        <v>141000</v>
      </c>
      <c r="F345" s="74" t="s">
        <v>2641</v>
      </c>
      <c r="G345" s="75">
        <v>141000</v>
      </c>
      <c r="H345" s="75">
        <f t="shared" si="63"/>
        <v>0</v>
      </c>
      <c r="I345" s="86">
        <f>VLOOKUP(B345,多浪小区账面房号及收款金额!$A$2:$B$474,2,0)</f>
        <v>141000</v>
      </c>
      <c r="J345" s="86"/>
      <c r="K345" s="87">
        <f t="shared" si="64"/>
        <v>0</v>
      </c>
      <c r="L345" s="88"/>
      <c r="M345" s="88"/>
      <c r="N345" s="89"/>
      <c r="O345" s="89">
        <f t="shared" si="57"/>
        <v>0</v>
      </c>
      <c r="P345" s="91"/>
      <c r="Q345" s="88"/>
      <c r="R345" s="75">
        <f t="shared" si="58"/>
        <v>129357.798165138</v>
      </c>
      <c r="S345" s="75">
        <f t="shared" si="59"/>
        <v>6467.88990825688</v>
      </c>
      <c r="T345" s="75">
        <f t="shared" si="60"/>
        <v>129357.798165138</v>
      </c>
      <c r="U345" s="75">
        <f t="shared" si="61"/>
        <v>6467.88990825688</v>
      </c>
    </row>
    <row r="346" hidden="1" spans="1:21">
      <c r="A346" s="55">
        <v>343</v>
      </c>
      <c r="B346" s="76" t="s">
        <v>2642</v>
      </c>
      <c r="C346" s="72">
        <v>51.56</v>
      </c>
      <c r="D346" s="73">
        <v>3109.97</v>
      </c>
      <c r="E346" s="73">
        <f t="shared" si="62"/>
        <v>160350</v>
      </c>
      <c r="F346" s="74" t="s">
        <v>2643</v>
      </c>
      <c r="G346" s="75">
        <v>160350</v>
      </c>
      <c r="H346" s="75">
        <f t="shared" si="63"/>
        <v>0</v>
      </c>
      <c r="I346" s="86">
        <f>VLOOKUP(B346,多浪小区账面房号及收款金额!$A$2:$B$474,2,0)</f>
        <v>160350</v>
      </c>
      <c r="J346" s="86"/>
      <c r="K346" s="87">
        <f t="shared" si="64"/>
        <v>0</v>
      </c>
      <c r="L346" s="88"/>
      <c r="M346" s="88"/>
      <c r="N346" s="89">
        <f>VLOOKUP(B346,[2]信息汇总表!$M$2:$T$816,8,0)</f>
        <v>160350</v>
      </c>
      <c r="O346" s="89">
        <f t="shared" si="57"/>
        <v>147110.091743119</v>
      </c>
      <c r="P346" s="91">
        <v>147110.09</v>
      </c>
      <c r="Q346" s="88"/>
      <c r="R346" s="75">
        <f t="shared" si="58"/>
        <v>147110.091743119</v>
      </c>
      <c r="S346" s="75">
        <f t="shared" si="59"/>
        <v>7355.50458715596</v>
      </c>
      <c r="T346" s="75">
        <f t="shared" si="60"/>
        <v>0.00174311926821247</v>
      </c>
      <c r="U346" s="75">
        <f t="shared" si="61"/>
        <v>8.71559632287244e-5</v>
      </c>
    </row>
    <row r="347" hidden="1" spans="1:21">
      <c r="A347" s="55">
        <v>344</v>
      </c>
      <c r="B347" s="76" t="s">
        <v>2644</v>
      </c>
      <c r="C347" s="72">
        <v>52.21</v>
      </c>
      <c r="D347" s="73">
        <v>3250</v>
      </c>
      <c r="E347" s="73">
        <f t="shared" si="62"/>
        <v>169683</v>
      </c>
      <c r="F347" s="74" t="s">
        <v>2645</v>
      </c>
      <c r="G347" s="75">
        <v>169683</v>
      </c>
      <c r="H347" s="75">
        <f t="shared" si="63"/>
        <v>0</v>
      </c>
      <c r="I347" s="86">
        <f>VLOOKUP(B347,多浪小区账面房号及收款金额!$A$2:$B$474,2,0)</f>
        <v>169683</v>
      </c>
      <c r="J347" s="86"/>
      <c r="K347" s="87">
        <f t="shared" si="64"/>
        <v>0</v>
      </c>
      <c r="L347" s="88"/>
      <c r="M347" s="88"/>
      <c r="N347" s="89">
        <f>VLOOKUP(B347,[2]信息汇总表!$M$2:$T$816,8,0)</f>
        <v>169683</v>
      </c>
      <c r="O347" s="89">
        <f t="shared" si="57"/>
        <v>155672.47706422</v>
      </c>
      <c r="P347" s="91">
        <v>155672.48</v>
      </c>
      <c r="Q347" s="88"/>
      <c r="R347" s="75">
        <f t="shared" si="58"/>
        <v>155672.47706422</v>
      </c>
      <c r="S347" s="75">
        <f t="shared" si="59"/>
        <v>7783.62385321101</v>
      </c>
      <c r="T347" s="75">
        <f t="shared" si="60"/>
        <v>-0.00293577983393334</v>
      </c>
      <c r="U347" s="75">
        <f t="shared" si="61"/>
        <v>-0.000146788991514768</v>
      </c>
    </row>
    <row r="348" hidden="1" spans="1:21">
      <c r="A348" s="55">
        <v>345</v>
      </c>
      <c r="B348" s="76" t="s">
        <v>2646</v>
      </c>
      <c r="C348" s="72">
        <v>76.45</v>
      </c>
      <c r="D348" s="73">
        <v>3160</v>
      </c>
      <c r="E348" s="73">
        <f t="shared" si="62"/>
        <v>241582</v>
      </c>
      <c r="F348" s="74" t="s">
        <v>2647</v>
      </c>
      <c r="G348" s="75">
        <v>241582</v>
      </c>
      <c r="H348" s="75">
        <f t="shared" si="63"/>
        <v>0</v>
      </c>
      <c r="I348" s="86">
        <f>VLOOKUP(B348,多浪小区账面房号及收款金额!$A$2:$B$474,2,0)</f>
        <v>241582</v>
      </c>
      <c r="J348" s="86"/>
      <c r="K348" s="87">
        <f t="shared" si="64"/>
        <v>0</v>
      </c>
      <c r="L348" s="88"/>
      <c r="M348" s="88"/>
      <c r="N348" s="89">
        <f>VLOOKUP(B348,[2]信息汇总表!$M$2:$T$816,8,0)</f>
        <v>241582</v>
      </c>
      <c r="O348" s="89">
        <f t="shared" si="57"/>
        <v>221634.862385321</v>
      </c>
      <c r="P348" s="91">
        <v>221634.86</v>
      </c>
      <c r="Q348" s="88"/>
      <c r="R348" s="75">
        <f t="shared" si="58"/>
        <v>221634.862385321</v>
      </c>
      <c r="S348" s="75">
        <f t="shared" si="59"/>
        <v>11081.7431192661</v>
      </c>
      <c r="T348" s="75">
        <f t="shared" si="60"/>
        <v>0.00238532110233791</v>
      </c>
      <c r="U348" s="75">
        <f t="shared" si="61"/>
        <v>0.000119266054753098</v>
      </c>
    </row>
    <row r="349" hidden="1" spans="1:21">
      <c r="A349" s="55">
        <v>346</v>
      </c>
      <c r="B349" s="76" t="s">
        <v>2648</v>
      </c>
      <c r="C349" s="72">
        <v>71.87</v>
      </c>
      <c r="D349" s="73">
        <v>3130.65</v>
      </c>
      <c r="E349" s="73">
        <f t="shared" si="62"/>
        <v>225000</v>
      </c>
      <c r="F349" s="74" t="s">
        <v>2649</v>
      </c>
      <c r="G349" s="75">
        <v>225000</v>
      </c>
      <c r="H349" s="75">
        <f t="shared" si="63"/>
        <v>0</v>
      </c>
      <c r="I349" s="86">
        <f>VLOOKUP(B349,多浪小区账面房号及收款金额!$A$2:$B$474,2,0)</f>
        <v>225000</v>
      </c>
      <c r="J349" s="86"/>
      <c r="K349" s="87">
        <f t="shared" si="64"/>
        <v>0</v>
      </c>
      <c r="L349" s="88"/>
      <c r="M349" s="88"/>
      <c r="N349" s="89">
        <f>VLOOKUP(B349,[2]信息汇总表!$M$2:$T$816,8,0)</f>
        <v>225000</v>
      </c>
      <c r="O349" s="89">
        <f t="shared" si="57"/>
        <v>206422.018348624</v>
      </c>
      <c r="P349" s="91">
        <v>206422.02</v>
      </c>
      <c r="Q349" s="88"/>
      <c r="R349" s="75">
        <f t="shared" si="58"/>
        <v>206422.018348624</v>
      </c>
      <c r="S349" s="75">
        <f t="shared" si="59"/>
        <v>10321.1009174312</v>
      </c>
      <c r="T349" s="75">
        <f t="shared" si="60"/>
        <v>-0.00165137616568245</v>
      </c>
      <c r="U349" s="75">
        <f t="shared" si="61"/>
        <v>-8.25688093755161e-5</v>
      </c>
    </row>
    <row r="350" hidden="1" spans="1:21">
      <c r="A350" s="55">
        <v>347</v>
      </c>
      <c r="B350" s="76" t="s">
        <v>2650</v>
      </c>
      <c r="C350" s="72">
        <v>51.56</v>
      </c>
      <c r="D350" s="73">
        <v>3250</v>
      </c>
      <c r="E350" s="73">
        <f t="shared" si="62"/>
        <v>167570</v>
      </c>
      <c r="F350" s="74" t="s">
        <v>2651</v>
      </c>
      <c r="G350" s="75">
        <v>167570</v>
      </c>
      <c r="H350" s="75">
        <f t="shared" si="63"/>
        <v>0</v>
      </c>
      <c r="I350" s="86">
        <f>VLOOKUP(B350,多浪小区账面房号及收款金额!$A$2:$B$474,2,0)</f>
        <v>167570</v>
      </c>
      <c r="J350" s="86"/>
      <c r="K350" s="87">
        <f t="shared" si="64"/>
        <v>0</v>
      </c>
      <c r="L350" s="88"/>
      <c r="M350" s="88"/>
      <c r="N350" s="89">
        <f>VLOOKUP(B350,[2]信息汇总表!$M$2:$T$816,8,0)</f>
        <v>167570</v>
      </c>
      <c r="O350" s="89">
        <f t="shared" si="57"/>
        <v>153733.944954128</v>
      </c>
      <c r="P350" s="91">
        <v>153733.944954128</v>
      </c>
      <c r="Q350" s="88"/>
      <c r="R350" s="75">
        <f t="shared" si="58"/>
        <v>153733.944954128</v>
      </c>
      <c r="S350" s="75">
        <f t="shared" si="59"/>
        <v>7686.69724770642</v>
      </c>
      <c r="T350" s="75">
        <f t="shared" si="60"/>
        <v>4.36557456851006e-10</v>
      </c>
      <c r="U350" s="75">
        <f t="shared" si="61"/>
        <v>2.18278728425503e-11</v>
      </c>
    </row>
    <row r="351" hidden="1" spans="1:21">
      <c r="A351" s="55">
        <v>348</v>
      </c>
      <c r="B351" s="76" t="s">
        <v>2652</v>
      </c>
      <c r="C351" s="72">
        <v>52.21</v>
      </c>
      <c r="D351" s="73">
        <v>3500</v>
      </c>
      <c r="E351" s="73">
        <f t="shared" si="62"/>
        <v>182735</v>
      </c>
      <c r="F351" s="74" t="s">
        <v>2653</v>
      </c>
      <c r="G351" s="75">
        <v>182735</v>
      </c>
      <c r="H351" s="75">
        <f t="shared" si="63"/>
        <v>0</v>
      </c>
      <c r="I351" s="86">
        <f>VLOOKUP(B351,多浪小区账面房号及收款金额!$A$2:$B$474,2,0)</f>
        <v>182735</v>
      </c>
      <c r="J351" s="86"/>
      <c r="K351" s="87">
        <f t="shared" si="64"/>
        <v>0</v>
      </c>
      <c r="L351" s="88"/>
      <c r="M351" s="88"/>
      <c r="N351" s="89">
        <f>VLOOKUP(B351,[2]信息汇总表!$M$2:$T$816,8,0)</f>
        <v>182735</v>
      </c>
      <c r="O351" s="89">
        <f t="shared" si="57"/>
        <v>167646.788990826</v>
      </c>
      <c r="P351" s="91">
        <v>167646.79</v>
      </c>
      <c r="Q351" s="88"/>
      <c r="R351" s="75">
        <f t="shared" si="58"/>
        <v>167646.788990826</v>
      </c>
      <c r="S351" s="75">
        <f t="shared" si="59"/>
        <v>8382.33944954128</v>
      </c>
      <c r="T351" s="75">
        <f t="shared" si="60"/>
        <v>-0.00100917433155701</v>
      </c>
      <c r="U351" s="75">
        <f t="shared" si="61"/>
        <v>-5.04587151226588e-5</v>
      </c>
    </row>
    <row r="352" hidden="1" spans="1:21">
      <c r="A352" s="55">
        <v>349</v>
      </c>
      <c r="B352" s="76" t="s">
        <v>2654</v>
      </c>
      <c r="C352" s="72">
        <v>76.45</v>
      </c>
      <c r="D352" s="73">
        <v>3340</v>
      </c>
      <c r="E352" s="73">
        <f t="shared" si="62"/>
        <v>255343</v>
      </c>
      <c r="F352" s="74" t="s">
        <v>2655</v>
      </c>
      <c r="G352" s="75">
        <v>255343</v>
      </c>
      <c r="H352" s="75">
        <f t="shared" si="63"/>
        <v>0</v>
      </c>
      <c r="I352" s="86">
        <f>VLOOKUP(B352,多浪小区账面房号及收款金额!$A$2:$B$474,2,0)</f>
        <v>255343</v>
      </c>
      <c r="J352" s="86"/>
      <c r="K352" s="87">
        <f t="shared" si="64"/>
        <v>0</v>
      </c>
      <c r="L352" s="88"/>
      <c r="M352" s="88"/>
      <c r="N352" s="89">
        <f>VLOOKUP(B352,[2]信息汇总表!$M$2:$T$816,8,0)</f>
        <v>255343</v>
      </c>
      <c r="O352" s="89">
        <f t="shared" si="57"/>
        <v>234259.633027523</v>
      </c>
      <c r="P352" s="91">
        <v>234259.63</v>
      </c>
      <c r="Q352" s="88"/>
      <c r="R352" s="75">
        <f t="shared" si="58"/>
        <v>234259.633027523</v>
      </c>
      <c r="S352" s="75">
        <f t="shared" si="59"/>
        <v>11712.9816513761</v>
      </c>
      <c r="T352" s="75">
        <f t="shared" si="60"/>
        <v>0.00302752290735953</v>
      </c>
      <c r="U352" s="75">
        <f t="shared" si="61"/>
        <v>0.000151376145367976</v>
      </c>
    </row>
    <row r="353" hidden="1" spans="1:21">
      <c r="A353" s="55">
        <v>350</v>
      </c>
      <c r="B353" s="76" t="s">
        <v>2656</v>
      </c>
      <c r="C353" s="72">
        <v>71.87</v>
      </c>
      <c r="D353" s="73">
        <v>3339.36</v>
      </c>
      <c r="E353" s="73">
        <f t="shared" si="62"/>
        <v>240000</v>
      </c>
      <c r="F353" s="74" t="s">
        <v>2657</v>
      </c>
      <c r="G353" s="75">
        <v>240000</v>
      </c>
      <c r="H353" s="75">
        <f t="shared" si="63"/>
        <v>0</v>
      </c>
      <c r="I353" s="86">
        <f>VLOOKUP(B353,多浪小区账面房号及收款金额!$A$2:$B$474,2,0)</f>
        <v>210000</v>
      </c>
      <c r="J353" s="86"/>
      <c r="K353" s="95">
        <f t="shared" si="64"/>
        <v>30000</v>
      </c>
      <c r="M353" s="88"/>
      <c r="N353" s="89">
        <f>VLOOKUP(B353,[2]信息汇总表!$M$2:$T$816,8,0)+[2]信息汇总表!$T$412+[2]信息汇总表!$T$417</f>
        <v>240000</v>
      </c>
      <c r="O353" s="89">
        <f t="shared" si="57"/>
        <v>220183.486238532</v>
      </c>
      <c r="P353" s="91">
        <f>16513.76+27522.94+176146.79</f>
        <v>220183.49</v>
      </c>
      <c r="Q353" s="88"/>
      <c r="R353" s="75">
        <f t="shared" si="58"/>
        <v>192660.550458716</v>
      </c>
      <c r="S353" s="75">
        <f t="shared" si="59"/>
        <v>9633.02752293578</v>
      </c>
      <c r="T353" s="75">
        <f t="shared" si="60"/>
        <v>-27522.9395412844</v>
      </c>
      <c r="U353" s="75">
        <f t="shared" si="61"/>
        <v>-1376.14697706422</v>
      </c>
    </row>
    <row r="354" hidden="1" spans="1:21">
      <c r="A354" s="55">
        <v>351</v>
      </c>
      <c r="B354" s="76" t="s">
        <v>2658</v>
      </c>
      <c r="C354" s="72">
        <v>51.56</v>
      </c>
      <c r="D354" s="73">
        <v>3300</v>
      </c>
      <c r="E354" s="73">
        <f t="shared" ref="E354:E385" si="65">ROUND(IF(F354&lt;&gt;0,C354*D354,0),0)</f>
        <v>170148</v>
      </c>
      <c r="F354" s="74" t="s">
        <v>2659</v>
      </c>
      <c r="G354" s="75">
        <v>170148</v>
      </c>
      <c r="H354" s="75">
        <f t="shared" si="63"/>
        <v>0</v>
      </c>
      <c r="I354" s="86">
        <f>VLOOKUP(B354,多浪小区账面房号及收款金额!$A$2:$B$474,2,0)</f>
        <v>170148</v>
      </c>
      <c r="J354" s="86"/>
      <c r="K354" s="87">
        <f t="shared" ref="K354:K385" si="66">G354-I354</f>
        <v>0</v>
      </c>
      <c r="L354" s="88"/>
      <c r="M354" s="88"/>
      <c r="N354" s="89">
        <f>VLOOKUP(B354,[2]信息汇总表!$M$2:$T$816,8,0)</f>
        <v>170148</v>
      </c>
      <c r="O354" s="89">
        <f t="shared" si="57"/>
        <v>156099.082568807</v>
      </c>
      <c r="P354" s="91">
        <v>156099.08</v>
      </c>
      <c r="Q354" s="88"/>
      <c r="R354" s="75">
        <f t="shared" si="58"/>
        <v>156099.082568807</v>
      </c>
      <c r="S354" s="75">
        <f t="shared" si="59"/>
        <v>7804.95412844037</v>
      </c>
      <c r="T354" s="75">
        <f t="shared" si="60"/>
        <v>0.00256880733650178</v>
      </c>
      <c r="U354" s="75">
        <f t="shared" si="61"/>
        <v>0.000128440367006988</v>
      </c>
    </row>
    <row r="355" hidden="1" spans="1:21">
      <c r="A355" s="55">
        <v>352</v>
      </c>
      <c r="B355" s="76" t="s">
        <v>2660</v>
      </c>
      <c r="C355" s="72">
        <v>52.21</v>
      </c>
      <c r="D355" s="73">
        <v>3500</v>
      </c>
      <c r="E355" s="73">
        <f t="shared" si="65"/>
        <v>182735</v>
      </c>
      <c r="F355" s="74" t="s">
        <v>2661</v>
      </c>
      <c r="G355" s="75">
        <v>182735</v>
      </c>
      <c r="H355" s="75">
        <f t="shared" si="63"/>
        <v>0</v>
      </c>
      <c r="I355" s="86">
        <f>VLOOKUP(B355,多浪小区账面房号及收款金额!$A$2:$B$474,2,0)</f>
        <v>182735</v>
      </c>
      <c r="J355" s="86"/>
      <c r="K355" s="87">
        <f t="shared" si="66"/>
        <v>0</v>
      </c>
      <c r="L355" s="88"/>
      <c r="M355" s="88"/>
      <c r="N355" s="89">
        <f>VLOOKUP(B355,[2]信息汇总表!$M$2:$T$816,8,0)</f>
        <v>182735</v>
      </c>
      <c r="O355" s="89">
        <f t="shared" si="57"/>
        <v>167646.788990826</v>
      </c>
      <c r="P355" s="91">
        <v>167646.79</v>
      </c>
      <c r="Q355" s="88"/>
      <c r="R355" s="75">
        <f t="shared" si="58"/>
        <v>167646.788990826</v>
      </c>
      <c r="S355" s="75">
        <f t="shared" si="59"/>
        <v>8382.33944954128</v>
      </c>
      <c r="T355" s="75">
        <f t="shared" si="60"/>
        <v>-0.00100917433155701</v>
      </c>
      <c r="U355" s="75">
        <f t="shared" si="61"/>
        <v>-5.04587151226588e-5</v>
      </c>
    </row>
    <row r="356" hidden="1" spans="1:21">
      <c r="A356" s="55">
        <v>353</v>
      </c>
      <c r="B356" s="76" t="s">
        <v>2662</v>
      </c>
      <c r="C356" s="72">
        <v>76.45</v>
      </c>
      <c r="D356" s="73">
        <v>3300</v>
      </c>
      <c r="E356" s="73">
        <f t="shared" si="65"/>
        <v>252285</v>
      </c>
      <c r="F356" s="74" t="s">
        <v>2663</v>
      </c>
      <c r="G356" s="75">
        <v>252285</v>
      </c>
      <c r="H356" s="75">
        <f t="shared" si="63"/>
        <v>0</v>
      </c>
      <c r="I356" s="86">
        <f>VLOOKUP(B356,多浪小区账面房号及收款金额!$A$2:$B$474,2,0)</f>
        <v>252285</v>
      </c>
      <c r="J356" s="86"/>
      <c r="K356" s="87">
        <f t="shared" si="66"/>
        <v>0</v>
      </c>
      <c r="L356" s="88"/>
      <c r="M356" s="88"/>
      <c r="N356" s="89">
        <f>VLOOKUP(B356,[2]信息汇总表!$M$2:$T$816,8,0)</f>
        <v>252285</v>
      </c>
      <c r="O356" s="89">
        <f t="shared" si="57"/>
        <v>231454.128440367</v>
      </c>
      <c r="P356" s="91">
        <v>231454.13</v>
      </c>
      <c r="Q356" s="88"/>
      <c r="R356" s="75">
        <f t="shared" si="58"/>
        <v>231454.128440367</v>
      </c>
      <c r="S356" s="75">
        <f t="shared" si="59"/>
        <v>11572.7064220183</v>
      </c>
      <c r="T356" s="75">
        <f t="shared" si="60"/>
        <v>-0.00155963306315243</v>
      </c>
      <c r="U356" s="75">
        <f t="shared" si="61"/>
        <v>-7.79816527938237e-5</v>
      </c>
    </row>
    <row r="357" hidden="1" spans="1:21">
      <c r="A357" s="55">
        <v>354</v>
      </c>
      <c r="B357" s="76" t="s">
        <v>2664</v>
      </c>
      <c r="C357" s="72">
        <v>71.87</v>
      </c>
      <c r="D357" s="73">
        <v>3071</v>
      </c>
      <c r="E357" s="73">
        <f t="shared" si="65"/>
        <v>220713</v>
      </c>
      <c r="F357" s="74" t="s">
        <v>2665</v>
      </c>
      <c r="G357" s="75">
        <v>220734</v>
      </c>
      <c r="H357" s="75">
        <f t="shared" ref="H357:H388" si="67">E357-G357</f>
        <v>-21</v>
      </c>
      <c r="I357" s="86">
        <f>VLOOKUP(B357,多浪小区账面房号及收款金额!$A$2:$B$474,2,0)</f>
        <v>220734</v>
      </c>
      <c r="J357" s="86"/>
      <c r="K357" s="87">
        <f t="shared" si="66"/>
        <v>0</v>
      </c>
      <c r="L357" s="88"/>
      <c r="M357" s="88"/>
      <c r="N357" s="89">
        <f>VLOOKUP(B357,[2]信息汇总表!$M$2:$T$816,8,0)</f>
        <v>220713</v>
      </c>
      <c r="O357" s="89">
        <f t="shared" si="57"/>
        <v>202488.990825688</v>
      </c>
      <c r="P357" s="91">
        <v>202488.99</v>
      </c>
      <c r="Q357" s="88"/>
      <c r="R357" s="75">
        <f t="shared" si="58"/>
        <v>202508.256880734</v>
      </c>
      <c r="S357" s="75">
        <f t="shared" si="59"/>
        <v>10125.4128440367</v>
      </c>
      <c r="T357" s="75">
        <f t="shared" si="60"/>
        <v>19.2668807339505</v>
      </c>
      <c r="U357" s="75">
        <f t="shared" si="61"/>
        <v>0.96334403669789</v>
      </c>
    </row>
    <row r="358" hidden="1" spans="1:21">
      <c r="A358" s="55">
        <v>355</v>
      </c>
      <c r="B358" s="76" t="s">
        <v>2666</v>
      </c>
      <c r="C358" s="72">
        <v>51.56</v>
      </c>
      <c r="D358" s="73">
        <v>3200.16</v>
      </c>
      <c r="E358" s="73">
        <f t="shared" si="65"/>
        <v>165000</v>
      </c>
      <c r="F358" s="74" t="s">
        <v>2667</v>
      </c>
      <c r="G358" s="75">
        <v>165000</v>
      </c>
      <c r="H358" s="75">
        <f t="shared" si="67"/>
        <v>0</v>
      </c>
      <c r="I358" s="86">
        <f>VLOOKUP(B358,多浪小区账面房号及收款金额!$A$2:$B$474,2,0)</f>
        <v>165000</v>
      </c>
      <c r="J358" s="86"/>
      <c r="K358" s="87">
        <f t="shared" si="66"/>
        <v>0</v>
      </c>
      <c r="L358" s="88"/>
      <c r="M358" s="88"/>
      <c r="N358" s="89">
        <f>VLOOKUP(B358,[2]信息汇总表!$M$2:$T$816,8,0)</f>
        <v>165000</v>
      </c>
      <c r="O358" s="89">
        <f t="shared" si="57"/>
        <v>151376.146788991</v>
      </c>
      <c r="P358" s="91">
        <v>151376.15</v>
      </c>
      <c r="Q358" s="88"/>
      <c r="R358" s="75">
        <f t="shared" si="58"/>
        <v>151376.146788991</v>
      </c>
      <c r="S358" s="75">
        <f t="shared" si="59"/>
        <v>7568.80733944954</v>
      </c>
      <c r="T358" s="75">
        <f t="shared" si="60"/>
        <v>-0.00321100917062722</v>
      </c>
      <c r="U358" s="75">
        <f t="shared" si="61"/>
        <v>-0.000160550458531361</v>
      </c>
    </row>
    <row r="359" hidden="1" spans="1:21">
      <c r="A359" s="55">
        <v>356</v>
      </c>
      <c r="B359" s="76" t="s">
        <v>2668</v>
      </c>
      <c r="C359" s="72">
        <v>52.21</v>
      </c>
      <c r="D359" s="73">
        <v>3397.82</v>
      </c>
      <c r="E359" s="73">
        <f t="shared" si="65"/>
        <v>177400</v>
      </c>
      <c r="F359" s="74" t="s">
        <v>2669</v>
      </c>
      <c r="G359" s="75">
        <v>177400</v>
      </c>
      <c r="H359" s="75">
        <f t="shared" si="67"/>
        <v>0</v>
      </c>
      <c r="I359" s="86">
        <f>VLOOKUP(B359,多浪小区账面房号及收款金额!$A$2:$B$474,2,0)</f>
        <v>177400</v>
      </c>
      <c r="J359" s="86"/>
      <c r="K359" s="87">
        <f t="shared" si="66"/>
        <v>0</v>
      </c>
      <c r="L359" s="88"/>
      <c r="M359" s="88"/>
      <c r="N359" s="89">
        <f>VLOOKUP(B359,[2]信息汇总表!$M$2:$T$816,8,0)</f>
        <v>177400</v>
      </c>
      <c r="O359" s="89">
        <f t="shared" si="57"/>
        <v>162752.293577982</v>
      </c>
      <c r="P359" s="91">
        <v>162752.29</v>
      </c>
      <c r="Q359" s="88"/>
      <c r="R359" s="75">
        <f t="shared" si="58"/>
        <v>162752.293577982</v>
      </c>
      <c r="S359" s="75">
        <f t="shared" si="59"/>
        <v>8137.61467889908</v>
      </c>
      <c r="T359" s="75">
        <f t="shared" si="60"/>
        <v>0.00357798163895495</v>
      </c>
      <c r="U359" s="75">
        <f t="shared" si="61"/>
        <v>0.000178899082129647</v>
      </c>
    </row>
    <row r="360" hidden="1" spans="1:21">
      <c r="A360" s="55">
        <v>357</v>
      </c>
      <c r="B360" s="76" t="s">
        <v>2670</v>
      </c>
      <c r="C360" s="72">
        <v>76.45</v>
      </c>
      <c r="D360" s="73">
        <v>3348.59385219097</v>
      </c>
      <c r="E360" s="73">
        <f t="shared" si="65"/>
        <v>256000</v>
      </c>
      <c r="F360" s="74" t="s">
        <v>2671</v>
      </c>
      <c r="G360" s="75">
        <v>256000</v>
      </c>
      <c r="H360" s="75">
        <f t="shared" si="67"/>
        <v>0</v>
      </c>
      <c r="I360" s="86">
        <f>VLOOKUP(B360,多浪小区账面房号及收款金额!$A$2:$B$474,2,0)</f>
        <v>256000</v>
      </c>
      <c r="J360" s="86"/>
      <c r="K360" s="87">
        <f t="shared" si="66"/>
        <v>0</v>
      </c>
      <c r="L360" s="88"/>
      <c r="M360" s="88"/>
      <c r="N360" s="89">
        <f>VLOOKUP(B360,[2]信息汇总表!$M$2:$T$816,8,0)</f>
        <v>256000</v>
      </c>
      <c r="O360" s="89">
        <f t="shared" si="57"/>
        <v>234862.385321101</v>
      </c>
      <c r="P360" s="91">
        <v>234862.39</v>
      </c>
      <c r="Q360" s="88"/>
      <c r="R360" s="75">
        <f t="shared" si="58"/>
        <v>234862.385321101</v>
      </c>
      <c r="S360" s="75">
        <f t="shared" si="59"/>
        <v>11743.119266055</v>
      </c>
      <c r="T360" s="75">
        <f t="shared" si="60"/>
        <v>-0.00467889910214581</v>
      </c>
      <c r="U360" s="75">
        <f t="shared" si="61"/>
        <v>-0.000233944954743492</v>
      </c>
    </row>
    <row r="361" hidden="1" spans="1:21">
      <c r="A361" s="55">
        <v>358</v>
      </c>
      <c r="B361" s="76" t="s">
        <v>2672</v>
      </c>
      <c r="C361" s="72">
        <v>71.87</v>
      </c>
      <c r="D361" s="73">
        <v>3150</v>
      </c>
      <c r="E361" s="73">
        <f t="shared" si="65"/>
        <v>226391</v>
      </c>
      <c r="F361" s="74" t="s">
        <v>2673</v>
      </c>
      <c r="G361" s="75">
        <v>226391</v>
      </c>
      <c r="H361" s="75">
        <f t="shared" si="67"/>
        <v>0</v>
      </c>
      <c r="I361" s="86">
        <f>VLOOKUP(B361,多浪小区账面房号及收款金额!$A$2:$B$474,2,0)</f>
        <v>226391</v>
      </c>
      <c r="J361" s="86"/>
      <c r="K361" s="87">
        <f t="shared" si="66"/>
        <v>0</v>
      </c>
      <c r="L361" s="88"/>
      <c r="M361" s="88"/>
      <c r="N361" s="89">
        <f>VLOOKUP(B361,[2]信息汇总表!$M$2:$T$816,8,0)</f>
        <v>226391</v>
      </c>
      <c r="O361" s="89">
        <f t="shared" si="57"/>
        <v>207698.165137615</v>
      </c>
      <c r="P361" s="91">
        <v>207698.17</v>
      </c>
      <c r="Q361" s="88"/>
      <c r="R361" s="75">
        <f t="shared" si="58"/>
        <v>207698.165137615</v>
      </c>
      <c r="S361" s="75">
        <f t="shared" si="59"/>
        <v>10384.9082568807</v>
      </c>
      <c r="T361" s="75">
        <f t="shared" si="60"/>
        <v>-0.00486238533630967</v>
      </c>
      <c r="U361" s="75">
        <f t="shared" si="61"/>
        <v>-0.000243119266087888</v>
      </c>
    </row>
    <row r="362" hidden="1" spans="1:21">
      <c r="A362" s="55">
        <v>359</v>
      </c>
      <c r="B362" s="76" t="s">
        <v>2674</v>
      </c>
      <c r="C362" s="72">
        <v>51.56</v>
      </c>
      <c r="D362" s="73">
        <v>2900</v>
      </c>
      <c r="E362" s="73">
        <f t="shared" si="65"/>
        <v>149524</v>
      </c>
      <c r="F362" s="74" t="s">
        <v>2675</v>
      </c>
      <c r="G362" s="75">
        <v>149524</v>
      </c>
      <c r="H362" s="75">
        <f t="shared" si="67"/>
        <v>0</v>
      </c>
      <c r="I362" s="86">
        <f>VLOOKUP(B362,多浪小区账面房号及收款金额!$A$2:$B$474,2,0)</f>
        <v>149524</v>
      </c>
      <c r="J362" s="86"/>
      <c r="K362" s="87">
        <f t="shared" si="66"/>
        <v>0</v>
      </c>
      <c r="L362" s="88"/>
      <c r="M362" s="88"/>
      <c r="N362" s="89">
        <f>VLOOKUP(B362,[2]信息汇总表!$M$2:$T$816,8,0)</f>
        <v>149524</v>
      </c>
      <c r="O362" s="89">
        <f t="shared" si="57"/>
        <v>137177.981651376</v>
      </c>
      <c r="P362" s="91">
        <v>137177.98</v>
      </c>
      <c r="Q362" s="88"/>
      <c r="R362" s="75">
        <f t="shared" si="58"/>
        <v>137177.981651376</v>
      </c>
      <c r="S362" s="75">
        <f t="shared" si="59"/>
        <v>6858.89908256881</v>
      </c>
      <c r="T362" s="75">
        <f t="shared" si="60"/>
        <v>0.00165137613657862</v>
      </c>
      <c r="U362" s="75">
        <f t="shared" si="61"/>
        <v>8.2568806647032e-5</v>
      </c>
    </row>
    <row r="363" hidden="1" spans="1:21">
      <c r="A363" s="55">
        <v>360</v>
      </c>
      <c r="B363" s="76" t="s">
        <v>2676</v>
      </c>
      <c r="C363" s="72">
        <v>52.21</v>
      </c>
      <c r="D363" s="73">
        <v>2999.42</v>
      </c>
      <c r="E363" s="73">
        <f t="shared" si="65"/>
        <v>156600</v>
      </c>
      <c r="F363" s="74" t="s">
        <v>2677</v>
      </c>
      <c r="G363" s="75">
        <v>156600</v>
      </c>
      <c r="H363" s="75">
        <f t="shared" si="67"/>
        <v>0</v>
      </c>
      <c r="I363" s="86">
        <f>VLOOKUP(B363,多浪小区账面房号及收款金额!$A$2:$B$474,2,0)</f>
        <v>156600</v>
      </c>
      <c r="J363" s="86"/>
      <c r="K363" s="87">
        <f t="shared" si="66"/>
        <v>0</v>
      </c>
      <c r="L363" s="88"/>
      <c r="M363" s="88"/>
      <c r="N363" s="89">
        <f>VLOOKUP(B363,[2]信息汇总表!$M$2:$T$816,8,0)</f>
        <v>156600</v>
      </c>
      <c r="O363" s="89">
        <f t="shared" si="57"/>
        <v>143669.724770642</v>
      </c>
      <c r="P363" s="91">
        <v>143669.72</v>
      </c>
      <c r="Q363" s="88"/>
      <c r="R363" s="75">
        <f t="shared" si="58"/>
        <v>143669.724770642</v>
      </c>
      <c r="S363" s="75">
        <f t="shared" si="59"/>
        <v>7183.48623853211</v>
      </c>
      <c r="T363" s="75">
        <f t="shared" si="60"/>
        <v>0.00477064220467582</v>
      </c>
      <c r="U363" s="75">
        <f t="shared" si="61"/>
        <v>0.000238532109506195</v>
      </c>
    </row>
    <row r="364" hidden="1" spans="1:21">
      <c r="A364" s="55">
        <v>361</v>
      </c>
      <c r="B364" s="76" t="s">
        <v>2678</v>
      </c>
      <c r="C364" s="72">
        <v>76.45</v>
      </c>
      <c r="D364" s="73">
        <v>3000</v>
      </c>
      <c r="E364" s="73">
        <f t="shared" si="65"/>
        <v>229350</v>
      </c>
      <c r="F364" s="74" t="s">
        <v>2679</v>
      </c>
      <c r="G364" s="75">
        <v>229350</v>
      </c>
      <c r="H364" s="75">
        <f t="shared" si="67"/>
        <v>0</v>
      </c>
      <c r="I364" s="86">
        <f>VLOOKUP(B364,多浪小区账面房号及收款金额!$A$2:$B$474,2,0)</f>
        <v>229350</v>
      </c>
      <c r="J364" s="86"/>
      <c r="K364" s="87">
        <f t="shared" si="66"/>
        <v>0</v>
      </c>
      <c r="L364" s="88"/>
      <c r="M364" s="88"/>
      <c r="N364" s="89">
        <f>VLOOKUP(B364,[2]信息汇总表!$M$2:$T$816,8,0)</f>
        <v>229350</v>
      </c>
      <c r="O364" s="89">
        <f t="shared" si="57"/>
        <v>210412.844036697</v>
      </c>
      <c r="P364" s="91">
        <v>210412.84</v>
      </c>
      <c r="Q364" s="88"/>
      <c r="R364" s="75">
        <f t="shared" si="58"/>
        <v>210412.844036697</v>
      </c>
      <c r="S364" s="75">
        <f t="shared" si="59"/>
        <v>10520.6422018349</v>
      </c>
      <c r="T364" s="75">
        <f t="shared" si="60"/>
        <v>0.00403669723891653</v>
      </c>
      <c r="U364" s="75">
        <f t="shared" si="61"/>
        <v>0.000201834862309624</v>
      </c>
    </row>
    <row r="365" hidden="1" spans="1:21">
      <c r="A365" s="55">
        <v>362</v>
      </c>
      <c r="B365" s="76" t="s">
        <v>2680</v>
      </c>
      <c r="C365" s="72">
        <v>71.87</v>
      </c>
      <c r="D365" s="73">
        <v>2950</v>
      </c>
      <c r="E365" s="73">
        <f t="shared" si="65"/>
        <v>212017</v>
      </c>
      <c r="F365" s="74" t="s">
        <v>2681</v>
      </c>
      <c r="G365" s="75">
        <v>212017</v>
      </c>
      <c r="H365" s="75">
        <f t="shared" si="67"/>
        <v>0</v>
      </c>
      <c r="I365" s="86">
        <f>VLOOKUP(B365,多浪小区账面房号及收款金额!$A$2:$B$474,2,0)</f>
        <v>212017</v>
      </c>
      <c r="J365" s="86"/>
      <c r="K365" s="87">
        <f t="shared" si="66"/>
        <v>0</v>
      </c>
      <c r="L365" s="88"/>
      <c r="M365" s="88"/>
      <c r="N365" s="89"/>
      <c r="O365" s="89">
        <f t="shared" si="57"/>
        <v>0</v>
      </c>
      <c r="P365" s="91"/>
      <c r="Q365" s="88"/>
      <c r="R365" s="75">
        <f t="shared" si="58"/>
        <v>194511.009174312</v>
      </c>
      <c r="S365" s="75">
        <f t="shared" si="59"/>
        <v>9725.5504587156</v>
      </c>
      <c r="T365" s="75">
        <f t="shared" si="60"/>
        <v>194511.009174312</v>
      </c>
      <c r="U365" s="75">
        <f t="shared" si="61"/>
        <v>9725.5504587156</v>
      </c>
    </row>
    <row r="366" hidden="1" spans="1:21">
      <c r="A366" s="55">
        <v>363</v>
      </c>
      <c r="B366" s="76" t="s">
        <v>2682</v>
      </c>
      <c r="C366" s="72">
        <v>51.56</v>
      </c>
      <c r="D366" s="73">
        <v>2700</v>
      </c>
      <c r="E366" s="73">
        <f t="shared" si="65"/>
        <v>139212</v>
      </c>
      <c r="F366" s="74" t="s">
        <v>2683</v>
      </c>
      <c r="G366" s="75">
        <v>139212</v>
      </c>
      <c r="H366" s="75">
        <f t="shared" si="67"/>
        <v>0</v>
      </c>
      <c r="I366" s="86">
        <f>VLOOKUP(B366,多浪小区账面房号及收款金额!$A$2:$B$474,2,0)</f>
        <v>139212</v>
      </c>
      <c r="J366" s="86"/>
      <c r="K366" s="87">
        <f t="shared" si="66"/>
        <v>0</v>
      </c>
      <c r="L366" s="92"/>
      <c r="M366" s="88"/>
      <c r="N366" s="89">
        <f>VLOOKUP(B366,[2]信息汇总表!$M$2:$T$816,8,0)</f>
        <v>139212</v>
      </c>
      <c r="O366" s="89">
        <f t="shared" si="57"/>
        <v>127717.431192661</v>
      </c>
      <c r="P366" s="91"/>
      <c r="Q366" s="88"/>
      <c r="R366" s="75">
        <f t="shared" si="58"/>
        <v>127717.431192661</v>
      </c>
      <c r="S366" s="75">
        <f t="shared" si="59"/>
        <v>6385.87155963303</v>
      </c>
      <c r="T366" s="75">
        <f t="shared" si="60"/>
        <v>127717.431192661</v>
      </c>
      <c r="U366" s="75">
        <f t="shared" si="61"/>
        <v>6385.87155963303</v>
      </c>
    </row>
    <row r="367" hidden="1" spans="1:21">
      <c r="A367" s="55">
        <v>364</v>
      </c>
      <c r="B367" s="76" t="s">
        <v>2684</v>
      </c>
      <c r="C367" s="72">
        <v>52.21</v>
      </c>
      <c r="D367" s="73">
        <v>2858.48</v>
      </c>
      <c r="E367" s="73">
        <f t="shared" si="65"/>
        <v>149241</v>
      </c>
      <c r="F367" s="74" t="s">
        <v>2685</v>
      </c>
      <c r="G367" s="75">
        <v>149241</v>
      </c>
      <c r="H367" s="75">
        <f t="shared" si="67"/>
        <v>0</v>
      </c>
      <c r="I367" s="86">
        <f>VLOOKUP(B367,多浪小区账面房号及收款金额!$A$2:$B$474,2,0)</f>
        <v>149241</v>
      </c>
      <c r="J367" s="86"/>
      <c r="K367" s="87">
        <f t="shared" si="66"/>
        <v>0</v>
      </c>
      <c r="L367" s="88"/>
      <c r="M367" s="88"/>
      <c r="N367" s="89">
        <f>VLOOKUP(B367,[2]信息汇总表!$M$2:$T$816,8,0)</f>
        <v>149241</v>
      </c>
      <c r="O367" s="89">
        <f t="shared" si="57"/>
        <v>136918.348623853</v>
      </c>
      <c r="P367" s="91">
        <v>136918.35</v>
      </c>
      <c r="Q367" s="88"/>
      <c r="R367" s="75">
        <f t="shared" si="58"/>
        <v>136918.348623853</v>
      </c>
      <c r="S367" s="75">
        <f t="shared" si="59"/>
        <v>6845.91743119266</v>
      </c>
      <c r="T367" s="75">
        <f t="shared" si="60"/>
        <v>-0.00137614679988474</v>
      </c>
      <c r="U367" s="75">
        <f t="shared" si="61"/>
        <v>-6.88073396304389e-5</v>
      </c>
    </row>
    <row r="368" hidden="1" spans="1:21">
      <c r="A368" s="55">
        <v>365</v>
      </c>
      <c r="B368" s="76" t="s">
        <v>2686</v>
      </c>
      <c r="C368" s="72">
        <v>76.45</v>
      </c>
      <c r="D368" s="73">
        <v>2840</v>
      </c>
      <c r="E368" s="73">
        <f t="shared" si="65"/>
        <v>217118</v>
      </c>
      <c r="F368" s="74" t="s">
        <v>2687</v>
      </c>
      <c r="G368" s="75">
        <v>217118</v>
      </c>
      <c r="H368" s="75">
        <f t="shared" si="67"/>
        <v>0</v>
      </c>
      <c r="I368" s="86">
        <f>VLOOKUP(B368,多浪小区账面房号及收款金额!$A$2:$B$474,2,0)</f>
        <v>217118</v>
      </c>
      <c r="J368" s="86"/>
      <c r="K368" s="87">
        <f t="shared" si="66"/>
        <v>0</v>
      </c>
      <c r="L368" s="88"/>
      <c r="M368" s="88"/>
      <c r="N368" s="89"/>
      <c r="O368" s="89">
        <f t="shared" si="57"/>
        <v>0</v>
      </c>
      <c r="P368" s="91"/>
      <c r="Q368" s="88"/>
      <c r="R368" s="75">
        <f t="shared" si="58"/>
        <v>199190.825688073</v>
      </c>
      <c r="S368" s="75">
        <f t="shared" si="59"/>
        <v>9959.54128440367</v>
      </c>
      <c r="T368" s="75">
        <f t="shared" si="60"/>
        <v>199190.825688073</v>
      </c>
      <c r="U368" s="75">
        <f t="shared" si="61"/>
        <v>9959.54128440367</v>
      </c>
    </row>
    <row r="369" hidden="1" spans="1:21">
      <c r="A369" s="55">
        <v>366</v>
      </c>
      <c r="B369" s="76" t="s">
        <v>2688</v>
      </c>
      <c r="C369" s="72">
        <v>71.87</v>
      </c>
      <c r="D369" s="73">
        <v>2741.06</v>
      </c>
      <c r="E369" s="73">
        <f t="shared" si="65"/>
        <v>197000</v>
      </c>
      <c r="F369" s="74" t="s">
        <v>2689</v>
      </c>
      <c r="G369" s="75">
        <v>197000</v>
      </c>
      <c r="H369" s="75">
        <f t="shared" si="67"/>
        <v>0</v>
      </c>
      <c r="I369" s="86">
        <f>VLOOKUP(B369,多浪小区账面房号及收款金额!$A$2:$B$474,2,0)</f>
        <v>197000</v>
      </c>
      <c r="J369" s="86"/>
      <c r="K369" s="87">
        <f t="shared" si="66"/>
        <v>0</v>
      </c>
      <c r="L369" s="88"/>
      <c r="M369" s="88"/>
      <c r="N369" s="89">
        <f>VLOOKUP(B369,[2]信息汇总表!$M$2:$T$816,8,0)</f>
        <v>197000</v>
      </c>
      <c r="O369" s="89">
        <f t="shared" si="57"/>
        <v>180733.944954128</v>
      </c>
      <c r="P369" s="91">
        <v>180733.94</v>
      </c>
      <c r="Q369" s="88"/>
      <c r="R369" s="75">
        <f t="shared" si="58"/>
        <v>180733.944954128</v>
      </c>
      <c r="S369" s="75">
        <f t="shared" si="59"/>
        <v>9036.69724770642</v>
      </c>
      <c r="T369" s="75">
        <f t="shared" si="60"/>
        <v>0.00495412843883969</v>
      </c>
      <c r="U369" s="75">
        <f t="shared" si="61"/>
        <v>0.00024770642266958</v>
      </c>
    </row>
    <row r="370" hidden="1" spans="1:21">
      <c r="A370" s="55">
        <v>367</v>
      </c>
      <c r="B370" s="76" t="s">
        <v>2690</v>
      </c>
      <c r="C370" s="72">
        <v>80.05</v>
      </c>
      <c r="D370" s="73">
        <v>3200</v>
      </c>
      <c r="E370" s="73">
        <f t="shared" si="65"/>
        <v>256160</v>
      </c>
      <c r="F370" s="74" t="s">
        <v>2691</v>
      </c>
      <c r="G370" s="75">
        <v>222958</v>
      </c>
      <c r="H370" s="75">
        <f t="shared" si="67"/>
        <v>33202</v>
      </c>
      <c r="I370" s="86">
        <f>VLOOKUP(B370,多浪小区账面房号及收款金额!$A$2:$B$474,2,0)</f>
        <v>252958</v>
      </c>
      <c r="J370" s="86"/>
      <c r="K370" s="95">
        <f t="shared" si="66"/>
        <v>-30000</v>
      </c>
      <c r="L370" s="92"/>
      <c r="M370" s="88"/>
      <c r="N370" s="89"/>
      <c r="O370" s="89">
        <f t="shared" si="57"/>
        <v>0</v>
      </c>
      <c r="P370" s="91"/>
      <c r="Q370" s="88"/>
      <c r="R370" s="75">
        <f t="shared" si="58"/>
        <v>232071.559633028</v>
      </c>
      <c r="S370" s="75">
        <f t="shared" si="59"/>
        <v>11603.5779816514</v>
      </c>
      <c r="T370" s="75">
        <f t="shared" si="60"/>
        <v>232071.559633028</v>
      </c>
      <c r="U370" s="75">
        <f t="shared" si="61"/>
        <v>11603.5779816514</v>
      </c>
    </row>
    <row r="371" hidden="1" spans="1:21">
      <c r="A371" s="55">
        <v>368</v>
      </c>
      <c r="B371" s="76" t="s">
        <v>2692</v>
      </c>
      <c r="C371" s="72">
        <v>82.12</v>
      </c>
      <c r="D371" s="73">
        <v>3214.8</v>
      </c>
      <c r="E371" s="73">
        <f t="shared" si="65"/>
        <v>263999</v>
      </c>
      <c r="F371" s="74" t="s">
        <v>2693</v>
      </c>
      <c r="G371" s="75">
        <v>264000</v>
      </c>
      <c r="H371" s="75">
        <f t="shared" si="67"/>
        <v>-1</v>
      </c>
      <c r="I371" s="86">
        <f>VLOOKUP(B371,多浪小区账面房号及收款金额!$A$2:$B$474,2,0)</f>
        <v>264000</v>
      </c>
      <c r="J371" s="86"/>
      <c r="K371" s="87">
        <f t="shared" si="66"/>
        <v>0</v>
      </c>
      <c r="L371" s="88"/>
      <c r="M371" s="88"/>
      <c r="N371" s="89">
        <f>VLOOKUP(B371,[2]信息汇总表!$M$2:$T$816,8,0)</f>
        <v>264000</v>
      </c>
      <c r="O371" s="89">
        <f t="shared" si="57"/>
        <v>242201.834862385</v>
      </c>
      <c r="P371" s="91">
        <v>242201.83</v>
      </c>
      <c r="Q371" s="88"/>
      <c r="R371" s="75">
        <f t="shared" si="58"/>
        <v>242201.834862385</v>
      </c>
      <c r="S371" s="75">
        <f t="shared" si="59"/>
        <v>12110.0917431193</v>
      </c>
      <c r="T371" s="75">
        <f t="shared" si="60"/>
        <v>0.00486238530720584</v>
      </c>
      <c r="U371" s="75">
        <f t="shared" si="61"/>
        <v>0.000243119264268898</v>
      </c>
    </row>
    <row r="372" hidden="1" spans="1:21">
      <c r="A372" s="55">
        <v>369</v>
      </c>
      <c r="B372" s="76" t="s">
        <v>2694</v>
      </c>
      <c r="C372" s="72">
        <v>80.05</v>
      </c>
      <c r="D372" s="73">
        <v>3310</v>
      </c>
      <c r="E372" s="73">
        <f t="shared" si="65"/>
        <v>264966</v>
      </c>
      <c r="F372" s="74" t="s">
        <v>2695</v>
      </c>
      <c r="G372" s="75">
        <v>264966</v>
      </c>
      <c r="H372" s="75">
        <f t="shared" si="67"/>
        <v>0</v>
      </c>
      <c r="I372" s="86">
        <f>VLOOKUP(B372,多浪小区账面房号及收款金额!$A$2:$B$474,2,0)</f>
        <v>264966</v>
      </c>
      <c r="J372" s="86"/>
      <c r="K372" s="87">
        <f t="shared" si="66"/>
        <v>0</v>
      </c>
      <c r="L372" s="88"/>
      <c r="M372" s="88"/>
      <c r="N372" s="89">
        <f>VLOOKUP(B372,[2]信息汇总表!$M$2:$T$816,8,0)</f>
        <v>264966</v>
      </c>
      <c r="O372" s="89">
        <f t="shared" si="57"/>
        <v>243088.073394495</v>
      </c>
      <c r="P372" s="91">
        <v>243088.07</v>
      </c>
      <c r="Q372" s="88"/>
      <c r="R372" s="75">
        <f t="shared" si="58"/>
        <v>243088.073394495</v>
      </c>
      <c r="S372" s="75">
        <f t="shared" si="59"/>
        <v>12154.4036697248</v>
      </c>
      <c r="T372" s="75">
        <f t="shared" si="60"/>
        <v>0.00339449537568726</v>
      </c>
      <c r="U372" s="75">
        <f t="shared" si="61"/>
        <v>0.000169724769875756</v>
      </c>
    </row>
    <row r="373" hidden="1" spans="1:21">
      <c r="A373" s="55">
        <v>370</v>
      </c>
      <c r="B373" s="76" t="s">
        <v>2696</v>
      </c>
      <c r="C373" s="72">
        <v>82.12</v>
      </c>
      <c r="D373" s="73">
        <v>3360.94</v>
      </c>
      <c r="E373" s="73">
        <f t="shared" si="65"/>
        <v>276000</v>
      </c>
      <c r="F373" s="74" t="s">
        <v>2697</v>
      </c>
      <c r="G373" s="75">
        <v>276000</v>
      </c>
      <c r="H373" s="75">
        <f t="shared" si="67"/>
        <v>0</v>
      </c>
      <c r="I373" s="86">
        <f>VLOOKUP(B373,多浪小区账面房号及收款金额!$A$2:$B$474,2,0)</f>
        <v>276000</v>
      </c>
      <c r="J373" s="86"/>
      <c r="K373" s="87">
        <f t="shared" si="66"/>
        <v>0</v>
      </c>
      <c r="L373" s="88"/>
      <c r="M373" s="88"/>
      <c r="N373" s="89">
        <f>VLOOKUP(B373,[2]信息汇总表!$M$2:$T$816,8,0)</f>
        <v>276000</v>
      </c>
      <c r="O373" s="89">
        <f t="shared" si="57"/>
        <v>253211.009174312</v>
      </c>
      <c r="P373" s="91">
        <v>253211.01</v>
      </c>
      <c r="Q373" s="88"/>
      <c r="R373" s="75">
        <f t="shared" si="58"/>
        <v>253211.009174312</v>
      </c>
      <c r="S373" s="75">
        <f t="shared" si="59"/>
        <v>12660.5504587156</v>
      </c>
      <c r="T373" s="75">
        <f t="shared" si="60"/>
        <v>-0.00082568809739314</v>
      </c>
      <c r="U373" s="75">
        <f t="shared" si="61"/>
        <v>-4.12844055972528e-5</v>
      </c>
    </row>
    <row r="374" hidden="1" spans="1:21">
      <c r="A374" s="55">
        <v>371</v>
      </c>
      <c r="B374" s="76" t="s">
        <v>2698</v>
      </c>
      <c r="C374" s="72">
        <v>80.05</v>
      </c>
      <c r="D374" s="73">
        <v>3332.62</v>
      </c>
      <c r="E374" s="73">
        <f t="shared" si="65"/>
        <v>266776</v>
      </c>
      <c r="F374" s="74" t="s">
        <v>2699</v>
      </c>
      <c r="G374" s="75">
        <v>266776</v>
      </c>
      <c r="H374" s="75">
        <f t="shared" si="67"/>
        <v>0</v>
      </c>
      <c r="I374" s="86">
        <f>VLOOKUP(B374,多浪小区账面房号及收款金额!$A$2:$B$474,2,0)</f>
        <v>266776</v>
      </c>
      <c r="J374" s="86"/>
      <c r="K374" s="87">
        <f t="shared" si="66"/>
        <v>0</v>
      </c>
      <c r="L374" s="88"/>
      <c r="M374" s="88"/>
      <c r="N374" s="89">
        <f>VLOOKUP(B374,[2]信息汇总表!$M$2:$T$816,8,0)</f>
        <v>266776</v>
      </c>
      <c r="O374" s="89">
        <f t="shared" si="57"/>
        <v>244748.623853211</v>
      </c>
      <c r="P374" s="91">
        <v>244748.62</v>
      </c>
      <c r="Q374" s="88"/>
      <c r="R374" s="75">
        <f t="shared" si="58"/>
        <v>244748.623853211</v>
      </c>
      <c r="S374" s="75">
        <f t="shared" si="59"/>
        <v>12237.4311926606</v>
      </c>
      <c r="T374" s="75">
        <f t="shared" si="60"/>
        <v>0.00385321100475267</v>
      </c>
      <c r="U374" s="75">
        <f t="shared" si="61"/>
        <v>0.000192660550965229</v>
      </c>
    </row>
    <row r="375" hidden="1" spans="1:21">
      <c r="A375" s="55">
        <v>372</v>
      </c>
      <c r="B375" s="76" t="s">
        <v>2700</v>
      </c>
      <c r="C375" s="72">
        <v>82.12</v>
      </c>
      <c r="D375" s="73">
        <v>3336.58</v>
      </c>
      <c r="E375" s="73">
        <f t="shared" si="65"/>
        <v>274000</v>
      </c>
      <c r="F375" s="74" t="s">
        <v>2701</v>
      </c>
      <c r="G375" s="75">
        <v>274000</v>
      </c>
      <c r="H375" s="75">
        <f t="shared" si="67"/>
        <v>0</v>
      </c>
      <c r="I375" s="86">
        <f>VLOOKUP(B375,多浪小区账面房号及收款金额!$A$2:$B$474,2,0)</f>
        <v>274000</v>
      </c>
      <c r="J375" s="86"/>
      <c r="K375" s="87">
        <f t="shared" si="66"/>
        <v>0</v>
      </c>
      <c r="L375" s="88"/>
      <c r="M375" s="88"/>
      <c r="N375" s="89">
        <f>VLOOKUP(B375,[2]信息汇总表!$M$2:$T$816,8,0)</f>
        <v>274000</v>
      </c>
      <c r="O375" s="89">
        <f t="shared" si="57"/>
        <v>251376.146788991</v>
      </c>
      <c r="P375" s="91">
        <v>251376.15</v>
      </c>
      <c r="Q375" s="88"/>
      <c r="R375" s="75">
        <f t="shared" si="58"/>
        <v>251376.146788991</v>
      </c>
      <c r="S375" s="75">
        <f t="shared" si="59"/>
        <v>12568.8073394495</v>
      </c>
      <c r="T375" s="75">
        <f t="shared" si="60"/>
        <v>-0.00321100919973105</v>
      </c>
      <c r="U375" s="75">
        <f t="shared" si="61"/>
        <v>-0.00016055046035035</v>
      </c>
    </row>
    <row r="376" hidden="1" spans="1:21">
      <c r="A376" s="55">
        <v>373</v>
      </c>
      <c r="B376" s="76" t="s">
        <v>2702</v>
      </c>
      <c r="C376" s="72">
        <v>80.05</v>
      </c>
      <c r="D376" s="73">
        <v>3300</v>
      </c>
      <c r="E376" s="73">
        <f t="shared" si="65"/>
        <v>264165</v>
      </c>
      <c r="F376" s="74" t="s">
        <v>2703</v>
      </c>
      <c r="G376" s="75">
        <v>264165</v>
      </c>
      <c r="H376" s="75">
        <f t="shared" si="67"/>
        <v>0</v>
      </c>
      <c r="I376" s="86">
        <f>VLOOKUP(B376,多浪小区账面房号及收款金额!$A$2:$B$474,2,0)</f>
        <v>264165</v>
      </c>
      <c r="J376" s="86"/>
      <c r="K376" s="87">
        <f t="shared" si="66"/>
        <v>0</v>
      </c>
      <c r="L376" s="88"/>
      <c r="M376" s="88"/>
      <c r="N376" s="89">
        <f>VLOOKUP(B376,[2]信息汇总表!$M$2:$T$816,8,0)</f>
        <v>264165</v>
      </c>
      <c r="O376" s="89">
        <f t="shared" si="57"/>
        <v>242353.211009174</v>
      </c>
      <c r="P376" s="91">
        <v>242353.21</v>
      </c>
      <c r="Q376" s="88"/>
      <c r="R376" s="75">
        <f t="shared" si="58"/>
        <v>242353.211009174</v>
      </c>
      <c r="S376" s="75">
        <f t="shared" si="59"/>
        <v>12117.6605504587</v>
      </c>
      <c r="T376" s="75">
        <f t="shared" si="60"/>
        <v>0.00100917430245318</v>
      </c>
      <c r="U376" s="75">
        <f t="shared" si="61"/>
        <v>5.04587151226588e-5</v>
      </c>
    </row>
    <row r="377" hidden="1" spans="1:21">
      <c r="A377" s="55">
        <v>374</v>
      </c>
      <c r="B377" s="76" t="s">
        <v>2704</v>
      </c>
      <c r="C377" s="72">
        <v>82.12</v>
      </c>
      <c r="D377" s="73">
        <v>3300</v>
      </c>
      <c r="E377" s="73">
        <f t="shared" si="65"/>
        <v>270996</v>
      </c>
      <c r="F377" s="74" t="s">
        <v>2705</v>
      </c>
      <c r="G377" s="75">
        <v>270996</v>
      </c>
      <c r="H377" s="75">
        <f t="shared" si="67"/>
        <v>0</v>
      </c>
      <c r="I377" s="86">
        <f>VLOOKUP(B377,多浪小区账面房号及收款金额!$A$2:$B$474,2,0)</f>
        <v>270996</v>
      </c>
      <c r="J377" s="86"/>
      <c r="K377" s="87">
        <f t="shared" si="66"/>
        <v>0</v>
      </c>
      <c r="L377" s="88"/>
      <c r="M377" s="88"/>
      <c r="N377" s="89">
        <f>VLOOKUP(B377,[2]信息汇总表!$M$2:$T$816,8,0)</f>
        <v>270996</v>
      </c>
      <c r="O377" s="89">
        <f t="shared" si="57"/>
        <v>248620.183486239</v>
      </c>
      <c r="P377" s="91">
        <v>248620.18</v>
      </c>
      <c r="Q377" s="88"/>
      <c r="R377" s="75">
        <f t="shared" si="58"/>
        <v>248620.183486239</v>
      </c>
      <c r="S377" s="75">
        <f t="shared" si="59"/>
        <v>12431.0091743119</v>
      </c>
      <c r="T377" s="75">
        <f t="shared" si="60"/>
        <v>0.0034862385073211</v>
      </c>
      <c r="U377" s="75">
        <f t="shared" si="61"/>
        <v>0.000174311926457449</v>
      </c>
    </row>
    <row r="378" hidden="1" spans="1:21">
      <c r="A378" s="55">
        <v>375</v>
      </c>
      <c r="B378" s="76" t="s">
        <v>2706</v>
      </c>
      <c r="C378" s="72">
        <v>80.05</v>
      </c>
      <c r="D378" s="73">
        <v>3000</v>
      </c>
      <c r="E378" s="73">
        <f t="shared" si="65"/>
        <v>240150</v>
      </c>
      <c r="F378" s="74" t="s">
        <v>2707</v>
      </c>
      <c r="G378" s="75">
        <v>240150</v>
      </c>
      <c r="H378" s="75">
        <f t="shared" si="67"/>
        <v>0</v>
      </c>
      <c r="I378" s="86">
        <f>VLOOKUP(B378,多浪小区账面房号及收款金额!$A$2:$B$474,2,0)</f>
        <v>240150</v>
      </c>
      <c r="J378" s="86"/>
      <c r="K378" s="87">
        <f t="shared" si="66"/>
        <v>0</v>
      </c>
      <c r="L378" s="88"/>
      <c r="M378" s="88"/>
      <c r="N378" s="89">
        <f>VLOOKUP(B378,[2]信息汇总表!$M$2:$T$816,8,0)</f>
        <v>240150</v>
      </c>
      <c r="O378" s="89">
        <f t="shared" si="57"/>
        <v>220321.100917431</v>
      </c>
      <c r="P378" s="91">
        <v>220321.1</v>
      </c>
      <c r="Q378" s="88"/>
      <c r="R378" s="75">
        <f t="shared" si="58"/>
        <v>220321.100917431</v>
      </c>
      <c r="S378" s="75">
        <f t="shared" si="59"/>
        <v>11016.0550458716</v>
      </c>
      <c r="T378" s="75">
        <f t="shared" si="60"/>
        <v>0.000917431170819327</v>
      </c>
      <c r="U378" s="75">
        <f t="shared" si="61"/>
        <v>4.58715585409664e-5</v>
      </c>
    </row>
    <row r="379" hidden="1" spans="1:21">
      <c r="A379" s="55">
        <v>376</v>
      </c>
      <c r="B379" s="76" t="s">
        <v>2708</v>
      </c>
      <c r="C379" s="72">
        <v>82.12</v>
      </c>
      <c r="D379" s="73">
        <v>2980</v>
      </c>
      <c r="E379" s="73">
        <f t="shared" si="65"/>
        <v>244718</v>
      </c>
      <c r="F379" s="74" t="s">
        <v>2709</v>
      </c>
      <c r="G379" s="75">
        <v>244718</v>
      </c>
      <c r="H379" s="75">
        <f t="shared" si="67"/>
        <v>0</v>
      </c>
      <c r="I379" s="86">
        <f>VLOOKUP(B379,多浪小区账面房号及收款金额!$A$2:$B$474,2,0)</f>
        <v>244718</v>
      </c>
      <c r="J379" s="86"/>
      <c r="K379" s="87">
        <f t="shared" si="66"/>
        <v>0</v>
      </c>
      <c r="L379" s="88"/>
      <c r="M379" s="88"/>
      <c r="N379" s="89">
        <f>VLOOKUP(B379,[2]信息汇总表!$M$2:$T$816,8,0)</f>
        <v>244718</v>
      </c>
      <c r="O379" s="89">
        <f t="shared" si="57"/>
        <v>224511.926605505</v>
      </c>
      <c r="P379" s="91">
        <v>224511.93</v>
      </c>
      <c r="Q379" s="88"/>
      <c r="R379" s="75">
        <f t="shared" si="58"/>
        <v>224511.926605505</v>
      </c>
      <c r="S379" s="75">
        <f t="shared" si="59"/>
        <v>11225.5963302752</v>
      </c>
      <c r="T379" s="75">
        <f t="shared" si="60"/>
        <v>-0.00339449543389492</v>
      </c>
      <c r="U379" s="75">
        <f t="shared" si="61"/>
        <v>-0.000169724771694746</v>
      </c>
    </row>
    <row r="380" hidden="1" spans="1:21">
      <c r="A380" s="55">
        <v>377</v>
      </c>
      <c r="B380" s="76" t="s">
        <v>2710</v>
      </c>
      <c r="C380" s="72">
        <v>80.05</v>
      </c>
      <c r="D380" s="73">
        <v>2820</v>
      </c>
      <c r="E380" s="73">
        <f t="shared" si="65"/>
        <v>225741</v>
      </c>
      <c r="F380" s="74" t="s">
        <v>2711</v>
      </c>
      <c r="G380" s="75">
        <v>225741</v>
      </c>
      <c r="H380" s="75">
        <f t="shared" si="67"/>
        <v>0</v>
      </c>
      <c r="I380" s="86">
        <f>VLOOKUP(B380,多浪小区账面房号及收款金额!$A$2:$B$474,2,0)</f>
        <v>225741</v>
      </c>
      <c r="J380" s="86"/>
      <c r="K380" s="87">
        <f t="shared" si="66"/>
        <v>0</v>
      </c>
      <c r="L380" s="88"/>
      <c r="M380" s="88"/>
      <c r="N380" s="89">
        <f>VLOOKUP(B380,[2]信息汇总表!$M$2:$T$816,8,0)</f>
        <v>225741</v>
      </c>
      <c r="O380" s="89">
        <f t="shared" si="57"/>
        <v>207101.834862385</v>
      </c>
      <c r="P380" s="91">
        <v>207101.83</v>
      </c>
      <c r="Q380" s="88"/>
      <c r="R380" s="75">
        <f t="shared" si="58"/>
        <v>207101.834862385</v>
      </c>
      <c r="S380" s="75">
        <f t="shared" si="59"/>
        <v>10355.0917431193</v>
      </c>
      <c r="T380" s="75">
        <f t="shared" si="60"/>
        <v>0.00486238530720584</v>
      </c>
      <c r="U380" s="75">
        <f t="shared" si="61"/>
        <v>0.000243119264268898</v>
      </c>
    </row>
    <row r="381" hidden="1" spans="1:21">
      <c r="A381" s="55">
        <v>378</v>
      </c>
      <c r="B381" s="76" t="s">
        <v>2712</v>
      </c>
      <c r="C381" s="72">
        <v>82.12</v>
      </c>
      <c r="D381" s="73">
        <v>2850</v>
      </c>
      <c r="E381" s="73">
        <f t="shared" si="65"/>
        <v>234042</v>
      </c>
      <c r="F381" s="74" t="s">
        <v>2713</v>
      </c>
      <c r="G381" s="75">
        <v>234042</v>
      </c>
      <c r="H381" s="75">
        <f t="shared" si="67"/>
        <v>0</v>
      </c>
      <c r="I381" s="86">
        <f>VLOOKUP(B381,多浪小区账面房号及收款金额!$A$2:$B$474,2,0)</f>
        <v>234042</v>
      </c>
      <c r="J381" s="86"/>
      <c r="K381" s="87">
        <f t="shared" si="66"/>
        <v>0</v>
      </c>
      <c r="L381" s="88"/>
      <c r="M381" s="88"/>
      <c r="N381" s="89">
        <f>VLOOKUP(B381,[2]信息汇总表!$M$2:$T$816,8,0)</f>
        <v>234042</v>
      </c>
      <c r="O381" s="89">
        <f t="shared" si="57"/>
        <v>214717.431192661</v>
      </c>
      <c r="P381" s="91">
        <v>214717.43</v>
      </c>
      <c r="Q381" s="88"/>
      <c r="R381" s="75">
        <f t="shared" si="58"/>
        <v>214717.431192661</v>
      </c>
      <c r="S381" s="75">
        <f t="shared" si="59"/>
        <v>10735.871559633</v>
      </c>
      <c r="T381" s="75">
        <f t="shared" si="60"/>
        <v>0.00119266053661704</v>
      </c>
      <c r="U381" s="75">
        <f t="shared" si="61"/>
        <v>5.96330264670542e-5</v>
      </c>
    </row>
    <row r="382" hidden="1" spans="1:21">
      <c r="A382" s="55">
        <v>379</v>
      </c>
      <c r="B382" s="76" t="s">
        <v>2714</v>
      </c>
      <c r="C382" s="72">
        <v>82.12</v>
      </c>
      <c r="D382" s="73">
        <v>3200</v>
      </c>
      <c r="E382" s="73">
        <f t="shared" si="65"/>
        <v>262784</v>
      </c>
      <c r="F382" s="74" t="s">
        <v>2715</v>
      </c>
      <c r="G382" s="75">
        <v>262784</v>
      </c>
      <c r="H382" s="75">
        <f t="shared" si="67"/>
        <v>0</v>
      </c>
      <c r="I382" s="86">
        <f>VLOOKUP(B382,多浪小区账面房号及收款金额!$A$2:$B$474,2,0)</f>
        <v>262784</v>
      </c>
      <c r="J382" s="86"/>
      <c r="K382" s="87">
        <f t="shared" si="66"/>
        <v>0</v>
      </c>
      <c r="L382" s="88"/>
      <c r="M382" s="88"/>
      <c r="N382" s="89">
        <f>VLOOKUP(B382,[2]信息汇总表!$M$2:$T$816,8,0)</f>
        <v>262784</v>
      </c>
      <c r="O382" s="89">
        <f t="shared" si="57"/>
        <v>241086.23853211</v>
      </c>
      <c r="P382" s="91">
        <v>241086.24</v>
      </c>
      <c r="Q382" s="88"/>
      <c r="R382" s="75">
        <f t="shared" si="58"/>
        <v>241086.23853211</v>
      </c>
      <c r="S382" s="75">
        <f t="shared" si="59"/>
        <v>12054.3119266055</v>
      </c>
      <c r="T382" s="75">
        <f t="shared" si="60"/>
        <v>-0.00146788990241475</v>
      </c>
      <c r="U382" s="75">
        <f t="shared" si="61"/>
        <v>-7.33944943931419e-5</v>
      </c>
    </row>
    <row r="383" hidden="1" spans="1:21">
      <c r="A383" s="55">
        <v>380</v>
      </c>
      <c r="B383" s="76" t="s">
        <v>2716</v>
      </c>
      <c r="C383" s="72">
        <v>80.05</v>
      </c>
      <c r="D383" s="73">
        <v>3132.58</v>
      </c>
      <c r="E383" s="73">
        <f t="shared" si="65"/>
        <v>250763</v>
      </c>
      <c r="F383" s="74" t="s">
        <v>2717</v>
      </c>
      <c r="G383" s="75">
        <v>250763</v>
      </c>
      <c r="H383" s="75">
        <f t="shared" si="67"/>
        <v>0</v>
      </c>
      <c r="I383" s="86">
        <f>VLOOKUP(B383,多浪小区账面房号及收款金额!$A$2:$B$474,2,0)</f>
        <v>250763</v>
      </c>
      <c r="J383" s="86"/>
      <c r="K383" s="87">
        <f t="shared" si="66"/>
        <v>0</v>
      </c>
      <c r="L383" s="88"/>
      <c r="M383" s="88"/>
      <c r="N383" s="89">
        <f>VLOOKUP(B383,[2]信息汇总表!$M$2:$T$816,8,0)</f>
        <v>250763</v>
      </c>
      <c r="O383" s="89">
        <f t="shared" si="57"/>
        <v>230057.798165138</v>
      </c>
      <c r="P383" s="91">
        <v>230057.8</v>
      </c>
      <c r="Q383" s="88"/>
      <c r="R383" s="75">
        <f t="shared" si="58"/>
        <v>230057.798165138</v>
      </c>
      <c r="S383" s="75">
        <f t="shared" si="59"/>
        <v>11502.8899082569</v>
      </c>
      <c r="T383" s="75">
        <f t="shared" si="60"/>
        <v>-0.00183486239984632</v>
      </c>
      <c r="U383" s="75">
        <f t="shared" si="61"/>
        <v>-9.17431189009221e-5</v>
      </c>
    </row>
    <row r="384" hidden="1" spans="1:21">
      <c r="A384" s="55">
        <v>381</v>
      </c>
      <c r="B384" s="76" t="s">
        <v>2718</v>
      </c>
      <c r="C384" s="72">
        <v>82.12</v>
      </c>
      <c r="D384" s="73">
        <v>3350</v>
      </c>
      <c r="E384" s="73">
        <f t="shared" si="65"/>
        <v>275102</v>
      </c>
      <c r="F384" s="74" t="s">
        <v>2719</v>
      </c>
      <c r="G384" s="75">
        <v>275102</v>
      </c>
      <c r="H384" s="75">
        <f t="shared" si="67"/>
        <v>0</v>
      </c>
      <c r="I384" s="86">
        <f>VLOOKUP(B384,多浪小区账面房号及收款金额!$A$2:$B$474,2,0)</f>
        <v>275102</v>
      </c>
      <c r="J384" s="86"/>
      <c r="K384" s="87">
        <f t="shared" si="66"/>
        <v>0</v>
      </c>
      <c r="L384" s="88"/>
      <c r="M384" s="88"/>
      <c r="N384" s="89">
        <f>VLOOKUP(B384,[2]信息汇总表!$M$2:$T$816,8,0)</f>
        <v>275102</v>
      </c>
      <c r="O384" s="89">
        <f t="shared" si="57"/>
        <v>252387.155963303</v>
      </c>
      <c r="P384" s="91">
        <v>252387.16</v>
      </c>
      <c r="Q384" s="88"/>
      <c r="R384" s="75">
        <f t="shared" si="58"/>
        <v>252387.155963303</v>
      </c>
      <c r="S384" s="75">
        <f t="shared" si="59"/>
        <v>12619.3577981651</v>
      </c>
      <c r="T384" s="75">
        <f t="shared" si="60"/>
        <v>-0.00403669726802036</v>
      </c>
      <c r="U384" s="75">
        <f t="shared" si="61"/>
        <v>-0.000201834862309624</v>
      </c>
    </row>
    <row r="385" hidden="1" spans="1:21">
      <c r="A385" s="55">
        <v>382</v>
      </c>
      <c r="B385" s="76" t="s">
        <v>2720</v>
      </c>
      <c r="C385" s="72">
        <v>80.05</v>
      </c>
      <c r="D385" s="73">
        <v>3297.94</v>
      </c>
      <c r="E385" s="73">
        <f t="shared" si="65"/>
        <v>264000</v>
      </c>
      <c r="F385" s="74" t="s">
        <v>2721</v>
      </c>
      <c r="G385" s="75">
        <v>264000</v>
      </c>
      <c r="H385" s="75">
        <f t="shared" si="67"/>
        <v>0</v>
      </c>
      <c r="I385" s="86">
        <f>VLOOKUP(B385,多浪小区账面房号及收款金额!$A$2:$B$474,2,0)</f>
        <v>264000</v>
      </c>
      <c r="J385" s="86"/>
      <c r="K385" s="87">
        <f t="shared" si="66"/>
        <v>0</v>
      </c>
      <c r="L385" s="88"/>
      <c r="M385" s="88"/>
      <c r="N385" s="89">
        <f>VLOOKUP(B385,[2]信息汇总表!$M$2:$T$816,8,0)</f>
        <v>264000</v>
      </c>
      <c r="O385" s="89">
        <f t="shared" si="57"/>
        <v>242201.834862385</v>
      </c>
      <c r="P385" s="91">
        <v>242201.83</v>
      </c>
      <c r="Q385" s="88"/>
      <c r="R385" s="75">
        <f t="shared" si="58"/>
        <v>242201.834862385</v>
      </c>
      <c r="S385" s="75">
        <f t="shared" si="59"/>
        <v>12110.0917431193</v>
      </c>
      <c r="T385" s="75">
        <f t="shared" si="60"/>
        <v>0.00486238530720584</v>
      </c>
      <c r="U385" s="75">
        <f t="shared" si="61"/>
        <v>0.000243119264268898</v>
      </c>
    </row>
    <row r="386" hidden="1" spans="1:21">
      <c r="A386" s="55">
        <v>383</v>
      </c>
      <c r="B386" s="76" t="s">
        <v>2722</v>
      </c>
      <c r="C386" s="72">
        <v>82.12</v>
      </c>
      <c r="D386" s="73">
        <v>3300</v>
      </c>
      <c r="E386" s="73">
        <f t="shared" ref="E386:E415" si="68">ROUND(IF(F386&lt;&gt;0,C386*D386,0),0)</f>
        <v>270996</v>
      </c>
      <c r="F386" s="74" t="s">
        <v>2723</v>
      </c>
      <c r="G386" s="75">
        <v>270996</v>
      </c>
      <c r="H386" s="75">
        <f t="shared" si="67"/>
        <v>0</v>
      </c>
      <c r="I386" s="86">
        <f>VLOOKUP(B386,多浪小区账面房号及收款金额!$A$2:$B$474,2,0)</f>
        <v>270996</v>
      </c>
      <c r="J386" s="86"/>
      <c r="K386" s="87">
        <f t="shared" ref="K386:K417" si="69">G386-I386</f>
        <v>0</v>
      </c>
      <c r="L386" s="88"/>
      <c r="M386" s="88"/>
      <c r="N386" s="89">
        <f>VLOOKUP(B386,[2]信息汇总表!$M$2:$T$816,8,0)</f>
        <v>270996</v>
      </c>
      <c r="O386" s="89">
        <f t="shared" si="57"/>
        <v>248620.183486239</v>
      </c>
      <c r="P386" s="91">
        <v>248620.18</v>
      </c>
      <c r="Q386" s="88"/>
      <c r="R386" s="75">
        <f t="shared" si="58"/>
        <v>248620.183486239</v>
      </c>
      <c r="S386" s="75">
        <f t="shared" si="59"/>
        <v>12431.0091743119</v>
      </c>
      <c r="T386" s="75">
        <f t="shared" si="60"/>
        <v>0.0034862385073211</v>
      </c>
      <c r="U386" s="75">
        <f t="shared" si="61"/>
        <v>0.000174311926457449</v>
      </c>
    </row>
    <row r="387" hidden="1" spans="1:21">
      <c r="A387" s="55">
        <v>384</v>
      </c>
      <c r="B387" s="76" t="s">
        <v>2724</v>
      </c>
      <c r="C387" s="72">
        <v>80.05</v>
      </c>
      <c r="D387" s="73">
        <v>3300</v>
      </c>
      <c r="E387" s="73">
        <f t="shared" si="68"/>
        <v>264165</v>
      </c>
      <c r="F387" s="74" t="s">
        <v>2725</v>
      </c>
      <c r="G387" s="75">
        <v>262564</v>
      </c>
      <c r="H387" s="75">
        <f t="shared" si="67"/>
        <v>1601</v>
      </c>
      <c r="I387" s="86">
        <f>VLOOKUP(B387,多浪小区账面房号及收款金额!$A$2:$B$474,2,0)</f>
        <v>262564</v>
      </c>
      <c r="J387" s="86"/>
      <c r="K387" s="87">
        <f t="shared" si="69"/>
        <v>0</v>
      </c>
      <c r="L387" s="88"/>
      <c r="M387" s="88"/>
      <c r="N387" s="89">
        <f>VLOOKUP(B387,[2]信息汇总表!$M$2:$T$816,8,0)+[2]信息汇总表!$T$730</f>
        <v>262564</v>
      </c>
      <c r="O387" s="89">
        <f t="shared" si="57"/>
        <v>240884.403669725</v>
      </c>
      <c r="P387" s="91">
        <f>43636.7+197247.71</f>
        <v>240884.41</v>
      </c>
      <c r="Q387" s="88"/>
      <c r="R387" s="75">
        <f t="shared" si="58"/>
        <v>240884.403669725</v>
      </c>
      <c r="S387" s="75">
        <f t="shared" si="59"/>
        <v>12044.2201834862</v>
      </c>
      <c r="T387" s="75">
        <f t="shared" si="60"/>
        <v>-0.00633027523872443</v>
      </c>
      <c r="U387" s="75">
        <f t="shared" si="61"/>
        <v>-0.000316513762300019</v>
      </c>
    </row>
    <row r="388" hidden="1" spans="1:21">
      <c r="A388" s="55">
        <v>385</v>
      </c>
      <c r="B388" s="76" t="s">
        <v>2726</v>
      </c>
      <c r="C388" s="72">
        <v>82.12</v>
      </c>
      <c r="D388" s="73">
        <v>3350</v>
      </c>
      <c r="E388" s="73">
        <f t="shared" si="68"/>
        <v>275102</v>
      </c>
      <c r="F388" s="74" t="s">
        <v>2727</v>
      </c>
      <c r="G388" s="75">
        <v>275102</v>
      </c>
      <c r="H388" s="75">
        <f t="shared" si="67"/>
        <v>0</v>
      </c>
      <c r="I388" s="86">
        <f>VLOOKUP(B388,多浪小区账面房号及收款金额!$A$2:$B$474,2,0)</f>
        <v>275102</v>
      </c>
      <c r="J388" s="86"/>
      <c r="K388" s="87">
        <f t="shared" si="69"/>
        <v>0</v>
      </c>
      <c r="L388" s="88"/>
      <c r="M388" s="88"/>
      <c r="N388" s="89">
        <f>VLOOKUP(B388,[2]信息汇总表!$M$2:$T$816,8,0)</f>
        <v>275102</v>
      </c>
      <c r="O388" s="89">
        <f t="shared" si="57"/>
        <v>252387.155963303</v>
      </c>
      <c r="P388" s="91">
        <v>252387.16</v>
      </c>
      <c r="Q388" s="88"/>
      <c r="R388" s="75">
        <f t="shared" si="58"/>
        <v>252387.155963303</v>
      </c>
      <c r="S388" s="75">
        <f t="shared" si="59"/>
        <v>12619.3577981651</v>
      </c>
      <c r="T388" s="75">
        <f t="shared" si="60"/>
        <v>-0.00403669726802036</v>
      </c>
      <c r="U388" s="75">
        <f t="shared" si="61"/>
        <v>-0.000201834862309624</v>
      </c>
    </row>
    <row r="389" hidden="1" spans="1:21">
      <c r="A389" s="55">
        <v>386</v>
      </c>
      <c r="B389" s="76" t="s">
        <v>2728</v>
      </c>
      <c r="C389" s="72">
        <v>80.05</v>
      </c>
      <c r="D389" s="73">
        <v>3300</v>
      </c>
      <c r="E389" s="73">
        <f t="shared" si="68"/>
        <v>264165</v>
      </c>
      <c r="F389" s="74" t="s">
        <v>2729</v>
      </c>
      <c r="G389" s="75">
        <v>264165</v>
      </c>
      <c r="H389" s="75">
        <f t="shared" ref="H389:H420" si="70">E389-G389</f>
        <v>0</v>
      </c>
      <c r="I389" s="86">
        <f>VLOOKUP(B389,多浪小区账面房号及收款金额!$A$2:$B$474,2,0)</f>
        <v>264165</v>
      </c>
      <c r="J389" s="86"/>
      <c r="K389" s="87">
        <f t="shared" si="69"/>
        <v>0</v>
      </c>
      <c r="L389" s="88"/>
      <c r="M389" s="88"/>
      <c r="N389" s="89">
        <f>VLOOKUP(B389,[2]信息汇总表!$M$2:$T$816,8,0)</f>
        <v>264165</v>
      </c>
      <c r="O389" s="89">
        <f t="shared" ref="O389:O452" si="71">N389/1.09</f>
        <v>242353.211009174</v>
      </c>
      <c r="P389" s="91">
        <v>242353.21</v>
      </c>
      <c r="Q389" s="88"/>
      <c r="R389" s="75">
        <f t="shared" ref="R389:R452" si="72">I389/1.09</f>
        <v>242353.211009174</v>
      </c>
      <c r="S389" s="75">
        <f t="shared" ref="S389:S452" si="73">R389*0.05</f>
        <v>12117.6605504587</v>
      </c>
      <c r="T389" s="75">
        <f t="shared" ref="T389:T452" si="74">R389-P389</f>
        <v>0.00100917430245318</v>
      </c>
      <c r="U389" s="75">
        <f t="shared" ref="U389:U452" si="75">S389-(P389*0.05)</f>
        <v>5.04587151226588e-5</v>
      </c>
    </row>
    <row r="390" hidden="1" spans="1:21">
      <c r="A390" s="55">
        <v>387</v>
      </c>
      <c r="B390" s="76" t="s">
        <v>2730</v>
      </c>
      <c r="C390" s="72">
        <v>82.12</v>
      </c>
      <c r="D390" s="73">
        <v>3050</v>
      </c>
      <c r="E390" s="73">
        <f t="shared" si="68"/>
        <v>250466</v>
      </c>
      <c r="F390" s="74" t="s">
        <v>2731</v>
      </c>
      <c r="G390" s="75">
        <v>250466</v>
      </c>
      <c r="H390" s="75">
        <f t="shared" si="70"/>
        <v>0</v>
      </c>
      <c r="I390" s="86">
        <f>VLOOKUP(B390,多浪小区账面房号及收款金额!$A$2:$B$474,2,0)</f>
        <v>250466</v>
      </c>
      <c r="J390" s="86"/>
      <c r="K390" s="87">
        <f t="shared" si="69"/>
        <v>0</v>
      </c>
      <c r="L390" s="88"/>
      <c r="M390" s="88"/>
      <c r="N390" s="89">
        <f>VLOOKUP(B390,[2]信息汇总表!$M$2:$T$816,8,0)</f>
        <v>250466</v>
      </c>
      <c r="O390" s="89">
        <f t="shared" si="71"/>
        <v>229785.321100917</v>
      </c>
      <c r="P390" s="91">
        <v>229785.32</v>
      </c>
      <c r="Q390" s="88"/>
      <c r="R390" s="75">
        <f t="shared" si="72"/>
        <v>229785.321100917</v>
      </c>
      <c r="S390" s="75">
        <f t="shared" si="73"/>
        <v>11489.2660550459</v>
      </c>
      <c r="T390" s="75">
        <f t="shared" si="74"/>
        <v>0.00110091740498319</v>
      </c>
      <c r="U390" s="75">
        <f t="shared" si="75"/>
        <v>5.50458698853618e-5</v>
      </c>
    </row>
    <row r="391" hidden="1" spans="1:21">
      <c r="A391" s="55">
        <v>388</v>
      </c>
      <c r="B391" s="76" t="s">
        <v>2732</v>
      </c>
      <c r="C391" s="72">
        <v>80.05</v>
      </c>
      <c r="D391" s="73">
        <v>2970</v>
      </c>
      <c r="E391" s="73">
        <f t="shared" si="68"/>
        <v>237749</v>
      </c>
      <c r="F391" s="74" t="s">
        <v>2733</v>
      </c>
      <c r="G391" s="75">
        <v>237749</v>
      </c>
      <c r="H391" s="75">
        <f t="shared" si="70"/>
        <v>0</v>
      </c>
      <c r="I391" s="86">
        <f>VLOOKUP(B391,多浪小区账面房号及收款金额!$A$2:$B$474,2,0)</f>
        <v>237749</v>
      </c>
      <c r="J391" s="86"/>
      <c r="K391" s="87">
        <f t="shared" si="69"/>
        <v>0</v>
      </c>
      <c r="L391" s="88"/>
      <c r="M391" s="88"/>
      <c r="N391" s="89">
        <f>VLOOKUP(B391,[2]信息汇总表!$M$2:$T$816,8,0)</f>
        <v>237749</v>
      </c>
      <c r="O391" s="89">
        <f t="shared" si="71"/>
        <v>218118.348623853</v>
      </c>
      <c r="P391" s="91">
        <v>218118.35</v>
      </c>
      <c r="Q391" s="88"/>
      <c r="R391" s="75">
        <f t="shared" si="72"/>
        <v>218118.348623853</v>
      </c>
      <c r="S391" s="75">
        <f t="shared" si="73"/>
        <v>10905.9174311927</v>
      </c>
      <c r="T391" s="75">
        <f t="shared" si="74"/>
        <v>-0.00137614679988474</v>
      </c>
      <c r="U391" s="75">
        <f t="shared" si="75"/>
        <v>-6.88073396304389e-5</v>
      </c>
    </row>
    <row r="392" hidden="1" spans="1:21">
      <c r="A392" s="55">
        <v>389</v>
      </c>
      <c r="B392" s="76" t="s">
        <v>2734</v>
      </c>
      <c r="C392" s="72">
        <v>82.12</v>
      </c>
      <c r="D392" s="73">
        <v>2850</v>
      </c>
      <c r="E392" s="73">
        <f t="shared" si="68"/>
        <v>234042</v>
      </c>
      <c r="F392" s="74" t="s">
        <v>2735</v>
      </c>
      <c r="G392" s="75">
        <v>234042</v>
      </c>
      <c r="H392" s="75">
        <f t="shared" si="70"/>
        <v>0</v>
      </c>
      <c r="I392" s="86">
        <f>VLOOKUP(B392,多浪小区账面房号及收款金额!$A$2:$B$474,2,0)</f>
        <v>234042</v>
      </c>
      <c r="J392" s="86"/>
      <c r="K392" s="87">
        <f t="shared" si="69"/>
        <v>0</v>
      </c>
      <c r="L392" s="88"/>
      <c r="M392" s="88"/>
      <c r="N392" s="89">
        <f>VLOOKUP(B392,[2]信息汇总表!$M$2:$T$816,8,0)</f>
        <v>234042</v>
      </c>
      <c r="O392" s="89">
        <f t="shared" si="71"/>
        <v>214717.431192661</v>
      </c>
      <c r="P392" s="91">
        <v>214717.43</v>
      </c>
      <c r="Q392" s="88"/>
      <c r="R392" s="75">
        <f t="shared" si="72"/>
        <v>214717.431192661</v>
      </c>
      <c r="S392" s="75">
        <f t="shared" si="73"/>
        <v>10735.871559633</v>
      </c>
      <c r="T392" s="75">
        <f t="shared" si="74"/>
        <v>0.00119266053661704</v>
      </c>
      <c r="U392" s="75">
        <f t="shared" si="75"/>
        <v>5.96330264670542e-5</v>
      </c>
    </row>
    <row r="393" hidden="1" spans="1:21">
      <c r="A393" s="55">
        <v>390</v>
      </c>
      <c r="B393" s="76" t="s">
        <v>2736</v>
      </c>
      <c r="C393" s="72">
        <v>80.05</v>
      </c>
      <c r="D393" s="73">
        <v>2850.00624609619</v>
      </c>
      <c r="E393" s="73">
        <f t="shared" si="68"/>
        <v>228143</v>
      </c>
      <c r="F393" s="74" t="s">
        <v>2737</v>
      </c>
      <c r="G393" s="75">
        <v>228143</v>
      </c>
      <c r="H393" s="75">
        <f t="shared" si="70"/>
        <v>0</v>
      </c>
      <c r="I393" s="86">
        <f>VLOOKUP(B393,多浪小区账面房号及收款金额!$A$2:$B$474,2,0)</f>
        <v>228143</v>
      </c>
      <c r="J393" s="86"/>
      <c r="K393" s="87">
        <f t="shared" si="69"/>
        <v>0</v>
      </c>
      <c r="L393" s="88"/>
      <c r="M393" s="88"/>
      <c r="N393" s="89">
        <f>VLOOKUP(B393,[2]信息汇总表!$M$2:$T$816,8,0)</f>
        <v>228143</v>
      </c>
      <c r="O393" s="89">
        <f t="shared" si="71"/>
        <v>209305.504587156</v>
      </c>
      <c r="P393" s="91">
        <v>209305.5</v>
      </c>
      <c r="Q393" s="88"/>
      <c r="R393" s="75">
        <f t="shared" si="72"/>
        <v>209305.504587156</v>
      </c>
      <c r="S393" s="75">
        <f t="shared" si="73"/>
        <v>10465.2752293578</v>
      </c>
      <c r="T393" s="75">
        <f t="shared" si="74"/>
        <v>0.00458715594140813</v>
      </c>
      <c r="U393" s="75">
        <f t="shared" si="75"/>
        <v>0.000229357796342811</v>
      </c>
    </row>
    <row r="394" hidden="1" spans="1:21">
      <c r="A394" s="55">
        <v>391</v>
      </c>
      <c r="B394" s="76" t="s">
        <v>2738</v>
      </c>
      <c r="C394" s="72">
        <v>19.69</v>
      </c>
      <c r="D394" s="73">
        <v>6850</v>
      </c>
      <c r="E394" s="73">
        <f t="shared" si="68"/>
        <v>134877</v>
      </c>
      <c r="F394" s="74" t="s">
        <v>2739</v>
      </c>
      <c r="G394" s="75">
        <v>134877</v>
      </c>
      <c r="H394" s="75">
        <f t="shared" si="70"/>
        <v>0</v>
      </c>
      <c r="I394" s="86">
        <f>VLOOKUP(B394,多浪小区账面房号及收款金额!$A$2:$B$474,2,0)+多浪小区账面房号及收款金额!B2</f>
        <v>134877</v>
      </c>
      <c r="J394" s="86"/>
      <c r="K394" s="87">
        <f t="shared" si="69"/>
        <v>0</v>
      </c>
      <c r="L394" s="92"/>
      <c r="M394" s="88"/>
      <c r="N394" s="89">
        <f>VLOOKUP(B394,[2]信息汇总表!$M$2:$T$816,8,0)</f>
        <v>134877</v>
      </c>
      <c r="O394" s="89">
        <f t="shared" si="71"/>
        <v>123740.366972477</v>
      </c>
      <c r="P394" s="91">
        <v>123740.37</v>
      </c>
      <c r="Q394" s="88"/>
      <c r="R394" s="75">
        <f t="shared" si="72"/>
        <v>123740.366972477</v>
      </c>
      <c r="S394" s="75">
        <f t="shared" si="73"/>
        <v>6187.01834862385</v>
      </c>
      <c r="T394" s="75">
        <f t="shared" si="74"/>
        <v>-0.00302752293646336</v>
      </c>
      <c r="U394" s="75">
        <f t="shared" si="75"/>
        <v>-0.000151376147186966</v>
      </c>
    </row>
    <row r="395" hidden="1" spans="1:21">
      <c r="A395" s="55">
        <v>392</v>
      </c>
      <c r="B395" s="76" t="s">
        <v>2740</v>
      </c>
      <c r="C395" s="72">
        <v>64.96</v>
      </c>
      <c r="D395" s="73">
        <v>6588.6699</v>
      </c>
      <c r="E395" s="73">
        <f t="shared" si="68"/>
        <v>428000</v>
      </c>
      <c r="F395" s="74" t="s">
        <v>2741</v>
      </c>
      <c r="G395" s="75">
        <v>428000</v>
      </c>
      <c r="H395" s="75">
        <f t="shared" si="70"/>
        <v>0</v>
      </c>
      <c r="I395" s="86">
        <f>VLOOKUP(B395,多浪小区账面房号及收款金额!$A$2:$B$474,2,0)</f>
        <v>428000</v>
      </c>
      <c r="J395" s="86"/>
      <c r="K395" s="87">
        <f t="shared" si="69"/>
        <v>0</v>
      </c>
      <c r="L395" s="88"/>
      <c r="M395" s="88"/>
      <c r="N395" s="89">
        <f>VLOOKUP(B395,[2]信息汇总表!$M$2:$T$816,8,0)</f>
        <v>428000</v>
      </c>
      <c r="O395" s="89">
        <f t="shared" si="71"/>
        <v>392660.550458716</v>
      </c>
      <c r="P395" s="91">
        <v>392660.55</v>
      </c>
      <c r="Q395" s="88"/>
      <c r="R395" s="75">
        <f t="shared" si="72"/>
        <v>392660.550458716</v>
      </c>
      <c r="S395" s="75">
        <f t="shared" si="73"/>
        <v>19633.0275229358</v>
      </c>
      <c r="T395" s="75">
        <f t="shared" si="74"/>
        <v>0.000458715599961579</v>
      </c>
      <c r="U395" s="75">
        <f t="shared" si="75"/>
        <v>2.29357792704832e-5</v>
      </c>
    </row>
    <row r="396" hidden="1" spans="1:21">
      <c r="A396" s="55">
        <v>393</v>
      </c>
      <c r="B396" s="76" t="s">
        <v>2742</v>
      </c>
      <c r="C396" s="72">
        <v>60.89</v>
      </c>
      <c r="D396" s="73">
        <v>6815.57</v>
      </c>
      <c r="E396" s="73">
        <f t="shared" si="68"/>
        <v>415000</v>
      </c>
      <c r="F396" s="74" t="s">
        <v>2743</v>
      </c>
      <c r="G396" s="75">
        <v>415000</v>
      </c>
      <c r="H396" s="75">
        <f t="shared" si="70"/>
        <v>0</v>
      </c>
      <c r="I396" s="86">
        <f>VLOOKUP(B396,多浪小区账面房号及收款金额!$A$2:$B$474,2,0)</f>
        <v>415000</v>
      </c>
      <c r="J396" s="86"/>
      <c r="K396" s="87">
        <f t="shared" si="69"/>
        <v>0</v>
      </c>
      <c r="L396" s="88"/>
      <c r="M396" s="88"/>
      <c r="N396" s="89"/>
      <c r="O396" s="89">
        <f t="shared" si="71"/>
        <v>0</v>
      </c>
      <c r="P396" s="91"/>
      <c r="Q396" s="88"/>
      <c r="R396" s="75">
        <f t="shared" si="72"/>
        <v>380733.944954128</v>
      </c>
      <c r="S396" s="75">
        <f t="shared" si="73"/>
        <v>19036.6972477064</v>
      </c>
      <c r="T396" s="75">
        <f t="shared" si="74"/>
        <v>380733.944954128</v>
      </c>
      <c r="U396" s="75">
        <f t="shared" si="75"/>
        <v>19036.6972477064</v>
      </c>
    </row>
    <row r="397" hidden="1" spans="1:21">
      <c r="A397" s="55">
        <v>394</v>
      </c>
      <c r="B397" s="76" t="s">
        <v>2744</v>
      </c>
      <c r="C397" s="72">
        <v>19.4</v>
      </c>
      <c r="D397" s="73">
        <v>6958.76</v>
      </c>
      <c r="E397" s="73">
        <f t="shared" si="68"/>
        <v>135000</v>
      </c>
      <c r="F397" s="74" t="s">
        <v>2745</v>
      </c>
      <c r="G397" s="75">
        <v>135000</v>
      </c>
      <c r="H397" s="75">
        <f t="shared" si="70"/>
        <v>0</v>
      </c>
      <c r="I397" s="86">
        <f>VLOOKUP(B397,多浪小区账面房号及收款金额!$A$2:$B$474,2,0)</f>
        <v>135000</v>
      </c>
      <c r="J397" s="86"/>
      <c r="K397" s="87">
        <f t="shared" si="69"/>
        <v>0</v>
      </c>
      <c r="L397" s="92"/>
      <c r="M397" s="88"/>
      <c r="N397" s="89"/>
      <c r="O397" s="89">
        <f t="shared" si="71"/>
        <v>0</v>
      </c>
      <c r="P397" s="91"/>
      <c r="Q397" s="88"/>
      <c r="R397" s="75">
        <f t="shared" si="72"/>
        <v>123853.211009174</v>
      </c>
      <c r="S397" s="75">
        <f t="shared" si="73"/>
        <v>6192.66055045872</v>
      </c>
      <c r="T397" s="75">
        <f t="shared" si="74"/>
        <v>123853.211009174</v>
      </c>
      <c r="U397" s="75">
        <f t="shared" si="75"/>
        <v>6192.66055045872</v>
      </c>
    </row>
    <row r="398" hidden="1" spans="1:21">
      <c r="A398" s="55">
        <v>395</v>
      </c>
      <c r="B398" s="76" t="s">
        <v>2746</v>
      </c>
      <c r="C398" s="72">
        <v>19.4</v>
      </c>
      <c r="D398" s="73">
        <v>6855.67</v>
      </c>
      <c r="E398" s="73">
        <f t="shared" si="68"/>
        <v>133000</v>
      </c>
      <c r="F398" s="74" t="s">
        <v>2747</v>
      </c>
      <c r="G398" s="75">
        <v>133000</v>
      </c>
      <c r="H398" s="75">
        <f t="shared" si="70"/>
        <v>0</v>
      </c>
      <c r="I398" s="86">
        <f>VLOOKUP(B398,多浪小区账面房号及收款金额!$A$2:$B$474,2,0)</f>
        <v>133000</v>
      </c>
      <c r="J398" s="86"/>
      <c r="K398" s="87">
        <f t="shared" si="69"/>
        <v>0</v>
      </c>
      <c r="L398" s="92"/>
      <c r="M398" s="88"/>
      <c r="N398" s="89"/>
      <c r="O398" s="89">
        <f t="shared" si="71"/>
        <v>0</v>
      </c>
      <c r="P398" s="91"/>
      <c r="Q398" s="88"/>
      <c r="R398" s="75">
        <f t="shared" si="72"/>
        <v>122018.348623853</v>
      </c>
      <c r="S398" s="75">
        <f t="shared" si="73"/>
        <v>6100.91743119266</v>
      </c>
      <c r="T398" s="75">
        <f t="shared" si="74"/>
        <v>122018.348623853</v>
      </c>
      <c r="U398" s="75">
        <f t="shared" si="75"/>
        <v>6100.91743119266</v>
      </c>
    </row>
    <row r="399" ht="13" hidden="1" customHeight="1" spans="1:21">
      <c r="A399" s="55">
        <v>396</v>
      </c>
      <c r="B399" s="76" t="s">
        <v>2748</v>
      </c>
      <c r="C399" s="72">
        <v>60.89</v>
      </c>
      <c r="D399" s="73">
        <v>7000</v>
      </c>
      <c r="E399" s="73">
        <f t="shared" si="68"/>
        <v>426230</v>
      </c>
      <c r="F399" s="74" t="s">
        <v>2749</v>
      </c>
      <c r="G399" s="75">
        <v>426230</v>
      </c>
      <c r="H399" s="75">
        <f t="shared" si="70"/>
        <v>0</v>
      </c>
      <c r="I399" s="86">
        <f>VLOOKUP(B399,多浪小区账面房号及收款金额!$A$2:$B$474,2,0)</f>
        <v>426230</v>
      </c>
      <c r="J399" s="86"/>
      <c r="K399" s="87">
        <f t="shared" si="69"/>
        <v>0</v>
      </c>
      <c r="L399" s="88"/>
      <c r="M399" s="88"/>
      <c r="N399" s="89">
        <f>VLOOKUP(B399,[2]信息汇总表!$M$2:$T$816,8,0)</f>
        <v>426230</v>
      </c>
      <c r="O399" s="89">
        <f t="shared" si="71"/>
        <v>391036.697247706</v>
      </c>
      <c r="P399" s="91">
        <v>391036.7</v>
      </c>
      <c r="Q399" s="88"/>
      <c r="R399" s="75">
        <f t="shared" si="72"/>
        <v>391036.697247706</v>
      </c>
      <c r="S399" s="75">
        <f t="shared" si="73"/>
        <v>19551.8348623853</v>
      </c>
      <c r="T399" s="75">
        <f t="shared" si="74"/>
        <v>-0.00275229359976947</v>
      </c>
      <c r="U399" s="75">
        <f t="shared" si="75"/>
        <v>-0.000137614682898857</v>
      </c>
    </row>
    <row r="400" hidden="1" spans="1:21">
      <c r="A400" s="55">
        <v>397</v>
      </c>
      <c r="B400" s="76" t="s">
        <v>2750</v>
      </c>
      <c r="C400" s="72">
        <v>60.89</v>
      </c>
      <c r="D400" s="73">
        <v>6569.22</v>
      </c>
      <c r="E400" s="73">
        <f t="shared" si="68"/>
        <v>400000</v>
      </c>
      <c r="F400" s="74" t="s">
        <v>2751</v>
      </c>
      <c r="G400" s="75">
        <v>400000</v>
      </c>
      <c r="H400" s="75">
        <f t="shared" si="70"/>
        <v>0</v>
      </c>
      <c r="I400" s="86">
        <f>VLOOKUP(B400,多浪小区账面房号及收款金额!$A$2:$B$474,2,0)</f>
        <v>400000</v>
      </c>
      <c r="J400" s="86"/>
      <c r="K400" s="87">
        <f t="shared" si="69"/>
        <v>0</v>
      </c>
      <c r="L400" s="88"/>
      <c r="M400" s="88"/>
      <c r="N400" s="89">
        <f>VLOOKUP(B400,[2]信息汇总表!$M$2:$T$816,8,0)</f>
        <v>400000</v>
      </c>
      <c r="O400" s="89">
        <f t="shared" si="71"/>
        <v>366972.47706422</v>
      </c>
      <c r="P400" s="91">
        <v>366972.48</v>
      </c>
      <c r="Q400" s="88"/>
      <c r="R400" s="75">
        <f t="shared" si="72"/>
        <v>366972.47706422</v>
      </c>
      <c r="S400" s="75">
        <f t="shared" si="73"/>
        <v>18348.623853211</v>
      </c>
      <c r="T400" s="75">
        <f t="shared" si="74"/>
        <v>-0.00293577980482951</v>
      </c>
      <c r="U400" s="75">
        <f t="shared" si="75"/>
        <v>-0.000146788988786284</v>
      </c>
    </row>
    <row r="401" hidden="1" spans="1:21">
      <c r="A401" s="55">
        <v>398</v>
      </c>
      <c r="B401" s="76" t="s">
        <v>2752</v>
      </c>
      <c r="C401" s="72">
        <v>19.4</v>
      </c>
      <c r="D401" s="73">
        <v>6775</v>
      </c>
      <c r="E401" s="73">
        <f t="shared" si="68"/>
        <v>131435</v>
      </c>
      <c r="F401" s="74" t="s">
        <v>2753</v>
      </c>
      <c r="G401" s="75">
        <v>131435</v>
      </c>
      <c r="H401" s="75">
        <f t="shared" si="70"/>
        <v>0</v>
      </c>
      <c r="I401" s="86">
        <f>VLOOKUP(B401,多浪小区账面房号及收款金额!$A$2:$B$474,2,0)</f>
        <v>131435</v>
      </c>
      <c r="J401" s="86"/>
      <c r="K401" s="87">
        <f t="shared" si="69"/>
        <v>0</v>
      </c>
      <c r="L401" s="92"/>
      <c r="M401" s="88"/>
      <c r="N401" s="89">
        <f>VLOOKUP(B401,[2]信息汇总表!$M$2:$T$816,8,0)</f>
        <v>131435</v>
      </c>
      <c r="O401" s="89">
        <f t="shared" si="71"/>
        <v>120582.568807339</v>
      </c>
      <c r="P401" s="91">
        <v>120582.57</v>
      </c>
      <c r="Q401" s="88"/>
      <c r="R401" s="75">
        <f t="shared" si="72"/>
        <v>120582.568807339</v>
      </c>
      <c r="S401" s="75">
        <f t="shared" si="73"/>
        <v>6029.12844036697</v>
      </c>
      <c r="T401" s="75">
        <f t="shared" si="74"/>
        <v>-0.00119266056572087</v>
      </c>
      <c r="U401" s="75">
        <f t="shared" si="75"/>
        <v>-5.96330282860436e-5</v>
      </c>
    </row>
    <row r="402" hidden="1" spans="1:21">
      <c r="A402" s="55">
        <v>399</v>
      </c>
      <c r="B402" s="76" t="s">
        <v>2754</v>
      </c>
      <c r="C402" s="72">
        <v>19.4</v>
      </c>
      <c r="D402" s="73">
        <v>6600</v>
      </c>
      <c r="E402" s="73">
        <f t="shared" si="68"/>
        <v>128040</v>
      </c>
      <c r="F402" s="74" t="s">
        <v>2755</v>
      </c>
      <c r="G402" s="75">
        <v>128040</v>
      </c>
      <c r="H402" s="75">
        <f t="shared" si="70"/>
        <v>0</v>
      </c>
      <c r="I402" s="86">
        <f>VLOOKUP(B402,多浪小区账面房号及收款金额!$A$2:$B$474,2,0)</f>
        <v>128040</v>
      </c>
      <c r="J402" s="86"/>
      <c r="K402" s="87">
        <f t="shared" si="69"/>
        <v>0</v>
      </c>
      <c r="L402" s="88"/>
      <c r="M402" s="88"/>
      <c r="N402" s="89"/>
      <c r="O402" s="89">
        <f t="shared" si="71"/>
        <v>0</v>
      </c>
      <c r="P402" s="91"/>
      <c r="Q402" s="88"/>
      <c r="R402" s="75">
        <f t="shared" si="72"/>
        <v>117467.889908257</v>
      </c>
      <c r="S402" s="75">
        <f t="shared" si="73"/>
        <v>5873.39449541284</v>
      </c>
      <c r="T402" s="75">
        <f t="shared" si="74"/>
        <v>117467.889908257</v>
      </c>
      <c r="U402" s="75">
        <f t="shared" si="75"/>
        <v>5873.39449541284</v>
      </c>
    </row>
    <row r="403" hidden="1" spans="1:21">
      <c r="A403" s="55">
        <v>400</v>
      </c>
      <c r="B403" s="76" t="s">
        <v>2756</v>
      </c>
      <c r="C403" s="72">
        <v>60.89</v>
      </c>
      <c r="D403" s="73">
        <v>6880</v>
      </c>
      <c r="E403" s="73">
        <f t="shared" si="68"/>
        <v>418923</v>
      </c>
      <c r="F403" s="74" t="s">
        <v>2757</v>
      </c>
      <c r="G403" s="75">
        <v>418923</v>
      </c>
      <c r="H403" s="75">
        <f t="shared" si="70"/>
        <v>0</v>
      </c>
      <c r="I403" s="86">
        <f>VLOOKUP(B403,多浪小区账面房号及收款金额!$A$2:$B$474,2,0)</f>
        <v>418923</v>
      </c>
      <c r="J403" s="86"/>
      <c r="K403" s="87">
        <f t="shared" si="69"/>
        <v>0</v>
      </c>
      <c r="L403" s="88"/>
      <c r="M403" s="88"/>
      <c r="N403" s="89"/>
      <c r="O403" s="89">
        <f t="shared" si="71"/>
        <v>0</v>
      </c>
      <c r="P403" s="91"/>
      <c r="Q403" s="88"/>
      <c r="R403" s="75">
        <f t="shared" si="72"/>
        <v>384333.027522936</v>
      </c>
      <c r="S403" s="75">
        <f t="shared" si="73"/>
        <v>19216.6513761468</v>
      </c>
      <c r="T403" s="75">
        <f t="shared" si="74"/>
        <v>384333.027522936</v>
      </c>
      <c r="U403" s="75">
        <f t="shared" si="75"/>
        <v>19216.6513761468</v>
      </c>
    </row>
    <row r="404" hidden="1" spans="1:21">
      <c r="A404" s="55">
        <v>401</v>
      </c>
      <c r="B404" s="76" t="s">
        <v>2758</v>
      </c>
      <c r="C404" s="72">
        <v>64.96</v>
      </c>
      <c r="D404" s="73">
        <v>6600</v>
      </c>
      <c r="E404" s="73">
        <f t="shared" si="68"/>
        <v>428736</v>
      </c>
      <c r="F404" s="74" t="s">
        <v>2068</v>
      </c>
      <c r="G404" s="75">
        <v>428736</v>
      </c>
      <c r="H404" s="75">
        <f t="shared" si="70"/>
        <v>0</v>
      </c>
      <c r="I404" s="86">
        <f>VLOOKUP(B404,多浪小区账面房号及收款金额!$A$2:$B$474,2,0)</f>
        <v>428736</v>
      </c>
      <c r="J404" s="86"/>
      <c r="K404" s="87">
        <f t="shared" si="69"/>
        <v>0</v>
      </c>
      <c r="L404" s="88"/>
      <c r="M404" s="88"/>
      <c r="N404" s="89">
        <f>VLOOKUP(B404,[2]信息汇总表!$M$2:$T$816,8,0)</f>
        <v>428736</v>
      </c>
      <c r="O404" s="89">
        <f t="shared" si="71"/>
        <v>393335.779816514</v>
      </c>
      <c r="P404" s="91">
        <v>393335.78</v>
      </c>
      <c r="Q404" s="88"/>
      <c r="R404" s="75">
        <f t="shared" si="72"/>
        <v>393335.779816514</v>
      </c>
      <c r="S404" s="75">
        <f t="shared" si="73"/>
        <v>19666.7889908257</v>
      </c>
      <c r="T404" s="75">
        <f t="shared" si="74"/>
        <v>-0.000183486321475357</v>
      </c>
      <c r="U404" s="75">
        <f t="shared" si="75"/>
        <v>-9.1743168013636e-6</v>
      </c>
    </row>
    <row r="405" hidden="1" spans="1:21">
      <c r="A405" s="55">
        <v>402</v>
      </c>
      <c r="B405" s="76" t="s">
        <v>2759</v>
      </c>
      <c r="C405" s="72">
        <v>19.69</v>
      </c>
      <c r="D405" s="73">
        <v>6600</v>
      </c>
      <c r="E405" s="73">
        <f t="shared" si="68"/>
        <v>129954</v>
      </c>
      <c r="F405" s="74" t="s">
        <v>2068</v>
      </c>
      <c r="G405" s="75">
        <v>129954</v>
      </c>
      <c r="H405" s="75">
        <f t="shared" si="70"/>
        <v>0</v>
      </c>
      <c r="I405" s="86">
        <f>VLOOKUP(B405,多浪小区账面房号及收款金额!$A$2:$B$474,2,0)</f>
        <v>129954</v>
      </c>
      <c r="J405" s="86"/>
      <c r="K405" s="87">
        <f t="shared" si="69"/>
        <v>0</v>
      </c>
      <c r="L405" s="88"/>
      <c r="M405" s="88"/>
      <c r="N405" s="89">
        <f>VLOOKUP(B405,[2]信息汇总表!$M$2:$T$816,8,0)</f>
        <v>129954</v>
      </c>
      <c r="O405" s="89">
        <f t="shared" si="71"/>
        <v>119223.853211009</v>
      </c>
      <c r="P405" s="91">
        <v>119223.85</v>
      </c>
      <c r="Q405" s="88"/>
      <c r="R405" s="75">
        <f t="shared" si="72"/>
        <v>119223.853211009</v>
      </c>
      <c r="S405" s="75">
        <f t="shared" si="73"/>
        <v>5961.19266055046</v>
      </c>
      <c r="T405" s="75">
        <f t="shared" si="74"/>
        <v>0.00321100915607531</v>
      </c>
      <c r="U405" s="75">
        <f t="shared" si="75"/>
        <v>0.000160550457621866</v>
      </c>
    </row>
    <row r="406" hidden="1" spans="1:21">
      <c r="A406" s="55">
        <v>403</v>
      </c>
      <c r="B406" s="76" t="s">
        <v>2760</v>
      </c>
      <c r="C406" s="72">
        <v>73.02</v>
      </c>
      <c r="D406" s="73">
        <v>6600</v>
      </c>
      <c r="E406" s="73">
        <f t="shared" si="68"/>
        <v>481932</v>
      </c>
      <c r="F406" s="74" t="s">
        <v>2068</v>
      </c>
      <c r="G406" s="75">
        <v>481932</v>
      </c>
      <c r="H406" s="75">
        <f t="shared" si="70"/>
        <v>0</v>
      </c>
      <c r="I406" s="86">
        <f>VLOOKUP(B406,多浪小区账面房号及收款金额!$A$2:$B$474,2,0)</f>
        <v>481932</v>
      </c>
      <c r="J406" s="86"/>
      <c r="K406" s="87">
        <f t="shared" si="69"/>
        <v>0</v>
      </c>
      <c r="L406" s="88"/>
      <c r="M406" s="88"/>
      <c r="N406" s="89">
        <f>VLOOKUP(B406,[2]信息汇总表!$M$2:$T$816,8,0)</f>
        <v>481932</v>
      </c>
      <c r="O406" s="89">
        <f t="shared" si="71"/>
        <v>442139.449541284</v>
      </c>
      <c r="P406" s="91">
        <v>442139.45</v>
      </c>
      <c r="Q406" s="88"/>
      <c r="R406" s="75">
        <f t="shared" si="72"/>
        <v>442139.449541284</v>
      </c>
      <c r="S406" s="75">
        <f t="shared" si="73"/>
        <v>22106.9724770642</v>
      </c>
      <c r="T406" s="75">
        <f t="shared" si="74"/>
        <v>-0.00045871565816924</v>
      </c>
      <c r="U406" s="75">
        <f t="shared" si="75"/>
        <v>-2.2935782908462e-5</v>
      </c>
    </row>
    <row r="407" hidden="1" spans="1:21">
      <c r="A407" s="55">
        <v>404</v>
      </c>
      <c r="B407" s="76" t="s">
        <v>2761</v>
      </c>
      <c r="C407" s="72">
        <v>20.27</v>
      </c>
      <c r="D407" s="73">
        <v>6600</v>
      </c>
      <c r="E407" s="73">
        <f t="shared" si="68"/>
        <v>133782</v>
      </c>
      <c r="F407" s="74" t="s">
        <v>2068</v>
      </c>
      <c r="G407" s="75">
        <v>133782</v>
      </c>
      <c r="H407" s="75">
        <f t="shared" si="70"/>
        <v>0</v>
      </c>
      <c r="I407" s="86">
        <f>VLOOKUP(B407,多浪小区账面房号及收款金额!$A$2:$B$474,2,0)</f>
        <v>133782</v>
      </c>
      <c r="J407" s="86"/>
      <c r="K407" s="87">
        <f t="shared" si="69"/>
        <v>0</v>
      </c>
      <c r="L407" s="88"/>
      <c r="M407" s="88"/>
      <c r="N407" s="89">
        <f>VLOOKUP(B407,[2]信息汇总表!$M$2:$T$816,8,0)</f>
        <v>133782</v>
      </c>
      <c r="O407" s="89">
        <f t="shared" si="71"/>
        <v>122735.779816514</v>
      </c>
      <c r="P407" s="91">
        <v>122735.78</v>
      </c>
      <c r="Q407" s="88"/>
      <c r="R407" s="75">
        <f t="shared" si="72"/>
        <v>122735.779816514</v>
      </c>
      <c r="S407" s="75">
        <f t="shared" si="73"/>
        <v>6136.78899082569</v>
      </c>
      <c r="T407" s="75">
        <f t="shared" si="74"/>
        <v>-0.000183486248715781</v>
      </c>
      <c r="U407" s="75">
        <f t="shared" si="75"/>
        <v>-9.1743131633848e-6</v>
      </c>
    </row>
    <row r="408" hidden="1" spans="1:21">
      <c r="A408" s="55">
        <v>405</v>
      </c>
      <c r="B408" s="76" t="s">
        <v>2762</v>
      </c>
      <c r="C408" s="72">
        <v>71.44</v>
      </c>
      <c r="D408" s="73">
        <v>6298.99</v>
      </c>
      <c r="E408" s="73">
        <f t="shared" si="68"/>
        <v>450000</v>
      </c>
      <c r="F408" s="74" t="s">
        <v>2763</v>
      </c>
      <c r="G408" s="75">
        <v>450000</v>
      </c>
      <c r="H408" s="75">
        <f t="shared" si="70"/>
        <v>0</v>
      </c>
      <c r="I408" s="86">
        <f>VLOOKUP(B408,多浪小区账面房号及收款金额!$A$2:$B$474,2,0)</f>
        <v>450000</v>
      </c>
      <c r="J408" s="86"/>
      <c r="K408" s="87">
        <f t="shared" si="69"/>
        <v>0</v>
      </c>
      <c r="L408" s="88"/>
      <c r="M408" s="88"/>
      <c r="N408" s="89"/>
      <c r="O408" s="89">
        <f t="shared" si="71"/>
        <v>0</v>
      </c>
      <c r="P408" s="91"/>
      <c r="Q408" s="88"/>
      <c r="R408" s="75">
        <f t="shared" si="72"/>
        <v>412844.036697248</v>
      </c>
      <c r="S408" s="75">
        <f t="shared" si="73"/>
        <v>20642.2018348624</v>
      </c>
      <c r="T408" s="75">
        <f t="shared" si="74"/>
        <v>412844.036697248</v>
      </c>
      <c r="U408" s="75">
        <f t="shared" si="75"/>
        <v>20642.2018348624</v>
      </c>
    </row>
    <row r="409" hidden="1" spans="1:21">
      <c r="A409" s="55">
        <v>406</v>
      </c>
      <c r="B409" s="76" t="s">
        <v>2764</v>
      </c>
      <c r="C409" s="72">
        <v>42.16</v>
      </c>
      <c r="D409" s="73">
        <v>6500</v>
      </c>
      <c r="E409" s="73">
        <f t="shared" si="68"/>
        <v>274040</v>
      </c>
      <c r="F409" s="74" t="s">
        <v>2765</v>
      </c>
      <c r="G409" s="75">
        <v>274040</v>
      </c>
      <c r="H409" s="75">
        <f t="shared" si="70"/>
        <v>0</v>
      </c>
      <c r="I409" s="86">
        <f>VLOOKUP(B409,多浪小区账面房号及收款金额!$A$2:$B$474,2,0)</f>
        <v>274040</v>
      </c>
      <c r="J409" s="86"/>
      <c r="K409" s="87">
        <f t="shared" si="69"/>
        <v>0</v>
      </c>
      <c r="L409" s="88"/>
      <c r="M409" s="88"/>
      <c r="N409" s="89"/>
      <c r="O409" s="89">
        <f t="shared" si="71"/>
        <v>0</v>
      </c>
      <c r="P409" s="91"/>
      <c r="Q409" s="88"/>
      <c r="R409" s="75">
        <f t="shared" si="72"/>
        <v>251412.844036697</v>
      </c>
      <c r="S409" s="75">
        <f t="shared" si="73"/>
        <v>12570.6422018349</v>
      </c>
      <c r="T409" s="75">
        <f t="shared" si="74"/>
        <v>251412.844036697</v>
      </c>
      <c r="U409" s="75">
        <f t="shared" si="75"/>
        <v>12570.6422018349</v>
      </c>
    </row>
    <row r="410" hidden="1" spans="1:21">
      <c r="A410" s="55">
        <v>407</v>
      </c>
      <c r="B410" s="76" t="s">
        <v>2766</v>
      </c>
      <c r="C410" s="72">
        <v>90.17</v>
      </c>
      <c r="D410" s="73">
        <v>6500</v>
      </c>
      <c r="E410" s="73">
        <f t="shared" si="68"/>
        <v>586105</v>
      </c>
      <c r="F410" s="74" t="s">
        <v>2767</v>
      </c>
      <c r="G410" s="75">
        <v>586105</v>
      </c>
      <c r="H410" s="75">
        <f t="shared" si="70"/>
        <v>0</v>
      </c>
      <c r="I410" s="86">
        <f>VLOOKUP(B410,多浪小区账面房号及收款金额!$A$2:$B$474,2,0)</f>
        <v>586105</v>
      </c>
      <c r="J410" s="86"/>
      <c r="K410" s="87">
        <f t="shared" si="69"/>
        <v>0</v>
      </c>
      <c r="L410" s="88"/>
      <c r="M410" s="88"/>
      <c r="N410" s="89">
        <f>VLOOKUP(B410,[2]信息汇总表!$M$2:$T$816,8,0)</f>
        <v>586105</v>
      </c>
      <c r="O410" s="89">
        <f t="shared" si="71"/>
        <v>537711.009174312</v>
      </c>
      <c r="P410" s="91">
        <v>537711.01</v>
      </c>
      <c r="Q410" s="88"/>
      <c r="R410" s="75">
        <f t="shared" si="72"/>
        <v>537711.009174312</v>
      </c>
      <c r="S410" s="75">
        <f t="shared" si="73"/>
        <v>26885.5504587156</v>
      </c>
      <c r="T410" s="75">
        <f t="shared" si="74"/>
        <v>-0.000825688126496971</v>
      </c>
      <c r="U410" s="75">
        <f t="shared" si="75"/>
        <v>-4.12844055972528e-5</v>
      </c>
    </row>
    <row r="411" hidden="1" spans="1:21">
      <c r="A411" s="55">
        <v>408</v>
      </c>
      <c r="B411" s="76" t="s">
        <v>2768</v>
      </c>
      <c r="C411" s="72">
        <v>20.49</v>
      </c>
      <c r="D411" s="73">
        <v>6500</v>
      </c>
      <c r="E411" s="73">
        <f t="shared" si="68"/>
        <v>133185</v>
      </c>
      <c r="F411" s="74" t="s">
        <v>2769</v>
      </c>
      <c r="G411" s="75">
        <v>133185</v>
      </c>
      <c r="H411" s="75">
        <f t="shared" si="70"/>
        <v>0</v>
      </c>
      <c r="I411" s="86">
        <f>VLOOKUP(B411,多浪小区账面房号及收款金额!$A$2:$B$474,2,0)</f>
        <v>133185</v>
      </c>
      <c r="J411" s="86"/>
      <c r="K411" s="87">
        <f t="shared" si="69"/>
        <v>0</v>
      </c>
      <c r="L411" s="88"/>
      <c r="M411" s="88"/>
      <c r="N411" s="89"/>
      <c r="O411" s="89">
        <f t="shared" si="71"/>
        <v>0</v>
      </c>
      <c r="P411" s="91"/>
      <c r="Q411" s="88"/>
      <c r="R411" s="75">
        <f t="shared" si="72"/>
        <v>122188.073394495</v>
      </c>
      <c r="S411" s="75">
        <f t="shared" si="73"/>
        <v>6109.40366972477</v>
      </c>
      <c r="T411" s="75">
        <f t="shared" si="74"/>
        <v>122188.073394495</v>
      </c>
      <c r="U411" s="75">
        <f t="shared" si="75"/>
        <v>6109.40366972477</v>
      </c>
    </row>
    <row r="412" hidden="1" spans="1:21">
      <c r="A412" s="55">
        <v>409</v>
      </c>
      <c r="B412" s="76" t="s">
        <v>2770</v>
      </c>
      <c r="C412" s="72">
        <v>36.48</v>
      </c>
      <c r="D412" s="73">
        <v>6578.95</v>
      </c>
      <c r="E412" s="73">
        <f t="shared" si="68"/>
        <v>240000</v>
      </c>
      <c r="F412" s="74" t="s">
        <v>2771</v>
      </c>
      <c r="G412" s="75">
        <v>240000</v>
      </c>
      <c r="H412" s="75">
        <f t="shared" si="70"/>
        <v>0</v>
      </c>
      <c r="I412" s="86">
        <f>VLOOKUP(B412,多浪小区账面房号及收款金额!$A$2:$B$474,2,0)</f>
        <v>240000</v>
      </c>
      <c r="J412" s="86"/>
      <c r="K412" s="87">
        <f t="shared" si="69"/>
        <v>0</v>
      </c>
      <c r="L412" s="88"/>
      <c r="M412" s="88"/>
      <c r="N412" s="89"/>
      <c r="O412" s="89">
        <f t="shared" si="71"/>
        <v>0</v>
      </c>
      <c r="P412" s="91"/>
      <c r="Q412" s="88"/>
      <c r="R412" s="75">
        <f t="shared" si="72"/>
        <v>220183.486238532</v>
      </c>
      <c r="S412" s="75">
        <f t="shared" si="73"/>
        <v>11009.1743119266</v>
      </c>
      <c r="T412" s="75">
        <f t="shared" si="74"/>
        <v>220183.486238532</v>
      </c>
      <c r="U412" s="75">
        <f t="shared" si="75"/>
        <v>11009.1743119266</v>
      </c>
    </row>
    <row r="413" hidden="1" spans="1:21">
      <c r="A413" s="55">
        <v>410</v>
      </c>
      <c r="B413" s="76" t="s">
        <v>2772</v>
      </c>
      <c r="C413" s="72">
        <v>72.41</v>
      </c>
      <c r="D413" s="73">
        <v>6394.14</v>
      </c>
      <c r="E413" s="73">
        <f t="shared" si="68"/>
        <v>463000</v>
      </c>
      <c r="F413" s="74" t="s">
        <v>2773</v>
      </c>
      <c r="G413" s="75">
        <v>463000</v>
      </c>
      <c r="H413" s="75">
        <f t="shared" si="70"/>
        <v>0</v>
      </c>
      <c r="I413" s="86">
        <f>VLOOKUP(B413,多浪小区账面房号及收款金额!$A$2:$B$474,2,0)</f>
        <v>463000</v>
      </c>
      <c r="J413" s="86"/>
      <c r="K413" s="87">
        <f t="shared" si="69"/>
        <v>0</v>
      </c>
      <c r="L413" s="88"/>
      <c r="M413" s="88"/>
      <c r="N413" s="89">
        <f>VLOOKUP(B413,[2]信息汇总表!$M$2:$T$816,8,0)</f>
        <v>463000</v>
      </c>
      <c r="O413" s="89">
        <f t="shared" si="71"/>
        <v>424770.642201835</v>
      </c>
      <c r="P413" s="91">
        <v>424770.64</v>
      </c>
      <c r="Q413" s="88"/>
      <c r="R413" s="75">
        <f t="shared" si="72"/>
        <v>424770.642201835</v>
      </c>
      <c r="S413" s="75">
        <f t="shared" si="73"/>
        <v>21238.5321100917</v>
      </c>
      <c r="T413" s="75">
        <f t="shared" si="74"/>
        <v>0.00220183480996639</v>
      </c>
      <c r="U413" s="75">
        <f t="shared" si="75"/>
        <v>0.000110091739770724</v>
      </c>
    </row>
    <row r="414" hidden="1" spans="1:21">
      <c r="A414" s="55">
        <v>411</v>
      </c>
      <c r="B414" s="76" t="s">
        <v>2774</v>
      </c>
      <c r="C414" s="72">
        <v>42.16</v>
      </c>
      <c r="D414" s="73">
        <v>6500</v>
      </c>
      <c r="E414" s="73">
        <f t="shared" si="68"/>
        <v>274040</v>
      </c>
      <c r="F414" s="74" t="s">
        <v>2775</v>
      </c>
      <c r="G414" s="75">
        <v>274040</v>
      </c>
      <c r="H414" s="75">
        <f t="shared" si="70"/>
        <v>0</v>
      </c>
      <c r="I414" s="86">
        <f>VLOOKUP(B414,多浪小区账面房号及收款金额!$A$2:$B$474,2,0)</f>
        <v>274040</v>
      </c>
      <c r="J414" s="86"/>
      <c r="K414" s="87">
        <f t="shared" si="69"/>
        <v>0</v>
      </c>
      <c r="L414" s="88"/>
      <c r="M414" s="88"/>
      <c r="N414" s="89"/>
      <c r="O414" s="89">
        <f t="shared" si="71"/>
        <v>0</v>
      </c>
      <c r="P414" s="91"/>
      <c r="Q414" s="88"/>
      <c r="R414" s="75">
        <f t="shared" si="72"/>
        <v>251412.844036697</v>
      </c>
      <c r="S414" s="75">
        <f t="shared" si="73"/>
        <v>12570.6422018349</v>
      </c>
      <c r="T414" s="75">
        <f t="shared" si="74"/>
        <v>251412.844036697</v>
      </c>
      <c r="U414" s="75">
        <f t="shared" si="75"/>
        <v>12570.6422018349</v>
      </c>
    </row>
    <row r="415" spans="1:21">
      <c r="A415" s="55">
        <v>412</v>
      </c>
      <c r="B415" s="76" t="s">
        <v>2776</v>
      </c>
      <c r="C415" s="72">
        <v>90.28</v>
      </c>
      <c r="D415" s="73">
        <v>6280</v>
      </c>
      <c r="E415" s="73">
        <f t="shared" si="68"/>
        <v>0</v>
      </c>
      <c r="F415" s="74"/>
      <c r="G415" s="75">
        <v>0</v>
      </c>
      <c r="H415" s="75">
        <f t="shared" si="70"/>
        <v>0</v>
      </c>
      <c r="I415" s="86"/>
      <c r="J415" s="86"/>
      <c r="K415" s="87">
        <f t="shared" si="69"/>
        <v>0</v>
      </c>
      <c r="L415" s="88"/>
      <c r="M415" s="88" t="s">
        <v>2777</v>
      </c>
      <c r="N415" s="89"/>
      <c r="O415" s="89">
        <f t="shared" si="71"/>
        <v>0</v>
      </c>
      <c r="P415" s="91"/>
      <c r="Q415" s="88"/>
      <c r="R415" s="75">
        <f t="shared" si="72"/>
        <v>0</v>
      </c>
      <c r="S415" s="75">
        <f t="shared" si="73"/>
        <v>0</v>
      </c>
      <c r="T415" s="75">
        <f t="shared" si="74"/>
        <v>0</v>
      </c>
      <c r="U415" s="75">
        <f t="shared" si="75"/>
        <v>0</v>
      </c>
    </row>
    <row r="416" hidden="1" spans="1:21">
      <c r="A416" s="55">
        <v>413</v>
      </c>
      <c r="B416" s="76" t="s">
        <v>2778</v>
      </c>
      <c r="C416" s="72">
        <v>20.75</v>
      </c>
      <c r="D416" s="73">
        <v>6867.47</v>
      </c>
      <c r="E416" s="73">
        <f t="shared" ref="E394:E452" si="76">ROUND(IF(F416&lt;&gt;0,C416*D416,0),0)</f>
        <v>142500</v>
      </c>
      <c r="F416" s="74" t="s">
        <v>2779</v>
      </c>
      <c r="G416" s="75">
        <v>142500</v>
      </c>
      <c r="H416" s="75">
        <f t="shared" si="70"/>
        <v>0</v>
      </c>
      <c r="I416" s="86">
        <f>VLOOKUP(B416,多浪小区账面房号及收款金额!$A$2:$B$474,2,0)</f>
        <v>142500</v>
      </c>
      <c r="J416" s="86"/>
      <c r="K416" s="87">
        <f t="shared" si="69"/>
        <v>0</v>
      </c>
      <c r="L416" s="88"/>
      <c r="M416" s="88"/>
      <c r="N416" s="89">
        <f>VLOOKUP(B416,[2]信息汇总表!$M$2:$T$816,8,0)</f>
        <v>142500</v>
      </c>
      <c r="O416" s="89">
        <f t="shared" si="71"/>
        <v>130733.944954128</v>
      </c>
      <c r="P416" s="91">
        <v>130733.94</v>
      </c>
      <c r="Q416" s="88"/>
      <c r="R416" s="75">
        <f t="shared" si="72"/>
        <v>130733.944954128</v>
      </c>
      <c r="S416" s="75">
        <f t="shared" si="73"/>
        <v>6536.69724770642</v>
      </c>
      <c r="T416" s="75">
        <f t="shared" si="74"/>
        <v>0.00495412842428777</v>
      </c>
      <c r="U416" s="75">
        <f t="shared" si="75"/>
        <v>0.000247706421760086</v>
      </c>
    </row>
    <row r="417" hidden="1" spans="1:21">
      <c r="A417" s="55">
        <v>414</v>
      </c>
      <c r="B417" s="76" t="s">
        <v>2780</v>
      </c>
      <c r="C417" s="72">
        <v>21.42</v>
      </c>
      <c r="D417" s="73">
        <v>6900</v>
      </c>
      <c r="E417" s="73">
        <f t="shared" si="76"/>
        <v>147798</v>
      </c>
      <c r="F417" s="74" t="s">
        <v>2781</v>
      </c>
      <c r="G417" s="75">
        <v>146798</v>
      </c>
      <c r="H417" s="75">
        <f t="shared" si="70"/>
        <v>1000</v>
      </c>
      <c r="I417" s="86">
        <f>VLOOKUP(B417,多浪小区账面房号及收款金额!$A$2:$B$474,2,0)</f>
        <v>146798</v>
      </c>
      <c r="J417" s="86"/>
      <c r="K417" s="87">
        <f t="shared" si="69"/>
        <v>0</v>
      </c>
      <c r="L417" s="88"/>
      <c r="M417" s="88"/>
      <c r="N417" s="89"/>
      <c r="O417" s="89">
        <f t="shared" si="71"/>
        <v>0</v>
      </c>
      <c r="P417" s="91"/>
      <c r="Q417" s="88"/>
      <c r="R417" s="75">
        <f t="shared" si="72"/>
        <v>134677.064220183</v>
      </c>
      <c r="S417" s="75">
        <f t="shared" si="73"/>
        <v>6733.85321100917</v>
      </c>
      <c r="T417" s="75">
        <f t="shared" si="74"/>
        <v>134677.064220183</v>
      </c>
      <c r="U417" s="75">
        <f t="shared" si="75"/>
        <v>6733.85321100917</v>
      </c>
    </row>
    <row r="418" hidden="1" spans="1:21">
      <c r="A418" s="55">
        <v>415</v>
      </c>
      <c r="B418" s="76" t="s">
        <v>2782</v>
      </c>
      <c r="C418" s="72">
        <v>72.52</v>
      </c>
      <c r="D418" s="73">
        <v>6500</v>
      </c>
      <c r="E418" s="73">
        <f t="shared" si="76"/>
        <v>471380</v>
      </c>
      <c r="F418" s="74" t="s">
        <v>2783</v>
      </c>
      <c r="G418" s="75">
        <v>241380</v>
      </c>
      <c r="H418" s="75">
        <f t="shared" si="70"/>
        <v>230000</v>
      </c>
      <c r="I418" s="86">
        <f>VLOOKUP(B418,多浪小区账面房号及收款金额!$A$2:$B$474,2,0)</f>
        <v>241380</v>
      </c>
      <c r="J418" s="86"/>
      <c r="K418" s="87">
        <f t="shared" ref="K418:K439" si="77">G418-I418</f>
        <v>0</v>
      </c>
      <c r="L418" s="88"/>
      <c r="M418" s="88"/>
      <c r="N418" s="89"/>
      <c r="O418" s="89">
        <f t="shared" si="71"/>
        <v>0</v>
      </c>
      <c r="P418" s="91"/>
      <c r="Q418" s="88"/>
      <c r="R418" s="75">
        <f t="shared" si="72"/>
        <v>221449.541284404</v>
      </c>
      <c r="S418" s="75">
        <f t="shared" si="73"/>
        <v>11072.4770642202</v>
      </c>
      <c r="T418" s="75">
        <f t="shared" si="74"/>
        <v>221449.541284404</v>
      </c>
      <c r="U418" s="75">
        <f t="shared" si="75"/>
        <v>11072.4770642202</v>
      </c>
    </row>
    <row r="419" hidden="1" spans="1:21">
      <c r="A419" s="55">
        <v>416</v>
      </c>
      <c r="B419" s="76" t="s">
        <v>2784</v>
      </c>
      <c r="C419" s="72">
        <v>42.16</v>
      </c>
      <c r="D419" s="73">
        <v>6500</v>
      </c>
      <c r="E419" s="73">
        <f t="shared" si="76"/>
        <v>274040</v>
      </c>
      <c r="F419" s="74" t="s">
        <v>2785</v>
      </c>
      <c r="G419" s="75">
        <v>274040</v>
      </c>
      <c r="H419" s="75">
        <f t="shared" si="70"/>
        <v>0</v>
      </c>
      <c r="I419" s="86">
        <f>VLOOKUP(B419,多浪小区账面房号及收款金额!$A$2:$B$474,2,0)</f>
        <v>274040</v>
      </c>
      <c r="J419" s="86"/>
      <c r="K419" s="87">
        <f t="shared" si="77"/>
        <v>0</v>
      </c>
      <c r="L419" s="88"/>
      <c r="M419" s="88"/>
      <c r="N419" s="89"/>
      <c r="O419" s="89">
        <f t="shared" si="71"/>
        <v>0</v>
      </c>
      <c r="P419" s="91"/>
      <c r="Q419" s="88"/>
      <c r="R419" s="75">
        <f t="shared" si="72"/>
        <v>251412.844036697</v>
      </c>
      <c r="S419" s="75">
        <f t="shared" si="73"/>
        <v>12570.6422018349</v>
      </c>
      <c r="T419" s="75">
        <f t="shared" si="74"/>
        <v>251412.844036697</v>
      </c>
      <c r="U419" s="75">
        <f t="shared" si="75"/>
        <v>12570.6422018349</v>
      </c>
    </row>
    <row r="420" spans="1:21">
      <c r="A420" s="55">
        <v>417</v>
      </c>
      <c r="B420" s="76" t="s">
        <v>2786</v>
      </c>
      <c r="C420" s="72">
        <v>90.26</v>
      </c>
      <c r="D420" s="73">
        <v>6280</v>
      </c>
      <c r="E420" s="73">
        <f t="shared" si="76"/>
        <v>0</v>
      </c>
      <c r="F420" s="74"/>
      <c r="G420" s="75">
        <v>0</v>
      </c>
      <c r="H420" s="75">
        <f t="shared" si="70"/>
        <v>0</v>
      </c>
      <c r="I420" s="86"/>
      <c r="J420" s="86"/>
      <c r="K420" s="87">
        <f t="shared" si="77"/>
        <v>0</v>
      </c>
      <c r="L420" s="88"/>
      <c r="M420" s="88" t="s">
        <v>2777</v>
      </c>
      <c r="N420" s="89"/>
      <c r="O420" s="89">
        <f t="shared" si="71"/>
        <v>0</v>
      </c>
      <c r="P420" s="91"/>
      <c r="Q420" s="88"/>
      <c r="R420" s="75">
        <f t="shared" si="72"/>
        <v>0</v>
      </c>
      <c r="S420" s="75">
        <f t="shared" si="73"/>
        <v>0</v>
      </c>
      <c r="T420" s="75">
        <f t="shared" si="74"/>
        <v>0</v>
      </c>
      <c r="U420" s="75">
        <f t="shared" si="75"/>
        <v>0</v>
      </c>
    </row>
    <row r="421" hidden="1" spans="1:21">
      <c r="A421" s="55">
        <v>418</v>
      </c>
      <c r="B421" s="76" t="s">
        <v>2787</v>
      </c>
      <c r="C421" s="72">
        <v>20.27</v>
      </c>
      <c r="D421" s="73">
        <v>6906.75</v>
      </c>
      <c r="E421" s="73">
        <f t="shared" si="76"/>
        <v>140000</v>
      </c>
      <c r="F421" s="74" t="s">
        <v>2788</v>
      </c>
      <c r="G421" s="75">
        <v>140000</v>
      </c>
      <c r="H421" s="75">
        <f t="shared" ref="H421:H452" si="78">E421-G421</f>
        <v>0</v>
      </c>
      <c r="I421" s="86">
        <f>VLOOKUP(B421,多浪小区账面房号及收款金额!$A$2:$B$474,2,0)</f>
        <v>140000</v>
      </c>
      <c r="J421" s="86"/>
      <c r="K421" s="87">
        <f t="shared" si="77"/>
        <v>0</v>
      </c>
      <c r="L421" s="92"/>
      <c r="M421" s="88"/>
      <c r="N421" s="89"/>
      <c r="O421" s="89">
        <f t="shared" si="71"/>
        <v>0</v>
      </c>
      <c r="P421" s="91"/>
      <c r="Q421" s="88"/>
      <c r="R421" s="75">
        <f t="shared" si="72"/>
        <v>128440.366972477</v>
      </c>
      <c r="S421" s="75">
        <f t="shared" si="73"/>
        <v>6422.01834862385</v>
      </c>
      <c r="T421" s="75">
        <f t="shared" si="74"/>
        <v>128440.366972477</v>
      </c>
      <c r="U421" s="75">
        <f t="shared" si="75"/>
        <v>6422.01834862385</v>
      </c>
    </row>
    <row r="422" hidden="1" spans="1:21">
      <c r="A422" s="55">
        <v>419</v>
      </c>
      <c r="B422" s="76" t="s">
        <v>2789</v>
      </c>
      <c r="C422" s="72">
        <v>59.71</v>
      </c>
      <c r="D422" s="73">
        <v>6200</v>
      </c>
      <c r="E422" s="73">
        <f t="shared" si="76"/>
        <v>370202</v>
      </c>
      <c r="F422" s="74" t="s">
        <v>2003</v>
      </c>
      <c r="G422" s="75">
        <v>370202</v>
      </c>
      <c r="H422" s="75">
        <f t="shared" si="78"/>
        <v>0</v>
      </c>
      <c r="I422" s="86">
        <f>VLOOKUP(B422,多浪小区账面房号及收款金额!$A$2:$B$474,2,0)+多浪小区账面房号及收款金额!B106</f>
        <v>370202</v>
      </c>
      <c r="J422" s="86"/>
      <c r="K422" s="87">
        <f t="shared" si="77"/>
        <v>0</v>
      </c>
      <c r="L422" s="88"/>
      <c r="M422" s="88"/>
      <c r="N422" s="89">
        <f>VLOOKUP(B422,[2]信息汇总表!$M$2:$T$816,8,0)</f>
        <v>370202</v>
      </c>
      <c r="O422" s="89">
        <f t="shared" si="71"/>
        <v>339634.862385321</v>
      </c>
      <c r="P422" s="91">
        <v>339634.86</v>
      </c>
      <c r="Q422" s="88"/>
      <c r="R422" s="75">
        <f t="shared" si="72"/>
        <v>339634.862385321</v>
      </c>
      <c r="S422" s="75">
        <f t="shared" si="73"/>
        <v>16981.7431192661</v>
      </c>
      <c r="T422" s="75">
        <f t="shared" si="74"/>
        <v>0.00238532107323408</v>
      </c>
      <c r="U422" s="75">
        <f t="shared" si="75"/>
        <v>0.000119266056572087</v>
      </c>
    </row>
    <row r="423" hidden="1" spans="1:21">
      <c r="A423" s="55">
        <v>420</v>
      </c>
      <c r="B423" s="76" t="s">
        <v>2790</v>
      </c>
      <c r="C423" s="72">
        <v>112.31</v>
      </c>
      <c r="D423" s="73">
        <v>6880</v>
      </c>
      <c r="E423" s="73">
        <f t="shared" si="76"/>
        <v>772693</v>
      </c>
      <c r="F423" s="74" t="s">
        <v>2160</v>
      </c>
      <c r="G423" s="75">
        <v>305000</v>
      </c>
      <c r="H423" s="75">
        <f t="shared" si="78"/>
        <v>467693</v>
      </c>
      <c r="I423" s="86">
        <f>VLOOKUP(B423,多浪小区账面房号及收款金额!$A$2:$B$474,2,0)+270000</f>
        <v>305000</v>
      </c>
      <c r="J423" s="86"/>
      <c r="K423" s="87">
        <f t="shared" si="77"/>
        <v>0</v>
      </c>
      <c r="L423" s="88"/>
      <c r="M423" s="88"/>
      <c r="N423" s="89"/>
      <c r="O423" s="89">
        <f t="shared" si="71"/>
        <v>0</v>
      </c>
      <c r="P423" s="91"/>
      <c r="Q423" s="88"/>
      <c r="R423" s="75">
        <f t="shared" si="72"/>
        <v>279816.513761468</v>
      </c>
      <c r="S423" s="75">
        <f t="shared" si="73"/>
        <v>13990.8256880734</v>
      </c>
      <c r="T423" s="75">
        <f t="shared" si="74"/>
        <v>279816.513761468</v>
      </c>
      <c r="U423" s="75">
        <f t="shared" si="75"/>
        <v>13990.8256880734</v>
      </c>
    </row>
    <row r="424" hidden="1" spans="1:21">
      <c r="A424" s="55">
        <v>421</v>
      </c>
      <c r="B424" s="76" t="s">
        <v>2791</v>
      </c>
      <c r="C424" s="72">
        <v>20.26</v>
      </c>
      <c r="D424" s="73">
        <v>6786.77</v>
      </c>
      <c r="E424" s="73">
        <f t="shared" si="76"/>
        <v>137500</v>
      </c>
      <c r="F424" s="74" t="s">
        <v>2792</v>
      </c>
      <c r="G424" s="75">
        <v>137500</v>
      </c>
      <c r="H424" s="75">
        <f t="shared" si="78"/>
        <v>0</v>
      </c>
      <c r="I424" s="86">
        <f>VLOOKUP(B424,多浪小区账面房号及收款金额!$A$2:$B$474,2,0)</f>
        <v>137500</v>
      </c>
      <c r="J424" s="86"/>
      <c r="K424" s="87">
        <f t="shared" si="77"/>
        <v>0</v>
      </c>
      <c r="L424" s="88"/>
      <c r="M424" s="88"/>
      <c r="N424" s="89"/>
      <c r="O424" s="89">
        <f t="shared" si="71"/>
        <v>0</v>
      </c>
      <c r="P424" s="91"/>
      <c r="Q424" s="88"/>
      <c r="R424" s="75">
        <f t="shared" si="72"/>
        <v>126146.788990826</v>
      </c>
      <c r="S424" s="75">
        <f t="shared" si="73"/>
        <v>6307.33944954128</v>
      </c>
      <c r="T424" s="75">
        <f t="shared" si="74"/>
        <v>126146.788990826</v>
      </c>
      <c r="U424" s="75">
        <f t="shared" si="75"/>
        <v>6307.33944954128</v>
      </c>
    </row>
    <row r="425" hidden="1" spans="1:21">
      <c r="A425" s="55">
        <v>422</v>
      </c>
      <c r="B425" s="76" t="s">
        <v>2793</v>
      </c>
      <c r="C425" s="72">
        <v>71.43</v>
      </c>
      <c r="D425" s="73">
        <v>6299.87</v>
      </c>
      <c r="E425" s="73">
        <f t="shared" si="76"/>
        <v>450000</v>
      </c>
      <c r="F425" s="74" t="s">
        <v>2794</v>
      </c>
      <c r="G425" s="75">
        <v>450000</v>
      </c>
      <c r="H425" s="75">
        <f t="shared" si="78"/>
        <v>0</v>
      </c>
      <c r="I425" s="86">
        <f>VLOOKUP(B425,多浪小区账面房号及收款金额!$A$2:$B$474,2,0)</f>
        <v>450000</v>
      </c>
      <c r="J425" s="86"/>
      <c r="K425" s="87">
        <f t="shared" si="77"/>
        <v>0</v>
      </c>
      <c r="L425" s="88"/>
      <c r="M425" s="88"/>
      <c r="N425" s="89">
        <f>VLOOKUP(B425,[2]信息汇总表!$M$2:$T$816,8,0)</f>
        <v>450000</v>
      </c>
      <c r="O425" s="89">
        <f t="shared" si="71"/>
        <v>412844.036697248</v>
      </c>
      <c r="P425" s="91">
        <v>412844.04</v>
      </c>
      <c r="Q425" s="88"/>
      <c r="R425" s="75">
        <f t="shared" si="72"/>
        <v>412844.036697248</v>
      </c>
      <c r="S425" s="75">
        <f t="shared" si="73"/>
        <v>20642.2018348624</v>
      </c>
      <c r="T425" s="75">
        <f t="shared" si="74"/>
        <v>-0.0033027523313649</v>
      </c>
      <c r="U425" s="75">
        <f t="shared" si="75"/>
        <v>-0.000165137618751032</v>
      </c>
    </row>
    <row r="426" hidden="1" spans="1:21">
      <c r="A426" s="55">
        <v>423</v>
      </c>
      <c r="B426" s="76" t="s">
        <v>2795</v>
      </c>
      <c r="C426" s="72">
        <v>42.15</v>
      </c>
      <c r="D426" s="73">
        <v>6400</v>
      </c>
      <c r="E426" s="73">
        <f t="shared" si="76"/>
        <v>269760</v>
      </c>
      <c r="F426" s="74" t="s">
        <v>2136</v>
      </c>
      <c r="G426" s="75">
        <v>269760</v>
      </c>
      <c r="H426" s="75">
        <f t="shared" si="78"/>
        <v>0</v>
      </c>
      <c r="I426" s="86">
        <f>VLOOKUP(B426,多浪小区账面房号及收款金额!$A$2:$B$474,2,0)</f>
        <v>269760</v>
      </c>
      <c r="J426" s="86"/>
      <c r="K426" s="87">
        <f t="shared" si="77"/>
        <v>0</v>
      </c>
      <c r="L426" s="88"/>
      <c r="M426" s="88"/>
      <c r="N426" s="89"/>
      <c r="O426" s="89">
        <f t="shared" si="71"/>
        <v>0</v>
      </c>
      <c r="P426" s="91"/>
      <c r="Q426" s="88"/>
      <c r="R426" s="75">
        <f t="shared" si="72"/>
        <v>247486.23853211</v>
      </c>
      <c r="S426" s="75">
        <f t="shared" si="73"/>
        <v>12374.3119266055</v>
      </c>
      <c r="T426" s="75">
        <f t="shared" si="74"/>
        <v>247486.23853211</v>
      </c>
      <c r="U426" s="75">
        <f t="shared" si="75"/>
        <v>12374.3119266055</v>
      </c>
    </row>
    <row r="427" spans="1:21">
      <c r="A427" s="55">
        <v>424</v>
      </c>
      <c r="B427" s="76" t="s">
        <v>2796</v>
      </c>
      <c r="C427" s="72">
        <v>90.15</v>
      </c>
      <c r="D427" s="73">
        <v>6280</v>
      </c>
      <c r="E427" s="73">
        <f t="shared" si="76"/>
        <v>0</v>
      </c>
      <c r="F427" s="74"/>
      <c r="G427" s="75">
        <v>0</v>
      </c>
      <c r="H427" s="75">
        <f t="shared" si="78"/>
        <v>0</v>
      </c>
      <c r="I427" s="86"/>
      <c r="J427" s="86"/>
      <c r="K427" s="87">
        <f t="shared" si="77"/>
        <v>0</v>
      </c>
      <c r="L427" s="88"/>
      <c r="M427" s="88" t="s">
        <v>2777</v>
      </c>
      <c r="N427" s="89"/>
      <c r="O427" s="89">
        <f t="shared" si="71"/>
        <v>0</v>
      </c>
      <c r="P427" s="91"/>
      <c r="Q427" s="88"/>
      <c r="R427" s="75">
        <f t="shared" si="72"/>
        <v>0</v>
      </c>
      <c r="S427" s="75">
        <f t="shared" si="73"/>
        <v>0</v>
      </c>
      <c r="T427" s="75">
        <f t="shared" si="74"/>
        <v>0</v>
      </c>
      <c r="U427" s="75">
        <f t="shared" si="75"/>
        <v>0</v>
      </c>
    </row>
    <row r="428" hidden="1" spans="1:21">
      <c r="A428" s="55">
        <v>425</v>
      </c>
      <c r="B428" s="76" t="s">
        <v>2797</v>
      </c>
      <c r="C428" s="72">
        <v>20.48</v>
      </c>
      <c r="D428" s="73">
        <v>6835.94</v>
      </c>
      <c r="E428" s="73">
        <f t="shared" si="76"/>
        <v>140000</v>
      </c>
      <c r="F428" s="74" t="s">
        <v>2798</v>
      </c>
      <c r="G428" s="75">
        <v>140000</v>
      </c>
      <c r="H428" s="75">
        <f t="shared" si="78"/>
        <v>0</v>
      </c>
      <c r="I428" s="86">
        <f>VLOOKUP(B428,多浪小区账面房号及收款金额!$A$2:$B$474,2,0)</f>
        <v>140000</v>
      </c>
      <c r="J428" s="86"/>
      <c r="K428" s="87">
        <f t="shared" si="77"/>
        <v>0</v>
      </c>
      <c r="L428" s="88"/>
      <c r="M428" s="88"/>
      <c r="N428" s="89"/>
      <c r="O428" s="89">
        <f t="shared" si="71"/>
        <v>0</v>
      </c>
      <c r="P428" s="91"/>
      <c r="Q428" s="88"/>
      <c r="R428" s="75">
        <f t="shared" si="72"/>
        <v>128440.366972477</v>
      </c>
      <c r="S428" s="75">
        <f t="shared" si="73"/>
        <v>6422.01834862385</v>
      </c>
      <c r="T428" s="75">
        <f t="shared" si="74"/>
        <v>128440.366972477</v>
      </c>
      <c r="U428" s="75">
        <f t="shared" si="75"/>
        <v>6422.01834862385</v>
      </c>
    </row>
    <row r="429" hidden="1" spans="1:21">
      <c r="A429" s="55">
        <v>426</v>
      </c>
      <c r="B429" s="76" t="s">
        <v>2799</v>
      </c>
      <c r="C429" s="72">
        <v>36.48</v>
      </c>
      <c r="D429" s="73">
        <v>6500</v>
      </c>
      <c r="E429" s="73">
        <f t="shared" si="76"/>
        <v>237120</v>
      </c>
      <c r="F429" s="74" t="s">
        <v>2800</v>
      </c>
      <c r="G429" s="75">
        <v>237120</v>
      </c>
      <c r="H429" s="75">
        <f t="shared" si="78"/>
        <v>0</v>
      </c>
      <c r="I429" s="86">
        <f>VLOOKUP(B429,多浪小区账面房号及收款金额!$A$2:$B$474,2,0)</f>
        <v>237120</v>
      </c>
      <c r="J429" s="86"/>
      <c r="K429" s="87">
        <f t="shared" si="77"/>
        <v>0</v>
      </c>
      <c r="L429" s="88"/>
      <c r="M429" s="88"/>
      <c r="N429" s="89"/>
      <c r="O429" s="89">
        <f t="shared" si="71"/>
        <v>0</v>
      </c>
      <c r="P429" s="91"/>
      <c r="Q429" s="88"/>
      <c r="R429" s="75">
        <f t="shared" si="72"/>
        <v>217541.28440367</v>
      </c>
      <c r="S429" s="75">
        <f t="shared" si="73"/>
        <v>10877.0642201835</v>
      </c>
      <c r="T429" s="75">
        <f t="shared" si="74"/>
        <v>217541.28440367</v>
      </c>
      <c r="U429" s="75">
        <f t="shared" si="75"/>
        <v>10877.0642201835</v>
      </c>
    </row>
    <row r="430" hidden="1" spans="1:21">
      <c r="A430" s="55">
        <v>427</v>
      </c>
      <c r="B430" s="76" t="s">
        <v>2801</v>
      </c>
      <c r="C430" s="72">
        <v>72.39</v>
      </c>
      <c r="D430" s="73">
        <v>6300</v>
      </c>
      <c r="E430" s="73">
        <f t="shared" si="76"/>
        <v>456057</v>
      </c>
      <c r="F430" s="74" t="s">
        <v>2802</v>
      </c>
      <c r="G430" s="75">
        <v>456057</v>
      </c>
      <c r="H430" s="75">
        <f t="shared" si="78"/>
        <v>0</v>
      </c>
      <c r="I430" s="86">
        <f>VLOOKUP(B430,多浪小区账面房号及收款金额!$A$2:$B$474,2,0)</f>
        <v>456057</v>
      </c>
      <c r="J430" s="86"/>
      <c r="K430" s="87">
        <f t="shared" si="77"/>
        <v>0</v>
      </c>
      <c r="L430" s="88"/>
      <c r="M430" s="88"/>
      <c r="N430" s="89">
        <f>VLOOKUP(B430,[2]信息汇总表!$M$2:$T$816,8,0)</f>
        <v>456057</v>
      </c>
      <c r="O430" s="89">
        <f t="shared" si="71"/>
        <v>418400.917431193</v>
      </c>
      <c r="P430" s="91">
        <v>418400.92</v>
      </c>
      <c r="Q430" s="88"/>
      <c r="R430" s="75">
        <f t="shared" si="72"/>
        <v>418400.917431193</v>
      </c>
      <c r="S430" s="75">
        <f t="shared" si="73"/>
        <v>20920.0458715596</v>
      </c>
      <c r="T430" s="75">
        <f t="shared" si="74"/>
        <v>-0.00256880733650178</v>
      </c>
      <c r="U430" s="75">
        <f t="shared" si="75"/>
        <v>-0.000128440369735472</v>
      </c>
    </row>
    <row r="431" hidden="1" spans="1:21">
      <c r="A431" s="55">
        <v>428</v>
      </c>
      <c r="B431" s="76" t="s">
        <v>2803</v>
      </c>
      <c r="C431" s="72">
        <v>42.15</v>
      </c>
      <c r="D431" s="73">
        <v>6381.97</v>
      </c>
      <c r="E431" s="73">
        <f t="shared" si="76"/>
        <v>269000</v>
      </c>
      <c r="F431" s="74" t="s">
        <v>2804</v>
      </c>
      <c r="G431" s="75">
        <v>269000</v>
      </c>
      <c r="H431" s="75">
        <f t="shared" si="78"/>
        <v>0</v>
      </c>
      <c r="I431" s="86">
        <f>VLOOKUP(B431,多浪小区账面房号及收款金额!$A$2:$B$474,2,0)</f>
        <v>269000</v>
      </c>
      <c r="J431" s="86"/>
      <c r="K431" s="87">
        <f t="shared" si="77"/>
        <v>0</v>
      </c>
      <c r="L431" s="88"/>
      <c r="M431" s="88"/>
      <c r="N431" s="89">
        <v>269000</v>
      </c>
      <c r="O431" s="89">
        <f t="shared" si="71"/>
        <v>246788.990825688</v>
      </c>
      <c r="P431" s="91"/>
      <c r="Q431" s="88"/>
      <c r="R431" s="75">
        <f t="shared" si="72"/>
        <v>246788.990825688</v>
      </c>
      <c r="S431" s="75">
        <f t="shared" si="73"/>
        <v>12339.4495412844</v>
      </c>
      <c r="T431" s="75">
        <f t="shared" si="74"/>
        <v>246788.990825688</v>
      </c>
      <c r="U431" s="75">
        <f t="shared" si="75"/>
        <v>12339.4495412844</v>
      </c>
    </row>
    <row r="432" hidden="1" spans="1:21">
      <c r="A432" s="55">
        <v>429</v>
      </c>
      <c r="B432" s="76" t="s">
        <v>2805</v>
      </c>
      <c r="C432" s="72">
        <v>90.26</v>
      </c>
      <c r="D432" s="73">
        <v>6300</v>
      </c>
      <c r="E432" s="73">
        <f t="shared" si="76"/>
        <v>568638</v>
      </c>
      <c r="F432" s="74" t="s">
        <v>2806</v>
      </c>
      <c r="G432" s="75">
        <v>568638</v>
      </c>
      <c r="H432" s="75">
        <f t="shared" si="78"/>
        <v>0</v>
      </c>
      <c r="I432" s="86">
        <f>VLOOKUP(B432,多浪小区账面房号及收款金额!$A$2:$B$474,2,0)</f>
        <v>568638</v>
      </c>
      <c r="J432" s="86"/>
      <c r="K432" s="87">
        <f t="shared" si="77"/>
        <v>0</v>
      </c>
      <c r="L432" s="88"/>
      <c r="M432" s="88"/>
      <c r="N432" s="89">
        <f>VLOOKUP(B432,[2]信息汇总表!$M$2:$T$816,8,0)</f>
        <v>568638</v>
      </c>
      <c r="O432" s="89">
        <f t="shared" si="71"/>
        <v>521686.23853211</v>
      </c>
      <c r="P432" s="91">
        <v>521686.24</v>
      </c>
      <c r="Q432" s="88"/>
      <c r="R432" s="75">
        <f t="shared" si="72"/>
        <v>521686.23853211</v>
      </c>
      <c r="S432" s="75">
        <f t="shared" si="73"/>
        <v>26084.3119266055</v>
      </c>
      <c r="T432" s="75">
        <f t="shared" si="74"/>
        <v>-0.00146788993151858</v>
      </c>
      <c r="U432" s="75">
        <f t="shared" si="75"/>
        <v>-7.33944980311207e-5</v>
      </c>
    </row>
    <row r="433" hidden="1" spans="1:21">
      <c r="A433" s="55">
        <v>430</v>
      </c>
      <c r="B433" s="76" t="s">
        <v>2807</v>
      </c>
      <c r="C433" s="72">
        <v>20.75</v>
      </c>
      <c r="D433" s="73">
        <v>6700</v>
      </c>
      <c r="E433" s="73">
        <f t="shared" si="76"/>
        <v>139025</v>
      </c>
      <c r="F433" s="74" t="s">
        <v>2808</v>
      </c>
      <c r="G433" s="75">
        <v>139025</v>
      </c>
      <c r="H433" s="75">
        <f t="shared" si="78"/>
        <v>0</v>
      </c>
      <c r="I433" s="86">
        <f>VLOOKUP(B433,多浪小区账面房号及收款金额!$A$2:$B$474,2,0)</f>
        <v>139025</v>
      </c>
      <c r="J433" s="86"/>
      <c r="K433" s="87">
        <f t="shared" si="77"/>
        <v>0</v>
      </c>
      <c r="L433" s="88"/>
      <c r="M433" s="88"/>
      <c r="N433" s="89"/>
      <c r="O433" s="89">
        <f t="shared" si="71"/>
        <v>0</v>
      </c>
      <c r="P433" s="91"/>
      <c r="Q433" s="88"/>
      <c r="R433" s="75">
        <f t="shared" si="72"/>
        <v>127545.871559633</v>
      </c>
      <c r="S433" s="75">
        <f t="shared" si="73"/>
        <v>6377.29357798165</v>
      </c>
      <c r="T433" s="75">
        <f t="shared" si="74"/>
        <v>127545.871559633</v>
      </c>
      <c r="U433" s="75">
        <f t="shared" si="75"/>
        <v>6377.29357798165</v>
      </c>
    </row>
    <row r="434" hidden="1" spans="1:21">
      <c r="A434" s="55">
        <v>431</v>
      </c>
      <c r="B434" s="76" t="s">
        <v>2809</v>
      </c>
      <c r="C434" s="72">
        <v>21.42</v>
      </c>
      <c r="D434" s="73">
        <v>6850</v>
      </c>
      <c r="E434" s="73">
        <f t="shared" si="76"/>
        <v>146727</v>
      </c>
      <c r="F434" s="74" t="s">
        <v>2810</v>
      </c>
      <c r="G434" s="75">
        <v>146727</v>
      </c>
      <c r="H434" s="75">
        <f t="shared" si="78"/>
        <v>0</v>
      </c>
      <c r="I434" s="86">
        <f>VLOOKUP(B434,多浪小区账面房号及收款金额!$A$2:$B$474,2,0)+多浪小区账面房号及收款金额!B152</f>
        <v>146727</v>
      </c>
      <c r="J434" s="86"/>
      <c r="K434" s="87">
        <f t="shared" si="77"/>
        <v>0</v>
      </c>
      <c r="L434" s="88"/>
      <c r="M434" s="88"/>
      <c r="N434" s="89">
        <f>VLOOKUP(B434,[2]信息汇总表!$M$2:$T$816,8,0)</f>
        <v>146727</v>
      </c>
      <c r="O434" s="89">
        <f t="shared" si="71"/>
        <v>134611.926605505</v>
      </c>
      <c r="P434" s="91">
        <v>134611.93</v>
      </c>
      <c r="Q434" s="88"/>
      <c r="R434" s="75">
        <f t="shared" si="72"/>
        <v>134611.926605505</v>
      </c>
      <c r="S434" s="75">
        <f t="shared" si="73"/>
        <v>6730.59633027523</v>
      </c>
      <c r="T434" s="75">
        <f t="shared" si="74"/>
        <v>-0.00339449540479109</v>
      </c>
      <c r="U434" s="75">
        <f t="shared" si="75"/>
        <v>-0.000169724769875756</v>
      </c>
    </row>
    <row r="435" hidden="1" spans="1:21">
      <c r="A435" s="55">
        <v>432</v>
      </c>
      <c r="B435" s="76" t="s">
        <v>2811</v>
      </c>
      <c r="C435" s="72">
        <v>72.51</v>
      </c>
      <c r="D435" s="73">
        <v>6300</v>
      </c>
      <c r="E435" s="73">
        <f t="shared" si="76"/>
        <v>456813</v>
      </c>
      <c r="F435" s="74" t="s">
        <v>2812</v>
      </c>
      <c r="G435" s="75">
        <v>456813</v>
      </c>
      <c r="H435" s="75">
        <f t="shared" si="78"/>
        <v>0</v>
      </c>
      <c r="I435" s="86">
        <f>VLOOKUP(B435,多浪小区账面房号及收款金额!$A$2:$B$474,2,0)</f>
        <v>456813</v>
      </c>
      <c r="J435" s="86"/>
      <c r="K435" s="87">
        <f t="shared" si="77"/>
        <v>0</v>
      </c>
      <c r="L435" s="88"/>
      <c r="M435" s="88"/>
      <c r="N435" s="89">
        <f>VLOOKUP(B435,[2]信息汇总表!$M$2:$T$816,8,0)</f>
        <v>456813</v>
      </c>
      <c r="O435" s="89">
        <f t="shared" si="71"/>
        <v>419094.495412844</v>
      </c>
      <c r="P435" s="91"/>
      <c r="Q435" s="88"/>
      <c r="R435" s="75">
        <f t="shared" si="72"/>
        <v>419094.495412844</v>
      </c>
      <c r="S435" s="75">
        <f t="shared" si="73"/>
        <v>20954.7247706422</v>
      </c>
      <c r="T435" s="75">
        <f t="shared" si="74"/>
        <v>419094.495412844</v>
      </c>
      <c r="U435" s="75">
        <f t="shared" si="75"/>
        <v>20954.7247706422</v>
      </c>
    </row>
    <row r="436" hidden="1" spans="1:21">
      <c r="A436" s="55">
        <v>433</v>
      </c>
      <c r="B436" s="76" t="s">
        <v>2813</v>
      </c>
      <c r="C436" s="72">
        <v>42.15</v>
      </c>
      <c r="D436" s="73">
        <v>6850</v>
      </c>
      <c r="E436" s="73">
        <f t="shared" si="76"/>
        <v>288728</v>
      </c>
      <c r="F436" s="74" t="s">
        <v>2814</v>
      </c>
      <c r="G436" s="75">
        <v>288728</v>
      </c>
      <c r="H436" s="75">
        <f t="shared" si="78"/>
        <v>0</v>
      </c>
      <c r="I436" s="86">
        <f>VLOOKUP(B436,多浪小区账面房号及收款金额!$A$2:$B$474,2,0)+多浪小区账面房号及收款金额!B159</f>
        <v>288728</v>
      </c>
      <c r="J436" s="86"/>
      <c r="K436" s="87">
        <f t="shared" si="77"/>
        <v>0</v>
      </c>
      <c r="L436" s="88"/>
      <c r="M436" s="88"/>
      <c r="N436" s="89">
        <f>VLOOKUP(B436,[2]信息汇总表!$M$2:$T$816,8,0)</f>
        <v>288728</v>
      </c>
      <c r="O436" s="89">
        <f t="shared" si="71"/>
        <v>264888.073394495</v>
      </c>
      <c r="P436" s="91">
        <v>264888.07</v>
      </c>
      <c r="Q436" s="88"/>
      <c r="R436" s="75">
        <f t="shared" si="72"/>
        <v>264888.073394495</v>
      </c>
      <c r="S436" s="75">
        <f t="shared" si="73"/>
        <v>13244.4036697248</v>
      </c>
      <c r="T436" s="75">
        <f t="shared" si="74"/>
        <v>0.00339449540479109</v>
      </c>
      <c r="U436" s="75">
        <f t="shared" si="75"/>
        <v>0.000169724771694746</v>
      </c>
    </row>
    <row r="437" spans="1:21">
      <c r="A437" s="55">
        <v>434</v>
      </c>
      <c r="B437" s="76" t="s">
        <v>2815</v>
      </c>
      <c r="C437" s="72">
        <v>90.24</v>
      </c>
      <c r="D437" s="73">
        <v>6280</v>
      </c>
      <c r="E437" s="73">
        <f t="shared" si="76"/>
        <v>0</v>
      </c>
      <c r="F437" s="74"/>
      <c r="G437" s="75">
        <v>0</v>
      </c>
      <c r="H437" s="75">
        <f t="shared" si="78"/>
        <v>0</v>
      </c>
      <c r="I437" s="86"/>
      <c r="J437" s="86"/>
      <c r="K437" s="87">
        <f t="shared" si="77"/>
        <v>0</v>
      </c>
      <c r="L437" s="88"/>
      <c r="M437" s="88" t="s">
        <v>2777</v>
      </c>
      <c r="N437" s="89"/>
      <c r="O437" s="89">
        <f t="shared" si="71"/>
        <v>0</v>
      </c>
      <c r="P437" s="91"/>
      <c r="Q437" s="88"/>
      <c r="R437" s="75">
        <f t="shared" si="72"/>
        <v>0</v>
      </c>
      <c r="S437" s="75">
        <f t="shared" si="73"/>
        <v>0</v>
      </c>
      <c r="T437" s="75">
        <f t="shared" si="74"/>
        <v>0</v>
      </c>
      <c r="U437" s="75">
        <f t="shared" si="75"/>
        <v>0</v>
      </c>
    </row>
    <row r="438" hidden="1" spans="1:21">
      <c r="A438" s="55">
        <v>435</v>
      </c>
      <c r="B438" s="76" t="s">
        <v>2816</v>
      </c>
      <c r="C438" s="72">
        <v>20.26</v>
      </c>
      <c r="D438" s="73">
        <v>6800</v>
      </c>
      <c r="E438" s="73">
        <f t="shared" si="76"/>
        <v>137768</v>
      </c>
      <c r="F438" s="74" t="s">
        <v>2817</v>
      </c>
      <c r="G438" s="75">
        <v>137768</v>
      </c>
      <c r="H438" s="75">
        <f t="shared" si="78"/>
        <v>0</v>
      </c>
      <c r="I438" s="86">
        <f>VLOOKUP(B438,多浪小区账面房号及收款金额!$A$2:$B$474,2,0)</f>
        <v>137768</v>
      </c>
      <c r="J438" s="86"/>
      <c r="K438" s="87">
        <f t="shared" si="77"/>
        <v>0</v>
      </c>
      <c r="L438" s="88"/>
      <c r="M438" s="88"/>
      <c r="N438" s="89"/>
      <c r="O438" s="89">
        <f t="shared" si="71"/>
        <v>0</v>
      </c>
      <c r="P438" s="91"/>
      <c r="Q438" s="88"/>
      <c r="R438" s="75">
        <f t="shared" si="72"/>
        <v>126392.660550459</v>
      </c>
      <c r="S438" s="75">
        <f t="shared" si="73"/>
        <v>6319.63302752294</v>
      </c>
      <c r="T438" s="75">
        <f t="shared" si="74"/>
        <v>126392.660550459</v>
      </c>
      <c r="U438" s="75">
        <f t="shared" si="75"/>
        <v>6319.63302752294</v>
      </c>
    </row>
    <row r="439" hidden="1" spans="1:21">
      <c r="A439" s="55">
        <v>436</v>
      </c>
      <c r="B439" s="76" t="s">
        <v>2818</v>
      </c>
      <c r="C439" s="72">
        <v>59.69</v>
      </c>
      <c r="D439" s="73">
        <v>6600</v>
      </c>
      <c r="E439" s="73">
        <f t="shared" si="76"/>
        <v>393954</v>
      </c>
      <c r="F439" s="74" t="s">
        <v>2819</v>
      </c>
      <c r="G439" s="75">
        <v>393954</v>
      </c>
      <c r="H439" s="75">
        <f t="shared" si="78"/>
        <v>0</v>
      </c>
      <c r="I439" s="86">
        <f>VLOOKUP(B439,多浪小区账面房号及收款金额!$A$2:$B$474,2,0)</f>
        <v>393954</v>
      </c>
      <c r="J439" s="86"/>
      <c r="K439" s="87">
        <f t="shared" si="77"/>
        <v>0</v>
      </c>
      <c r="L439" s="88"/>
      <c r="M439" s="88"/>
      <c r="N439" s="89">
        <v>393954</v>
      </c>
      <c r="O439" s="89">
        <f t="shared" si="71"/>
        <v>361425.688073394</v>
      </c>
      <c r="P439" s="91"/>
      <c r="Q439" s="88"/>
      <c r="R439" s="75">
        <f t="shared" si="72"/>
        <v>361425.688073394</v>
      </c>
      <c r="S439" s="75">
        <f t="shared" si="73"/>
        <v>18071.2844036697</v>
      </c>
      <c r="T439" s="75">
        <f t="shared" si="74"/>
        <v>361425.688073394</v>
      </c>
      <c r="U439" s="75">
        <f t="shared" si="75"/>
        <v>18071.2844036697</v>
      </c>
    </row>
    <row r="440" hidden="1" spans="1:21">
      <c r="A440" s="55">
        <v>437</v>
      </c>
      <c r="B440" s="76" t="s">
        <v>2820</v>
      </c>
      <c r="C440" s="72">
        <v>19.46</v>
      </c>
      <c r="D440" s="73">
        <v>5500</v>
      </c>
      <c r="E440" s="73">
        <f t="shared" si="76"/>
        <v>107030</v>
      </c>
      <c r="F440" s="97" t="s">
        <v>2821</v>
      </c>
      <c r="G440" s="75">
        <v>107030</v>
      </c>
      <c r="H440" s="75">
        <f t="shared" si="78"/>
        <v>0</v>
      </c>
      <c r="I440" s="86">
        <f>VLOOKUP(B440,多浪小区账面房号及收款金额!$A$2:$B$474,2,0)</f>
        <v>107030</v>
      </c>
      <c r="J440" s="86"/>
      <c r="K440" s="87">
        <f t="shared" ref="K440:K471" si="79">G440-I440</f>
        <v>0</v>
      </c>
      <c r="L440" s="88"/>
      <c r="M440" s="88"/>
      <c r="N440" s="89"/>
      <c r="O440" s="89">
        <f t="shared" si="71"/>
        <v>0</v>
      </c>
      <c r="P440" s="91"/>
      <c r="Q440" s="88"/>
      <c r="R440" s="75">
        <f t="shared" si="72"/>
        <v>98192.6605504587</v>
      </c>
      <c r="S440" s="75">
        <f t="shared" si="73"/>
        <v>4909.63302752294</v>
      </c>
      <c r="T440" s="75">
        <f t="shared" si="74"/>
        <v>98192.6605504587</v>
      </c>
      <c r="U440" s="75">
        <f t="shared" si="75"/>
        <v>4909.63302752294</v>
      </c>
    </row>
    <row r="441" hidden="1" spans="1:21">
      <c r="A441" s="55">
        <v>438</v>
      </c>
      <c r="B441" s="76" t="s">
        <v>2822</v>
      </c>
      <c r="C441" s="72">
        <v>69.16</v>
      </c>
      <c r="D441" s="73">
        <v>3700</v>
      </c>
      <c r="E441" s="73">
        <f t="shared" si="76"/>
        <v>255892</v>
      </c>
      <c r="F441" s="74" t="s">
        <v>2823</v>
      </c>
      <c r="G441" s="75">
        <v>204672</v>
      </c>
      <c r="H441" s="75">
        <f t="shared" si="78"/>
        <v>51220</v>
      </c>
      <c r="I441" s="86">
        <f>VLOOKUP(B441,多浪小区账面房号及收款金额!$A$2:$B$474,2,0)</f>
        <v>204672</v>
      </c>
      <c r="J441" s="86"/>
      <c r="K441" s="87">
        <f t="shared" si="79"/>
        <v>0</v>
      </c>
      <c r="L441" s="88"/>
      <c r="M441" s="88"/>
      <c r="N441" s="89"/>
      <c r="O441" s="89">
        <f t="shared" si="71"/>
        <v>0</v>
      </c>
      <c r="P441" s="91"/>
      <c r="Q441" s="88"/>
      <c r="R441" s="75">
        <f t="shared" si="72"/>
        <v>187772.47706422</v>
      </c>
      <c r="S441" s="75">
        <f t="shared" si="73"/>
        <v>9388.62385321101</v>
      </c>
      <c r="T441" s="75">
        <f t="shared" si="74"/>
        <v>187772.47706422</v>
      </c>
      <c r="U441" s="75">
        <f t="shared" si="75"/>
        <v>9388.62385321101</v>
      </c>
    </row>
    <row r="442" spans="1:21">
      <c r="A442" s="55">
        <v>439</v>
      </c>
      <c r="B442" s="76" t="s">
        <v>2824</v>
      </c>
      <c r="C442" s="72">
        <v>65.19</v>
      </c>
      <c r="D442" s="73">
        <v>4780</v>
      </c>
      <c r="E442" s="73">
        <f t="shared" si="76"/>
        <v>0</v>
      </c>
      <c r="F442" s="74"/>
      <c r="G442" s="75">
        <v>0</v>
      </c>
      <c r="H442" s="75">
        <f t="shared" si="78"/>
        <v>0</v>
      </c>
      <c r="I442" s="86"/>
      <c r="J442" s="86"/>
      <c r="K442" s="87">
        <f t="shared" si="79"/>
        <v>0</v>
      </c>
      <c r="L442" s="88"/>
      <c r="M442" s="88" t="s">
        <v>2777</v>
      </c>
      <c r="N442" s="89"/>
      <c r="O442" s="89">
        <f t="shared" si="71"/>
        <v>0</v>
      </c>
      <c r="P442" s="91"/>
      <c r="Q442" s="88"/>
      <c r="R442" s="75">
        <f t="shared" si="72"/>
        <v>0</v>
      </c>
      <c r="S442" s="75">
        <f t="shared" si="73"/>
        <v>0</v>
      </c>
      <c r="T442" s="75">
        <f t="shared" si="74"/>
        <v>0</v>
      </c>
      <c r="U442" s="75">
        <f t="shared" si="75"/>
        <v>0</v>
      </c>
    </row>
    <row r="443" hidden="1" spans="1:21">
      <c r="A443" s="55">
        <v>440</v>
      </c>
      <c r="B443" s="76" t="s">
        <v>2825</v>
      </c>
      <c r="C443" s="72">
        <v>19.18</v>
      </c>
      <c r="D443" s="73">
        <v>5300</v>
      </c>
      <c r="E443" s="73">
        <f t="shared" si="76"/>
        <v>101654</v>
      </c>
      <c r="F443" s="74" t="s">
        <v>2826</v>
      </c>
      <c r="G443" s="75">
        <v>101654</v>
      </c>
      <c r="H443" s="75">
        <f t="shared" si="78"/>
        <v>0</v>
      </c>
      <c r="I443" s="86">
        <f>VLOOKUP(B443,多浪小区账面房号及收款金额!$A$2:$B$474,2,0)</f>
        <v>101654</v>
      </c>
      <c r="J443" s="86"/>
      <c r="K443" s="87">
        <f t="shared" si="79"/>
        <v>0</v>
      </c>
      <c r="L443" s="88"/>
      <c r="M443" s="88"/>
      <c r="N443" s="89"/>
      <c r="O443" s="89">
        <f t="shared" si="71"/>
        <v>0</v>
      </c>
      <c r="P443" s="91"/>
      <c r="Q443" s="88"/>
      <c r="R443" s="75">
        <f t="shared" si="72"/>
        <v>93260.5504587156</v>
      </c>
      <c r="S443" s="75">
        <f t="shared" si="73"/>
        <v>4663.02752293578</v>
      </c>
      <c r="T443" s="75">
        <f t="shared" si="74"/>
        <v>93260.5504587156</v>
      </c>
      <c r="U443" s="75">
        <f t="shared" si="75"/>
        <v>4663.02752293578</v>
      </c>
    </row>
    <row r="444" hidden="1" spans="1:21">
      <c r="A444" s="55">
        <v>441</v>
      </c>
      <c r="B444" s="76" t="s">
        <v>2827</v>
      </c>
      <c r="C444" s="72">
        <v>19.18</v>
      </c>
      <c r="D444" s="73">
        <v>3600</v>
      </c>
      <c r="E444" s="73">
        <f t="shared" si="76"/>
        <v>69048</v>
      </c>
      <c r="F444" s="74" t="s">
        <v>2828</v>
      </c>
      <c r="G444" s="75">
        <v>12415</v>
      </c>
      <c r="H444" s="75">
        <f t="shared" si="78"/>
        <v>56633</v>
      </c>
      <c r="I444" s="86">
        <f>VLOOKUP(B444,多浪小区账面房号及收款金额!$A$2:$B$474,2,0)+'2023年8-11月预收账款'!K4</f>
        <v>12415</v>
      </c>
      <c r="J444" s="86"/>
      <c r="K444" s="87">
        <f t="shared" si="79"/>
        <v>0</v>
      </c>
      <c r="L444" s="88"/>
      <c r="M444" s="88"/>
      <c r="N444" s="89"/>
      <c r="O444" s="89">
        <f t="shared" si="71"/>
        <v>0</v>
      </c>
      <c r="P444" s="91"/>
      <c r="Q444" s="88"/>
      <c r="R444" s="75">
        <f t="shared" si="72"/>
        <v>11389.9082568807</v>
      </c>
      <c r="S444" s="75">
        <f t="shared" si="73"/>
        <v>569.495412844037</v>
      </c>
      <c r="T444" s="75">
        <f t="shared" si="74"/>
        <v>11389.9082568807</v>
      </c>
      <c r="U444" s="75">
        <f t="shared" si="75"/>
        <v>569.495412844037</v>
      </c>
    </row>
    <row r="445" spans="1:21">
      <c r="A445" s="55">
        <v>442</v>
      </c>
      <c r="B445" s="76" t="s">
        <v>2829</v>
      </c>
      <c r="C445" s="72">
        <v>68.93</v>
      </c>
      <c r="D445" s="73">
        <v>4780</v>
      </c>
      <c r="E445" s="73">
        <f t="shared" si="76"/>
        <v>0</v>
      </c>
      <c r="F445" s="74"/>
      <c r="G445" s="75">
        <v>0</v>
      </c>
      <c r="H445" s="75">
        <f t="shared" si="78"/>
        <v>0</v>
      </c>
      <c r="I445" s="86"/>
      <c r="J445" s="86"/>
      <c r="K445" s="87">
        <f t="shared" si="79"/>
        <v>0</v>
      </c>
      <c r="L445" s="88"/>
      <c r="M445" s="88" t="s">
        <v>2777</v>
      </c>
      <c r="N445" s="89"/>
      <c r="O445" s="89">
        <f t="shared" si="71"/>
        <v>0</v>
      </c>
      <c r="P445" s="91"/>
      <c r="Q445" s="88"/>
      <c r="R445" s="75">
        <f t="shared" si="72"/>
        <v>0</v>
      </c>
      <c r="S445" s="75">
        <f t="shared" si="73"/>
        <v>0</v>
      </c>
      <c r="T445" s="75">
        <f t="shared" si="74"/>
        <v>0</v>
      </c>
      <c r="U445" s="75">
        <f t="shared" si="75"/>
        <v>0</v>
      </c>
    </row>
    <row r="446" spans="1:21">
      <c r="A446" s="55">
        <v>443</v>
      </c>
      <c r="B446" s="76" t="s">
        <v>2830</v>
      </c>
      <c r="C446" s="72">
        <v>65.19</v>
      </c>
      <c r="D446" s="73">
        <v>4780</v>
      </c>
      <c r="E446" s="73">
        <f t="shared" si="76"/>
        <v>0</v>
      </c>
      <c r="F446" s="74"/>
      <c r="G446" s="75">
        <v>0</v>
      </c>
      <c r="H446" s="75">
        <f t="shared" si="78"/>
        <v>0</v>
      </c>
      <c r="I446" s="86"/>
      <c r="J446" s="86"/>
      <c r="K446" s="87">
        <f t="shared" si="79"/>
        <v>0</v>
      </c>
      <c r="L446" s="88"/>
      <c r="M446" s="88" t="s">
        <v>2777</v>
      </c>
      <c r="N446" s="89"/>
      <c r="O446" s="89">
        <f t="shared" si="71"/>
        <v>0</v>
      </c>
      <c r="P446" s="91"/>
      <c r="Q446" s="88"/>
      <c r="R446" s="75">
        <f t="shared" si="72"/>
        <v>0</v>
      </c>
      <c r="S446" s="75">
        <f t="shared" si="73"/>
        <v>0</v>
      </c>
      <c r="T446" s="75">
        <f t="shared" si="74"/>
        <v>0</v>
      </c>
      <c r="U446" s="75">
        <f t="shared" si="75"/>
        <v>0</v>
      </c>
    </row>
    <row r="447" hidden="1" spans="1:21">
      <c r="A447" s="55">
        <v>444</v>
      </c>
      <c r="B447" s="76" t="s">
        <v>2831</v>
      </c>
      <c r="C447" s="72">
        <v>19.18</v>
      </c>
      <c r="D447" s="73">
        <v>4780</v>
      </c>
      <c r="E447" s="73">
        <f t="shared" si="76"/>
        <v>91680</v>
      </c>
      <c r="F447" s="74" t="s">
        <v>2832</v>
      </c>
      <c r="G447" s="75">
        <v>92064</v>
      </c>
      <c r="H447" s="75">
        <f t="shared" si="78"/>
        <v>-384</v>
      </c>
      <c r="I447" s="86">
        <f>VLOOKUP(B447,多浪小区账面房号及收款金额!$A$2:$B$474,2,0)</f>
        <v>92064</v>
      </c>
      <c r="J447" s="86"/>
      <c r="K447" s="87">
        <f t="shared" si="79"/>
        <v>0</v>
      </c>
      <c r="L447" s="88"/>
      <c r="M447" s="88"/>
      <c r="N447" s="89">
        <f>VLOOKUP(B447,[2]信息汇总表!$M$2:$T$816,8,0)</f>
        <v>92064</v>
      </c>
      <c r="O447" s="89">
        <f t="shared" si="71"/>
        <v>84462.3853211009</v>
      </c>
      <c r="P447" s="91">
        <v>84462.39</v>
      </c>
      <c r="Q447" s="88"/>
      <c r="R447" s="75">
        <f t="shared" si="72"/>
        <v>84462.3853211009</v>
      </c>
      <c r="S447" s="75">
        <f t="shared" si="73"/>
        <v>4223.11926605505</v>
      </c>
      <c r="T447" s="75">
        <f t="shared" si="74"/>
        <v>-0.00467889908759389</v>
      </c>
      <c r="U447" s="75">
        <f t="shared" si="75"/>
        <v>-0.000233944953833998</v>
      </c>
    </row>
    <row r="448" hidden="1" spans="1:21">
      <c r="A448" s="55">
        <v>445</v>
      </c>
      <c r="B448" s="76" t="s">
        <v>2833</v>
      </c>
      <c r="C448" s="72">
        <v>19.18</v>
      </c>
      <c r="D448" s="73">
        <v>4780</v>
      </c>
      <c r="E448" s="73">
        <f t="shared" si="76"/>
        <v>91680</v>
      </c>
      <c r="F448" s="74" t="s">
        <v>2834</v>
      </c>
      <c r="G448" s="75">
        <v>95900</v>
      </c>
      <c r="H448" s="75">
        <f t="shared" si="78"/>
        <v>-4220</v>
      </c>
      <c r="I448" s="86">
        <f>VLOOKUP(B448,多浪小区账面房号及收款金额!$A$2:$B$474,2,0)</f>
        <v>95900</v>
      </c>
      <c r="J448" s="86"/>
      <c r="K448" s="87">
        <f t="shared" si="79"/>
        <v>0</v>
      </c>
      <c r="L448" s="88"/>
      <c r="M448" s="88"/>
      <c r="N448" s="89">
        <f>VLOOKUP(B448,[2]信息汇总表!$M$2:$T$816,8,0)</f>
        <v>95900</v>
      </c>
      <c r="O448" s="89">
        <f t="shared" si="71"/>
        <v>87981.6513761468</v>
      </c>
      <c r="P448" s="91">
        <v>87981.65</v>
      </c>
      <c r="Q448" s="88"/>
      <c r="R448" s="75">
        <f t="shared" si="72"/>
        <v>87981.6513761468</v>
      </c>
      <c r="S448" s="75">
        <f t="shared" si="73"/>
        <v>4399.08256880734</v>
      </c>
      <c r="T448" s="75">
        <f t="shared" si="74"/>
        <v>0.00137614678533282</v>
      </c>
      <c r="U448" s="75">
        <f t="shared" si="75"/>
        <v>6.88073396304389e-5</v>
      </c>
    </row>
    <row r="449" spans="1:21">
      <c r="A449" s="55">
        <v>446</v>
      </c>
      <c r="B449" s="76" t="s">
        <v>2835</v>
      </c>
      <c r="C449" s="72">
        <v>65.19</v>
      </c>
      <c r="D449" s="73">
        <v>4780</v>
      </c>
      <c r="E449" s="73">
        <f t="shared" si="76"/>
        <v>0</v>
      </c>
      <c r="F449" s="74"/>
      <c r="G449" s="75">
        <v>0</v>
      </c>
      <c r="H449" s="75">
        <f t="shared" si="78"/>
        <v>0</v>
      </c>
      <c r="I449" s="86"/>
      <c r="J449" s="86"/>
      <c r="K449" s="87">
        <f t="shared" si="79"/>
        <v>0</v>
      </c>
      <c r="L449" s="88"/>
      <c r="M449" s="88" t="s">
        <v>2777</v>
      </c>
      <c r="N449" s="89"/>
      <c r="O449" s="89">
        <f t="shared" si="71"/>
        <v>0</v>
      </c>
      <c r="P449" s="91"/>
      <c r="Q449" s="88"/>
      <c r="R449" s="75">
        <f t="shared" si="72"/>
        <v>0</v>
      </c>
      <c r="S449" s="75">
        <f t="shared" si="73"/>
        <v>0</v>
      </c>
      <c r="T449" s="75">
        <f t="shared" si="74"/>
        <v>0</v>
      </c>
      <c r="U449" s="75">
        <f t="shared" si="75"/>
        <v>0</v>
      </c>
    </row>
    <row r="450" spans="1:21">
      <c r="A450" s="55">
        <v>447</v>
      </c>
      <c r="B450" s="76" t="s">
        <v>2836</v>
      </c>
      <c r="C450" s="72">
        <v>68.93</v>
      </c>
      <c r="D450" s="73">
        <v>4780</v>
      </c>
      <c r="E450" s="73">
        <f t="shared" si="76"/>
        <v>0</v>
      </c>
      <c r="F450" s="74"/>
      <c r="G450" s="75">
        <v>0</v>
      </c>
      <c r="H450" s="75">
        <f t="shared" si="78"/>
        <v>0</v>
      </c>
      <c r="I450" s="86"/>
      <c r="J450" s="86"/>
      <c r="K450" s="87">
        <f t="shared" si="79"/>
        <v>0</v>
      </c>
      <c r="L450" s="88"/>
      <c r="M450" s="88" t="s">
        <v>2777</v>
      </c>
      <c r="N450" s="89"/>
      <c r="O450" s="89">
        <f t="shared" si="71"/>
        <v>0</v>
      </c>
      <c r="P450" s="91"/>
      <c r="Q450" s="88"/>
      <c r="R450" s="75">
        <f t="shared" si="72"/>
        <v>0</v>
      </c>
      <c r="S450" s="75">
        <f t="shared" si="73"/>
        <v>0</v>
      </c>
      <c r="T450" s="75">
        <f t="shared" si="74"/>
        <v>0</v>
      </c>
      <c r="U450" s="75">
        <f t="shared" si="75"/>
        <v>0</v>
      </c>
    </row>
    <row r="451" hidden="1" spans="1:21">
      <c r="A451" s="55">
        <v>448</v>
      </c>
      <c r="B451" s="76" t="s">
        <v>2837</v>
      </c>
      <c r="C451" s="72">
        <v>19.18</v>
      </c>
      <c r="D451" s="73">
        <v>3960</v>
      </c>
      <c r="E451" s="73">
        <f t="shared" si="76"/>
        <v>75953</v>
      </c>
      <c r="F451" s="74" t="s">
        <v>2838</v>
      </c>
      <c r="G451" s="75">
        <v>20000</v>
      </c>
      <c r="H451" s="75">
        <f t="shared" si="78"/>
        <v>55953</v>
      </c>
      <c r="I451" s="86">
        <f>VLOOKUP(B451,多浪小区账面房号及收款金额!$A$2:$B$474,2,0)</f>
        <v>20000</v>
      </c>
      <c r="J451" s="86"/>
      <c r="K451" s="87">
        <f t="shared" si="79"/>
        <v>0</v>
      </c>
      <c r="L451" s="88"/>
      <c r="M451" s="88"/>
      <c r="N451" s="89"/>
      <c r="O451" s="89">
        <f t="shared" si="71"/>
        <v>0</v>
      </c>
      <c r="P451" s="91"/>
      <c r="Q451" s="88"/>
      <c r="R451" s="75">
        <f t="shared" si="72"/>
        <v>18348.623853211</v>
      </c>
      <c r="S451" s="75">
        <f t="shared" si="73"/>
        <v>917.43119266055</v>
      </c>
      <c r="T451" s="75">
        <f t="shared" si="74"/>
        <v>18348.623853211</v>
      </c>
      <c r="U451" s="75">
        <f t="shared" si="75"/>
        <v>917.43119266055</v>
      </c>
    </row>
    <row r="452" hidden="1" spans="1:21">
      <c r="A452" s="55">
        <v>449</v>
      </c>
      <c r="B452" s="76" t="s">
        <v>2839</v>
      </c>
      <c r="C452" s="72">
        <v>68.35</v>
      </c>
      <c r="D452" s="73">
        <v>4000</v>
      </c>
      <c r="E452" s="73">
        <f t="shared" si="76"/>
        <v>273400</v>
      </c>
      <c r="F452" s="74" t="s">
        <v>2840</v>
      </c>
      <c r="G452" s="75">
        <v>273400</v>
      </c>
      <c r="H452" s="75">
        <f t="shared" si="78"/>
        <v>0</v>
      </c>
      <c r="I452" s="86">
        <f>VLOOKUP(B452,多浪小区账面房号及收款金额!$A$2:$B$474,2,0)</f>
        <v>273400</v>
      </c>
      <c r="J452" s="86"/>
      <c r="K452" s="87">
        <f t="shared" si="79"/>
        <v>0</v>
      </c>
      <c r="L452" s="88"/>
      <c r="M452" s="88"/>
      <c r="N452" s="89">
        <f>VLOOKUP(B452,[2]信息汇总表!$M$2:$T$816,8,0)</f>
        <v>273400</v>
      </c>
      <c r="O452" s="89">
        <f t="shared" si="71"/>
        <v>250825.688073394</v>
      </c>
      <c r="P452" s="91">
        <v>250825.69</v>
      </c>
      <c r="Q452" s="88"/>
      <c r="R452" s="75">
        <f t="shared" si="72"/>
        <v>250825.688073394</v>
      </c>
      <c r="S452" s="75">
        <f t="shared" si="73"/>
        <v>12541.2844036697</v>
      </c>
      <c r="T452" s="75">
        <f t="shared" si="74"/>
        <v>-0.00192660553148016</v>
      </c>
      <c r="U452" s="75">
        <f t="shared" si="75"/>
        <v>-9.63302773016039e-5</v>
      </c>
    </row>
    <row r="453" hidden="1" spans="1:21">
      <c r="A453" s="55">
        <v>450</v>
      </c>
      <c r="B453" s="76" t="s">
        <v>2841</v>
      </c>
      <c r="C453" s="72">
        <v>57.72</v>
      </c>
      <c r="D453" s="73">
        <v>4780</v>
      </c>
      <c r="E453" s="73">
        <f t="shared" ref="E453:E465" si="80">ROUND(IF(F453&lt;&gt;0,C453*D453,0),0)</f>
        <v>275902</v>
      </c>
      <c r="F453" s="74" t="s">
        <v>2840</v>
      </c>
      <c r="G453" s="75">
        <v>277000</v>
      </c>
      <c r="H453" s="75">
        <f t="shared" ref="H453:H484" si="81">E453-G453</f>
        <v>-1098</v>
      </c>
      <c r="I453" s="86">
        <f>VLOOKUP(B453,多浪小区账面房号及收款金额!$A$2:$B$474,2,0)</f>
        <v>277000</v>
      </c>
      <c r="J453" s="86"/>
      <c r="K453" s="87">
        <f t="shared" si="79"/>
        <v>0</v>
      </c>
      <c r="L453" s="88"/>
      <c r="M453" s="88"/>
      <c r="N453" s="89">
        <f>VLOOKUP(B453,[2]信息汇总表!$M$2:$T$816,8,0)</f>
        <v>277000</v>
      </c>
      <c r="O453" s="89">
        <f t="shared" ref="O453:O492" si="82">N453/1.09</f>
        <v>254128.440366972</v>
      </c>
      <c r="P453" s="91">
        <v>254128.44</v>
      </c>
      <c r="Q453" s="88"/>
      <c r="R453" s="75">
        <f t="shared" ref="R453:R491" si="83">I453/1.09</f>
        <v>254128.440366972</v>
      </c>
      <c r="S453" s="75">
        <f t="shared" ref="S453:S490" si="84">R453*0.05</f>
        <v>12706.4220183486</v>
      </c>
      <c r="T453" s="75">
        <f t="shared" ref="T453:T490" si="85">R453-P453</f>
        <v>0.000366972468327731</v>
      </c>
      <c r="U453" s="75">
        <f t="shared" ref="U453:U490" si="86">S453-(P453*0.05)</f>
        <v>1.83486245077802e-5</v>
      </c>
    </row>
    <row r="454" hidden="1" spans="1:21">
      <c r="A454" s="55">
        <v>451</v>
      </c>
      <c r="B454" s="76" t="s">
        <v>2842</v>
      </c>
      <c r="C454" s="72">
        <v>19.18</v>
      </c>
      <c r="D454" s="73">
        <v>3850</v>
      </c>
      <c r="E454" s="73">
        <f t="shared" si="80"/>
        <v>73843</v>
      </c>
      <c r="F454" s="74" t="s">
        <v>2843</v>
      </c>
      <c r="G454" s="75">
        <v>13000</v>
      </c>
      <c r="H454" s="75">
        <f t="shared" si="81"/>
        <v>60843</v>
      </c>
      <c r="I454" s="86">
        <f>VLOOKUP(B454,多浪小区账面房号及收款金额!$A$2:$B$474,2,0)+'2023年8-11月预收账款'!K29</f>
        <v>0</v>
      </c>
      <c r="J454" s="86"/>
      <c r="K454" s="87">
        <f t="shared" si="79"/>
        <v>13000</v>
      </c>
      <c r="L454" s="88"/>
      <c r="M454" s="88"/>
      <c r="N454" s="89"/>
      <c r="O454" s="89">
        <f t="shared" si="82"/>
        <v>0</v>
      </c>
      <c r="P454" s="91"/>
      <c r="Q454" s="88"/>
      <c r="R454" s="75">
        <f t="shared" si="83"/>
        <v>0</v>
      </c>
      <c r="S454" s="75">
        <f t="shared" si="84"/>
        <v>0</v>
      </c>
      <c r="T454" s="75">
        <f t="shared" si="85"/>
        <v>0</v>
      </c>
      <c r="U454" s="75">
        <f t="shared" si="86"/>
        <v>0</v>
      </c>
    </row>
    <row r="455" spans="1:21">
      <c r="A455" s="55">
        <v>452</v>
      </c>
      <c r="B455" s="76" t="s">
        <v>2844</v>
      </c>
      <c r="C455" s="72">
        <v>68.93</v>
      </c>
      <c r="D455" s="73">
        <v>4780</v>
      </c>
      <c r="E455" s="73">
        <f t="shared" si="80"/>
        <v>0</v>
      </c>
      <c r="F455" s="74"/>
      <c r="G455" s="75">
        <v>0</v>
      </c>
      <c r="H455" s="75">
        <f t="shared" si="81"/>
        <v>0</v>
      </c>
      <c r="I455" s="86"/>
      <c r="J455" s="86"/>
      <c r="K455" s="87">
        <f t="shared" si="79"/>
        <v>0</v>
      </c>
      <c r="L455" s="88"/>
      <c r="M455" s="88" t="s">
        <v>2777</v>
      </c>
      <c r="N455" s="89"/>
      <c r="O455" s="89">
        <f t="shared" si="82"/>
        <v>0</v>
      </c>
      <c r="P455" s="91"/>
      <c r="Q455" s="88"/>
      <c r="R455" s="75">
        <f t="shared" si="83"/>
        <v>0</v>
      </c>
      <c r="S455" s="75">
        <f t="shared" si="84"/>
        <v>0</v>
      </c>
      <c r="T455" s="75">
        <f t="shared" si="85"/>
        <v>0</v>
      </c>
      <c r="U455" s="75">
        <f t="shared" si="86"/>
        <v>0</v>
      </c>
    </row>
    <row r="456" spans="1:21">
      <c r="A456" s="55">
        <v>453</v>
      </c>
      <c r="B456" s="76" t="s">
        <v>2845</v>
      </c>
      <c r="C456" s="72">
        <v>65.19</v>
      </c>
      <c r="D456" s="73">
        <v>4780</v>
      </c>
      <c r="E456" s="73">
        <f t="shared" si="80"/>
        <v>0</v>
      </c>
      <c r="F456" s="74"/>
      <c r="G456" s="75">
        <v>0</v>
      </c>
      <c r="H456" s="75">
        <f t="shared" si="81"/>
        <v>0</v>
      </c>
      <c r="I456" s="86"/>
      <c r="J456" s="86"/>
      <c r="K456" s="87">
        <f t="shared" si="79"/>
        <v>0</v>
      </c>
      <c r="L456" s="88"/>
      <c r="M456" s="88" t="s">
        <v>2777</v>
      </c>
      <c r="N456" s="89"/>
      <c r="O456" s="89">
        <f t="shared" si="82"/>
        <v>0</v>
      </c>
      <c r="P456" s="91"/>
      <c r="Q456" s="88"/>
      <c r="R456" s="75">
        <f t="shared" si="83"/>
        <v>0</v>
      </c>
      <c r="S456" s="75">
        <f t="shared" si="84"/>
        <v>0</v>
      </c>
      <c r="T456" s="75">
        <f t="shared" si="85"/>
        <v>0</v>
      </c>
      <c r="U456" s="75">
        <f t="shared" si="86"/>
        <v>0</v>
      </c>
    </row>
    <row r="457" hidden="1" spans="1:21">
      <c r="A457" s="55">
        <v>454</v>
      </c>
      <c r="B457" s="76" t="s">
        <v>2846</v>
      </c>
      <c r="C457" s="72">
        <v>19.18</v>
      </c>
      <c r="D457" s="73">
        <v>3500</v>
      </c>
      <c r="E457" s="73">
        <f t="shared" si="80"/>
        <v>67130</v>
      </c>
      <c r="F457" s="74" t="s">
        <v>2847</v>
      </c>
      <c r="G457" s="75">
        <v>20000</v>
      </c>
      <c r="H457" s="75">
        <f t="shared" si="81"/>
        <v>47130</v>
      </c>
      <c r="I457" s="86">
        <f>VLOOKUP(B457,多浪小区账面房号及收款金额!$A$2:$B$474,2,0)</f>
        <v>20000</v>
      </c>
      <c r="J457" s="86"/>
      <c r="K457" s="87">
        <f t="shared" si="79"/>
        <v>0</v>
      </c>
      <c r="L457" s="88"/>
      <c r="M457" s="88"/>
      <c r="N457" s="89"/>
      <c r="O457" s="89">
        <f t="shared" si="82"/>
        <v>0</v>
      </c>
      <c r="P457" s="91"/>
      <c r="Q457" s="88"/>
      <c r="R457" s="75">
        <f t="shared" si="83"/>
        <v>18348.623853211</v>
      </c>
      <c r="S457" s="75">
        <f t="shared" si="84"/>
        <v>917.43119266055</v>
      </c>
      <c r="T457" s="75">
        <f t="shared" si="85"/>
        <v>18348.623853211</v>
      </c>
      <c r="U457" s="75">
        <f t="shared" si="86"/>
        <v>917.43119266055</v>
      </c>
    </row>
    <row r="458" hidden="1" spans="1:21">
      <c r="A458" s="55">
        <v>455</v>
      </c>
      <c r="B458" s="76" t="s">
        <v>2848</v>
      </c>
      <c r="C458" s="72">
        <v>19.18</v>
      </c>
      <c r="D458" s="73">
        <v>3500</v>
      </c>
      <c r="E458" s="73">
        <f t="shared" si="80"/>
        <v>67130</v>
      </c>
      <c r="F458" s="74" t="s">
        <v>2847</v>
      </c>
      <c r="G458" s="75">
        <v>20000</v>
      </c>
      <c r="H458" s="75">
        <f t="shared" si="81"/>
        <v>47130</v>
      </c>
      <c r="I458" s="86">
        <f>VLOOKUP(B458,多浪小区账面房号及收款金额!$A$2:$B$474,2,0)</f>
        <v>20000</v>
      </c>
      <c r="J458" s="86"/>
      <c r="K458" s="87">
        <f t="shared" si="79"/>
        <v>0</v>
      </c>
      <c r="L458" s="88"/>
      <c r="M458" s="88"/>
      <c r="N458" s="89"/>
      <c r="O458" s="89">
        <f t="shared" si="82"/>
        <v>0</v>
      </c>
      <c r="P458" s="91"/>
      <c r="Q458" s="88"/>
      <c r="R458" s="75">
        <f t="shared" si="83"/>
        <v>18348.623853211</v>
      </c>
      <c r="S458" s="75">
        <f t="shared" si="84"/>
        <v>917.43119266055</v>
      </c>
      <c r="T458" s="75">
        <f t="shared" si="85"/>
        <v>18348.623853211</v>
      </c>
      <c r="U458" s="75">
        <f t="shared" si="86"/>
        <v>917.43119266055</v>
      </c>
    </row>
    <row r="459" spans="1:21">
      <c r="A459" s="55">
        <v>456</v>
      </c>
      <c r="B459" s="76" t="s">
        <v>2849</v>
      </c>
      <c r="C459" s="72">
        <v>68.93</v>
      </c>
      <c r="D459" s="73">
        <v>4780</v>
      </c>
      <c r="E459" s="73">
        <f t="shared" si="80"/>
        <v>0</v>
      </c>
      <c r="F459" s="74"/>
      <c r="G459" s="75">
        <v>0</v>
      </c>
      <c r="H459" s="75">
        <f t="shared" si="81"/>
        <v>0</v>
      </c>
      <c r="I459" s="86"/>
      <c r="J459" s="86"/>
      <c r="K459" s="87">
        <f t="shared" si="79"/>
        <v>0</v>
      </c>
      <c r="L459" s="88"/>
      <c r="M459" s="88" t="s">
        <v>2777</v>
      </c>
      <c r="N459" s="89"/>
      <c r="O459" s="89">
        <f t="shared" si="82"/>
        <v>0</v>
      </c>
      <c r="P459" s="91"/>
      <c r="Q459" s="88"/>
      <c r="R459" s="75">
        <f t="shared" si="83"/>
        <v>0</v>
      </c>
      <c r="S459" s="75">
        <f t="shared" si="84"/>
        <v>0</v>
      </c>
      <c r="T459" s="75">
        <f t="shared" si="85"/>
        <v>0</v>
      </c>
      <c r="U459" s="75">
        <f t="shared" si="86"/>
        <v>0</v>
      </c>
    </row>
    <row r="460" spans="1:21">
      <c r="A460" s="55">
        <v>457</v>
      </c>
      <c r="B460" s="76" t="s">
        <v>2850</v>
      </c>
      <c r="C460" s="72">
        <v>65.19</v>
      </c>
      <c r="D460" s="73">
        <v>4780</v>
      </c>
      <c r="E460" s="73">
        <f t="shared" si="80"/>
        <v>0</v>
      </c>
      <c r="F460" s="74"/>
      <c r="G460" s="75">
        <v>0</v>
      </c>
      <c r="H460" s="75">
        <f t="shared" si="81"/>
        <v>0</v>
      </c>
      <c r="I460" s="86"/>
      <c r="J460" s="86"/>
      <c r="K460" s="87">
        <f t="shared" si="79"/>
        <v>0</v>
      </c>
      <c r="L460" s="88"/>
      <c r="M460" s="88" t="s">
        <v>2777</v>
      </c>
      <c r="N460" s="89"/>
      <c r="O460" s="89">
        <f t="shared" si="82"/>
        <v>0</v>
      </c>
      <c r="P460" s="91"/>
      <c r="Q460" s="88"/>
      <c r="R460" s="75">
        <f t="shared" si="83"/>
        <v>0</v>
      </c>
      <c r="S460" s="75">
        <f t="shared" si="84"/>
        <v>0</v>
      </c>
      <c r="T460" s="75">
        <f t="shared" si="85"/>
        <v>0</v>
      </c>
      <c r="U460" s="75">
        <f t="shared" si="86"/>
        <v>0</v>
      </c>
    </row>
    <row r="461" hidden="1" spans="1:21">
      <c r="A461" s="55">
        <v>458</v>
      </c>
      <c r="B461" s="76" t="s">
        <v>2851</v>
      </c>
      <c r="C461" s="72">
        <v>19.18</v>
      </c>
      <c r="D461" s="73">
        <v>3500</v>
      </c>
      <c r="E461" s="73">
        <f t="shared" si="80"/>
        <v>67130</v>
      </c>
      <c r="F461" s="74" t="s">
        <v>2847</v>
      </c>
      <c r="G461" s="75">
        <v>20000</v>
      </c>
      <c r="H461" s="75">
        <f t="shared" si="81"/>
        <v>47130</v>
      </c>
      <c r="I461" s="86">
        <f>VLOOKUP(B461,多浪小区账面房号及收款金额!$A$2:$B$474,2,0)</f>
        <v>20000</v>
      </c>
      <c r="J461" s="86"/>
      <c r="K461" s="87">
        <f t="shared" si="79"/>
        <v>0</v>
      </c>
      <c r="L461" s="88"/>
      <c r="M461" s="88"/>
      <c r="N461" s="89"/>
      <c r="O461" s="89">
        <f t="shared" si="82"/>
        <v>0</v>
      </c>
      <c r="P461" s="91"/>
      <c r="Q461" s="88"/>
      <c r="R461" s="75">
        <f t="shared" si="83"/>
        <v>18348.623853211</v>
      </c>
      <c r="S461" s="75">
        <f t="shared" si="84"/>
        <v>917.43119266055</v>
      </c>
      <c r="T461" s="75">
        <f t="shared" si="85"/>
        <v>18348.623853211</v>
      </c>
      <c r="U461" s="75">
        <f t="shared" si="86"/>
        <v>917.43119266055</v>
      </c>
    </row>
    <row r="462" hidden="1" spans="1:21">
      <c r="A462" s="55">
        <v>459</v>
      </c>
      <c r="B462" s="76" t="s">
        <v>2852</v>
      </c>
      <c r="C462" s="72">
        <v>19.18</v>
      </c>
      <c r="D462" s="73">
        <v>3400</v>
      </c>
      <c r="E462" s="73">
        <f t="shared" si="80"/>
        <v>65212</v>
      </c>
      <c r="F462" s="74" t="s">
        <v>2847</v>
      </c>
      <c r="G462" s="75">
        <v>20000</v>
      </c>
      <c r="H462" s="75">
        <f t="shared" si="81"/>
        <v>45212</v>
      </c>
      <c r="I462" s="86">
        <f>VLOOKUP(B462,多浪小区账面房号及收款金额!$A$2:$B$474,2,0)</f>
        <v>20000</v>
      </c>
      <c r="J462" s="86"/>
      <c r="K462" s="87">
        <f t="shared" si="79"/>
        <v>0</v>
      </c>
      <c r="L462" s="88"/>
      <c r="M462" s="88"/>
      <c r="N462" s="89"/>
      <c r="O462" s="89">
        <f t="shared" si="82"/>
        <v>0</v>
      </c>
      <c r="P462" s="91"/>
      <c r="Q462" s="88"/>
      <c r="R462" s="75">
        <f t="shared" si="83"/>
        <v>18348.623853211</v>
      </c>
      <c r="S462" s="75">
        <f t="shared" si="84"/>
        <v>917.43119266055</v>
      </c>
      <c r="T462" s="75">
        <f t="shared" si="85"/>
        <v>18348.623853211</v>
      </c>
      <c r="U462" s="75">
        <f t="shared" si="86"/>
        <v>917.43119266055</v>
      </c>
    </row>
    <row r="463" spans="1:21">
      <c r="A463" s="55">
        <v>460</v>
      </c>
      <c r="B463" s="76" t="s">
        <v>2853</v>
      </c>
      <c r="C463" s="72">
        <v>65.19</v>
      </c>
      <c r="D463" s="73">
        <v>4780</v>
      </c>
      <c r="E463" s="73">
        <f t="shared" si="80"/>
        <v>0</v>
      </c>
      <c r="F463" s="74"/>
      <c r="G463" s="75">
        <v>0</v>
      </c>
      <c r="H463" s="75">
        <f t="shared" si="81"/>
        <v>0</v>
      </c>
      <c r="I463" s="86"/>
      <c r="J463" s="86"/>
      <c r="K463" s="87">
        <f t="shared" si="79"/>
        <v>0</v>
      </c>
      <c r="L463" s="88"/>
      <c r="M463" s="88" t="s">
        <v>2777</v>
      </c>
      <c r="N463" s="89"/>
      <c r="O463" s="89">
        <f t="shared" si="82"/>
        <v>0</v>
      </c>
      <c r="P463" s="91"/>
      <c r="Q463" s="88"/>
      <c r="R463" s="75">
        <f t="shared" si="83"/>
        <v>0</v>
      </c>
      <c r="S463" s="75">
        <f t="shared" si="84"/>
        <v>0</v>
      </c>
      <c r="T463" s="75">
        <f t="shared" si="85"/>
        <v>0</v>
      </c>
      <c r="U463" s="75">
        <f t="shared" si="86"/>
        <v>0</v>
      </c>
    </row>
    <row r="464" spans="1:21">
      <c r="A464" s="55">
        <v>461</v>
      </c>
      <c r="B464" s="76" t="s">
        <v>2854</v>
      </c>
      <c r="C464" s="72">
        <v>69.16</v>
      </c>
      <c r="D464" s="73">
        <v>4780</v>
      </c>
      <c r="E464" s="73">
        <f t="shared" si="80"/>
        <v>0</v>
      </c>
      <c r="F464" s="74"/>
      <c r="G464" s="75">
        <v>0</v>
      </c>
      <c r="H464" s="75">
        <f t="shared" si="81"/>
        <v>0</v>
      </c>
      <c r="I464" s="86"/>
      <c r="J464" s="86"/>
      <c r="K464" s="87">
        <f t="shared" si="79"/>
        <v>0</v>
      </c>
      <c r="L464" s="88"/>
      <c r="M464" s="88" t="s">
        <v>2777</v>
      </c>
      <c r="N464" s="89"/>
      <c r="O464" s="89">
        <f t="shared" si="82"/>
        <v>0</v>
      </c>
      <c r="P464" s="91"/>
      <c r="Q464" s="88"/>
      <c r="R464" s="75">
        <f t="shared" si="83"/>
        <v>0</v>
      </c>
      <c r="S464" s="75">
        <f t="shared" si="84"/>
        <v>0</v>
      </c>
      <c r="T464" s="75">
        <f t="shared" si="85"/>
        <v>0</v>
      </c>
      <c r="U464" s="75">
        <f t="shared" si="86"/>
        <v>0</v>
      </c>
    </row>
    <row r="465" hidden="1" spans="1:21">
      <c r="A465" s="55">
        <v>462</v>
      </c>
      <c r="B465" s="76" t="s">
        <v>2855</v>
      </c>
      <c r="C465" s="72">
        <v>19.46</v>
      </c>
      <c r="D465" s="73">
        <v>3400</v>
      </c>
      <c r="E465" s="73">
        <f t="shared" si="80"/>
        <v>66164</v>
      </c>
      <c r="F465" s="74" t="s">
        <v>2847</v>
      </c>
      <c r="G465" s="75">
        <v>20000</v>
      </c>
      <c r="H465" s="75">
        <f t="shared" si="81"/>
        <v>46164</v>
      </c>
      <c r="I465" s="86">
        <f>VLOOKUP(B465,多浪小区账面房号及收款金额!$A$2:$B$474,2,0)</f>
        <v>20000</v>
      </c>
      <c r="J465" s="86"/>
      <c r="K465" s="87">
        <f t="shared" si="79"/>
        <v>0</v>
      </c>
      <c r="L465" s="88"/>
      <c r="M465" s="88"/>
      <c r="N465" s="89"/>
      <c r="O465" s="89">
        <f t="shared" si="82"/>
        <v>0</v>
      </c>
      <c r="P465" s="91"/>
      <c r="Q465" s="88"/>
      <c r="R465" s="75">
        <f t="shared" si="83"/>
        <v>18348.623853211</v>
      </c>
      <c r="S465" s="75">
        <f t="shared" si="84"/>
        <v>917.43119266055</v>
      </c>
      <c r="T465" s="75">
        <f t="shared" si="85"/>
        <v>18348.623853211</v>
      </c>
      <c r="U465" s="75">
        <f t="shared" si="86"/>
        <v>917.43119266055</v>
      </c>
    </row>
    <row r="466" hidden="1" spans="1:21">
      <c r="A466" s="55">
        <v>463</v>
      </c>
      <c r="B466" s="76" t="s">
        <v>2856</v>
      </c>
      <c r="C466" s="72">
        <v>61.33</v>
      </c>
      <c r="D466" s="73">
        <v>3400</v>
      </c>
      <c r="E466" s="73">
        <f t="shared" ref="E466:E480" si="87">ROUND(IF(F466&lt;&gt;0,C466*D466,0),0)</f>
        <v>208522</v>
      </c>
      <c r="F466" s="74" t="s">
        <v>2857</v>
      </c>
      <c r="G466" s="75">
        <v>20000</v>
      </c>
      <c r="H466" s="75">
        <f t="shared" si="81"/>
        <v>188522</v>
      </c>
      <c r="I466" s="86">
        <f>VLOOKUP(B466,多浪小区账面房号及收款金额!$A$2:$B$474,2,0)+'2023年8-11月预收账款'!K31</f>
        <v>70000</v>
      </c>
      <c r="J466" s="86"/>
      <c r="K466" s="87">
        <f t="shared" si="79"/>
        <v>-50000</v>
      </c>
      <c r="L466" s="88"/>
      <c r="M466" s="88"/>
      <c r="N466" s="89"/>
      <c r="O466" s="89">
        <f t="shared" si="82"/>
        <v>0</v>
      </c>
      <c r="P466" s="91">
        <f>70000/1.09</f>
        <v>64220.1834862385</v>
      </c>
      <c r="Q466" s="88"/>
      <c r="R466" s="75">
        <f t="shared" si="83"/>
        <v>64220.1834862385</v>
      </c>
      <c r="S466" s="75">
        <f t="shared" si="84"/>
        <v>3211.00917431193</v>
      </c>
      <c r="T466" s="75">
        <f t="shared" si="85"/>
        <v>0</v>
      </c>
      <c r="U466" s="75">
        <f t="shared" si="86"/>
        <v>0</v>
      </c>
    </row>
    <row r="467" hidden="1" spans="1:21">
      <c r="A467" s="55">
        <v>464</v>
      </c>
      <c r="B467" s="76" t="s">
        <v>2858</v>
      </c>
      <c r="C467" s="72">
        <v>74.17</v>
      </c>
      <c r="D467" s="73">
        <v>4800</v>
      </c>
      <c r="E467" s="73">
        <f t="shared" si="87"/>
        <v>356016</v>
      </c>
      <c r="F467" s="74" t="s">
        <v>2859</v>
      </c>
      <c r="G467" s="75">
        <v>253480</v>
      </c>
      <c r="H467" s="75">
        <f t="shared" si="81"/>
        <v>102536</v>
      </c>
      <c r="I467" s="86">
        <f>VLOOKUP(B467,多浪小区账面房号及收款金额!$A$2:$B$474,2,0)</f>
        <v>253480</v>
      </c>
      <c r="J467" s="86"/>
      <c r="K467" s="87">
        <f t="shared" si="79"/>
        <v>0</v>
      </c>
      <c r="L467" s="92"/>
      <c r="M467" s="88"/>
      <c r="N467" s="89"/>
      <c r="O467" s="89">
        <f t="shared" si="82"/>
        <v>0</v>
      </c>
      <c r="P467" s="91"/>
      <c r="Q467" s="88"/>
      <c r="R467" s="75">
        <f t="shared" si="83"/>
        <v>232550.458715596</v>
      </c>
      <c r="S467" s="75">
        <f t="shared" si="84"/>
        <v>11627.5229357798</v>
      </c>
      <c r="T467" s="75">
        <f t="shared" si="85"/>
        <v>232550.458715596</v>
      </c>
      <c r="U467" s="75">
        <f t="shared" si="86"/>
        <v>11627.5229357798</v>
      </c>
    </row>
    <row r="468" hidden="1" spans="1:21">
      <c r="A468" s="55">
        <v>465</v>
      </c>
      <c r="B468" s="76" t="s">
        <v>2860</v>
      </c>
      <c r="C468" s="72">
        <v>51.94</v>
      </c>
      <c r="D468" s="73">
        <v>4800</v>
      </c>
      <c r="E468" s="73">
        <f t="shared" si="87"/>
        <v>249312</v>
      </c>
      <c r="F468" s="74" t="s">
        <v>2859</v>
      </c>
      <c r="G468" s="75">
        <v>249312</v>
      </c>
      <c r="H468" s="75">
        <f t="shared" si="81"/>
        <v>0</v>
      </c>
      <c r="I468" s="86">
        <f>VLOOKUP(B468,多浪小区账面房号及收款金额!$A$2:$B$474,2,0)</f>
        <v>249312</v>
      </c>
      <c r="J468" s="86"/>
      <c r="K468" s="87">
        <f t="shared" si="79"/>
        <v>0</v>
      </c>
      <c r="L468" s="88"/>
      <c r="M468" s="88"/>
      <c r="N468" s="89">
        <f>VLOOKUP(B468,[2]信息汇总表!$M$2:$T$816,8,0)</f>
        <v>249312</v>
      </c>
      <c r="O468" s="89">
        <f t="shared" si="82"/>
        <v>228726.605504587</v>
      </c>
      <c r="P468" s="91">
        <v>228726.61</v>
      </c>
      <c r="Q468" s="88"/>
      <c r="R468" s="75">
        <f t="shared" si="83"/>
        <v>228726.605504587</v>
      </c>
      <c r="S468" s="75">
        <f t="shared" si="84"/>
        <v>11436.3302752294</v>
      </c>
      <c r="T468" s="75">
        <f t="shared" si="85"/>
        <v>-0.00449541283887811</v>
      </c>
      <c r="U468" s="75">
        <f t="shared" si="86"/>
        <v>-0.000224770641580108</v>
      </c>
    </row>
    <row r="469" hidden="1" spans="1:21">
      <c r="A469" s="55">
        <v>466</v>
      </c>
      <c r="B469" s="76" t="s">
        <v>2861</v>
      </c>
      <c r="C469" s="72">
        <v>19.43</v>
      </c>
      <c r="D469" s="73">
        <v>3400</v>
      </c>
      <c r="E469" s="73">
        <f t="shared" si="87"/>
        <v>66062</v>
      </c>
      <c r="F469" s="74" t="s">
        <v>2847</v>
      </c>
      <c r="G469" s="75">
        <v>20000</v>
      </c>
      <c r="H469" s="75">
        <f t="shared" si="81"/>
        <v>46062</v>
      </c>
      <c r="I469" s="86">
        <f>VLOOKUP(B469,多浪小区账面房号及收款金额!$A$2:$B$474,2,0)</f>
        <v>20000</v>
      </c>
      <c r="J469" s="86"/>
      <c r="K469" s="87">
        <f t="shared" si="79"/>
        <v>0</v>
      </c>
      <c r="L469" s="88"/>
      <c r="M469" s="88"/>
      <c r="N469" s="89"/>
      <c r="O469" s="89">
        <f t="shared" si="82"/>
        <v>0</v>
      </c>
      <c r="P469" s="91"/>
      <c r="Q469" s="88"/>
      <c r="R469" s="75">
        <f t="shared" si="83"/>
        <v>18348.623853211</v>
      </c>
      <c r="S469" s="75">
        <f t="shared" si="84"/>
        <v>917.43119266055</v>
      </c>
      <c r="T469" s="75">
        <f t="shared" si="85"/>
        <v>18348.623853211</v>
      </c>
      <c r="U469" s="75">
        <f t="shared" si="86"/>
        <v>917.43119266055</v>
      </c>
    </row>
    <row r="470" spans="1:21">
      <c r="A470" s="55">
        <v>467</v>
      </c>
      <c r="B470" s="76" t="s">
        <v>2862</v>
      </c>
      <c r="C470" s="72">
        <v>69.82</v>
      </c>
      <c r="D470" s="73">
        <v>3780</v>
      </c>
      <c r="E470" s="73">
        <f t="shared" si="87"/>
        <v>0</v>
      </c>
      <c r="F470" s="74"/>
      <c r="G470" s="75">
        <v>0</v>
      </c>
      <c r="H470" s="75">
        <f t="shared" si="81"/>
        <v>0</v>
      </c>
      <c r="I470" s="86"/>
      <c r="J470" s="86"/>
      <c r="K470" s="87">
        <f t="shared" si="79"/>
        <v>0</v>
      </c>
      <c r="L470" s="88"/>
      <c r="M470" s="88" t="s">
        <v>2777</v>
      </c>
      <c r="N470" s="89"/>
      <c r="O470" s="89">
        <f t="shared" si="82"/>
        <v>0</v>
      </c>
      <c r="P470" s="91"/>
      <c r="Q470" s="88"/>
      <c r="R470" s="75">
        <f t="shared" si="83"/>
        <v>0</v>
      </c>
      <c r="S470" s="75">
        <f t="shared" si="84"/>
        <v>0</v>
      </c>
      <c r="T470" s="75">
        <f t="shared" si="85"/>
        <v>0</v>
      </c>
      <c r="U470" s="75">
        <f t="shared" si="86"/>
        <v>0</v>
      </c>
    </row>
    <row r="471" spans="1:21">
      <c r="A471" s="55">
        <v>468</v>
      </c>
      <c r="B471" s="76" t="s">
        <v>2863</v>
      </c>
      <c r="C471" s="72">
        <v>69.82</v>
      </c>
      <c r="D471" s="73">
        <v>3980</v>
      </c>
      <c r="E471" s="73">
        <f t="shared" si="87"/>
        <v>0</v>
      </c>
      <c r="F471" s="74"/>
      <c r="G471" s="75">
        <v>0</v>
      </c>
      <c r="H471" s="75">
        <f t="shared" si="81"/>
        <v>0</v>
      </c>
      <c r="I471" s="86"/>
      <c r="J471" s="86"/>
      <c r="K471" s="87">
        <f t="shared" si="79"/>
        <v>0</v>
      </c>
      <c r="L471" s="88"/>
      <c r="M471" s="88" t="s">
        <v>2777</v>
      </c>
      <c r="N471" s="89"/>
      <c r="O471" s="89">
        <f t="shared" si="82"/>
        <v>0</v>
      </c>
      <c r="P471" s="91"/>
      <c r="Q471" s="88"/>
      <c r="R471" s="75">
        <f t="shared" si="83"/>
        <v>0</v>
      </c>
      <c r="S471" s="75">
        <f t="shared" si="84"/>
        <v>0</v>
      </c>
      <c r="T471" s="75">
        <f t="shared" si="85"/>
        <v>0</v>
      </c>
      <c r="U471" s="75">
        <f t="shared" si="86"/>
        <v>0</v>
      </c>
    </row>
    <row r="472" hidden="1" spans="1:21">
      <c r="A472" s="55">
        <v>469</v>
      </c>
      <c r="B472" s="76" t="s">
        <v>2864</v>
      </c>
      <c r="C472" s="72">
        <v>24.83</v>
      </c>
      <c r="D472" s="73">
        <v>3200</v>
      </c>
      <c r="E472" s="73">
        <f t="shared" si="87"/>
        <v>79456</v>
      </c>
      <c r="F472" s="74" t="s">
        <v>2847</v>
      </c>
      <c r="G472" s="75">
        <v>20000</v>
      </c>
      <c r="H472" s="75">
        <f t="shared" si="81"/>
        <v>59456</v>
      </c>
      <c r="I472" s="86">
        <f>VLOOKUP(B472,多浪小区账面房号及收款金额!$A$2:$B$474,2,0)</f>
        <v>20000</v>
      </c>
      <c r="J472" s="86"/>
      <c r="K472" s="87">
        <f t="shared" ref="K472:K490" si="88">G472-I472</f>
        <v>0</v>
      </c>
      <c r="L472" s="88"/>
      <c r="M472" s="88"/>
      <c r="N472" s="89"/>
      <c r="O472" s="89">
        <f t="shared" si="82"/>
        <v>0</v>
      </c>
      <c r="P472" s="91"/>
      <c r="Q472" s="88"/>
      <c r="R472" s="75">
        <f t="shared" si="83"/>
        <v>18348.623853211</v>
      </c>
      <c r="S472" s="75">
        <f t="shared" si="84"/>
        <v>917.43119266055</v>
      </c>
      <c r="T472" s="75">
        <f t="shared" si="85"/>
        <v>18348.623853211</v>
      </c>
      <c r="U472" s="75">
        <f t="shared" si="86"/>
        <v>917.43119266055</v>
      </c>
    </row>
    <row r="473" hidden="1" spans="1:21">
      <c r="A473" s="55">
        <v>470</v>
      </c>
      <c r="B473" s="76" t="s">
        <v>2865</v>
      </c>
      <c r="C473" s="72">
        <v>76.2</v>
      </c>
      <c r="D473" s="73">
        <v>3200</v>
      </c>
      <c r="E473" s="73">
        <f t="shared" si="87"/>
        <v>243840</v>
      </c>
      <c r="F473" s="74" t="s">
        <v>2847</v>
      </c>
      <c r="G473" s="75">
        <v>30000</v>
      </c>
      <c r="H473" s="75">
        <f t="shared" si="81"/>
        <v>213840</v>
      </c>
      <c r="I473" s="86">
        <f>VLOOKUP(B473,多浪小区账面房号及收款金额!$A$2:$B$474,2,0)</f>
        <v>30000</v>
      </c>
      <c r="J473" s="86"/>
      <c r="K473" s="87">
        <f t="shared" si="88"/>
        <v>0</v>
      </c>
      <c r="L473" s="88"/>
      <c r="M473" s="88"/>
      <c r="N473" s="89"/>
      <c r="O473" s="89">
        <f t="shared" si="82"/>
        <v>0</v>
      </c>
      <c r="P473" s="91"/>
      <c r="Q473" s="88"/>
      <c r="R473" s="75">
        <f t="shared" si="83"/>
        <v>27522.9357798165</v>
      </c>
      <c r="S473" s="75">
        <f t="shared" si="84"/>
        <v>1376.14678899083</v>
      </c>
      <c r="T473" s="75">
        <f t="shared" si="85"/>
        <v>27522.9357798165</v>
      </c>
      <c r="U473" s="75">
        <f t="shared" si="86"/>
        <v>1376.14678899083</v>
      </c>
    </row>
    <row r="474" hidden="1" spans="1:21">
      <c r="A474" s="55">
        <v>471</v>
      </c>
      <c r="B474" s="76" t="s">
        <v>2866</v>
      </c>
      <c r="C474" s="72">
        <v>16.38</v>
      </c>
      <c r="D474" s="73">
        <v>3200</v>
      </c>
      <c r="E474" s="73">
        <f t="shared" si="87"/>
        <v>52416</v>
      </c>
      <c r="F474" s="74" t="s">
        <v>2847</v>
      </c>
      <c r="G474" s="75">
        <v>20000</v>
      </c>
      <c r="H474" s="75">
        <f t="shared" si="81"/>
        <v>32416</v>
      </c>
      <c r="I474" s="86">
        <f>VLOOKUP(B474,多浪小区账面房号及收款金额!$A$2:$B$474,2,0)</f>
        <v>20000</v>
      </c>
      <c r="J474" s="86"/>
      <c r="K474" s="87">
        <f t="shared" si="88"/>
        <v>0</v>
      </c>
      <c r="L474" s="88"/>
      <c r="M474" s="88"/>
      <c r="N474" s="89"/>
      <c r="O474" s="89">
        <f t="shared" si="82"/>
        <v>0</v>
      </c>
      <c r="P474" s="91"/>
      <c r="Q474" s="88"/>
      <c r="R474" s="75">
        <f t="shared" si="83"/>
        <v>18348.623853211</v>
      </c>
      <c r="S474" s="75">
        <f t="shared" si="84"/>
        <v>917.43119266055</v>
      </c>
      <c r="T474" s="75">
        <f t="shared" si="85"/>
        <v>18348.623853211</v>
      </c>
      <c r="U474" s="75">
        <f t="shared" si="86"/>
        <v>917.43119266055</v>
      </c>
    </row>
    <row r="475" spans="1:21">
      <c r="A475" s="55">
        <v>472</v>
      </c>
      <c r="B475" s="76" t="s">
        <v>2867</v>
      </c>
      <c r="C475" s="72">
        <v>16.38</v>
      </c>
      <c r="D475" s="73">
        <v>3780</v>
      </c>
      <c r="E475" s="73">
        <f t="shared" si="87"/>
        <v>0</v>
      </c>
      <c r="F475" s="74"/>
      <c r="G475" s="75">
        <v>0</v>
      </c>
      <c r="H475" s="75">
        <f t="shared" si="81"/>
        <v>0</v>
      </c>
      <c r="I475" s="86"/>
      <c r="J475" s="86"/>
      <c r="K475" s="87">
        <f t="shared" si="88"/>
        <v>0</v>
      </c>
      <c r="L475" s="88"/>
      <c r="M475" s="88" t="s">
        <v>2777</v>
      </c>
      <c r="N475" s="89"/>
      <c r="O475" s="89">
        <f t="shared" si="82"/>
        <v>0</v>
      </c>
      <c r="P475" s="91"/>
      <c r="Q475" s="88"/>
      <c r="R475" s="75">
        <f t="shared" si="83"/>
        <v>0</v>
      </c>
      <c r="S475" s="75">
        <f t="shared" si="84"/>
        <v>0</v>
      </c>
      <c r="T475" s="75">
        <f t="shared" si="85"/>
        <v>0</v>
      </c>
      <c r="U475" s="75">
        <f t="shared" si="86"/>
        <v>0</v>
      </c>
    </row>
    <row r="476" spans="1:21">
      <c r="A476" s="55">
        <v>473</v>
      </c>
      <c r="B476" s="76" t="s">
        <v>2868</v>
      </c>
      <c r="C476" s="72">
        <v>76.2</v>
      </c>
      <c r="D476" s="73">
        <v>3980</v>
      </c>
      <c r="E476" s="73">
        <f t="shared" si="87"/>
        <v>0</v>
      </c>
      <c r="F476" s="74"/>
      <c r="G476" s="75">
        <v>0</v>
      </c>
      <c r="H476" s="75">
        <f t="shared" si="81"/>
        <v>0</v>
      </c>
      <c r="I476" s="86"/>
      <c r="J476" s="86"/>
      <c r="K476" s="87">
        <f t="shared" si="88"/>
        <v>0</v>
      </c>
      <c r="L476" s="88"/>
      <c r="M476" s="88" t="s">
        <v>2777</v>
      </c>
      <c r="N476" s="89"/>
      <c r="O476" s="89">
        <f t="shared" si="82"/>
        <v>0</v>
      </c>
      <c r="P476" s="91"/>
      <c r="Q476" s="88"/>
      <c r="R476" s="75">
        <f t="shared" si="83"/>
        <v>0</v>
      </c>
      <c r="S476" s="75">
        <f t="shared" si="84"/>
        <v>0</v>
      </c>
      <c r="T476" s="75">
        <f t="shared" si="85"/>
        <v>0</v>
      </c>
      <c r="U476" s="75">
        <f t="shared" si="86"/>
        <v>0</v>
      </c>
    </row>
    <row r="477" hidden="1" spans="1:21">
      <c r="A477" s="55">
        <v>474</v>
      </c>
      <c r="B477" s="76" t="s">
        <v>2869</v>
      </c>
      <c r="C477" s="72">
        <v>24.83</v>
      </c>
      <c r="D477" s="73">
        <v>3200</v>
      </c>
      <c r="E477" s="73">
        <f t="shared" si="87"/>
        <v>79456</v>
      </c>
      <c r="F477" s="74" t="s">
        <v>2847</v>
      </c>
      <c r="G477" s="75">
        <v>20000</v>
      </c>
      <c r="H477" s="75">
        <f t="shared" si="81"/>
        <v>59456</v>
      </c>
      <c r="I477" s="86">
        <f>VLOOKUP(B477,多浪小区账面房号及收款金额!$A$2:$B$474,2,0)</f>
        <v>20000</v>
      </c>
      <c r="J477" s="86"/>
      <c r="K477" s="87">
        <f t="shared" si="88"/>
        <v>0</v>
      </c>
      <c r="L477" s="88"/>
      <c r="M477" s="88"/>
      <c r="N477" s="89"/>
      <c r="O477" s="89">
        <f t="shared" si="82"/>
        <v>0</v>
      </c>
      <c r="P477" s="91"/>
      <c r="Q477" s="88"/>
      <c r="R477" s="75">
        <f t="shared" si="83"/>
        <v>18348.623853211</v>
      </c>
      <c r="S477" s="75">
        <f t="shared" si="84"/>
        <v>917.43119266055</v>
      </c>
      <c r="T477" s="75">
        <f t="shared" si="85"/>
        <v>18348.623853211</v>
      </c>
      <c r="U477" s="75">
        <f t="shared" si="86"/>
        <v>917.43119266055</v>
      </c>
    </row>
    <row r="478" spans="1:21">
      <c r="A478" s="55">
        <v>475</v>
      </c>
      <c r="B478" s="76" t="s">
        <v>2870</v>
      </c>
      <c r="C478" s="72">
        <v>69.82</v>
      </c>
      <c r="D478" s="73">
        <v>3780</v>
      </c>
      <c r="E478" s="73">
        <f t="shared" si="87"/>
        <v>0</v>
      </c>
      <c r="F478" s="74"/>
      <c r="G478" s="75">
        <v>0</v>
      </c>
      <c r="H478" s="75">
        <f t="shared" si="81"/>
        <v>0</v>
      </c>
      <c r="I478" s="86"/>
      <c r="J478" s="86"/>
      <c r="K478" s="87">
        <f t="shared" si="88"/>
        <v>0</v>
      </c>
      <c r="L478" s="88"/>
      <c r="M478" s="88" t="s">
        <v>2777</v>
      </c>
      <c r="N478" s="89"/>
      <c r="O478" s="89">
        <f t="shared" si="82"/>
        <v>0</v>
      </c>
      <c r="P478" s="91"/>
      <c r="Q478" s="88"/>
      <c r="R478" s="75">
        <f t="shared" si="83"/>
        <v>0</v>
      </c>
      <c r="S478" s="75">
        <f t="shared" si="84"/>
        <v>0</v>
      </c>
      <c r="T478" s="75">
        <f t="shared" si="85"/>
        <v>0</v>
      </c>
      <c r="U478" s="75">
        <f t="shared" si="86"/>
        <v>0</v>
      </c>
    </row>
    <row r="479" hidden="1" spans="1:21">
      <c r="A479" s="55">
        <v>476</v>
      </c>
      <c r="B479" s="76" t="s">
        <v>2871</v>
      </c>
      <c r="C479" s="72">
        <v>70.04</v>
      </c>
      <c r="D479" s="73">
        <v>3200</v>
      </c>
      <c r="E479" s="73">
        <f t="shared" si="87"/>
        <v>224128</v>
      </c>
      <c r="F479" s="74" t="s">
        <v>2847</v>
      </c>
      <c r="G479" s="75">
        <v>30000</v>
      </c>
      <c r="H479" s="75">
        <f t="shared" si="81"/>
        <v>194128</v>
      </c>
      <c r="I479" s="86">
        <f>VLOOKUP(B479,多浪小区账面房号及收款金额!$A$2:$B$474,2,0)</f>
        <v>30000</v>
      </c>
      <c r="J479" s="86"/>
      <c r="K479" s="87">
        <f t="shared" si="88"/>
        <v>0</v>
      </c>
      <c r="L479" s="88"/>
      <c r="M479" s="88"/>
      <c r="N479" s="89"/>
      <c r="O479" s="89">
        <f t="shared" si="82"/>
        <v>0</v>
      </c>
      <c r="P479" s="91"/>
      <c r="Q479" s="88"/>
      <c r="R479" s="75">
        <f t="shared" si="83"/>
        <v>27522.9357798165</v>
      </c>
      <c r="S479" s="75">
        <f t="shared" si="84"/>
        <v>1376.14678899083</v>
      </c>
      <c r="T479" s="75">
        <f t="shared" si="85"/>
        <v>27522.9357798165</v>
      </c>
      <c r="U479" s="75">
        <f t="shared" si="86"/>
        <v>1376.14678899083</v>
      </c>
    </row>
    <row r="480" hidden="1" spans="1:21">
      <c r="A480" s="55">
        <v>477</v>
      </c>
      <c r="B480" s="76" t="s">
        <v>2872</v>
      </c>
      <c r="C480" s="72">
        <v>19.71</v>
      </c>
      <c r="D480" s="73">
        <v>3200</v>
      </c>
      <c r="E480" s="73">
        <f t="shared" si="87"/>
        <v>63072</v>
      </c>
      <c r="F480" s="74" t="s">
        <v>2847</v>
      </c>
      <c r="G480" s="75">
        <v>20000</v>
      </c>
      <c r="H480" s="75">
        <f t="shared" si="81"/>
        <v>43072</v>
      </c>
      <c r="I480" s="86">
        <f>VLOOKUP(B480,多浪小区账面房号及收款金额!$A$2:$B$474,2,0)</f>
        <v>20000</v>
      </c>
      <c r="J480" s="86"/>
      <c r="K480" s="87">
        <f t="shared" si="88"/>
        <v>0</v>
      </c>
      <c r="L480" s="88"/>
      <c r="M480" s="88"/>
      <c r="N480" s="89"/>
      <c r="O480" s="89">
        <f t="shared" si="82"/>
        <v>0</v>
      </c>
      <c r="P480" s="91"/>
      <c r="Q480" s="88"/>
      <c r="R480" s="75">
        <f t="shared" si="83"/>
        <v>18348.623853211</v>
      </c>
      <c r="S480" s="75">
        <f t="shared" si="84"/>
        <v>917.43119266055</v>
      </c>
      <c r="T480" s="75">
        <f t="shared" si="85"/>
        <v>18348.623853211</v>
      </c>
      <c r="U480" s="75">
        <f t="shared" si="86"/>
        <v>917.43119266055</v>
      </c>
    </row>
    <row r="481" hidden="1" spans="1:21">
      <c r="A481" s="55">
        <v>478</v>
      </c>
      <c r="B481" s="76" t="s">
        <v>2873</v>
      </c>
      <c r="C481" s="72">
        <v>54.05</v>
      </c>
      <c r="D481" s="73">
        <v>6800</v>
      </c>
      <c r="E481" s="73">
        <f t="shared" ref="E481:E490" si="89">ROUND(IF(F481&lt;&gt;0,C481*D481,0),0)</f>
        <v>367540</v>
      </c>
      <c r="F481" s="74" t="s">
        <v>2874</v>
      </c>
      <c r="G481" s="75">
        <v>367540</v>
      </c>
      <c r="H481" s="75">
        <f t="shared" ref="H481:H490" si="90">E481-G481</f>
        <v>0</v>
      </c>
      <c r="I481" s="86">
        <f>VLOOKUP(B481,多浪小区账面房号及收款金额!$A$2:$B$474,2,0)</f>
        <v>367540</v>
      </c>
      <c r="J481" s="86"/>
      <c r="K481" s="87">
        <f t="shared" si="88"/>
        <v>0</v>
      </c>
      <c r="L481" s="88"/>
      <c r="M481" s="88"/>
      <c r="N481" s="89">
        <f>VLOOKUP(B481,[2]信息汇总表!$M$2:$T$816,8,0)</f>
        <v>367540</v>
      </c>
      <c r="O481" s="89">
        <f t="shared" si="82"/>
        <v>337192.660550459</v>
      </c>
      <c r="P481" s="91">
        <v>337192.66</v>
      </c>
      <c r="Q481" s="88"/>
      <c r="R481" s="75">
        <f t="shared" si="83"/>
        <v>337192.660550459</v>
      </c>
      <c r="S481" s="75">
        <f t="shared" si="84"/>
        <v>16859.6330275229</v>
      </c>
      <c r="T481" s="75">
        <f t="shared" si="85"/>
        <v>0.000550458731595427</v>
      </c>
      <c r="U481" s="75">
        <f t="shared" si="86"/>
        <v>2.75229394901544e-5</v>
      </c>
    </row>
    <row r="482" hidden="1" spans="1:21">
      <c r="A482" s="55">
        <v>479</v>
      </c>
      <c r="B482" s="76" t="s">
        <v>2875</v>
      </c>
      <c r="C482" s="72">
        <v>54.05</v>
      </c>
      <c r="D482" s="73">
        <v>6800</v>
      </c>
      <c r="E482" s="73">
        <f t="shared" si="89"/>
        <v>367540</v>
      </c>
      <c r="F482" s="74" t="s">
        <v>2876</v>
      </c>
      <c r="G482" s="75">
        <v>367540</v>
      </c>
      <c r="H482" s="75">
        <f t="shared" si="90"/>
        <v>0</v>
      </c>
      <c r="I482" s="86">
        <f>VLOOKUP(B482,多浪小区账面房号及收款金额!$A$2:$B$474,2,0)</f>
        <v>367540</v>
      </c>
      <c r="J482" s="86"/>
      <c r="K482" s="87">
        <f t="shared" si="88"/>
        <v>0</v>
      </c>
      <c r="L482" s="88"/>
      <c r="M482" s="88"/>
      <c r="N482" s="89"/>
      <c r="O482" s="89">
        <f t="shared" si="82"/>
        <v>0</v>
      </c>
      <c r="P482" s="91"/>
      <c r="Q482" s="88"/>
      <c r="R482" s="75">
        <f t="shared" si="83"/>
        <v>337192.660550459</v>
      </c>
      <c r="S482" s="75">
        <f t="shared" si="84"/>
        <v>16859.6330275229</v>
      </c>
      <c r="T482" s="75">
        <f t="shared" si="85"/>
        <v>337192.660550459</v>
      </c>
      <c r="U482" s="75">
        <f t="shared" si="86"/>
        <v>16859.6330275229</v>
      </c>
    </row>
    <row r="483" hidden="1" spans="1:21">
      <c r="A483" s="55">
        <v>480</v>
      </c>
      <c r="B483" s="76" t="s">
        <v>2877</v>
      </c>
      <c r="C483" s="72">
        <v>55.94</v>
      </c>
      <c r="D483" s="73">
        <v>6703.611</v>
      </c>
      <c r="E483" s="73">
        <f t="shared" si="89"/>
        <v>375000</v>
      </c>
      <c r="F483" s="74" t="s">
        <v>2878</v>
      </c>
      <c r="G483" s="75">
        <v>375000</v>
      </c>
      <c r="H483" s="75">
        <f t="shared" si="90"/>
        <v>0</v>
      </c>
      <c r="I483" s="86">
        <f>VLOOKUP(B483,多浪小区账面房号及收款金额!$A$2:$B$474,2,0)</f>
        <v>375000</v>
      </c>
      <c r="J483" s="86"/>
      <c r="K483" s="87">
        <f t="shared" si="88"/>
        <v>0</v>
      </c>
      <c r="L483" s="88"/>
      <c r="M483" s="88"/>
      <c r="N483" s="89">
        <f>VLOOKUP(B483,[2]信息汇总表!$M$2:$T$816,8,0)</f>
        <v>375000</v>
      </c>
      <c r="O483" s="89">
        <f t="shared" si="82"/>
        <v>344036.697247706</v>
      </c>
      <c r="P483" s="91">
        <v>344036.7</v>
      </c>
      <c r="Q483" s="88"/>
      <c r="R483" s="75">
        <f t="shared" si="83"/>
        <v>344036.697247706</v>
      </c>
      <c r="S483" s="75">
        <f t="shared" si="84"/>
        <v>17201.8348623853</v>
      </c>
      <c r="T483" s="75">
        <f t="shared" si="85"/>
        <v>-0.00275229359976947</v>
      </c>
      <c r="U483" s="75">
        <f t="shared" si="86"/>
        <v>-0.000137614682898857</v>
      </c>
    </row>
    <row r="484" hidden="1" spans="1:21">
      <c r="A484" s="55">
        <v>481</v>
      </c>
      <c r="B484" s="76" t="s">
        <v>2879</v>
      </c>
      <c r="C484" s="72">
        <v>61</v>
      </c>
      <c r="D484" s="73">
        <v>6800</v>
      </c>
      <c r="E484" s="73">
        <f t="shared" si="89"/>
        <v>414800</v>
      </c>
      <c r="F484" s="74" t="s">
        <v>2880</v>
      </c>
      <c r="G484" s="75">
        <v>414800</v>
      </c>
      <c r="H484" s="75">
        <f t="shared" si="90"/>
        <v>0</v>
      </c>
      <c r="I484" s="86">
        <f>VLOOKUP(B484,多浪小区账面房号及收款金额!$A$2:$B$474,2,0)</f>
        <v>414800</v>
      </c>
      <c r="J484" s="86"/>
      <c r="K484" s="87">
        <f t="shared" si="88"/>
        <v>0</v>
      </c>
      <c r="L484" s="88"/>
      <c r="M484" s="88"/>
      <c r="N484" s="89">
        <f>VLOOKUP(B484,[2]信息汇总表!$M$2:$T$816,8,0)</f>
        <v>414800</v>
      </c>
      <c r="O484" s="89">
        <f t="shared" si="82"/>
        <v>380550.458715596</v>
      </c>
      <c r="P484" s="91">
        <v>380550.46</v>
      </c>
      <c r="Q484" s="88"/>
      <c r="R484" s="75">
        <f t="shared" si="83"/>
        <v>380550.458715596</v>
      </c>
      <c r="S484" s="75">
        <f t="shared" si="84"/>
        <v>19027.5229357798</v>
      </c>
      <c r="T484" s="75">
        <f t="shared" si="85"/>
        <v>-0.00128440372645855</v>
      </c>
      <c r="U484" s="75">
        <f t="shared" si="86"/>
        <v>-6.4220184867736e-5</v>
      </c>
    </row>
    <row r="485" hidden="1" spans="1:21">
      <c r="A485" s="55">
        <v>482</v>
      </c>
      <c r="B485" s="76" t="s">
        <v>2881</v>
      </c>
      <c r="C485" s="72">
        <v>61.01</v>
      </c>
      <c r="D485" s="73">
        <v>6750</v>
      </c>
      <c r="E485" s="73">
        <f t="shared" si="89"/>
        <v>411818</v>
      </c>
      <c r="F485" s="74" t="s">
        <v>2882</v>
      </c>
      <c r="G485" s="75">
        <v>411818</v>
      </c>
      <c r="H485" s="75">
        <f t="shared" si="90"/>
        <v>0</v>
      </c>
      <c r="I485" s="86">
        <f>VLOOKUP(B485,多浪小区账面房号及收款金额!$A$2:$B$474,2,0)</f>
        <v>411818</v>
      </c>
      <c r="J485" s="86"/>
      <c r="K485" s="87">
        <f t="shared" si="88"/>
        <v>0</v>
      </c>
      <c r="L485" s="88"/>
      <c r="M485" s="88"/>
      <c r="N485" s="89">
        <f>VLOOKUP(B485,[2]信息汇总表!$M$2:$T$816,8,0)</f>
        <v>411818</v>
      </c>
      <c r="O485" s="89">
        <f t="shared" si="82"/>
        <v>377814.678899083</v>
      </c>
      <c r="P485" s="91">
        <v>377814.68</v>
      </c>
      <c r="Q485" s="88"/>
      <c r="R485" s="75">
        <f t="shared" si="83"/>
        <v>377814.678899083</v>
      </c>
      <c r="S485" s="75">
        <f t="shared" si="84"/>
        <v>18890.7339449541</v>
      </c>
      <c r="T485" s="75">
        <f t="shared" si="85"/>
        <v>-0.00110091746319085</v>
      </c>
      <c r="U485" s="75">
        <f t="shared" si="86"/>
        <v>-5.50458717043512e-5</v>
      </c>
    </row>
    <row r="486" hidden="1" spans="1:21">
      <c r="A486" s="55">
        <v>483</v>
      </c>
      <c r="B486" s="76" t="s">
        <v>2883</v>
      </c>
      <c r="C486" s="72">
        <v>85.39</v>
      </c>
      <c r="D486" s="73">
        <v>7799.51</v>
      </c>
      <c r="E486" s="73">
        <f t="shared" si="89"/>
        <v>666000</v>
      </c>
      <c r="F486" s="74" t="s">
        <v>2884</v>
      </c>
      <c r="G486" s="75">
        <v>666000</v>
      </c>
      <c r="H486" s="75">
        <f t="shared" si="90"/>
        <v>0</v>
      </c>
      <c r="I486" s="86">
        <f>VLOOKUP(B486,多浪小区账面房号及收款金额!$A$2:$B$474,2,0)</f>
        <v>666000</v>
      </c>
      <c r="J486" s="86"/>
      <c r="K486" s="87">
        <f t="shared" si="88"/>
        <v>0</v>
      </c>
      <c r="L486" s="88"/>
      <c r="M486" s="88"/>
      <c r="N486" s="89"/>
      <c r="O486" s="89">
        <f t="shared" si="82"/>
        <v>0</v>
      </c>
      <c r="P486" s="91"/>
      <c r="Q486" s="88"/>
      <c r="R486" s="75">
        <f t="shared" si="83"/>
        <v>611009.174311927</v>
      </c>
      <c r="S486" s="75">
        <f t="shared" si="84"/>
        <v>30550.4587155963</v>
      </c>
      <c r="T486" s="75">
        <f t="shared" si="85"/>
        <v>611009.174311927</v>
      </c>
      <c r="U486" s="75">
        <f t="shared" si="86"/>
        <v>30550.4587155963</v>
      </c>
    </row>
    <row r="487" hidden="1" spans="1:21">
      <c r="A487" s="55">
        <v>484</v>
      </c>
      <c r="B487" s="76" t="s">
        <v>2885</v>
      </c>
      <c r="C487" s="72">
        <v>56.39</v>
      </c>
      <c r="D487" s="73"/>
      <c r="E487" s="73">
        <f t="shared" si="89"/>
        <v>0</v>
      </c>
      <c r="F487" s="74" t="s">
        <v>2886</v>
      </c>
      <c r="G487" s="75">
        <v>0</v>
      </c>
      <c r="H487" s="75">
        <f t="shared" si="90"/>
        <v>0</v>
      </c>
      <c r="I487" s="86"/>
      <c r="J487" s="86"/>
      <c r="K487" s="87">
        <f t="shared" si="88"/>
        <v>0</v>
      </c>
      <c r="L487" s="88"/>
      <c r="M487" s="88" t="s">
        <v>2777</v>
      </c>
      <c r="N487" s="89"/>
      <c r="O487" s="89">
        <f t="shared" si="82"/>
        <v>0</v>
      </c>
      <c r="P487" s="91"/>
      <c r="Q487" s="88"/>
      <c r="R487" s="75">
        <f t="shared" si="83"/>
        <v>0</v>
      </c>
      <c r="S487" s="75">
        <f t="shared" si="84"/>
        <v>0</v>
      </c>
      <c r="T487" s="75">
        <f t="shared" si="85"/>
        <v>0</v>
      </c>
      <c r="U487" s="75">
        <f t="shared" si="86"/>
        <v>0</v>
      </c>
    </row>
    <row r="488" hidden="1" spans="1:21">
      <c r="A488" s="55">
        <v>485</v>
      </c>
      <c r="B488" s="76" t="s">
        <v>2887</v>
      </c>
      <c r="C488" s="72">
        <v>141.77</v>
      </c>
      <c r="D488" s="73">
        <v>7406.36</v>
      </c>
      <c r="E488" s="73">
        <f t="shared" si="89"/>
        <v>1050000</v>
      </c>
      <c r="F488" s="74" t="s">
        <v>2888</v>
      </c>
      <c r="G488" s="75">
        <v>1050000</v>
      </c>
      <c r="H488" s="75">
        <f t="shared" si="90"/>
        <v>0</v>
      </c>
      <c r="I488" s="86">
        <f>VLOOKUP(B488,多浪小区账面房号及收款金额!$A$2:$B$474,2,0)</f>
        <v>1050000</v>
      </c>
      <c r="J488" s="86"/>
      <c r="K488" s="87">
        <f t="shared" si="88"/>
        <v>0</v>
      </c>
      <c r="L488" s="88"/>
      <c r="M488" s="88"/>
      <c r="N488" s="89">
        <f>VLOOKUP(B488,[2]信息汇总表!$M$2:$T$816,8,0)</f>
        <v>1050000</v>
      </c>
      <c r="O488" s="89">
        <f t="shared" si="82"/>
        <v>963302.752293578</v>
      </c>
      <c r="P488" s="91">
        <v>963302.75</v>
      </c>
      <c r="Q488" s="88"/>
      <c r="R488" s="75">
        <f t="shared" si="83"/>
        <v>963302.752293578</v>
      </c>
      <c r="S488" s="75">
        <f t="shared" si="84"/>
        <v>48165.1376146789</v>
      </c>
      <c r="T488" s="75">
        <f t="shared" si="85"/>
        <v>0.00229357788339257</v>
      </c>
      <c r="U488" s="75">
        <f t="shared" si="86"/>
        <v>0.000114678892714437</v>
      </c>
    </row>
    <row r="489" hidden="1" spans="1:21">
      <c r="A489" s="55">
        <v>486</v>
      </c>
      <c r="B489" s="76" t="s">
        <v>2889</v>
      </c>
      <c r="C489" s="72">
        <v>213.67</v>
      </c>
      <c r="D489" s="73">
        <v>3300</v>
      </c>
      <c r="E489" s="73">
        <f t="shared" si="89"/>
        <v>705111</v>
      </c>
      <c r="F489" s="74" t="s">
        <v>2890</v>
      </c>
      <c r="G489" s="75">
        <v>705111</v>
      </c>
      <c r="H489" s="75">
        <f t="shared" si="90"/>
        <v>0</v>
      </c>
      <c r="I489" s="86">
        <f>VLOOKUP(B489,多浪小区账面房号及收款金额!$A$2:$B$474,2,0)</f>
        <v>1467841</v>
      </c>
      <c r="J489" s="86"/>
      <c r="K489" s="87">
        <f>G489+G490-I489</f>
        <v>-10000</v>
      </c>
      <c r="L489" s="92" t="s">
        <v>2891</v>
      </c>
      <c r="M489" s="88"/>
      <c r="N489" s="89">
        <f>VLOOKUP(B489,[2]信息汇总表!$M$2:$T$816,8,0)</f>
        <v>705111</v>
      </c>
      <c r="O489" s="89">
        <f t="shared" si="82"/>
        <v>646890.825688073</v>
      </c>
      <c r="P489" s="91">
        <v>646890.83</v>
      </c>
      <c r="Q489" s="88"/>
      <c r="R489" s="75">
        <f t="shared" si="83"/>
        <v>1346643.11926606</v>
      </c>
      <c r="S489" s="75">
        <f t="shared" si="84"/>
        <v>67332.1559633027</v>
      </c>
      <c r="T489" s="75">
        <f t="shared" si="85"/>
        <v>699752.289266055</v>
      </c>
      <c r="U489" s="75">
        <f t="shared" si="86"/>
        <v>34987.6144633028</v>
      </c>
    </row>
    <row r="490" hidden="1" spans="1:21">
      <c r="A490" s="55">
        <v>487</v>
      </c>
      <c r="B490" s="76" t="s">
        <v>2892</v>
      </c>
      <c r="C490" s="72">
        <v>228.1</v>
      </c>
      <c r="D490" s="73">
        <v>3300</v>
      </c>
      <c r="E490" s="73">
        <f t="shared" si="89"/>
        <v>752730</v>
      </c>
      <c r="F490" s="74" t="s">
        <v>2890</v>
      </c>
      <c r="G490" s="75">
        <v>752730</v>
      </c>
      <c r="H490" s="75">
        <f t="shared" si="90"/>
        <v>0</v>
      </c>
      <c r="I490" s="86"/>
      <c r="J490" s="86"/>
      <c r="K490" s="87"/>
      <c r="L490" s="92"/>
      <c r="M490" s="88"/>
      <c r="N490" s="89">
        <f>VLOOKUP(B490,[2]信息汇总表!$M$2:$T$816,8,0)</f>
        <v>752730</v>
      </c>
      <c r="O490" s="89">
        <f t="shared" si="82"/>
        <v>690577.981651376</v>
      </c>
      <c r="P490" s="91">
        <v>690577.98</v>
      </c>
      <c r="Q490" s="88"/>
      <c r="R490" s="75">
        <f t="shared" si="83"/>
        <v>0</v>
      </c>
      <c r="S490" s="75">
        <f t="shared" si="84"/>
        <v>0</v>
      </c>
      <c r="T490" s="75">
        <f t="shared" si="85"/>
        <v>-690577.98</v>
      </c>
      <c r="U490" s="75">
        <f t="shared" si="86"/>
        <v>-34528.899</v>
      </c>
    </row>
    <row r="491" hidden="1" spans="1:21">
      <c r="A491" s="55"/>
      <c r="B491" s="76"/>
      <c r="C491" s="72"/>
      <c r="D491" s="73"/>
      <c r="E491" s="75">
        <f>SUM(E4:E490)</f>
        <v>108750857</v>
      </c>
      <c r="F491" s="74" t="s">
        <v>964</v>
      </c>
      <c r="G491" s="75">
        <f>SUM(G4:G490)</f>
        <v>105537012.67</v>
      </c>
      <c r="H491" s="75">
        <f>SUM(H4:H490)</f>
        <v>3213844.33</v>
      </c>
      <c r="I491" s="75">
        <f t="shared" ref="I491:P491" si="91">SUM(I4:I490)</f>
        <v>105158733.68</v>
      </c>
      <c r="J491" s="75">
        <f t="shared" si="91"/>
        <v>461638.532110092</v>
      </c>
      <c r="K491" s="75">
        <f t="shared" si="91"/>
        <v>63278.99</v>
      </c>
      <c r="L491" s="92"/>
      <c r="M491" s="88"/>
      <c r="N491" s="89">
        <f t="shared" si="91"/>
        <v>84129803.5938532</v>
      </c>
      <c r="O491" s="89">
        <f t="shared" si="91"/>
        <v>77183306.0494066</v>
      </c>
      <c r="P491" s="89">
        <f t="shared" si="91"/>
        <v>71826931.868955</v>
      </c>
      <c r="Q491" s="88"/>
      <c r="R491" s="75"/>
      <c r="S491" s="75"/>
      <c r="T491" s="75"/>
      <c r="U491" s="75"/>
    </row>
    <row r="492" spans="9:15">
      <c r="I492" s="49">
        <f>E491-I491-J491</f>
        <v>3130484.7878899</v>
      </c>
      <c r="N492" s="52">
        <f>N491+泰康小区!Q521+多浪小镇一期!O518</f>
        <v>224103930.123853</v>
      </c>
      <c r="O492" s="53"/>
    </row>
    <row r="494" spans="9:10">
      <c r="I494" s="98"/>
      <c r="J494" s="98"/>
    </row>
  </sheetData>
  <protectedRanges>
    <protectedRange sqref="C248" name="区域1_1"/>
    <protectedRange sqref="C244" name="区域1_1_1"/>
    <protectedRange sqref="C285" name="区域1_1_2"/>
    <protectedRange sqref="C306" name="区域1_1_3"/>
    <protectedRange sqref="C336" name="区域1_1_4"/>
  </protectedRanges>
  <autoFilter ref="A3:U492">
    <filterColumn colId="5">
      <filters blank="1"/>
    </filterColumn>
    <extLst/>
  </autoFilter>
  <mergeCells count="15">
    <mergeCell ref="B1:E1"/>
    <mergeCell ref="G1:H1"/>
    <mergeCell ref="D2:E2"/>
    <mergeCell ref="A2:A3"/>
    <mergeCell ref="B2:B3"/>
    <mergeCell ref="C2:C3"/>
    <mergeCell ref="F2:F3"/>
    <mergeCell ref="G2:G3"/>
    <mergeCell ref="H2:H3"/>
    <mergeCell ref="K1:K3"/>
    <mergeCell ref="L1:L3"/>
    <mergeCell ref="M1:M3"/>
    <mergeCell ref="N1:N3"/>
    <mergeCell ref="P1:P3"/>
    <mergeCell ref="I1:J2"/>
  </mergeCells>
  <pageMargins left="0.75" right="0.75" top="1" bottom="1" header="0.5" footer="0.5"/>
  <pageSetup paperSize="9" orientation="portrait"/>
  <headerFooter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Q1947"/>
  <sheetViews>
    <sheetView workbookViewId="0">
      <selection activeCell="O1093" sqref="O1093:O1638"/>
    </sheetView>
  </sheetViews>
  <sheetFormatPr defaultColWidth="10" defaultRowHeight="13.5"/>
  <cols>
    <col min="1" max="1" width="2.56666666666667" style="1" customWidth="1"/>
    <col min="2" max="2" width="5.5" style="1" customWidth="1"/>
    <col min="3" max="3" width="11.5" style="1" customWidth="1"/>
    <col min="4" max="5" width="7" style="1" customWidth="1"/>
    <col min="6" max="6" width="35.825" style="1" customWidth="1"/>
    <col min="7" max="7" width="7.775" style="1" customWidth="1"/>
    <col min="8" max="8" width="9.76666666666667" style="1" customWidth="1"/>
    <col min="9" max="9" width="11.85" style="1" customWidth="1"/>
    <col min="10" max="10" width="11.0333333333333" style="1" customWidth="1"/>
    <col min="11" max="11" width="13.75" style="1" customWidth="1"/>
    <col min="12" max="12" width="25.6916666666667" style="1" customWidth="1"/>
    <col min="13" max="13" width="2.56666666666667" style="1" customWidth="1"/>
    <col min="14" max="14" width="23.1333333333333" style="1" customWidth="1"/>
    <col min="15" max="15" width="21.25" style="29" customWidth="1"/>
    <col min="16" max="17" width="12.8916666666667" style="1"/>
    <col min="18" max="16384" width="10" style="1"/>
  </cols>
  <sheetData>
    <row r="1" s="1" customFormat="1" ht="16.35" customHeight="1" spans="2:16">
      <c r="B1" s="4" t="s">
        <v>2893</v>
      </c>
      <c r="C1" s="4" t="s">
        <v>2894</v>
      </c>
      <c r="D1" s="4" t="s">
        <v>2895</v>
      </c>
      <c r="E1" s="4" t="s">
        <v>2896</v>
      </c>
      <c r="F1" s="4" t="s">
        <v>2897</v>
      </c>
      <c r="G1" s="4" t="s">
        <v>2898</v>
      </c>
      <c r="H1" s="4" t="s">
        <v>2899</v>
      </c>
      <c r="I1" s="4" t="s">
        <v>2900</v>
      </c>
      <c r="J1" s="4" t="s">
        <v>2901</v>
      </c>
      <c r="K1" s="4" t="s">
        <v>2902</v>
      </c>
      <c r="L1" s="4" t="s">
        <v>2903</v>
      </c>
      <c r="N1" s="30" t="s">
        <v>2904</v>
      </c>
      <c r="O1" s="31" t="s">
        <v>2905</v>
      </c>
      <c r="P1" s="1" t="s">
        <v>12</v>
      </c>
    </row>
    <row r="2" s="1" customFormat="1" ht="16.35" hidden="1" customHeight="1" spans="1:15">
      <c r="A2" s="5"/>
      <c r="B2" s="6" t="s">
        <v>2906</v>
      </c>
      <c r="C2" s="6">
        <v>2010</v>
      </c>
      <c r="D2" s="6">
        <v>1</v>
      </c>
      <c r="E2" s="7">
        <v>6</v>
      </c>
      <c r="F2" s="6" t="s">
        <v>2907</v>
      </c>
      <c r="G2" s="6" t="s">
        <v>2908</v>
      </c>
      <c r="H2" s="6" t="s">
        <v>2909</v>
      </c>
      <c r="I2" s="8">
        <v>30000</v>
      </c>
      <c r="J2" s="8"/>
      <c r="K2" s="6" t="s">
        <v>2910</v>
      </c>
      <c r="L2" s="6" t="s">
        <v>2911</v>
      </c>
      <c r="N2" s="6" t="s">
        <v>2911</v>
      </c>
      <c r="O2" s="29">
        <v>0</v>
      </c>
    </row>
    <row r="3" s="1" customFormat="1" ht="16.35" hidden="1" customHeight="1" spans="1:15">
      <c r="A3" s="5"/>
      <c r="B3" s="6" t="s">
        <v>2906</v>
      </c>
      <c r="C3" s="6">
        <v>2010</v>
      </c>
      <c r="D3" s="6">
        <v>4</v>
      </c>
      <c r="E3" s="7">
        <v>6</v>
      </c>
      <c r="F3" s="6" t="s">
        <v>2912</v>
      </c>
      <c r="G3" s="6" t="s">
        <v>2908</v>
      </c>
      <c r="H3" s="6" t="s">
        <v>2909</v>
      </c>
      <c r="I3" s="8"/>
      <c r="J3" s="8">
        <v>30000</v>
      </c>
      <c r="K3" s="6" t="s">
        <v>2913</v>
      </c>
      <c r="L3" s="6" t="s">
        <v>2914</v>
      </c>
      <c r="N3" s="6" t="s">
        <v>2914</v>
      </c>
      <c r="O3" s="29">
        <v>30000</v>
      </c>
    </row>
    <row r="4" s="1" customFormat="1" ht="16.35" hidden="1" customHeight="1" spans="1:15">
      <c r="A4" s="5"/>
      <c r="B4" s="6" t="s">
        <v>2906</v>
      </c>
      <c r="C4" s="6">
        <v>2010</v>
      </c>
      <c r="D4" s="6">
        <v>4</v>
      </c>
      <c r="E4" s="7">
        <v>6</v>
      </c>
      <c r="F4" s="6" t="s">
        <v>2915</v>
      </c>
      <c r="G4" s="6" t="s">
        <v>2908</v>
      </c>
      <c r="H4" s="6" t="s">
        <v>2909</v>
      </c>
      <c r="I4" s="8"/>
      <c r="J4" s="8">
        <v>20000</v>
      </c>
      <c r="K4" s="6" t="s">
        <v>2916</v>
      </c>
      <c r="L4" s="6" t="s">
        <v>2917</v>
      </c>
      <c r="N4" s="6" t="s">
        <v>2917</v>
      </c>
      <c r="O4" s="29">
        <v>20000</v>
      </c>
    </row>
    <row r="5" s="1" customFormat="1" ht="16.35" hidden="1" customHeight="1" spans="1:15">
      <c r="A5" s="5"/>
      <c r="B5" s="6" t="s">
        <v>2906</v>
      </c>
      <c r="C5" s="6">
        <v>2010</v>
      </c>
      <c r="D5" s="6">
        <v>5</v>
      </c>
      <c r="E5" s="7">
        <v>52</v>
      </c>
      <c r="F5" s="6" t="s">
        <v>2918</v>
      </c>
      <c r="G5" s="6" t="s">
        <v>2908</v>
      </c>
      <c r="H5" s="6" t="s">
        <v>2909</v>
      </c>
      <c r="I5" s="8"/>
      <c r="J5" s="8">
        <v>-20000</v>
      </c>
      <c r="K5" s="6" t="s">
        <v>2919</v>
      </c>
      <c r="L5" s="6" t="s">
        <v>2920</v>
      </c>
      <c r="N5" s="6" t="s">
        <v>2920</v>
      </c>
      <c r="O5" s="29">
        <v>-20000</v>
      </c>
    </row>
    <row r="6" s="1" customFormat="1" ht="16.35" hidden="1" customHeight="1" spans="1:15">
      <c r="A6" s="5"/>
      <c r="B6" s="6" t="s">
        <v>2906</v>
      </c>
      <c r="C6" s="6">
        <v>2012</v>
      </c>
      <c r="D6" s="6">
        <v>9</v>
      </c>
      <c r="E6" s="7">
        <v>4</v>
      </c>
      <c r="F6" s="6" t="s">
        <v>2921</v>
      </c>
      <c r="G6" s="6" t="s">
        <v>2908</v>
      </c>
      <c r="H6" s="6" t="s">
        <v>2909</v>
      </c>
      <c r="I6" s="8"/>
      <c r="J6" s="8">
        <v>3820000</v>
      </c>
      <c r="K6" s="6" t="s">
        <v>2922</v>
      </c>
      <c r="L6" s="6" t="s">
        <v>2923</v>
      </c>
      <c r="N6" s="6" t="s">
        <v>2923</v>
      </c>
      <c r="O6" s="29">
        <v>3820000</v>
      </c>
    </row>
    <row r="7" s="1" customFormat="1" ht="16.35" hidden="1" customHeight="1" spans="1:15">
      <c r="A7" s="5"/>
      <c r="B7" s="6" t="s">
        <v>2906</v>
      </c>
      <c r="C7" s="6">
        <v>2012</v>
      </c>
      <c r="D7" s="6">
        <v>9</v>
      </c>
      <c r="E7" s="7">
        <v>63</v>
      </c>
      <c r="F7" s="6" t="s">
        <v>2924</v>
      </c>
      <c r="G7" s="6" t="s">
        <v>2908</v>
      </c>
      <c r="H7" s="6" t="s">
        <v>2909</v>
      </c>
      <c r="I7" s="8"/>
      <c r="J7" s="8">
        <v>5000000</v>
      </c>
      <c r="K7" s="6" t="s">
        <v>2922</v>
      </c>
      <c r="L7" s="6" t="s">
        <v>2923</v>
      </c>
      <c r="N7" s="6" t="s">
        <v>2923</v>
      </c>
      <c r="O7" s="29">
        <v>5000000</v>
      </c>
    </row>
    <row r="8" s="1" customFormat="1" ht="16.35" hidden="1" customHeight="1" spans="1:15">
      <c r="A8" s="5"/>
      <c r="B8" s="6" t="s">
        <v>2906</v>
      </c>
      <c r="C8" s="6">
        <v>2012</v>
      </c>
      <c r="D8" s="6">
        <v>10</v>
      </c>
      <c r="E8" s="7">
        <v>19</v>
      </c>
      <c r="F8" s="6" t="s">
        <v>2925</v>
      </c>
      <c r="G8" s="6" t="s">
        <v>2908</v>
      </c>
      <c r="H8" s="6" t="s">
        <v>2909</v>
      </c>
      <c r="I8" s="8"/>
      <c r="J8" s="8">
        <v>2710000</v>
      </c>
      <c r="K8" s="6" t="s">
        <v>2922</v>
      </c>
      <c r="L8" s="6" t="s">
        <v>2923</v>
      </c>
      <c r="N8" s="6" t="s">
        <v>2923</v>
      </c>
      <c r="O8" s="29">
        <v>2710000</v>
      </c>
    </row>
    <row r="9" s="1" customFormat="1" ht="16.35" hidden="1" customHeight="1" spans="1:15">
      <c r="A9" s="5"/>
      <c r="B9" s="6" t="s">
        <v>2906</v>
      </c>
      <c r="C9" s="6">
        <v>2012</v>
      </c>
      <c r="D9" s="6">
        <v>11</v>
      </c>
      <c r="E9" s="7">
        <v>43</v>
      </c>
      <c r="F9" s="6" t="s">
        <v>2926</v>
      </c>
      <c r="G9" s="6" t="s">
        <v>2908</v>
      </c>
      <c r="H9" s="6" t="s">
        <v>2909</v>
      </c>
      <c r="I9" s="8"/>
      <c r="J9" s="8">
        <v>1000000</v>
      </c>
      <c r="K9" s="6" t="s">
        <v>2922</v>
      </c>
      <c r="L9" s="6" t="s">
        <v>2923</v>
      </c>
      <c r="N9" s="6" t="s">
        <v>2923</v>
      </c>
      <c r="O9" s="29">
        <v>1000000</v>
      </c>
    </row>
    <row r="10" s="1" customFormat="1" ht="16.35" hidden="1" customHeight="1" spans="1:15">
      <c r="A10" s="5"/>
      <c r="B10" s="6" t="s">
        <v>2906</v>
      </c>
      <c r="C10" s="6">
        <v>2012</v>
      </c>
      <c r="D10" s="6">
        <v>12</v>
      </c>
      <c r="E10" s="7">
        <v>33</v>
      </c>
      <c r="F10" s="6" t="s">
        <v>2927</v>
      </c>
      <c r="G10" s="6" t="s">
        <v>2908</v>
      </c>
      <c r="H10" s="6" t="s">
        <v>2909</v>
      </c>
      <c r="I10" s="8">
        <v>1000000</v>
      </c>
      <c r="J10" s="8"/>
      <c r="K10" s="6" t="s">
        <v>2922</v>
      </c>
      <c r="L10" s="6" t="s">
        <v>2923</v>
      </c>
      <c r="N10" s="6" t="s">
        <v>2923</v>
      </c>
      <c r="O10" s="29">
        <v>0</v>
      </c>
    </row>
    <row r="11" s="1" customFormat="1" ht="16.35" hidden="1" customHeight="1" spans="1:15">
      <c r="A11" s="5"/>
      <c r="B11" s="6" t="s">
        <v>2906</v>
      </c>
      <c r="C11" s="6">
        <v>2013</v>
      </c>
      <c r="D11" s="6">
        <v>8</v>
      </c>
      <c r="E11" s="7">
        <v>31</v>
      </c>
      <c r="F11" s="6" t="s">
        <v>2928</v>
      </c>
      <c r="G11" s="6" t="s">
        <v>2908</v>
      </c>
      <c r="H11" s="6" t="s">
        <v>2909</v>
      </c>
      <c r="I11" s="8"/>
      <c r="J11" s="8">
        <v>3360000</v>
      </c>
      <c r="K11" s="6" t="s">
        <v>2929</v>
      </c>
      <c r="L11" s="6" t="s">
        <v>2930</v>
      </c>
      <c r="N11" s="6" t="s">
        <v>2930</v>
      </c>
      <c r="O11" s="29">
        <v>3360000</v>
      </c>
    </row>
    <row r="12" s="1" customFormat="1" ht="16.35" hidden="1" customHeight="1" spans="1:15">
      <c r="A12" s="5"/>
      <c r="B12" s="6" t="s">
        <v>2906</v>
      </c>
      <c r="C12" s="6">
        <v>2013</v>
      </c>
      <c r="D12" s="6">
        <v>11</v>
      </c>
      <c r="E12" s="7">
        <v>36</v>
      </c>
      <c r="F12" s="6" t="s">
        <v>2931</v>
      </c>
      <c r="G12" s="6" t="s">
        <v>2908</v>
      </c>
      <c r="H12" s="6" t="s">
        <v>2909</v>
      </c>
      <c r="I12" s="8"/>
      <c r="J12" s="8">
        <v>700000</v>
      </c>
      <c r="K12" s="6" t="s">
        <v>2929</v>
      </c>
      <c r="L12" s="6" t="s">
        <v>2930</v>
      </c>
      <c r="N12" s="6" t="s">
        <v>2930</v>
      </c>
      <c r="O12" s="29">
        <v>700000</v>
      </c>
    </row>
    <row r="13" s="1" customFormat="1" ht="16.35" hidden="1" customHeight="1" spans="1:15">
      <c r="A13" s="5"/>
      <c r="B13" s="6" t="s">
        <v>2906</v>
      </c>
      <c r="C13" s="6">
        <v>2013</v>
      </c>
      <c r="D13" s="6">
        <v>11</v>
      </c>
      <c r="E13" s="7">
        <v>52</v>
      </c>
      <c r="F13" s="6" t="s">
        <v>2932</v>
      </c>
      <c r="G13" s="6" t="s">
        <v>2908</v>
      </c>
      <c r="H13" s="6" t="s">
        <v>2909</v>
      </c>
      <c r="I13" s="8"/>
      <c r="J13" s="8">
        <v>2016000</v>
      </c>
      <c r="K13" s="6" t="s">
        <v>2929</v>
      </c>
      <c r="L13" s="6" t="s">
        <v>2930</v>
      </c>
      <c r="N13" s="6" t="s">
        <v>2930</v>
      </c>
      <c r="O13" s="29">
        <v>2016000</v>
      </c>
    </row>
    <row r="14" s="1" customFormat="1" ht="16.35" hidden="1" customHeight="1" spans="1:15">
      <c r="A14" s="5"/>
      <c r="B14" s="6" t="s">
        <v>2906</v>
      </c>
      <c r="C14" s="6">
        <v>2013</v>
      </c>
      <c r="D14" s="6">
        <v>12</v>
      </c>
      <c r="E14" s="7">
        <v>17</v>
      </c>
      <c r="F14" s="6" t="s">
        <v>2933</v>
      </c>
      <c r="G14" s="6" t="s">
        <v>2908</v>
      </c>
      <c r="H14" s="6" t="s">
        <v>2909</v>
      </c>
      <c r="I14" s="8"/>
      <c r="J14" s="8">
        <v>420000</v>
      </c>
      <c r="K14" s="6" t="s">
        <v>2929</v>
      </c>
      <c r="L14" s="6" t="s">
        <v>2930</v>
      </c>
      <c r="N14" s="6" t="s">
        <v>2930</v>
      </c>
      <c r="O14" s="29">
        <v>420000</v>
      </c>
    </row>
    <row r="15" s="1" customFormat="1" ht="16.35" hidden="1" customHeight="1" spans="1:15">
      <c r="A15" s="5"/>
      <c r="B15" s="6" t="s">
        <v>2906</v>
      </c>
      <c r="C15" s="6">
        <v>2014</v>
      </c>
      <c r="D15" s="6">
        <v>8</v>
      </c>
      <c r="E15" s="7">
        <v>4</v>
      </c>
      <c r="F15" s="6" t="s">
        <v>2934</v>
      </c>
      <c r="G15" s="6" t="s">
        <v>2908</v>
      </c>
      <c r="H15" s="6" t="s">
        <v>2909</v>
      </c>
      <c r="I15" s="8"/>
      <c r="J15" s="8">
        <v>864864</v>
      </c>
      <c r="K15" s="6" t="s">
        <v>2922</v>
      </c>
      <c r="L15" s="6" t="s">
        <v>2923</v>
      </c>
      <c r="N15" s="6" t="s">
        <v>2923</v>
      </c>
      <c r="O15" s="29">
        <v>864864</v>
      </c>
    </row>
    <row r="16" s="1" customFormat="1" ht="16.35" hidden="1" customHeight="1" spans="1:15">
      <c r="A16" s="5"/>
      <c r="B16" s="6" t="s">
        <v>2906</v>
      </c>
      <c r="C16" s="6">
        <v>2016</v>
      </c>
      <c r="D16" s="6">
        <v>1</v>
      </c>
      <c r="E16" s="7">
        <v>12</v>
      </c>
      <c r="F16" s="6" t="s">
        <v>2935</v>
      </c>
      <c r="G16" s="6" t="s">
        <v>2908</v>
      </c>
      <c r="H16" s="6" t="s">
        <v>2909</v>
      </c>
      <c r="I16" s="8"/>
      <c r="J16" s="8">
        <v>279456</v>
      </c>
      <c r="K16" s="6" t="s">
        <v>2936</v>
      </c>
      <c r="L16" s="6" t="s">
        <v>982</v>
      </c>
      <c r="N16" s="6" t="s">
        <v>982</v>
      </c>
      <c r="O16" s="29">
        <v>279456</v>
      </c>
    </row>
    <row r="17" s="1" customFormat="1" ht="16.35" hidden="1" customHeight="1" spans="1:15">
      <c r="A17" s="5"/>
      <c r="B17" s="6" t="s">
        <v>2906</v>
      </c>
      <c r="C17" s="6">
        <v>2016</v>
      </c>
      <c r="D17" s="6">
        <v>1</v>
      </c>
      <c r="E17" s="7">
        <v>12</v>
      </c>
      <c r="F17" s="6" t="s">
        <v>2935</v>
      </c>
      <c r="G17" s="6" t="s">
        <v>2908</v>
      </c>
      <c r="H17" s="6" t="s">
        <v>2909</v>
      </c>
      <c r="I17" s="8"/>
      <c r="J17" s="8">
        <v>276614</v>
      </c>
      <c r="K17" s="6" t="s">
        <v>2937</v>
      </c>
      <c r="L17" s="6" t="s">
        <v>985</v>
      </c>
      <c r="N17" s="6" t="s">
        <v>985</v>
      </c>
      <c r="O17" s="29">
        <v>276614</v>
      </c>
    </row>
    <row r="18" s="1" customFormat="1" ht="16.35" hidden="1" customHeight="1" spans="1:15">
      <c r="A18" s="5"/>
      <c r="B18" s="6" t="s">
        <v>2906</v>
      </c>
      <c r="C18" s="6">
        <v>2016</v>
      </c>
      <c r="D18" s="6">
        <v>1</v>
      </c>
      <c r="E18" s="7">
        <v>12</v>
      </c>
      <c r="F18" s="6" t="s">
        <v>2935</v>
      </c>
      <c r="G18" s="6" t="s">
        <v>2908</v>
      </c>
      <c r="H18" s="6" t="s">
        <v>2909</v>
      </c>
      <c r="I18" s="8"/>
      <c r="J18" s="8">
        <v>254110</v>
      </c>
      <c r="K18" s="6" t="s">
        <v>2938</v>
      </c>
      <c r="L18" s="6" t="s">
        <v>995</v>
      </c>
      <c r="N18" s="6" t="s">
        <v>995</v>
      </c>
      <c r="O18" s="29">
        <v>254110</v>
      </c>
    </row>
    <row r="19" s="1" customFormat="1" ht="16.35" hidden="1" customHeight="1" spans="1:15">
      <c r="A19" s="5"/>
      <c r="B19" s="6" t="s">
        <v>2906</v>
      </c>
      <c r="C19" s="6">
        <v>2016</v>
      </c>
      <c r="D19" s="6">
        <v>1</v>
      </c>
      <c r="E19" s="7">
        <v>12</v>
      </c>
      <c r="F19" s="6" t="s">
        <v>2935</v>
      </c>
      <c r="G19" s="6" t="s">
        <v>2908</v>
      </c>
      <c r="H19" s="6" t="s">
        <v>2909</v>
      </c>
      <c r="I19" s="8"/>
      <c r="J19" s="8">
        <v>238834</v>
      </c>
      <c r="K19" s="6" t="s">
        <v>2939</v>
      </c>
      <c r="L19" s="6" t="s">
        <v>997</v>
      </c>
      <c r="N19" s="6" t="s">
        <v>997</v>
      </c>
      <c r="O19" s="29">
        <v>238834</v>
      </c>
    </row>
    <row r="20" s="1" customFormat="1" ht="16.35" hidden="1" customHeight="1" spans="1:15">
      <c r="A20" s="5"/>
      <c r="B20" s="6" t="s">
        <v>2906</v>
      </c>
      <c r="C20" s="6">
        <v>2016</v>
      </c>
      <c r="D20" s="6">
        <v>1</v>
      </c>
      <c r="E20" s="7">
        <v>12</v>
      </c>
      <c r="F20" s="6" t="s">
        <v>2935</v>
      </c>
      <c r="G20" s="6" t="s">
        <v>2908</v>
      </c>
      <c r="H20" s="6" t="s">
        <v>2909</v>
      </c>
      <c r="I20" s="8"/>
      <c r="J20" s="8">
        <v>237758</v>
      </c>
      <c r="K20" s="6" t="s">
        <v>2940</v>
      </c>
      <c r="L20" s="6" t="s">
        <v>999</v>
      </c>
      <c r="N20" s="6" t="s">
        <v>999</v>
      </c>
      <c r="O20" s="29">
        <v>237758</v>
      </c>
    </row>
    <row r="21" s="1" customFormat="1" ht="16.35" hidden="1" customHeight="1" spans="1:15">
      <c r="A21" s="5"/>
      <c r="B21" s="6" t="s">
        <v>2906</v>
      </c>
      <c r="C21" s="6">
        <v>2016</v>
      </c>
      <c r="D21" s="6">
        <v>1</v>
      </c>
      <c r="E21" s="7">
        <v>12</v>
      </c>
      <c r="F21" s="6" t="s">
        <v>2935</v>
      </c>
      <c r="G21" s="6" t="s">
        <v>2908</v>
      </c>
      <c r="H21" s="6" t="s">
        <v>2909</v>
      </c>
      <c r="I21" s="8"/>
      <c r="J21" s="8">
        <v>205982</v>
      </c>
      <c r="K21" s="6" t="s">
        <v>2941</v>
      </c>
      <c r="L21" s="6" t="s">
        <v>1001</v>
      </c>
      <c r="N21" s="6" t="s">
        <v>1001</v>
      </c>
      <c r="O21" s="29">
        <v>205982</v>
      </c>
    </row>
    <row r="22" s="1" customFormat="1" ht="16.35" hidden="1" customHeight="1" spans="1:15">
      <c r="A22" s="5"/>
      <c r="B22" s="6" t="s">
        <v>2906</v>
      </c>
      <c r="C22" s="6">
        <v>2016</v>
      </c>
      <c r="D22" s="6">
        <v>1</v>
      </c>
      <c r="E22" s="7">
        <v>12</v>
      </c>
      <c r="F22" s="6" t="s">
        <v>2935</v>
      </c>
      <c r="G22" s="6" t="s">
        <v>2908</v>
      </c>
      <c r="H22" s="6" t="s">
        <v>2909</v>
      </c>
      <c r="I22" s="8"/>
      <c r="J22" s="8">
        <v>205054</v>
      </c>
      <c r="K22" s="6" t="s">
        <v>2942</v>
      </c>
      <c r="L22" s="6" t="s">
        <v>1003</v>
      </c>
      <c r="N22" s="6" t="s">
        <v>1003</v>
      </c>
      <c r="O22" s="29">
        <v>205054</v>
      </c>
    </row>
    <row r="23" s="1" customFormat="1" ht="16.35" hidden="1" customHeight="1" spans="1:15">
      <c r="A23" s="5"/>
      <c r="B23" s="6" t="s">
        <v>2906</v>
      </c>
      <c r="C23" s="6">
        <v>2016</v>
      </c>
      <c r="D23" s="6">
        <v>1</v>
      </c>
      <c r="E23" s="7">
        <v>12</v>
      </c>
      <c r="F23" s="6" t="s">
        <v>2935</v>
      </c>
      <c r="G23" s="6" t="s">
        <v>2908</v>
      </c>
      <c r="H23" s="6" t="s">
        <v>2909</v>
      </c>
      <c r="I23" s="8"/>
      <c r="J23" s="8">
        <v>179872</v>
      </c>
      <c r="K23" s="6" t="s">
        <v>2943</v>
      </c>
      <c r="L23" s="6" t="s">
        <v>1013</v>
      </c>
      <c r="N23" s="6" t="s">
        <v>1013</v>
      </c>
      <c r="O23" s="29">
        <v>179872</v>
      </c>
    </row>
    <row r="24" s="1" customFormat="1" ht="16.35" hidden="1" customHeight="1" spans="1:15">
      <c r="A24" s="5"/>
      <c r="B24" s="6" t="s">
        <v>2906</v>
      </c>
      <c r="C24" s="6">
        <v>2016</v>
      </c>
      <c r="D24" s="6">
        <v>1</v>
      </c>
      <c r="E24" s="7">
        <v>12</v>
      </c>
      <c r="F24" s="6" t="s">
        <v>2935</v>
      </c>
      <c r="G24" s="6" t="s">
        <v>2908</v>
      </c>
      <c r="H24" s="6" t="s">
        <v>2909</v>
      </c>
      <c r="I24" s="8"/>
      <c r="J24" s="8">
        <v>254110</v>
      </c>
      <c r="K24" s="6" t="s">
        <v>2944</v>
      </c>
      <c r="L24" s="6" t="s">
        <v>1017</v>
      </c>
      <c r="N24" s="6" t="s">
        <v>1017</v>
      </c>
      <c r="O24" s="29">
        <v>254110</v>
      </c>
    </row>
    <row r="25" s="1" customFormat="1" ht="16.35" hidden="1" customHeight="1" spans="1:15">
      <c r="A25" s="5"/>
      <c r="B25" s="6" t="s">
        <v>2906</v>
      </c>
      <c r="C25" s="6">
        <v>2016</v>
      </c>
      <c r="D25" s="6">
        <v>1</v>
      </c>
      <c r="E25" s="7">
        <v>12</v>
      </c>
      <c r="F25" s="6" t="s">
        <v>2935</v>
      </c>
      <c r="G25" s="6" t="s">
        <v>2908</v>
      </c>
      <c r="H25" s="6" t="s">
        <v>2909</v>
      </c>
      <c r="I25" s="8"/>
      <c r="J25" s="8">
        <v>239393</v>
      </c>
      <c r="K25" s="6" t="s">
        <v>2945</v>
      </c>
      <c r="L25" s="6" t="s">
        <v>1021</v>
      </c>
      <c r="N25" s="6" t="s">
        <v>1021</v>
      </c>
      <c r="O25" s="29">
        <v>239393</v>
      </c>
    </row>
    <row r="26" s="1" customFormat="1" ht="16.35" hidden="1" customHeight="1" spans="1:15">
      <c r="A26" s="5"/>
      <c r="B26" s="6" t="s">
        <v>2906</v>
      </c>
      <c r="C26" s="6">
        <v>2016</v>
      </c>
      <c r="D26" s="6">
        <v>1</v>
      </c>
      <c r="E26" s="7">
        <v>12</v>
      </c>
      <c r="F26" s="6" t="s">
        <v>2935</v>
      </c>
      <c r="G26" s="6" t="s">
        <v>2908</v>
      </c>
      <c r="H26" s="6" t="s">
        <v>2909</v>
      </c>
      <c r="I26" s="8"/>
      <c r="J26" s="8">
        <v>239393</v>
      </c>
      <c r="K26" s="6" t="s">
        <v>2946</v>
      </c>
      <c r="L26" s="6" t="s">
        <v>1023</v>
      </c>
      <c r="N26" s="6" t="s">
        <v>1023</v>
      </c>
      <c r="O26" s="29">
        <v>239393</v>
      </c>
    </row>
    <row r="27" s="1" customFormat="1" ht="16.35" hidden="1" customHeight="1" spans="1:15">
      <c r="A27" s="5"/>
      <c r="B27" s="6" t="s">
        <v>2906</v>
      </c>
      <c r="C27" s="6">
        <v>2016</v>
      </c>
      <c r="D27" s="6">
        <v>1</v>
      </c>
      <c r="E27" s="7">
        <v>12</v>
      </c>
      <c r="F27" s="6" t="s">
        <v>2935</v>
      </c>
      <c r="G27" s="6" t="s">
        <v>2908</v>
      </c>
      <c r="H27" s="6" t="s">
        <v>2909</v>
      </c>
      <c r="I27" s="8"/>
      <c r="J27" s="8">
        <v>206853</v>
      </c>
      <c r="K27" s="6" t="s">
        <v>2947</v>
      </c>
      <c r="L27" s="6" t="s">
        <v>1025</v>
      </c>
      <c r="N27" s="6" t="s">
        <v>1025</v>
      </c>
      <c r="O27" s="29">
        <v>206853</v>
      </c>
    </row>
    <row r="28" s="1" customFormat="1" ht="16.35" hidden="1" customHeight="1" spans="1:15">
      <c r="A28" s="5"/>
      <c r="B28" s="6" t="s">
        <v>2906</v>
      </c>
      <c r="C28" s="6">
        <v>2016</v>
      </c>
      <c r="D28" s="6">
        <v>1</v>
      </c>
      <c r="E28" s="7">
        <v>12</v>
      </c>
      <c r="F28" s="6" t="s">
        <v>2935</v>
      </c>
      <c r="G28" s="6" t="s">
        <v>2908</v>
      </c>
      <c r="H28" s="6" t="s">
        <v>2909</v>
      </c>
      <c r="I28" s="8"/>
      <c r="J28" s="8">
        <v>206853</v>
      </c>
      <c r="K28" s="6" t="s">
        <v>2948</v>
      </c>
      <c r="L28" s="6" t="s">
        <v>1027</v>
      </c>
      <c r="N28" s="6" t="s">
        <v>1027</v>
      </c>
      <c r="O28" s="29">
        <v>206853</v>
      </c>
    </row>
    <row r="29" s="1" customFormat="1" ht="16.35" hidden="1" customHeight="1" spans="1:15">
      <c r="A29" s="5"/>
      <c r="B29" s="6" t="s">
        <v>2906</v>
      </c>
      <c r="C29" s="6">
        <v>2016</v>
      </c>
      <c r="D29" s="6">
        <v>1</v>
      </c>
      <c r="E29" s="7">
        <v>12</v>
      </c>
      <c r="F29" s="6" t="s">
        <v>2935</v>
      </c>
      <c r="G29" s="6" t="s">
        <v>2908</v>
      </c>
      <c r="H29" s="6" t="s">
        <v>2909</v>
      </c>
      <c r="I29" s="8"/>
      <c r="J29" s="8">
        <v>275368</v>
      </c>
      <c r="K29" s="6" t="s">
        <v>2949</v>
      </c>
      <c r="L29" s="6" t="s">
        <v>1033</v>
      </c>
      <c r="N29" s="6" t="s">
        <v>1033</v>
      </c>
      <c r="O29" s="29">
        <v>275368</v>
      </c>
    </row>
    <row r="30" s="1" customFormat="1" ht="16.35" hidden="1" customHeight="1" spans="1:15">
      <c r="A30" s="5"/>
      <c r="B30" s="6" t="s">
        <v>2906</v>
      </c>
      <c r="C30" s="6">
        <v>2016</v>
      </c>
      <c r="D30" s="6">
        <v>1</v>
      </c>
      <c r="E30" s="7">
        <v>12</v>
      </c>
      <c r="F30" s="6" t="s">
        <v>2935</v>
      </c>
      <c r="G30" s="6" t="s">
        <v>2908</v>
      </c>
      <c r="H30" s="6" t="s">
        <v>2909</v>
      </c>
      <c r="I30" s="8"/>
      <c r="J30" s="8">
        <v>239393</v>
      </c>
      <c r="K30" s="6" t="s">
        <v>2950</v>
      </c>
      <c r="L30" s="6" t="s">
        <v>1045</v>
      </c>
      <c r="N30" s="6" t="s">
        <v>1045</v>
      </c>
      <c r="O30" s="29">
        <v>239393</v>
      </c>
    </row>
    <row r="31" s="1" customFormat="1" ht="16.35" hidden="1" customHeight="1" spans="1:15">
      <c r="A31" s="5"/>
      <c r="B31" s="6" t="s">
        <v>2906</v>
      </c>
      <c r="C31" s="6">
        <v>2016</v>
      </c>
      <c r="D31" s="6">
        <v>1</v>
      </c>
      <c r="E31" s="7">
        <v>12</v>
      </c>
      <c r="F31" s="6" t="s">
        <v>2935</v>
      </c>
      <c r="G31" s="6" t="s">
        <v>2908</v>
      </c>
      <c r="H31" s="6" t="s">
        <v>2909</v>
      </c>
      <c r="I31" s="8"/>
      <c r="J31" s="8">
        <v>165155</v>
      </c>
      <c r="K31" s="6" t="s">
        <v>2951</v>
      </c>
      <c r="L31" s="6" t="s">
        <v>1047</v>
      </c>
      <c r="N31" s="6" t="s">
        <v>1047</v>
      </c>
      <c r="O31" s="29">
        <v>165155</v>
      </c>
    </row>
    <row r="32" s="1" customFormat="1" ht="16.35" hidden="1" customHeight="1" spans="1:15">
      <c r="A32" s="5"/>
      <c r="B32" s="6" t="s">
        <v>2906</v>
      </c>
      <c r="C32" s="6">
        <v>2016</v>
      </c>
      <c r="D32" s="6">
        <v>1</v>
      </c>
      <c r="E32" s="7">
        <v>12</v>
      </c>
      <c r="F32" s="6" t="s">
        <v>2935</v>
      </c>
      <c r="G32" s="6" t="s">
        <v>2908</v>
      </c>
      <c r="H32" s="6" t="s">
        <v>2909</v>
      </c>
      <c r="I32" s="8"/>
      <c r="J32" s="8">
        <v>151256</v>
      </c>
      <c r="K32" s="6" t="s">
        <v>2952</v>
      </c>
      <c r="L32" s="6" t="s">
        <v>1049</v>
      </c>
      <c r="N32" s="6" t="s">
        <v>1049</v>
      </c>
      <c r="O32" s="29">
        <v>151256</v>
      </c>
    </row>
    <row r="33" s="1" customFormat="1" ht="16.35" hidden="1" customHeight="1" spans="1:15">
      <c r="A33" s="5"/>
      <c r="B33" s="6" t="s">
        <v>2906</v>
      </c>
      <c r="C33" s="6">
        <v>2016</v>
      </c>
      <c r="D33" s="6">
        <v>1</v>
      </c>
      <c r="E33" s="7">
        <v>12</v>
      </c>
      <c r="F33" s="6" t="s">
        <v>2935</v>
      </c>
      <c r="G33" s="6" t="s">
        <v>2908</v>
      </c>
      <c r="H33" s="6" t="s">
        <v>2909</v>
      </c>
      <c r="I33" s="8"/>
      <c r="J33" s="8">
        <v>206853</v>
      </c>
      <c r="K33" s="6" t="s">
        <v>2953</v>
      </c>
      <c r="L33" s="6" t="s">
        <v>1051</v>
      </c>
      <c r="N33" s="6" t="s">
        <v>1051</v>
      </c>
      <c r="O33" s="29">
        <v>206853</v>
      </c>
    </row>
    <row r="34" s="1" customFormat="1" ht="16.35" hidden="1" customHeight="1" spans="1:15">
      <c r="A34" s="5"/>
      <c r="B34" s="6" t="s">
        <v>2906</v>
      </c>
      <c r="C34" s="6">
        <v>2016</v>
      </c>
      <c r="D34" s="6">
        <v>1</v>
      </c>
      <c r="E34" s="7">
        <v>12</v>
      </c>
      <c r="F34" s="6" t="s">
        <v>2935</v>
      </c>
      <c r="G34" s="6" t="s">
        <v>2908</v>
      </c>
      <c r="H34" s="6" t="s">
        <v>2909</v>
      </c>
      <c r="I34" s="8"/>
      <c r="J34" s="8">
        <v>197693</v>
      </c>
      <c r="K34" s="6" t="s">
        <v>2954</v>
      </c>
      <c r="L34" s="6" t="s">
        <v>1069</v>
      </c>
      <c r="N34" s="6" t="s">
        <v>1069</v>
      </c>
      <c r="O34" s="29">
        <v>197693</v>
      </c>
    </row>
    <row r="35" s="1" customFormat="1" ht="16.35" hidden="1" customHeight="1" spans="1:15">
      <c r="A35" s="5"/>
      <c r="B35" s="6" t="s">
        <v>2906</v>
      </c>
      <c r="C35" s="6">
        <v>2016</v>
      </c>
      <c r="D35" s="6">
        <v>5</v>
      </c>
      <c r="E35" s="7">
        <v>2</v>
      </c>
      <c r="F35" s="6" t="s">
        <v>2955</v>
      </c>
      <c r="G35" s="6" t="s">
        <v>2908</v>
      </c>
      <c r="H35" s="6" t="s">
        <v>2909</v>
      </c>
      <c r="I35" s="8"/>
      <c r="J35" s="8">
        <v>30654</v>
      </c>
      <c r="K35" s="6" t="s">
        <v>2956</v>
      </c>
      <c r="L35" s="6" t="s">
        <v>1760</v>
      </c>
      <c r="N35" s="6" t="s">
        <v>1760</v>
      </c>
      <c r="O35" s="29">
        <v>32186.7</v>
      </c>
    </row>
    <row r="36" s="1" customFormat="1" ht="16.35" hidden="1" customHeight="1" spans="1:15">
      <c r="A36" s="5"/>
      <c r="B36" s="6" t="s">
        <v>2906</v>
      </c>
      <c r="C36" s="6">
        <v>2016</v>
      </c>
      <c r="D36" s="6">
        <v>5</v>
      </c>
      <c r="E36" s="7">
        <v>4</v>
      </c>
      <c r="F36" s="6" t="s">
        <v>2957</v>
      </c>
      <c r="G36" s="6" t="s">
        <v>2908</v>
      </c>
      <c r="H36" s="6" t="s">
        <v>2909</v>
      </c>
      <c r="I36" s="8"/>
      <c r="J36" s="8">
        <v>19048</v>
      </c>
      <c r="K36" s="6" t="s">
        <v>2958</v>
      </c>
      <c r="L36" s="6" t="s">
        <v>1601</v>
      </c>
      <c r="N36" s="6" t="s">
        <v>1601</v>
      </c>
      <c r="O36" s="29">
        <v>20000.4</v>
      </c>
    </row>
    <row r="37" s="1" customFormat="1" ht="16.35" hidden="1" customHeight="1" spans="1:15">
      <c r="A37" s="5"/>
      <c r="B37" s="6" t="s">
        <v>2906</v>
      </c>
      <c r="C37" s="6">
        <v>2016</v>
      </c>
      <c r="D37" s="6">
        <v>5</v>
      </c>
      <c r="E37" s="7">
        <v>5</v>
      </c>
      <c r="F37" s="6" t="s">
        <v>2959</v>
      </c>
      <c r="G37" s="6" t="s">
        <v>2908</v>
      </c>
      <c r="H37" s="6" t="s">
        <v>2909</v>
      </c>
      <c r="I37" s="8"/>
      <c r="J37" s="8">
        <v>19048</v>
      </c>
      <c r="K37" s="6" t="s">
        <v>2960</v>
      </c>
      <c r="L37" s="6" t="s">
        <v>1758</v>
      </c>
      <c r="N37" s="6" t="s">
        <v>1758</v>
      </c>
      <c r="O37" s="29">
        <v>20000.4</v>
      </c>
    </row>
    <row r="38" s="1" customFormat="1" ht="16.35" hidden="1" customHeight="1" spans="1:15">
      <c r="A38" s="5"/>
      <c r="B38" s="6" t="s">
        <v>2906</v>
      </c>
      <c r="C38" s="6">
        <v>2016</v>
      </c>
      <c r="D38" s="6">
        <v>5</v>
      </c>
      <c r="E38" s="7">
        <v>6</v>
      </c>
      <c r="F38" s="6" t="s">
        <v>2961</v>
      </c>
      <c r="G38" s="6" t="s">
        <v>2908</v>
      </c>
      <c r="H38" s="6" t="s">
        <v>2909</v>
      </c>
      <c r="I38" s="8"/>
      <c r="J38" s="8">
        <v>22394</v>
      </c>
      <c r="K38" s="6" t="s">
        <v>2962</v>
      </c>
      <c r="L38" s="6" t="s">
        <v>1792</v>
      </c>
      <c r="N38" s="6" t="s">
        <v>1792</v>
      </c>
      <c r="O38" s="29">
        <v>23513.7</v>
      </c>
    </row>
    <row r="39" s="1" customFormat="1" ht="16.35" hidden="1" customHeight="1" spans="1:15">
      <c r="A39" s="5"/>
      <c r="B39" s="6" t="s">
        <v>2906</v>
      </c>
      <c r="C39" s="6">
        <v>2016</v>
      </c>
      <c r="D39" s="6">
        <v>5</v>
      </c>
      <c r="E39" s="7">
        <v>7</v>
      </c>
      <c r="F39" s="6" t="s">
        <v>2959</v>
      </c>
      <c r="G39" s="6" t="s">
        <v>2908</v>
      </c>
      <c r="H39" s="6" t="s">
        <v>2909</v>
      </c>
      <c r="I39" s="8"/>
      <c r="J39" s="8">
        <v>11310</v>
      </c>
      <c r="K39" s="6" t="s">
        <v>2960</v>
      </c>
      <c r="L39" s="6" t="s">
        <v>1758</v>
      </c>
      <c r="N39" s="6" t="s">
        <v>1758</v>
      </c>
      <c r="O39" s="29">
        <v>11875.5</v>
      </c>
    </row>
    <row r="40" s="1" customFormat="1" ht="16.35" hidden="1" customHeight="1" spans="1:15">
      <c r="A40" s="5"/>
      <c r="B40" s="6" t="s">
        <v>2906</v>
      </c>
      <c r="C40" s="6">
        <v>2016</v>
      </c>
      <c r="D40" s="6">
        <v>5</v>
      </c>
      <c r="E40" s="7">
        <v>8</v>
      </c>
      <c r="F40" s="6" t="s">
        <v>2963</v>
      </c>
      <c r="G40" s="6" t="s">
        <v>2908</v>
      </c>
      <c r="H40" s="6" t="s">
        <v>2909</v>
      </c>
      <c r="I40" s="8"/>
      <c r="J40" s="8">
        <v>9524</v>
      </c>
      <c r="K40" s="6" t="s">
        <v>2964</v>
      </c>
      <c r="L40" s="6" t="s">
        <v>1765</v>
      </c>
      <c r="N40" s="6" t="s">
        <v>1765</v>
      </c>
      <c r="O40" s="29">
        <v>10000.2</v>
      </c>
    </row>
    <row r="41" s="1" customFormat="1" ht="16.35" hidden="1" customHeight="1" spans="1:15">
      <c r="A41" s="5"/>
      <c r="B41" s="6" t="s">
        <v>2906</v>
      </c>
      <c r="C41" s="6">
        <v>2016</v>
      </c>
      <c r="D41" s="6">
        <v>5</v>
      </c>
      <c r="E41" s="7">
        <v>9</v>
      </c>
      <c r="F41" s="6" t="s">
        <v>2957</v>
      </c>
      <c r="G41" s="6" t="s">
        <v>2908</v>
      </c>
      <c r="H41" s="6" t="s">
        <v>2909</v>
      </c>
      <c r="I41" s="8"/>
      <c r="J41" s="8">
        <v>11854</v>
      </c>
      <c r="K41" s="6" t="s">
        <v>2958</v>
      </c>
      <c r="L41" s="6" t="s">
        <v>1601</v>
      </c>
      <c r="N41" s="6" t="s">
        <v>1601</v>
      </c>
      <c r="O41" s="29">
        <v>12446.7</v>
      </c>
    </row>
    <row r="42" s="1" customFormat="1" ht="16.35" hidden="1" customHeight="1" spans="1:15">
      <c r="A42" s="5"/>
      <c r="B42" s="6" t="s">
        <v>2906</v>
      </c>
      <c r="C42" s="6">
        <v>2016</v>
      </c>
      <c r="D42" s="6">
        <v>5</v>
      </c>
      <c r="E42" s="7">
        <v>14</v>
      </c>
      <c r="F42" s="6" t="s">
        <v>2965</v>
      </c>
      <c r="G42" s="6" t="s">
        <v>2908</v>
      </c>
      <c r="H42" s="6" t="s">
        <v>2909</v>
      </c>
      <c r="I42" s="8"/>
      <c r="J42" s="8">
        <v>9524</v>
      </c>
      <c r="K42" s="6" t="s">
        <v>2966</v>
      </c>
      <c r="L42" s="6" t="s">
        <v>1762</v>
      </c>
      <c r="N42" s="6" t="s">
        <v>1762</v>
      </c>
      <c r="O42" s="29">
        <v>10000.2</v>
      </c>
    </row>
    <row r="43" s="1" customFormat="1" ht="16.35" hidden="1" customHeight="1" spans="1:15">
      <c r="A43" s="5"/>
      <c r="B43" s="6" t="s">
        <v>2906</v>
      </c>
      <c r="C43" s="6">
        <v>2016</v>
      </c>
      <c r="D43" s="6">
        <v>5</v>
      </c>
      <c r="E43" s="7">
        <v>16</v>
      </c>
      <c r="F43" s="6" t="s">
        <v>2967</v>
      </c>
      <c r="G43" s="6" t="s">
        <v>2908</v>
      </c>
      <c r="H43" s="6" t="s">
        <v>2909</v>
      </c>
      <c r="I43" s="8"/>
      <c r="J43" s="8">
        <v>123809</v>
      </c>
      <c r="K43" s="6" t="s">
        <v>2968</v>
      </c>
      <c r="L43" s="6" t="s">
        <v>1698</v>
      </c>
      <c r="N43" s="6" t="s">
        <v>1698</v>
      </c>
      <c r="O43" s="29">
        <v>129999.45</v>
      </c>
    </row>
    <row r="44" s="1" customFormat="1" ht="16.35" hidden="1" customHeight="1" spans="1:15">
      <c r="A44" s="5"/>
      <c r="B44" s="6" t="s">
        <v>2906</v>
      </c>
      <c r="C44" s="6">
        <v>2016</v>
      </c>
      <c r="D44" s="6">
        <v>6</v>
      </c>
      <c r="E44" s="7">
        <v>3</v>
      </c>
      <c r="F44" s="6" t="s">
        <v>2969</v>
      </c>
      <c r="G44" s="6" t="s">
        <v>2908</v>
      </c>
      <c r="H44" s="6" t="s">
        <v>2909</v>
      </c>
      <c r="I44" s="8"/>
      <c r="J44" s="8">
        <v>17569</v>
      </c>
      <c r="K44" s="6" t="s">
        <v>2964</v>
      </c>
      <c r="L44" s="6" t="s">
        <v>1765</v>
      </c>
      <c r="N44" s="6" t="s">
        <v>1765</v>
      </c>
      <c r="O44" s="29">
        <v>18447.45</v>
      </c>
    </row>
    <row r="45" s="1" customFormat="1" ht="16.35" hidden="1" customHeight="1" spans="1:15">
      <c r="A45" s="5"/>
      <c r="B45" s="6" t="s">
        <v>2906</v>
      </c>
      <c r="C45" s="6">
        <v>2016</v>
      </c>
      <c r="D45" s="6">
        <v>6</v>
      </c>
      <c r="E45" s="7">
        <v>4</v>
      </c>
      <c r="F45" s="6" t="s">
        <v>2970</v>
      </c>
      <c r="G45" s="6" t="s">
        <v>2908</v>
      </c>
      <c r="H45" s="6" t="s">
        <v>2909</v>
      </c>
      <c r="I45" s="8"/>
      <c r="J45" s="8">
        <v>4411</v>
      </c>
      <c r="K45" s="6" t="s">
        <v>2971</v>
      </c>
      <c r="L45" s="6" t="s">
        <v>1816</v>
      </c>
      <c r="N45" s="6" t="s">
        <v>1816</v>
      </c>
      <c r="O45" s="29">
        <v>4631.55</v>
      </c>
    </row>
    <row r="46" s="1" customFormat="1" ht="16.35" hidden="1" customHeight="1" spans="1:15">
      <c r="A46" s="5"/>
      <c r="B46" s="6" t="s">
        <v>2906</v>
      </c>
      <c r="C46" s="6">
        <v>2016</v>
      </c>
      <c r="D46" s="6">
        <v>6</v>
      </c>
      <c r="E46" s="7">
        <v>5</v>
      </c>
      <c r="F46" s="6" t="s">
        <v>2972</v>
      </c>
      <c r="G46" s="6" t="s">
        <v>2908</v>
      </c>
      <c r="H46" s="6" t="s">
        <v>2909</v>
      </c>
      <c r="I46" s="8"/>
      <c r="J46" s="8">
        <v>5761</v>
      </c>
      <c r="K46" s="6" t="s">
        <v>2966</v>
      </c>
      <c r="L46" s="6" t="s">
        <v>1762</v>
      </c>
      <c r="N46" s="6" t="s">
        <v>1762</v>
      </c>
      <c r="O46" s="29">
        <v>6049.05</v>
      </c>
    </row>
    <row r="47" s="1" customFormat="1" ht="16.35" hidden="1" customHeight="1" spans="1:15">
      <c r="A47" s="5"/>
      <c r="B47" s="6" t="s">
        <v>2906</v>
      </c>
      <c r="C47" s="6">
        <v>2016</v>
      </c>
      <c r="D47" s="6">
        <v>6</v>
      </c>
      <c r="E47" s="7">
        <v>7</v>
      </c>
      <c r="F47" s="6" t="s">
        <v>2970</v>
      </c>
      <c r="G47" s="6" t="s">
        <v>2908</v>
      </c>
      <c r="H47" s="6" t="s">
        <v>2909</v>
      </c>
      <c r="I47" s="8"/>
      <c r="J47" s="8">
        <v>19048</v>
      </c>
      <c r="K47" s="6" t="s">
        <v>2971</v>
      </c>
      <c r="L47" s="6" t="s">
        <v>1816</v>
      </c>
      <c r="N47" s="6" t="s">
        <v>1816</v>
      </c>
      <c r="O47" s="29">
        <v>20000.4</v>
      </c>
    </row>
    <row r="48" s="1" customFormat="1" ht="16.35" hidden="1" customHeight="1" spans="1:15">
      <c r="A48" s="5"/>
      <c r="B48" s="6" t="s">
        <v>2906</v>
      </c>
      <c r="C48" s="6">
        <v>2016</v>
      </c>
      <c r="D48" s="6">
        <v>6</v>
      </c>
      <c r="E48" s="7">
        <v>9</v>
      </c>
      <c r="F48" s="6" t="s">
        <v>2973</v>
      </c>
      <c r="G48" s="6" t="s">
        <v>2908</v>
      </c>
      <c r="H48" s="6" t="s">
        <v>2909</v>
      </c>
      <c r="I48" s="8"/>
      <c r="J48" s="8">
        <v>9524</v>
      </c>
      <c r="K48" s="6" t="s">
        <v>2974</v>
      </c>
      <c r="L48" s="6" t="s">
        <v>1770</v>
      </c>
      <c r="N48" s="6" t="s">
        <v>1770</v>
      </c>
      <c r="O48" s="29">
        <v>10000.2</v>
      </c>
    </row>
    <row r="49" s="1" customFormat="1" ht="16.35" hidden="1" customHeight="1" spans="1:15">
      <c r="A49" s="5"/>
      <c r="B49" s="6" t="s">
        <v>2906</v>
      </c>
      <c r="C49" s="6">
        <v>2016</v>
      </c>
      <c r="D49" s="6">
        <v>6</v>
      </c>
      <c r="E49" s="7">
        <v>10</v>
      </c>
      <c r="F49" s="6" t="s">
        <v>2975</v>
      </c>
      <c r="G49" s="6" t="s">
        <v>2908</v>
      </c>
      <c r="H49" s="6" t="s">
        <v>2909</v>
      </c>
      <c r="I49" s="8"/>
      <c r="J49" s="8">
        <v>27092</v>
      </c>
      <c r="K49" s="6" t="s">
        <v>2976</v>
      </c>
      <c r="L49" s="6" t="s">
        <v>1788</v>
      </c>
      <c r="N49" s="6" t="s">
        <v>1788</v>
      </c>
      <c r="O49" s="29">
        <v>28446.6</v>
      </c>
    </row>
    <row r="50" s="1" customFormat="1" ht="16.35" hidden="1" customHeight="1" spans="1:15">
      <c r="A50" s="5"/>
      <c r="B50" s="6" t="s">
        <v>2906</v>
      </c>
      <c r="C50" s="6">
        <v>2016</v>
      </c>
      <c r="D50" s="6">
        <v>6</v>
      </c>
      <c r="E50" s="7">
        <v>11</v>
      </c>
      <c r="F50" s="6" t="s">
        <v>2977</v>
      </c>
      <c r="G50" s="6" t="s">
        <v>2908</v>
      </c>
      <c r="H50" s="6" t="s">
        <v>2909</v>
      </c>
      <c r="I50" s="8"/>
      <c r="J50" s="8">
        <v>22876</v>
      </c>
      <c r="K50" s="6" t="s">
        <v>2978</v>
      </c>
      <c r="L50" s="6" t="s">
        <v>1768</v>
      </c>
      <c r="N50" s="6" t="s">
        <v>1768</v>
      </c>
      <c r="O50" s="29">
        <v>24019.8</v>
      </c>
    </row>
    <row r="51" s="1" customFormat="1" ht="16.35" hidden="1" customHeight="1" spans="1:15">
      <c r="A51" s="5"/>
      <c r="B51" s="6" t="s">
        <v>2906</v>
      </c>
      <c r="C51" s="6">
        <v>2016</v>
      </c>
      <c r="D51" s="6">
        <v>6</v>
      </c>
      <c r="E51" s="7">
        <v>15</v>
      </c>
      <c r="F51" s="6" t="s">
        <v>2979</v>
      </c>
      <c r="G51" s="6" t="s">
        <v>2908</v>
      </c>
      <c r="H51" s="6" t="s">
        <v>2909</v>
      </c>
      <c r="I51" s="8"/>
      <c r="J51" s="8">
        <v>23322</v>
      </c>
      <c r="K51" s="6" t="s">
        <v>2980</v>
      </c>
      <c r="L51" s="6" t="s">
        <v>1842</v>
      </c>
      <c r="N51" s="6" t="s">
        <v>1842</v>
      </c>
      <c r="O51" s="29">
        <v>24488.1</v>
      </c>
    </row>
    <row r="52" s="1" customFormat="1" ht="16.35" hidden="1" customHeight="1" spans="1:15">
      <c r="A52" s="5"/>
      <c r="B52" s="6" t="s">
        <v>2906</v>
      </c>
      <c r="C52" s="6">
        <v>2016</v>
      </c>
      <c r="D52" s="6">
        <v>6</v>
      </c>
      <c r="E52" s="7">
        <v>16</v>
      </c>
      <c r="F52" s="6" t="s">
        <v>2981</v>
      </c>
      <c r="G52" s="6" t="s">
        <v>2908</v>
      </c>
      <c r="H52" s="6" t="s">
        <v>2909</v>
      </c>
      <c r="I52" s="8"/>
      <c r="J52" s="8">
        <v>39913</v>
      </c>
      <c r="K52" s="6" t="s">
        <v>2982</v>
      </c>
      <c r="L52" s="6" t="s">
        <v>1812</v>
      </c>
      <c r="N52" s="6" t="s">
        <v>1812</v>
      </c>
      <c r="O52" s="29">
        <v>41908.65</v>
      </c>
    </row>
    <row r="53" s="1" customFormat="1" ht="16.35" hidden="1" customHeight="1" spans="1:15">
      <c r="A53" s="5"/>
      <c r="B53" s="6" t="s">
        <v>2906</v>
      </c>
      <c r="C53" s="6">
        <v>2016</v>
      </c>
      <c r="D53" s="6">
        <v>6</v>
      </c>
      <c r="E53" s="7">
        <v>18</v>
      </c>
      <c r="F53" s="6" t="s">
        <v>2970</v>
      </c>
      <c r="G53" s="6" t="s">
        <v>2908</v>
      </c>
      <c r="H53" s="6" t="s">
        <v>2909</v>
      </c>
      <c r="I53" s="8"/>
      <c r="J53" s="8">
        <v>656</v>
      </c>
      <c r="K53" s="6" t="s">
        <v>2971</v>
      </c>
      <c r="L53" s="6" t="s">
        <v>1816</v>
      </c>
      <c r="N53" s="6" t="s">
        <v>1816</v>
      </c>
      <c r="O53" s="29">
        <v>688.8</v>
      </c>
    </row>
    <row r="54" s="1" customFormat="1" ht="16.35" hidden="1" customHeight="1" spans="1:15">
      <c r="A54" s="5"/>
      <c r="B54" s="6" t="s">
        <v>2906</v>
      </c>
      <c r="C54" s="6">
        <v>2016</v>
      </c>
      <c r="D54" s="6">
        <v>6</v>
      </c>
      <c r="E54" s="7">
        <v>19</v>
      </c>
      <c r="F54" s="6" t="s">
        <v>2983</v>
      </c>
      <c r="G54" s="6" t="s">
        <v>2908</v>
      </c>
      <c r="H54" s="6" t="s">
        <v>2909</v>
      </c>
      <c r="I54" s="8"/>
      <c r="J54" s="8">
        <v>9524</v>
      </c>
      <c r="K54" s="6" t="s">
        <v>2984</v>
      </c>
      <c r="L54" s="6" t="s">
        <v>1838</v>
      </c>
      <c r="N54" s="6" t="s">
        <v>1838</v>
      </c>
      <c r="O54" s="29">
        <v>10000.2</v>
      </c>
    </row>
    <row r="55" s="1" customFormat="1" ht="16.35" hidden="1" customHeight="1" spans="1:15">
      <c r="A55" s="5"/>
      <c r="B55" s="6" t="s">
        <v>2906</v>
      </c>
      <c r="C55" s="6">
        <v>2016</v>
      </c>
      <c r="D55" s="6">
        <v>6</v>
      </c>
      <c r="E55" s="7">
        <v>22</v>
      </c>
      <c r="F55" s="6" t="s">
        <v>2985</v>
      </c>
      <c r="G55" s="6" t="s">
        <v>2908</v>
      </c>
      <c r="H55" s="6" t="s">
        <v>2909</v>
      </c>
      <c r="I55" s="8"/>
      <c r="J55" s="8">
        <v>2857</v>
      </c>
      <c r="K55" s="6" t="s">
        <v>2986</v>
      </c>
      <c r="L55" s="6" t="s">
        <v>1794</v>
      </c>
      <c r="N55" s="6" t="s">
        <v>1794</v>
      </c>
      <c r="O55" s="29">
        <v>2999.85</v>
      </c>
    </row>
    <row r="56" s="1" customFormat="1" ht="16.35" hidden="1" customHeight="1" spans="1:15">
      <c r="A56" s="5"/>
      <c r="B56" s="6" t="s">
        <v>2906</v>
      </c>
      <c r="C56" s="6">
        <v>2016</v>
      </c>
      <c r="D56" s="6">
        <v>6</v>
      </c>
      <c r="E56" s="7">
        <v>23</v>
      </c>
      <c r="F56" s="6" t="s">
        <v>2987</v>
      </c>
      <c r="G56" s="6" t="s">
        <v>2908</v>
      </c>
      <c r="H56" s="6" t="s">
        <v>2909</v>
      </c>
      <c r="I56" s="8"/>
      <c r="J56" s="8">
        <v>12687</v>
      </c>
      <c r="K56" s="6" t="s">
        <v>2974</v>
      </c>
      <c r="L56" s="6" t="s">
        <v>1770</v>
      </c>
      <c r="N56" s="6" t="s">
        <v>1770</v>
      </c>
      <c r="O56" s="29">
        <v>13321.35</v>
      </c>
    </row>
    <row r="57" s="1" customFormat="1" ht="16.35" hidden="1" customHeight="1" spans="1:15">
      <c r="A57" s="5"/>
      <c r="B57" s="6" t="s">
        <v>2906</v>
      </c>
      <c r="C57" s="6">
        <v>2016</v>
      </c>
      <c r="D57" s="6">
        <v>6</v>
      </c>
      <c r="E57" s="7">
        <v>25</v>
      </c>
      <c r="F57" s="6" t="s">
        <v>2988</v>
      </c>
      <c r="G57" s="6" t="s">
        <v>2908</v>
      </c>
      <c r="H57" s="6" t="s">
        <v>2909</v>
      </c>
      <c r="I57" s="8"/>
      <c r="J57" s="8">
        <v>2381</v>
      </c>
      <c r="K57" s="6" t="s">
        <v>2989</v>
      </c>
      <c r="L57" s="6" t="s">
        <v>1818</v>
      </c>
      <c r="N57" s="6" t="s">
        <v>1818</v>
      </c>
      <c r="O57" s="29">
        <v>2500.05</v>
      </c>
    </row>
    <row r="58" s="1" customFormat="1" ht="16.35" hidden="1" customHeight="1" spans="1:15">
      <c r="A58" s="5"/>
      <c r="B58" s="6" t="s">
        <v>2906</v>
      </c>
      <c r="C58" s="6">
        <v>2016</v>
      </c>
      <c r="D58" s="6">
        <v>6</v>
      </c>
      <c r="E58" s="7">
        <v>26</v>
      </c>
      <c r="F58" s="6" t="s">
        <v>2990</v>
      </c>
      <c r="G58" s="6" t="s">
        <v>2908</v>
      </c>
      <c r="H58" s="6" t="s">
        <v>2909</v>
      </c>
      <c r="I58" s="8"/>
      <c r="J58" s="8">
        <v>27092</v>
      </c>
      <c r="K58" s="6" t="s">
        <v>2991</v>
      </c>
      <c r="L58" s="6" t="s">
        <v>1814</v>
      </c>
      <c r="N58" s="6" t="s">
        <v>1814</v>
      </c>
      <c r="O58" s="29">
        <v>28446.6</v>
      </c>
    </row>
    <row r="59" s="1" customFormat="1" ht="16.35" hidden="1" customHeight="1" spans="1:15">
      <c r="A59" s="5"/>
      <c r="B59" s="6" t="s">
        <v>2906</v>
      </c>
      <c r="C59" s="6">
        <v>2016</v>
      </c>
      <c r="D59" s="6">
        <v>6</v>
      </c>
      <c r="E59" s="7">
        <v>27</v>
      </c>
      <c r="F59" s="6" t="s">
        <v>2992</v>
      </c>
      <c r="G59" s="6" t="s">
        <v>2908</v>
      </c>
      <c r="H59" s="6" t="s">
        <v>2909</v>
      </c>
      <c r="I59" s="8"/>
      <c r="J59" s="8">
        <v>19830</v>
      </c>
      <c r="K59" s="6" t="s">
        <v>2989</v>
      </c>
      <c r="L59" s="6" t="s">
        <v>1818</v>
      </c>
      <c r="N59" s="6" t="s">
        <v>1818</v>
      </c>
      <c r="O59" s="29">
        <v>20821.5</v>
      </c>
    </row>
    <row r="60" s="1" customFormat="1" ht="16.35" hidden="1" customHeight="1" spans="1:15">
      <c r="A60" s="5"/>
      <c r="B60" s="6" t="s">
        <v>2906</v>
      </c>
      <c r="C60" s="6">
        <v>2016</v>
      </c>
      <c r="D60" s="6">
        <v>7</v>
      </c>
      <c r="E60" s="7">
        <v>4</v>
      </c>
      <c r="F60" s="6" t="s">
        <v>2993</v>
      </c>
      <c r="G60" s="6" t="s">
        <v>2908</v>
      </c>
      <c r="H60" s="6" t="s">
        <v>2909</v>
      </c>
      <c r="I60" s="8"/>
      <c r="J60" s="8">
        <v>4762</v>
      </c>
      <c r="K60" s="6" t="s">
        <v>2994</v>
      </c>
      <c r="L60" s="6" t="s">
        <v>1840</v>
      </c>
      <c r="N60" s="6" t="s">
        <v>1840</v>
      </c>
      <c r="O60" s="29">
        <v>5000.1</v>
      </c>
    </row>
    <row r="61" s="1" customFormat="1" ht="16.35" hidden="1" customHeight="1" spans="1:15">
      <c r="A61" s="5"/>
      <c r="B61" s="6" t="s">
        <v>2906</v>
      </c>
      <c r="C61" s="6">
        <v>2016</v>
      </c>
      <c r="D61" s="6">
        <v>7</v>
      </c>
      <c r="E61" s="7">
        <v>6</v>
      </c>
      <c r="F61" s="6" t="s">
        <v>2995</v>
      </c>
      <c r="G61" s="6" t="s">
        <v>2908</v>
      </c>
      <c r="H61" s="6" t="s">
        <v>2909</v>
      </c>
      <c r="I61" s="8"/>
      <c r="J61" s="8">
        <v>2857</v>
      </c>
      <c r="K61" s="6" t="s">
        <v>2996</v>
      </c>
      <c r="L61" s="6" t="s">
        <v>1790</v>
      </c>
      <c r="N61" s="6" t="s">
        <v>1790</v>
      </c>
      <c r="O61" s="29">
        <v>2999.85</v>
      </c>
    </row>
    <row r="62" s="1" customFormat="1" ht="16.35" hidden="1" customHeight="1" spans="1:15">
      <c r="A62" s="5"/>
      <c r="B62" s="6" t="s">
        <v>2906</v>
      </c>
      <c r="C62" s="6">
        <v>2016</v>
      </c>
      <c r="D62" s="6">
        <v>8</v>
      </c>
      <c r="E62" s="7">
        <v>1</v>
      </c>
      <c r="F62" s="6" t="s">
        <v>2997</v>
      </c>
      <c r="G62" s="6" t="s">
        <v>2908</v>
      </c>
      <c r="H62" s="6" t="s">
        <v>2909</v>
      </c>
      <c r="I62" s="8"/>
      <c r="J62" s="8">
        <v>19048</v>
      </c>
      <c r="K62" s="6" t="s">
        <v>2996</v>
      </c>
      <c r="L62" s="6" t="s">
        <v>1790</v>
      </c>
      <c r="N62" s="6" t="s">
        <v>1790</v>
      </c>
      <c r="O62" s="29">
        <v>20000.4</v>
      </c>
    </row>
    <row r="63" s="1" customFormat="1" ht="16.35" hidden="1" customHeight="1" spans="1:15">
      <c r="A63" s="5"/>
      <c r="B63" s="6" t="s">
        <v>2906</v>
      </c>
      <c r="C63" s="6">
        <v>2016</v>
      </c>
      <c r="D63" s="6">
        <v>8</v>
      </c>
      <c r="E63" s="7">
        <v>2</v>
      </c>
      <c r="F63" s="6" t="s">
        <v>2997</v>
      </c>
      <c r="G63" s="6" t="s">
        <v>2908</v>
      </c>
      <c r="H63" s="6" t="s">
        <v>2909</v>
      </c>
      <c r="I63" s="8"/>
      <c r="J63" s="8">
        <v>5188</v>
      </c>
      <c r="K63" s="6" t="s">
        <v>2996</v>
      </c>
      <c r="L63" s="6" t="s">
        <v>1790</v>
      </c>
      <c r="N63" s="6" t="s">
        <v>1790</v>
      </c>
      <c r="O63" s="29">
        <v>5447.4</v>
      </c>
    </row>
    <row r="64" s="1" customFormat="1" ht="16.35" hidden="1" customHeight="1" spans="1:15">
      <c r="A64" s="5"/>
      <c r="B64" s="6" t="s">
        <v>2906</v>
      </c>
      <c r="C64" s="6">
        <v>2016</v>
      </c>
      <c r="D64" s="6">
        <v>8</v>
      </c>
      <c r="E64" s="7">
        <v>6</v>
      </c>
      <c r="F64" s="6" t="s">
        <v>2985</v>
      </c>
      <c r="G64" s="6" t="s">
        <v>2908</v>
      </c>
      <c r="H64" s="6" t="s">
        <v>2909</v>
      </c>
      <c r="I64" s="8"/>
      <c r="J64" s="8">
        <v>19353</v>
      </c>
      <c r="K64" s="6" t="s">
        <v>2986</v>
      </c>
      <c r="L64" s="6" t="s">
        <v>1794</v>
      </c>
      <c r="N64" s="6" t="s">
        <v>1794</v>
      </c>
      <c r="O64" s="29">
        <v>20320.65</v>
      </c>
    </row>
    <row r="65" s="1" customFormat="1" ht="16.35" hidden="1" customHeight="1" spans="1:15">
      <c r="A65" s="5"/>
      <c r="B65" s="6" t="s">
        <v>2906</v>
      </c>
      <c r="C65" s="6">
        <v>2016</v>
      </c>
      <c r="D65" s="6">
        <v>8</v>
      </c>
      <c r="E65" s="7">
        <v>10</v>
      </c>
      <c r="F65" s="6" t="s">
        <v>2972</v>
      </c>
      <c r="G65" s="6" t="s">
        <v>2908</v>
      </c>
      <c r="H65" s="6" t="s">
        <v>2909</v>
      </c>
      <c r="I65" s="8"/>
      <c r="J65" s="8">
        <v>11429</v>
      </c>
      <c r="K65" s="6" t="s">
        <v>2966</v>
      </c>
      <c r="L65" s="6" t="s">
        <v>1762</v>
      </c>
      <c r="N65" s="6" t="s">
        <v>1762</v>
      </c>
      <c r="O65" s="29">
        <v>12000.45</v>
      </c>
    </row>
    <row r="66" s="1" customFormat="1" ht="16.35" hidden="1" customHeight="1" spans="1:15">
      <c r="A66" s="5"/>
      <c r="B66" s="6" t="s">
        <v>2906</v>
      </c>
      <c r="C66" s="6">
        <v>2016</v>
      </c>
      <c r="D66" s="6">
        <v>8</v>
      </c>
      <c r="E66" s="7">
        <v>13</v>
      </c>
      <c r="F66" s="6" t="s">
        <v>2998</v>
      </c>
      <c r="G66" s="6" t="s">
        <v>2908</v>
      </c>
      <c r="H66" s="6" t="s">
        <v>2909</v>
      </c>
      <c r="I66" s="8"/>
      <c r="J66" s="8">
        <v>11080</v>
      </c>
      <c r="K66" s="6" t="s">
        <v>2999</v>
      </c>
      <c r="L66" s="6" t="s">
        <v>1605</v>
      </c>
      <c r="N66" s="6" t="s">
        <v>1605</v>
      </c>
      <c r="O66" s="29">
        <v>11634</v>
      </c>
    </row>
    <row r="67" s="1" customFormat="1" ht="16.35" hidden="1" customHeight="1" spans="1:15">
      <c r="A67" s="5"/>
      <c r="B67" s="6" t="s">
        <v>2906</v>
      </c>
      <c r="C67" s="6">
        <v>2016</v>
      </c>
      <c r="D67" s="6">
        <v>8</v>
      </c>
      <c r="E67" s="7">
        <v>14</v>
      </c>
      <c r="F67" s="6" t="s">
        <v>3000</v>
      </c>
      <c r="G67" s="6" t="s">
        <v>2908</v>
      </c>
      <c r="H67" s="6" t="s">
        <v>2909</v>
      </c>
      <c r="I67" s="8"/>
      <c r="J67" s="8">
        <v>27092</v>
      </c>
      <c r="K67" s="6" t="s">
        <v>3001</v>
      </c>
      <c r="L67" s="6" t="s">
        <v>1836</v>
      </c>
      <c r="N67" s="6" t="s">
        <v>1836</v>
      </c>
      <c r="O67" s="29">
        <v>28446.6</v>
      </c>
    </row>
    <row r="68" s="1" customFormat="1" ht="16.35" hidden="1" customHeight="1" spans="1:15">
      <c r="A68" s="5"/>
      <c r="B68" s="6" t="s">
        <v>2906</v>
      </c>
      <c r="C68" s="6">
        <v>2016</v>
      </c>
      <c r="D68" s="6">
        <v>8</v>
      </c>
      <c r="E68" s="7">
        <v>15</v>
      </c>
      <c r="F68" s="6" t="s">
        <v>3002</v>
      </c>
      <c r="G68" s="6" t="s">
        <v>2908</v>
      </c>
      <c r="H68" s="6" t="s">
        <v>2909</v>
      </c>
      <c r="I68" s="8"/>
      <c r="J68" s="8">
        <v>19651</v>
      </c>
      <c r="K68" s="6" t="s">
        <v>3003</v>
      </c>
      <c r="L68" s="6" t="s">
        <v>1651</v>
      </c>
      <c r="N68" s="6" t="s">
        <v>1651</v>
      </c>
      <c r="O68" s="29">
        <v>20633.55</v>
      </c>
    </row>
    <row r="69" s="1" customFormat="1" ht="16.35" hidden="1" customHeight="1" spans="1:15">
      <c r="A69" s="5"/>
      <c r="B69" s="6" t="s">
        <v>2906</v>
      </c>
      <c r="C69" s="6">
        <v>2016</v>
      </c>
      <c r="D69" s="6">
        <v>8</v>
      </c>
      <c r="E69" s="7">
        <v>16</v>
      </c>
      <c r="F69" s="6" t="s">
        <v>3004</v>
      </c>
      <c r="G69" s="6" t="s">
        <v>2908</v>
      </c>
      <c r="H69" s="6" t="s">
        <v>2909</v>
      </c>
      <c r="I69" s="8"/>
      <c r="J69" s="8">
        <v>12338</v>
      </c>
      <c r="K69" s="6" t="s">
        <v>2994</v>
      </c>
      <c r="L69" s="6" t="s">
        <v>1840</v>
      </c>
      <c r="N69" s="6" t="s">
        <v>1840</v>
      </c>
      <c r="O69" s="29">
        <v>12954.9</v>
      </c>
    </row>
    <row r="70" s="1" customFormat="1" ht="16.35" hidden="1" customHeight="1" spans="1:15">
      <c r="A70" s="5"/>
      <c r="B70" s="6" t="s">
        <v>2906</v>
      </c>
      <c r="C70" s="6">
        <v>2016</v>
      </c>
      <c r="D70" s="6">
        <v>8</v>
      </c>
      <c r="E70" s="7">
        <v>17</v>
      </c>
      <c r="F70" s="6" t="s">
        <v>3005</v>
      </c>
      <c r="G70" s="6" t="s">
        <v>2908</v>
      </c>
      <c r="H70" s="6" t="s">
        <v>2909</v>
      </c>
      <c r="I70" s="8"/>
      <c r="J70" s="8">
        <v>1905</v>
      </c>
      <c r="K70" s="6" t="s">
        <v>3006</v>
      </c>
      <c r="L70" s="6" t="s">
        <v>1627</v>
      </c>
      <c r="N70" s="6" t="s">
        <v>1627</v>
      </c>
      <c r="O70" s="29">
        <v>2000.25</v>
      </c>
    </row>
    <row r="71" s="1" customFormat="1" ht="16.35" hidden="1" customHeight="1" spans="1:15">
      <c r="A71" s="5"/>
      <c r="B71" s="6" t="s">
        <v>2906</v>
      </c>
      <c r="C71" s="6">
        <v>2016</v>
      </c>
      <c r="D71" s="6">
        <v>8</v>
      </c>
      <c r="E71" s="7">
        <v>18</v>
      </c>
      <c r="F71" s="6" t="s">
        <v>2970</v>
      </c>
      <c r="G71" s="6" t="s">
        <v>2908</v>
      </c>
      <c r="H71" s="6" t="s">
        <v>2909</v>
      </c>
      <c r="I71" s="8"/>
      <c r="J71" s="8">
        <v>7619</v>
      </c>
      <c r="K71" s="6" t="s">
        <v>2971</v>
      </c>
      <c r="L71" s="6" t="s">
        <v>1816</v>
      </c>
      <c r="N71" s="6" t="s">
        <v>1816</v>
      </c>
      <c r="O71" s="29">
        <v>7999.95</v>
      </c>
    </row>
    <row r="72" s="1" customFormat="1" ht="16.35" hidden="1" customHeight="1" spans="1:15">
      <c r="A72" s="5"/>
      <c r="B72" s="6" t="s">
        <v>2906</v>
      </c>
      <c r="C72" s="6">
        <v>2016</v>
      </c>
      <c r="D72" s="6">
        <v>8</v>
      </c>
      <c r="E72" s="7">
        <v>19</v>
      </c>
      <c r="F72" s="6" t="s">
        <v>2990</v>
      </c>
      <c r="G72" s="6" t="s">
        <v>2908</v>
      </c>
      <c r="H72" s="6" t="s">
        <v>2909</v>
      </c>
      <c r="I72" s="8"/>
      <c r="J72" s="8">
        <v>8571</v>
      </c>
      <c r="K72" s="6" t="s">
        <v>2991</v>
      </c>
      <c r="L72" s="6" t="s">
        <v>1814</v>
      </c>
      <c r="N72" s="6" t="s">
        <v>1814</v>
      </c>
      <c r="O72" s="29">
        <v>8999.55</v>
      </c>
    </row>
    <row r="73" s="1" customFormat="1" ht="16.35" hidden="1" customHeight="1" spans="1:15">
      <c r="A73" s="5"/>
      <c r="B73" s="6" t="s">
        <v>2906</v>
      </c>
      <c r="C73" s="6">
        <v>2016</v>
      </c>
      <c r="D73" s="6">
        <v>8</v>
      </c>
      <c r="E73" s="7">
        <v>20</v>
      </c>
      <c r="F73" s="6" t="s">
        <v>2990</v>
      </c>
      <c r="G73" s="6" t="s">
        <v>2908</v>
      </c>
      <c r="H73" s="6" t="s">
        <v>2909</v>
      </c>
      <c r="I73" s="8"/>
      <c r="J73" s="8">
        <v>95238</v>
      </c>
      <c r="K73" s="6" t="s">
        <v>2991</v>
      </c>
      <c r="L73" s="6" t="s">
        <v>1814</v>
      </c>
      <c r="N73" s="6" t="s">
        <v>1814</v>
      </c>
      <c r="O73" s="29">
        <v>99999.9</v>
      </c>
    </row>
    <row r="74" s="1" customFormat="1" ht="16.35" hidden="1" customHeight="1" spans="1:15">
      <c r="A74" s="5"/>
      <c r="B74" s="6" t="s">
        <v>2906</v>
      </c>
      <c r="C74" s="6">
        <v>2016</v>
      </c>
      <c r="D74" s="6">
        <v>8</v>
      </c>
      <c r="E74" s="7">
        <v>22</v>
      </c>
      <c r="F74" s="6" t="s">
        <v>3007</v>
      </c>
      <c r="G74" s="6" t="s">
        <v>2908</v>
      </c>
      <c r="H74" s="6" t="s">
        <v>2909</v>
      </c>
      <c r="I74" s="8"/>
      <c r="J74" s="8">
        <v>-4762</v>
      </c>
      <c r="K74" s="6" t="s">
        <v>2994</v>
      </c>
      <c r="L74" s="6" t="s">
        <v>1840</v>
      </c>
      <c r="N74" s="6" t="s">
        <v>1840</v>
      </c>
      <c r="O74" s="29">
        <v>-5000.1</v>
      </c>
    </row>
    <row r="75" s="1" customFormat="1" ht="16.35" hidden="1" customHeight="1" spans="1:15">
      <c r="A75" s="5"/>
      <c r="B75" s="6" t="s">
        <v>2906</v>
      </c>
      <c r="C75" s="6">
        <v>2016</v>
      </c>
      <c r="D75" s="6">
        <v>8</v>
      </c>
      <c r="E75" s="7">
        <v>23</v>
      </c>
      <c r="F75" s="6" t="s">
        <v>3005</v>
      </c>
      <c r="G75" s="6" t="s">
        <v>2908</v>
      </c>
      <c r="H75" s="6" t="s">
        <v>2909</v>
      </c>
      <c r="I75" s="8"/>
      <c r="J75" s="8">
        <v>178</v>
      </c>
      <c r="K75" s="6" t="s">
        <v>3006</v>
      </c>
      <c r="L75" s="6" t="s">
        <v>1627</v>
      </c>
      <c r="N75" s="6" t="s">
        <v>1627</v>
      </c>
      <c r="O75" s="29">
        <v>186.9</v>
      </c>
    </row>
    <row r="76" s="1" customFormat="1" ht="16.35" hidden="1" customHeight="1" spans="1:15">
      <c r="A76" s="5"/>
      <c r="B76" s="6" t="s">
        <v>2906</v>
      </c>
      <c r="C76" s="6">
        <v>2016</v>
      </c>
      <c r="D76" s="6">
        <v>8</v>
      </c>
      <c r="E76" s="7">
        <v>24</v>
      </c>
      <c r="F76" s="6" t="s">
        <v>2977</v>
      </c>
      <c r="G76" s="6" t="s">
        <v>2908</v>
      </c>
      <c r="H76" s="6" t="s">
        <v>2909</v>
      </c>
      <c r="I76" s="8"/>
      <c r="J76" s="8">
        <v>42857</v>
      </c>
      <c r="K76" s="6" t="s">
        <v>2978</v>
      </c>
      <c r="L76" s="6" t="s">
        <v>1768</v>
      </c>
      <c r="N76" s="6" t="s">
        <v>1768</v>
      </c>
      <c r="O76" s="29">
        <v>44999.85</v>
      </c>
    </row>
    <row r="77" s="1" customFormat="1" ht="16.35" hidden="1" customHeight="1" spans="1:15">
      <c r="A77" s="5"/>
      <c r="B77" s="6" t="s">
        <v>2906</v>
      </c>
      <c r="C77" s="6">
        <v>2016</v>
      </c>
      <c r="D77" s="6">
        <v>8</v>
      </c>
      <c r="E77" s="7">
        <v>25</v>
      </c>
      <c r="F77" s="6" t="s">
        <v>3008</v>
      </c>
      <c r="G77" s="6" t="s">
        <v>2908</v>
      </c>
      <c r="H77" s="6" t="s">
        <v>2909</v>
      </c>
      <c r="I77" s="8"/>
      <c r="J77" s="8">
        <v>-30902</v>
      </c>
      <c r="K77" s="6" t="s">
        <v>2958</v>
      </c>
      <c r="L77" s="6" t="s">
        <v>1601</v>
      </c>
      <c r="N77" s="6" t="s">
        <v>1601</v>
      </c>
      <c r="O77" s="29">
        <v>-32447.1</v>
      </c>
    </row>
    <row r="78" s="1" customFormat="1" ht="16.35" hidden="1" customHeight="1" spans="1:15">
      <c r="A78" s="5"/>
      <c r="B78" s="6" t="s">
        <v>2906</v>
      </c>
      <c r="C78" s="6">
        <v>2016</v>
      </c>
      <c r="D78" s="6">
        <v>8</v>
      </c>
      <c r="E78" s="7">
        <v>31</v>
      </c>
      <c r="F78" s="6" t="s">
        <v>3009</v>
      </c>
      <c r="G78" s="6" t="s">
        <v>2908</v>
      </c>
      <c r="H78" s="6" t="s">
        <v>2909</v>
      </c>
      <c r="I78" s="8"/>
      <c r="J78" s="8">
        <v>92381</v>
      </c>
      <c r="K78" s="6" t="s">
        <v>2982</v>
      </c>
      <c r="L78" s="6" t="s">
        <v>1812</v>
      </c>
      <c r="N78" s="6" t="s">
        <v>1812</v>
      </c>
      <c r="O78" s="29">
        <v>97000.05</v>
      </c>
    </row>
    <row r="79" s="1" customFormat="1" ht="16.35" hidden="1" customHeight="1" spans="1:15">
      <c r="A79" s="5"/>
      <c r="B79" s="6" t="s">
        <v>2906</v>
      </c>
      <c r="C79" s="6">
        <v>2016</v>
      </c>
      <c r="D79" s="6">
        <v>8</v>
      </c>
      <c r="E79" s="7">
        <v>32</v>
      </c>
      <c r="F79" s="6" t="s">
        <v>3004</v>
      </c>
      <c r="G79" s="6" t="s">
        <v>2908</v>
      </c>
      <c r="H79" s="6" t="s">
        <v>2909</v>
      </c>
      <c r="I79" s="8"/>
      <c r="J79" s="8">
        <v>9524</v>
      </c>
      <c r="K79" s="6" t="s">
        <v>2994</v>
      </c>
      <c r="L79" s="6" t="s">
        <v>1840</v>
      </c>
      <c r="N79" s="6" t="s">
        <v>1840</v>
      </c>
      <c r="O79" s="29">
        <v>10000.2</v>
      </c>
    </row>
    <row r="80" s="1" customFormat="1" ht="16.35" hidden="1" customHeight="1" spans="1:15">
      <c r="A80" s="5"/>
      <c r="B80" s="6" t="s">
        <v>2906</v>
      </c>
      <c r="C80" s="6">
        <v>2016</v>
      </c>
      <c r="D80" s="6">
        <v>8</v>
      </c>
      <c r="E80" s="7">
        <v>33</v>
      </c>
      <c r="F80" s="6" t="s">
        <v>3010</v>
      </c>
      <c r="G80" s="6" t="s">
        <v>2908</v>
      </c>
      <c r="H80" s="6" t="s">
        <v>2909</v>
      </c>
      <c r="I80" s="8"/>
      <c r="J80" s="8">
        <v>87619</v>
      </c>
      <c r="K80" s="6" t="s">
        <v>2962</v>
      </c>
      <c r="L80" s="6" t="s">
        <v>1792</v>
      </c>
      <c r="N80" s="6" t="s">
        <v>1792</v>
      </c>
      <c r="O80" s="29">
        <v>91999.95</v>
      </c>
    </row>
    <row r="81" s="1" customFormat="1" ht="16.35" hidden="1" customHeight="1" spans="1:15">
      <c r="A81" s="5"/>
      <c r="B81" s="6" t="s">
        <v>2906</v>
      </c>
      <c r="C81" s="6">
        <v>2016</v>
      </c>
      <c r="D81" s="6">
        <v>8</v>
      </c>
      <c r="E81" s="7">
        <v>34</v>
      </c>
      <c r="F81" s="6" t="s">
        <v>2970</v>
      </c>
      <c r="G81" s="6" t="s">
        <v>2908</v>
      </c>
      <c r="H81" s="6" t="s">
        <v>2909</v>
      </c>
      <c r="I81" s="8"/>
      <c r="J81" s="8">
        <v>76190</v>
      </c>
      <c r="K81" s="6" t="s">
        <v>2971</v>
      </c>
      <c r="L81" s="6" t="s">
        <v>1816</v>
      </c>
      <c r="N81" s="6" t="s">
        <v>1816</v>
      </c>
      <c r="O81" s="29">
        <v>79999.5</v>
      </c>
    </row>
    <row r="82" s="1" customFormat="1" ht="16.35" hidden="1" customHeight="1" spans="1:15">
      <c r="A82" s="5"/>
      <c r="B82" s="6" t="s">
        <v>2906</v>
      </c>
      <c r="C82" s="6">
        <v>2016</v>
      </c>
      <c r="D82" s="6">
        <v>9</v>
      </c>
      <c r="E82" s="7">
        <v>2</v>
      </c>
      <c r="F82" s="6" t="s">
        <v>2975</v>
      </c>
      <c r="G82" s="6" t="s">
        <v>2908</v>
      </c>
      <c r="H82" s="6" t="s">
        <v>2909</v>
      </c>
      <c r="I82" s="8"/>
      <c r="J82" s="8">
        <v>103810</v>
      </c>
      <c r="K82" s="6" t="s">
        <v>2976</v>
      </c>
      <c r="L82" s="6" t="s">
        <v>1788</v>
      </c>
      <c r="N82" s="6" t="s">
        <v>1788</v>
      </c>
      <c r="O82" s="29">
        <v>109000.5</v>
      </c>
    </row>
    <row r="83" s="1" customFormat="1" ht="16.35" hidden="1" customHeight="1" spans="1:15">
      <c r="A83" s="5"/>
      <c r="B83" s="6" t="s">
        <v>2906</v>
      </c>
      <c r="C83" s="6">
        <v>2016</v>
      </c>
      <c r="D83" s="6">
        <v>9</v>
      </c>
      <c r="E83" s="7">
        <v>3</v>
      </c>
      <c r="F83" s="6" t="s">
        <v>2985</v>
      </c>
      <c r="G83" s="6" t="s">
        <v>2908</v>
      </c>
      <c r="H83" s="6" t="s">
        <v>2909</v>
      </c>
      <c r="I83" s="8"/>
      <c r="J83" s="8">
        <v>85714</v>
      </c>
      <c r="K83" s="6" t="s">
        <v>2986</v>
      </c>
      <c r="L83" s="6" t="s">
        <v>1794</v>
      </c>
      <c r="N83" s="6" t="s">
        <v>1794</v>
      </c>
      <c r="O83" s="29">
        <v>89999.7</v>
      </c>
    </row>
    <row r="84" s="1" customFormat="1" ht="16.35" hidden="1" customHeight="1" spans="1:15">
      <c r="A84" s="5"/>
      <c r="B84" s="6" t="s">
        <v>2906</v>
      </c>
      <c r="C84" s="6">
        <v>2016</v>
      </c>
      <c r="D84" s="6">
        <v>9</v>
      </c>
      <c r="E84" s="7">
        <v>5</v>
      </c>
      <c r="F84" s="6" t="s">
        <v>3011</v>
      </c>
      <c r="G84" s="6" t="s">
        <v>2908</v>
      </c>
      <c r="H84" s="6" t="s">
        <v>2909</v>
      </c>
      <c r="I84" s="8"/>
      <c r="J84" s="8">
        <v>26836</v>
      </c>
      <c r="K84" s="6" t="s">
        <v>3001</v>
      </c>
      <c r="L84" s="6" t="s">
        <v>1836</v>
      </c>
      <c r="N84" s="6" t="s">
        <v>1836</v>
      </c>
      <c r="O84" s="29">
        <v>28177.8</v>
      </c>
    </row>
    <row r="85" s="1" customFormat="1" ht="16.35" hidden="1" customHeight="1" spans="1:15">
      <c r="A85" s="5"/>
      <c r="B85" s="6" t="s">
        <v>2906</v>
      </c>
      <c r="C85" s="6">
        <v>2016</v>
      </c>
      <c r="D85" s="6">
        <v>9</v>
      </c>
      <c r="E85" s="7">
        <v>6</v>
      </c>
      <c r="F85" s="6" t="s">
        <v>2973</v>
      </c>
      <c r="G85" s="6" t="s">
        <v>2908</v>
      </c>
      <c r="H85" s="6" t="s">
        <v>2909</v>
      </c>
      <c r="I85" s="8"/>
      <c r="J85" s="8">
        <v>85714</v>
      </c>
      <c r="K85" s="6" t="s">
        <v>2974</v>
      </c>
      <c r="L85" s="6" t="s">
        <v>1770</v>
      </c>
      <c r="N85" s="6" t="s">
        <v>1770</v>
      </c>
      <c r="O85" s="29">
        <v>89999.7</v>
      </c>
    </row>
    <row r="86" s="1" customFormat="1" ht="16.35" hidden="1" customHeight="1" spans="1:15">
      <c r="A86" s="5"/>
      <c r="B86" s="6" t="s">
        <v>2906</v>
      </c>
      <c r="C86" s="6">
        <v>2016</v>
      </c>
      <c r="D86" s="6">
        <v>9</v>
      </c>
      <c r="E86" s="7">
        <v>11</v>
      </c>
      <c r="F86" s="6" t="s">
        <v>3012</v>
      </c>
      <c r="G86" s="6" t="s">
        <v>2908</v>
      </c>
      <c r="H86" s="6" t="s">
        <v>2909</v>
      </c>
      <c r="I86" s="8"/>
      <c r="J86" s="8">
        <v>31255</v>
      </c>
      <c r="K86" s="6" t="s">
        <v>3013</v>
      </c>
      <c r="L86" s="6" t="s">
        <v>1784</v>
      </c>
      <c r="N86" s="6" t="s">
        <v>1784</v>
      </c>
      <c r="O86" s="29">
        <v>32817.75</v>
      </c>
    </row>
    <row r="87" s="1" customFormat="1" ht="16.35" hidden="1" customHeight="1" spans="1:15">
      <c r="A87" s="5"/>
      <c r="B87" s="6" t="s">
        <v>2906</v>
      </c>
      <c r="C87" s="6">
        <v>2016</v>
      </c>
      <c r="D87" s="6">
        <v>9</v>
      </c>
      <c r="E87" s="7">
        <v>13</v>
      </c>
      <c r="F87" s="6" t="s">
        <v>3014</v>
      </c>
      <c r="G87" s="6" t="s">
        <v>2908</v>
      </c>
      <c r="H87" s="6" t="s">
        <v>2909</v>
      </c>
      <c r="I87" s="8"/>
      <c r="J87" s="8">
        <v>95238</v>
      </c>
      <c r="K87" s="6" t="s">
        <v>2996</v>
      </c>
      <c r="L87" s="6" t="s">
        <v>1790</v>
      </c>
      <c r="N87" s="6" t="s">
        <v>1790</v>
      </c>
      <c r="O87" s="29">
        <v>99999.9</v>
      </c>
    </row>
    <row r="88" s="1" customFormat="1" ht="16.35" hidden="1" customHeight="1" spans="1:15">
      <c r="A88" s="5"/>
      <c r="B88" s="6" t="s">
        <v>2906</v>
      </c>
      <c r="C88" s="6">
        <v>2016</v>
      </c>
      <c r="D88" s="6">
        <v>9</v>
      </c>
      <c r="E88" s="7">
        <v>16</v>
      </c>
      <c r="F88" s="6" t="s">
        <v>3015</v>
      </c>
      <c r="G88" s="6" t="s">
        <v>2908</v>
      </c>
      <c r="H88" s="6" t="s">
        <v>2909</v>
      </c>
      <c r="I88" s="8"/>
      <c r="J88" s="8">
        <v>30476</v>
      </c>
      <c r="K88" s="6" t="s">
        <v>3016</v>
      </c>
      <c r="L88" s="6" t="s">
        <v>1808</v>
      </c>
      <c r="N88" s="6" t="s">
        <v>1808</v>
      </c>
      <c r="O88" s="29">
        <v>31999.8</v>
      </c>
    </row>
    <row r="89" s="1" customFormat="1" ht="16.35" hidden="1" customHeight="1" spans="1:15">
      <c r="A89" s="5"/>
      <c r="B89" s="6" t="s">
        <v>2906</v>
      </c>
      <c r="C89" s="6">
        <v>2016</v>
      </c>
      <c r="D89" s="6">
        <v>9</v>
      </c>
      <c r="E89" s="7">
        <v>17</v>
      </c>
      <c r="F89" s="6" t="s">
        <v>3017</v>
      </c>
      <c r="G89" s="6" t="s">
        <v>2908</v>
      </c>
      <c r="H89" s="6" t="s">
        <v>2909</v>
      </c>
      <c r="I89" s="8"/>
      <c r="J89" s="8">
        <v>38457</v>
      </c>
      <c r="K89" s="6" t="s">
        <v>3018</v>
      </c>
      <c r="L89" s="6" t="s">
        <v>1786</v>
      </c>
      <c r="N89" s="6" t="s">
        <v>1786</v>
      </c>
      <c r="O89" s="29">
        <v>40379.85</v>
      </c>
    </row>
    <row r="90" s="1" customFormat="1" ht="16.35" hidden="1" customHeight="1" spans="1:15">
      <c r="A90" s="5"/>
      <c r="B90" s="6" t="s">
        <v>2906</v>
      </c>
      <c r="C90" s="6">
        <v>2016</v>
      </c>
      <c r="D90" s="6">
        <v>9</v>
      </c>
      <c r="E90" s="7">
        <v>18</v>
      </c>
      <c r="F90" s="6" t="s">
        <v>3019</v>
      </c>
      <c r="G90" s="6" t="s">
        <v>2908</v>
      </c>
      <c r="H90" s="6" t="s">
        <v>2909</v>
      </c>
      <c r="I90" s="8"/>
      <c r="J90" s="8">
        <v>45840</v>
      </c>
      <c r="K90" s="6" t="s">
        <v>2958</v>
      </c>
      <c r="L90" s="6" t="s">
        <v>1601</v>
      </c>
      <c r="N90" s="6" t="s">
        <v>1601</v>
      </c>
      <c r="O90" s="29">
        <v>48132</v>
      </c>
    </row>
    <row r="91" s="1" customFormat="1" ht="16.35" hidden="1" customHeight="1" spans="1:15">
      <c r="A91" s="5"/>
      <c r="B91" s="6" t="s">
        <v>2906</v>
      </c>
      <c r="C91" s="6">
        <v>2016</v>
      </c>
      <c r="D91" s="6">
        <v>9</v>
      </c>
      <c r="E91" s="7">
        <v>19</v>
      </c>
      <c r="F91" s="6" t="s">
        <v>3005</v>
      </c>
      <c r="G91" s="6" t="s">
        <v>2908</v>
      </c>
      <c r="H91" s="6" t="s">
        <v>2909</v>
      </c>
      <c r="I91" s="8"/>
      <c r="J91" s="8">
        <v>95238</v>
      </c>
      <c r="K91" s="6" t="s">
        <v>3006</v>
      </c>
      <c r="L91" s="6" t="s">
        <v>1627</v>
      </c>
      <c r="N91" s="6" t="s">
        <v>1627</v>
      </c>
      <c r="O91" s="29">
        <v>99999.9</v>
      </c>
    </row>
    <row r="92" s="1" customFormat="1" ht="16.35" hidden="1" customHeight="1" spans="1:15">
      <c r="A92" s="5"/>
      <c r="B92" s="6" t="s">
        <v>2906</v>
      </c>
      <c r="C92" s="6">
        <v>2016</v>
      </c>
      <c r="D92" s="6">
        <v>9</v>
      </c>
      <c r="E92" s="7">
        <v>20</v>
      </c>
      <c r="F92" s="6" t="s">
        <v>3015</v>
      </c>
      <c r="G92" s="6" t="s">
        <v>2908</v>
      </c>
      <c r="H92" s="6" t="s">
        <v>2909</v>
      </c>
      <c r="I92" s="8"/>
      <c r="J92" s="8">
        <v>362</v>
      </c>
      <c r="K92" s="6" t="s">
        <v>3016</v>
      </c>
      <c r="L92" s="6" t="s">
        <v>1808</v>
      </c>
      <c r="N92" s="6" t="s">
        <v>1808</v>
      </c>
      <c r="O92" s="29">
        <v>380.1</v>
      </c>
    </row>
    <row r="93" s="1" customFormat="1" ht="16.35" hidden="1" customHeight="1" spans="1:15">
      <c r="A93" s="5"/>
      <c r="B93" s="6" t="s">
        <v>2906</v>
      </c>
      <c r="C93" s="6">
        <v>2016</v>
      </c>
      <c r="D93" s="6">
        <v>10</v>
      </c>
      <c r="E93" s="7">
        <v>6</v>
      </c>
      <c r="F93" s="6" t="s">
        <v>3020</v>
      </c>
      <c r="G93" s="6" t="s">
        <v>2908</v>
      </c>
      <c r="H93" s="6" t="s">
        <v>2909</v>
      </c>
      <c r="I93" s="8"/>
      <c r="J93" s="8">
        <v>35714</v>
      </c>
      <c r="K93" s="6" t="s">
        <v>3021</v>
      </c>
      <c r="L93" s="6" t="s">
        <v>1832</v>
      </c>
      <c r="N93" s="6" t="s">
        <v>1832</v>
      </c>
      <c r="O93" s="29">
        <v>37499.7</v>
      </c>
    </row>
    <row r="94" s="1" customFormat="1" ht="16.35" hidden="1" customHeight="1" spans="1:15">
      <c r="A94" s="5"/>
      <c r="B94" s="6" t="s">
        <v>2906</v>
      </c>
      <c r="C94" s="6">
        <v>2016</v>
      </c>
      <c r="D94" s="6">
        <v>10</v>
      </c>
      <c r="E94" s="7">
        <v>7</v>
      </c>
      <c r="F94" s="6" t="s">
        <v>3022</v>
      </c>
      <c r="G94" s="6" t="s">
        <v>2908</v>
      </c>
      <c r="H94" s="6" t="s">
        <v>2909</v>
      </c>
      <c r="I94" s="8"/>
      <c r="J94" s="8">
        <v>27619</v>
      </c>
      <c r="K94" s="6" t="s">
        <v>3023</v>
      </c>
      <c r="L94" s="6" t="s">
        <v>1647</v>
      </c>
      <c r="N94" s="6" t="s">
        <v>1647</v>
      </c>
      <c r="O94" s="29">
        <v>28999.95</v>
      </c>
    </row>
    <row r="95" s="1" customFormat="1" ht="16.35" hidden="1" customHeight="1" spans="1:15">
      <c r="A95" s="5"/>
      <c r="B95" s="6" t="s">
        <v>2906</v>
      </c>
      <c r="C95" s="6">
        <v>2016</v>
      </c>
      <c r="D95" s="6">
        <v>10</v>
      </c>
      <c r="E95" s="7">
        <v>8</v>
      </c>
      <c r="F95" s="6" t="s">
        <v>3024</v>
      </c>
      <c r="G95" s="6" t="s">
        <v>2908</v>
      </c>
      <c r="H95" s="6" t="s">
        <v>2909</v>
      </c>
      <c r="I95" s="8"/>
      <c r="J95" s="8">
        <v>34981</v>
      </c>
      <c r="K95" s="6" t="s">
        <v>3025</v>
      </c>
      <c r="L95" s="6" t="s">
        <v>1619</v>
      </c>
      <c r="N95" s="6" t="s">
        <v>1619</v>
      </c>
      <c r="O95" s="29">
        <v>36730.05</v>
      </c>
    </row>
    <row r="96" s="1" customFormat="1" ht="16.35" hidden="1" customHeight="1" spans="1:15">
      <c r="A96" s="5"/>
      <c r="B96" s="6" t="s">
        <v>2906</v>
      </c>
      <c r="C96" s="6">
        <v>2016</v>
      </c>
      <c r="D96" s="6">
        <v>10</v>
      </c>
      <c r="E96" s="7">
        <v>9</v>
      </c>
      <c r="F96" s="6" t="s">
        <v>3024</v>
      </c>
      <c r="G96" s="6" t="s">
        <v>2908</v>
      </c>
      <c r="H96" s="6" t="s">
        <v>2909</v>
      </c>
      <c r="I96" s="8"/>
      <c r="J96" s="8">
        <v>9524</v>
      </c>
      <c r="K96" s="6" t="s">
        <v>3025</v>
      </c>
      <c r="L96" s="6" t="s">
        <v>1619</v>
      </c>
      <c r="N96" s="6" t="s">
        <v>1619</v>
      </c>
      <c r="O96" s="29">
        <v>10000.2</v>
      </c>
    </row>
    <row r="97" s="1" customFormat="1" ht="16.35" hidden="1" customHeight="1" spans="1:15">
      <c r="A97" s="5"/>
      <c r="B97" s="6" t="s">
        <v>2906</v>
      </c>
      <c r="C97" s="6">
        <v>2016</v>
      </c>
      <c r="D97" s="6">
        <v>10</v>
      </c>
      <c r="E97" s="7">
        <v>10</v>
      </c>
      <c r="F97" s="6" t="s">
        <v>3026</v>
      </c>
      <c r="G97" s="6" t="s">
        <v>2908</v>
      </c>
      <c r="H97" s="6" t="s">
        <v>2909</v>
      </c>
      <c r="I97" s="8"/>
      <c r="J97" s="8">
        <v>14286</v>
      </c>
      <c r="K97" s="6" t="s">
        <v>3027</v>
      </c>
      <c r="L97" s="6" t="s">
        <v>1623</v>
      </c>
      <c r="N97" s="6" t="s">
        <v>1623</v>
      </c>
      <c r="O97" s="29">
        <v>15000.3</v>
      </c>
    </row>
    <row r="98" s="1" customFormat="1" ht="16.35" hidden="1" customHeight="1" spans="1:15">
      <c r="A98" s="5"/>
      <c r="B98" s="6" t="s">
        <v>2906</v>
      </c>
      <c r="C98" s="6">
        <v>2016</v>
      </c>
      <c r="D98" s="6">
        <v>10</v>
      </c>
      <c r="E98" s="7">
        <v>11</v>
      </c>
      <c r="F98" s="6" t="s">
        <v>3002</v>
      </c>
      <c r="G98" s="6" t="s">
        <v>2908</v>
      </c>
      <c r="H98" s="6" t="s">
        <v>2909</v>
      </c>
      <c r="I98" s="8"/>
      <c r="J98" s="8">
        <v>95238</v>
      </c>
      <c r="K98" s="6" t="s">
        <v>3003</v>
      </c>
      <c r="L98" s="6" t="s">
        <v>1651</v>
      </c>
      <c r="N98" s="6" t="s">
        <v>1651</v>
      </c>
      <c r="O98" s="29">
        <v>99999.9</v>
      </c>
    </row>
    <row r="99" s="1" customFormat="1" ht="16.35" hidden="1" customHeight="1" spans="1:15">
      <c r="A99" s="5"/>
      <c r="B99" s="6" t="s">
        <v>2906</v>
      </c>
      <c r="C99" s="6">
        <v>2016</v>
      </c>
      <c r="D99" s="6">
        <v>10</v>
      </c>
      <c r="E99" s="7">
        <v>12</v>
      </c>
      <c r="F99" s="6" t="s">
        <v>3017</v>
      </c>
      <c r="G99" s="6" t="s">
        <v>2908</v>
      </c>
      <c r="H99" s="6" t="s">
        <v>2909</v>
      </c>
      <c r="I99" s="8"/>
      <c r="J99" s="8">
        <v>18095</v>
      </c>
      <c r="K99" s="6" t="s">
        <v>3018</v>
      </c>
      <c r="L99" s="6" t="s">
        <v>1786</v>
      </c>
      <c r="N99" s="6" t="s">
        <v>1786</v>
      </c>
      <c r="O99" s="29">
        <v>18999.75</v>
      </c>
    </row>
    <row r="100" s="1" customFormat="1" ht="16.35" hidden="1" customHeight="1" spans="1:15">
      <c r="A100" s="5"/>
      <c r="B100" s="6" t="s">
        <v>2906</v>
      </c>
      <c r="C100" s="6">
        <v>2016</v>
      </c>
      <c r="D100" s="6">
        <v>10</v>
      </c>
      <c r="E100" s="7">
        <v>14</v>
      </c>
      <c r="F100" s="6" t="s">
        <v>3028</v>
      </c>
      <c r="G100" s="6" t="s">
        <v>2908</v>
      </c>
      <c r="H100" s="6" t="s">
        <v>2909</v>
      </c>
      <c r="I100" s="8"/>
      <c r="J100" s="8">
        <v>46516</v>
      </c>
      <c r="K100" s="6" t="s">
        <v>3029</v>
      </c>
      <c r="L100" s="6" t="s">
        <v>1810</v>
      </c>
      <c r="N100" s="6" t="s">
        <v>1810</v>
      </c>
      <c r="O100" s="29">
        <v>48841.8</v>
      </c>
    </row>
    <row r="101" s="1" customFormat="1" ht="16.35" hidden="1" customHeight="1" spans="1:15">
      <c r="A101" s="5"/>
      <c r="B101" s="6" t="s">
        <v>2906</v>
      </c>
      <c r="C101" s="6">
        <v>2016</v>
      </c>
      <c r="D101" s="6">
        <v>10</v>
      </c>
      <c r="E101" s="7">
        <v>15</v>
      </c>
      <c r="F101" s="6" t="s">
        <v>3030</v>
      </c>
      <c r="G101" s="6" t="s">
        <v>2908</v>
      </c>
      <c r="H101" s="6" t="s">
        <v>2909</v>
      </c>
      <c r="I101" s="8"/>
      <c r="J101" s="8">
        <v>19048</v>
      </c>
      <c r="K101" s="6" t="s">
        <v>3031</v>
      </c>
      <c r="L101" s="6" t="s">
        <v>1573</v>
      </c>
      <c r="N101" s="6" t="s">
        <v>1573</v>
      </c>
      <c r="O101" s="29">
        <v>20000.4</v>
      </c>
    </row>
    <row r="102" s="1" customFormat="1" ht="16.35" hidden="1" customHeight="1" spans="1:15">
      <c r="A102" s="5"/>
      <c r="B102" s="6" t="s">
        <v>2906</v>
      </c>
      <c r="C102" s="6">
        <v>2016</v>
      </c>
      <c r="D102" s="6">
        <v>10</v>
      </c>
      <c r="E102" s="7">
        <v>16</v>
      </c>
      <c r="F102" s="6" t="s">
        <v>3032</v>
      </c>
      <c r="G102" s="6" t="s">
        <v>2908</v>
      </c>
      <c r="H102" s="6" t="s">
        <v>2909</v>
      </c>
      <c r="I102" s="8"/>
      <c r="J102" s="8">
        <v>28571</v>
      </c>
      <c r="K102" s="6" t="s">
        <v>3033</v>
      </c>
      <c r="L102" s="6" t="s">
        <v>1597</v>
      </c>
      <c r="N102" s="6" t="s">
        <v>1597</v>
      </c>
      <c r="O102" s="29">
        <v>29999.55</v>
      </c>
    </row>
    <row r="103" s="1" customFormat="1" ht="16.35" hidden="1" customHeight="1" spans="1:15">
      <c r="A103" s="5"/>
      <c r="B103" s="6" t="s">
        <v>2906</v>
      </c>
      <c r="C103" s="6">
        <v>2016</v>
      </c>
      <c r="D103" s="6">
        <v>10</v>
      </c>
      <c r="E103" s="7">
        <v>17</v>
      </c>
      <c r="F103" s="6" t="s">
        <v>3020</v>
      </c>
      <c r="G103" s="6" t="s">
        <v>2908</v>
      </c>
      <c r="H103" s="6" t="s">
        <v>2909</v>
      </c>
      <c r="I103" s="8"/>
      <c r="J103" s="8">
        <v>10802</v>
      </c>
      <c r="K103" s="6" t="s">
        <v>3021</v>
      </c>
      <c r="L103" s="6" t="s">
        <v>1832</v>
      </c>
      <c r="N103" s="6" t="s">
        <v>1832</v>
      </c>
      <c r="O103" s="29">
        <v>11342.1</v>
      </c>
    </row>
    <row r="104" s="1" customFormat="1" ht="16.35" hidden="1" customHeight="1" spans="1:15">
      <c r="A104" s="5"/>
      <c r="B104" s="6" t="s">
        <v>2906</v>
      </c>
      <c r="C104" s="6">
        <v>2016</v>
      </c>
      <c r="D104" s="6">
        <v>10</v>
      </c>
      <c r="E104" s="7">
        <v>18</v>
      </c>
      <c r="F104" s="6" t="s">
        <v>3024</v>
      </c>
      <c r="G104" s="6" t="s">
        <v>2908</v>
      </c>
      <c r="H104" s="6" t="s">
        <v>2909</v>
      </c>
      <c r="I104" s="8"/>
      <c r="J104" s="8">
        <v>35238</v>
      </c>
      <c r="K104" s="6" t="s">
        <v>3025</v>
      </c>
      <c r="L104" s="6" t="s">
        <v>1619</v>
      </c>
      <c r="N104" s="6" t="s">
        <v>1619</v>
      </c>
      <c r="O104" s="29">
        <v>36999.9</v>
      </c>
    </row>
    <row r="105" s="1" customFormat="1" ht="16.35" hidden="1" customHeight="1" spans="1:15">
      <c r="A105" s="5"/>
      <c r="B105" s="6" t="s">
        <v>2906</v>
      </c>
      <c r="C105" s="6">
        <v>2016</v>
      </c>
      <c r="D105" s="6">
        <v>10</v>
      </c>
      <c r="E105" s="7">
        <v>19</v>
      </c>
      <c r="F105" s="6" t="s">
        <v>3022</v>
      </c>
      <c r="G105" s="6" t="s">
        <v>2908</v>
      </c>
      <c r="H105" s="6" t="s">
        <v>2909</v>
      </c>
      <c r="I105" s="8"/>
      <c r="J105" s="8">
        <v>3283</v>
      </c>
      <c r="K105" s="6" t="s">
        <v>3023</v>
      </c>
      <c r="L105" s="6" t="s">
        <v>1647</v>
      </c>
      <c r="N105" s="6" t="s">
        <v>1647</v>
      </c>
      <c r="O105" s="29">
        <v>3447.15</v>
      </c>
    </row>
    <row r="106" s="1" customFormat="1" ht="16.35" hidden="1" customHeight="1" spans="1:15">
      <c r="A106" s="5"/>
      <c r="B106" s="6" t="s">
        <v>2906</v>
      </c>
      <c r="C106" s="6">
        <v>2016</v>
      </c>
      <c r="D106" s="6">
        <v>10</v>
      </c>
      <c r="E106" s="7">
        <v>20</v>
      </c>
      <c r="F106" s="6" t="s">
        <v>3034</v>
      </c>
      <c r="G106" s="6" t="s">
        <v>2908</v>
      </c>
      <c r="H106" s="6" t="s">
        <v>2909</v>
      </c>
      <c r="I106" s="8"/>
      <c r="J106" s="8">
        <v>14561</v>
      </c>
      <c r="K106" s="6" t="s">
        <v>3027</v>
      </c>
      <c r="L106" s="6" t="s">
        <v>1623</v>
      </c>
      <c r="N106" s="6" t="s">
        <v>1623</v>
      </c>
      <c r="O106" s="29">
        <v>15289.05</v>
      </c>
    </row>
    <row r="107" s="1" customFormat="1" ht="16.35" hidden="1" customHeight="1" spans="1:15">
      <c r="A107" s="5"/>
      <c r="B107" s="6" t="s">
        <v>2906</v>
      </c>
      <c r="C107" s="6">
        <v>2016</v>
      </c>
      <c r="D107" s="6">
        <v>10</v>
      </c>
      <c r="E107" s="7">
        <v>21</v>
      </c>
      <c r="F107" s="6" t="s">
        <v>3035</v>
      </c>
      <c r="G107" s="6" t="s">
        <v>2908</v>
      </c>
      <c r="H107" s="6" t="s">
        <v>2909</v>
      </c>
      <c r="I107" s="8"/>
      <c r="J107" s="8">
        <v>57922</v>
      </c>
      <c r="K107" s="6" t="s">
        <v>3036</v>
      </c>
      <c r="L107" s="6" t="s">
        <v>1834</v>
      </c>
      <c r="N107" s="6" t="s">
        <v>1834</v>
      </c>
      <c r="O107" s="29">
        <v>60818.1</v>
      </c>
    </row>
    <row r="108" s="1" customFormat="1" ht="16.35" hidden="1" customHeight="1" spans="1:15">
      <c r="A108" s="5"/>
      <c r="B108" s="6" t="s">
        <v>2906</v>
      </c>
      <c r="C108" s="6">
        <v>2016</v>
      </c>
      <c r="D108" s="6">
        <v>10</v>
      </c>
      <c r="E108" s="7">
        <v>22</v>
      </c>
      <c r="F108" s="6" t="s">
        <v>3037</v>
      </c>
      <c r="G108" s="6" t="s">
        <v>2908</v>
      </c>
      <c r="H108" s="6" t="s">
        <v>2909</v>
      </c>
      <c r="I108" s="8"/>
      <c r="J108" s="8">
        <v>53076</v>
      </c>
      <c r="K108" s="6" t="s">
        <v>3038</v>
      </c>
      <c r="L108" s="6" t="s">
        <v>1643</v>
      </c>
      <c r="N108" s="6" t="s">
        <v>1643</v>
      </c>
      <c r="O108" s="29">
        <v>55729.8</v>
      </c>
    </row>
    <row r="109" s="1" customFormat="1" ht="16.35" hidden="1" customHeight="1" spans="1:15">
      <c r="A109" s="5"/>
      <c r="B109" s="6" t="s">
        <v>2906</v>
      </c>
      <c r="C109" s="6">
        <v>2016</v>
      </c>
      <c r="D109" s="6">
        <v>10</v>
      </c>
      <c r="E109" s="7">
        <v>29</v>
      </c>
      <c r="F109" s="6" t="s">
        <v>3039</v>
      </c>
      <c r="G109" s="6" t="s">
        <v>2908</v>
      </c>
      <c r="H109" s="6" t="s">
        <v>2909</v>
      </c>
      <c r="I109" s="8"/>
      <c r="J109" s="8">
        <v>42857</v>
      </c>
      <c r="K109" s="6" t="s">
        <v>3040</v>
      </c>
      <c r="L109" s="6" t="s">
        <v>1629</v>
      </c>
      <c r="N109" s="6" t="s">
        <v>1629</v>
      </c>
      <c r="O109" s="29">
        <v>44999.85</v>
      </c>
    </row>
    <row r="110" s="1" customFormat="1" ht="16.35" hidden="1" customHeight="1" spans="1:15">
      <c r="A110" s="5"/>
      <c r="B110" s="6" t="s">
        <v>2906</v>
      </c>
      <c r="C110" s="6">
        <v>2016</v>
      </c>
      <c r="D110" s="6">
        <v>10</v>
      </c>
      <c r="E110" s="7">
        <v>30</v>
      </c>
      <c r="F110" s="6" t="s">
        <v>2998</v>
      </c>
      <c r="G110" s="6" t="s">
        <v>2908</v>
      </c>
      <c r="H110" s="6" t="s">
        <v>2909</v>
      </c>
      <c r="I110" s="8"/>
      <c r="J110" s="8">
        <v>99048</v>
      </c>
      <c r="K110" s="6" t="s">
        <v>2999</v>
      </c>
      <c r="L110" s="6" t="s">
        <v>1605</v>
      </c>
      <c r="N110" s="6" t="s">
        <v>1605</v>
      </c>
      <c r="O110" s="29">
        <v>104000.4</v>
      </c>
    </row>
    <row r="111" s="1" customFormat="1" ht="16.35" hidden="1" customHeight="1" spans="1:15">
      <c r="A111" s="5"/>
      <c r="B111" s="6" t="s">
        <v>2906</v>
      </c>
      <c r="C111" s="6">
        <v>2016</v>
      </c>
      <c r="D111" s="6">
        <v>10</v>
      </c>
      <c r="E111" s="7">
        <v>32</v>
      </c>
      <c r="F111" s="6" t="s">
        <v>3041</v>
      </c>
      <c r="G111" s="6" t="s">
        <v>2908</v>
      </c>
      <c r="H111" s="6" t="s">
        <v>2909</v>
      </c>
      <c r="I111" s="8"/>
      <c r="J111" s="8">
        <v>88762</v>
      </c>
      <c r="K111" s="6" t="s">
        <v>3042</v>
      </c>
      <c r="L111" s="6" t="s">
        <v>1752</v>
      </c>
      <c r="N111" s="6" t="s">
        <v>1752</v>
      </c>
      <c r="O111" s="29">
        <v>93200.1</v>
      </c>
    </row>
    <row r="112" s="1" customFormat="1" ht="16.35" hidden="1" customHeight="1" spans="1:15">
      <c r="A112" s="5"/>
      <c r="B112" s="6" t="s">
        <v>2906</v>
      </c>
      <c r="C112" s="6">
        <v>2016</v>
      </c>
      <c r="D112" s="6">
        <v>10</v>
      </c>
      <c r="E112" s="7">
        <v>33</v>
      </c>
      <c r="F112" s="6" t="s">
        <v>3043</v>
      </c>
      <c r="G112" s="6" t="s">
        <v>2908</v>
      </c>
      <c r="H112" s="6" t="s">
        <v>2909</v>
      </c>
      <c r="I112" s="8"/>
      <c r="J112" s="8">
        <v>10086</v>
      </c>
      <c r="K112" s="6" t="s">
        <v>3040</v>
      </c>
      <c r="L112" s="6" t="s">
        <v>1629</v>
      </c>
      <c r="N112" s="6" t="s">
        <v>1629</v>
      </c>
      <c r="O112" s="29">
        <v>10590.3</v>
      </c>
    </row>
    <row r="113" s="1" customFormat="1" ht="16.35" hidden="1" customHeight="1" spans="1:15">
      <c r="A113" s="5"/>
      <c r="B113" s="6" t="s">
        <v>2906</v>
      </c>
      <c r="C113" s="6">
        <v>2016</v>
      </c>
      <c r="D113" s="6">
        <v>11</v>
      </c>
      <c r="E113" s="7">
        <v>3</v>
      </c>
      <c r="F113" s="6" t="s">
        <v>3028</v>
      </c>
      <c r="G113" s="6" t="s">
        <v>2908</v>
      </c>
      <c r="H113" s="6" t="s">
        <v>2909</v>
      </c>
      <c r="I113" s="8"/>
      <c r="J113" s="8">
        <v>106667</v>
      </c>
      <c r="K113" s="6" t="s">
        <v>3029</v>
      </c>
      <c r="L113" s="6" t="s">
        <v>1810</v>
      </c>
      <c r="N113" s="6" t="s">
        <v>1810</v>
      </c>
      <c r="O113" s="29">
        <v>112000.35</v>
      </c>
    </row>
    <row r="114" s="1" customFormat="1" ht="16.35" hidden="1" customHeight="1" spans="1:15">
      <c r="A114" s="5"/>
      <c r="B114" s="6" t="s">
        <v>2906</v>
      </c>
      <c r="C114" s="6">
        <v>2016</v>
      </c>
      <c r="D114" s="6">
        <v>11</v>
      </c>
      <c r="E114" s="7">
        <v>4</v>
      </c>
      <c r="F114" s="6" t="s">
        <v>3024</v>
      </c>
      <c r="G114" s="6" t="s">
        <v>2908</v>
      </c>
      <c r="H114" s="6" t="s">
        <v>2909</v>
      </c>
      <c r="I114" s="8"/>
      <c r="J114" s="8">
        <v>95238</v>
      </c>
      <c r="K114" s="6" t="s">
        <v>3025</v>
      </c>
      <c r="L114" s="6" t="s">
        <v>1619</v>
      </c>
      <c r="N114" s="6" t="s">
        <v>1619</v>
      </c>
      <c r="O114" s="29">
        <v>99999.9</v>
      </c>
    </row>
    <row r="115" s="1" customFormat="1" ht="16.35" hidden="1" customHeight="1" spans="1:15">
      <c r="A115" s="5"/>
      <c r="B115" s="6" t="s">
        <v>2906</v>
      </c>
      <c r="C115" s="6">
        <v>2016</v>
      </c>
      <c r="D115" s="6">
        <v>11</v>
      </c>
      <c r="E115" s="7">
        <v>5</v>
      </c>
      <c r="F115" s="6" t="s">
        <v>3012</v>
      </c>
      <c r="G115" s="6" t="s">
        <v>2908</v>
      </c>
      <c r="H115" s="6" t="s">
        <v>2909</v>
      </c>
      <c r="I115" s="8"/>
      <c r="J115" s="8">
        <v>120952</v>
      </c>
      <c r="K115" s="6" t="s">
        <v>3013</v>
      </c>
      <c r="L115" s="6" t="s">
        <v>1784</v>
      </c>
      <c r="N115" s="6" t="s">
        <v>1784</v>
      </c>
      <c r="O115" s="29">
        <v>126999.6</v>
      </c>
    </row>
    <row r="116" s="1" customFormat="1" ht="16.35" hidden="1" customHeight="1" spans="1:15">
      <c r="A116" s="5"/>
      <c r="B116" s="6" t="s">
        <v>2906</v>
      </c>
      <c r="C116" s="6">
        <v>2016</v>
      </c>
      <c r="D116" s="6">
        <v>11</v>
      </c>
      <c r="E116" s="7">
        <v>6</v>
      </c>
      <c r="F116" s="6" t="s">
        <v>3044</v>
      </c>
      <c r="G116" s="6" t="s">
        <v>2908</v>
      </c>
      <c r="H116" s="6" t="s">
        <v>2909</v>
      </c>
      <c r="I116" s="8"/>
      <c r="J116" s="8">
        <v>120952</v>
      </c>
      <c r="K116" s="6" t="s">
        <v>3016</v>
      </c>
      <c r="L116" s="6" t="s">
        <v>1808</v>
      </c>
      <c r="N116" s="6" t="s">
        <v>1808</v>
      </c>
      <c r="O116" s="29">
        <v>126999.6</v>
      </c>
    </row>
    <row r="117" s="1" customFormat="1" ht="16.35" hidden="1" customHeight="1" spans="1:15">
      <c r="A117" s="5"/>
      <c r="B117" s="6" t="s">
        <v>2906</v>
      </c>
      <c r="C117" s="6">
        <v>2016</v>
      </c>
      <c r="D117" s="6">
        <v>11</v>
      </c>
      <c r="E117" s="7">
        <v>7</v>
      </c>
      <c r="F117" s="6" t="s">
        <v>3037</v>
      </c>
      <c r="G117" s="6" t="s">
        <v>2908</v>
      </c>
      <c r="H117" s="6" t="s">
        <v>2909</v>
      </c>
      <c r="I117" s="8"/>
      <c r="J117" s="8">
        <v>121905</v>
      </c>
      <c r="K117" s="6" t="s">
        <v>3038</v>
      </c>
      <c r="L117" s="6" t="s">
        <v>1643</v>
      </c>
      <c r="N117" s="6" t="s">
        <v>1643</v>
      </c>
      <c r="O117" s="29">
        <v>128000.25</v>
      </c>
    </row>
    <row r="118" s="1" customFormat="1" ht="16.35" hidden="1" customHeight="1" spans="1:15">
      <c r="A118" s="5"/>
      <c r="B118" s="6" t="s">
        <v>2906</v>
      </c>
      <c r="C118" s="6">
        <v>2016</v>
      </c>
      <c r="D118" s="6">
        <v>11</v>
      </c>
      <c r="E118" s="7">
        <v>8</v>
      </c>
      <c r="F118" s="6" t="s">
        <v>3045</v>
      </c>
      <c r="G118" s="6" t="s">
        <v>2908</v>
      </c>
      <c r="H118" s="6" t="s">
        <v>2909</v>
      </c>
      <c r="I118" s="8"/>
      <c r="J118" s="8">
        <v>12381</v>
      </c>
      <c r="K118" s="6" t="s">
        <v>2964</v>
      </c>
      <c r="L118" s="6" t="s">
        <v>1765</v>
      </c>
      <c r="N118" s="6" t="s">
        <v>1765</v>
      </c>
      <c r="O118" s="29">
        <v>13000.05</v>
      </c>
    </row>
    <row r="119" s="1" customFormat="1" ht="16.35" hidden="1" customHeight="1" spans="1:15">
      <c r="A119" s="5"/>
      <c r="B119" s="6" t="s">
        <v>2906</v>
      </c>
      <c r="C119" s="6">
        <v>2016</v>
      </c>
      <c r="D119" s="6">
        <v>11</v>
      </c>
      <c r="E119" s="7">
        <v>9</v>
      </c>
      <c r="F119" s="6" t="s">
        <v>3043</v>
      </c>
      <c r="G119" s="6" t="s">
        <v>2908</v>
      </c>
      <c r="H119" s="6" t="s">
        <v>2909</v>
      </c>
      <c r="I119" s="8"/>
      <c r="J119" s="8">
        <v>120952</v>
      </c>
      <c r="K119" s="6" t="s">
        <v>3040</v>
      </c>
      <c r="L119" s="6" t="s">
        <v>1629</v>
      </c>
      <c r="N119" s="6" t="s">
        <v>1629</v>
      </c>
      <c r="O119" s="29">
        <v>126999.6</v>
      </c>
    </row>
    <row r="120" s="1" customFormat="1" ht="16.35" hidden="1" customHeight="1" spans="1:15">
      <c r="A120" s="5"/>
      <c r="B120" s="6" t="s">
        <v>2906</v>
      </c>
      <c r="C120" s="6">
        <v>2016</v>
      </c>
      <c r="D120" s="6">
        <v>11</v>
      </c>
      <c r="E120" s="7">
        <v>10</v>
      </c>
      <c r="F120" s="6" t="s">
        <v>3046</v>
      </c>
      <c r="G120" s="6" t="s">
        <v>2908</v>
      </c>
      <c r="H120" s="6" t="s">
        <v>2909</v>
      </c>
      <c r="I120" s="8"/>
      <c r="J120" s="8">
        <v>106667</v>
      </c>
      <c r="K120" s="6" t="s">
        <v>2958</v>
      </c>
      <c r="L120" s="6" t="s">
        <v>1601</v>
      </c>
      <c r="N120" s="6" t="s">
        <v>1601</v>
      </c>
      <c r="O120" s="29">
        <v>112000.35</v>
      </c>
    </row>
    <row r="121" s="1" customFormat="1" ht="16.35" hidden="1" customHeight="1" spans="1:15">
      <c r="A121" s="5"/>
      <c r="B121" s="6" t="s">
        <v>2906</v>
      </c>
      <c r="C121" s="6">
        <v>2016</v>
      </c>
      <c r="D121" s="6">
        <v>11</v>
      </c>
      <c r="E121" s="7">
        <v>11</v>
      </c>
      <c r="F121" s="6" t="s">
        <v>3047</v>
      </c>
      <c r="G121" s="6" t="s">
        <v>2908</v>
      </c>
      <c r="H121" s="6" t="s">
        <v>2909</v>
      </c>
      <c r="I121" s="8"/>
      <c r="J121" s="8">
        <v>95238</v>
      </c>
      <c r="K121" s="6" t="s">
        <v>3018</v>
      </c>
      <c r="L121" s="6" t="s">
        <v>1786</v>
      </c>
      <c r="N121" s="6" t="s">
        <v>1786</v>
      </c>
      <c r="O121" s="29">
        <v>99999.9</v>
      </c>
    </row>
    <row r="122" s="1" customFormat="1" ht="16.35" hidden="1" customHeight="1" spans="1:15">
      <c r="A122" s="5"/>
      <c r="B122" s="6" t="s">
        <v>2906</v>
      </c>
      <c r="C122" s="6">
        <v>2016</v>
      </c>
      <c r="D122" s="6">
        <v>11</v>
      </c>
      <c r="E122" s="7">
        <v>12</v>
      </c>
      <c r="F122" s="6" t="s">
        <v>3035</v>
      </c>
      <c r="G122" s="6" t="s">
        <v>2908</v>
      </c>
      <c r="H122" s="6" t="s">
        <v>2909</v>
      </c>
      <c r="I122" s="8"/>
      <c r="J122" s="8">
        <v>95238</v>
      </c>
      <c r="K122" s="6" t="s">
        <v>3036</v>
      </c>
      <c r="L122" s="6" t="s">
        <v>1834</v>
      </c>
      <c r="N122" s="6" t="s">
        <v>1834</v>
      </c>
      <c r="O122" s="29">
        <v>99999.9</v>
      </c>
    </row>
    <row r="123" s="1" customFormat="1" ht="16.35" hidden="1" customHeight="1" spans="1:15">
      <c r="A123" s="5"/>
      <c r="B123" s="6" t="s">
        <v>2906</v>
      </c>
      <c r="C123" s="6">
        <v>2016</v>
      </c>
      <c r="D123" s="6">
        <v>11</v>
      </c>
      <c r="E123" s="7">
        <v>13</v>
      </c>
      <c r="F123" s="6" t="s">
        <v>3032</v>
      </c>
      <c r="G123" s="6" t="s">
        <v>2908</v>
      </c>
      <c r="H123" s="6" t="s">
        <v>2909</v>
      </c>
      <c r="I123" s="8"/>
      <c r="J123" s="8">
        <v>15933</v>
      </c>
      <c r="K123" s="6" t="s">
        <v>3033</v>
      </c>
      <c r="L123" s="6" t="s">
        <v>1597</v>
      </c>
      <c r="N123" s="6" t="s">
        <v>1597</v>
      </c>
      <c r="O123" s="29">
        <v>16729.65</v>
      </c>
    </row>
    <row r="124" s="1" customFormat="1" ht="16.35" hidden="1" customHeight="1" spans="1:15">
      <c r="A124" s="5"/>
      <c r="B124" s="6" t="s">
        <v>2906</v>
      </c>
      <c r="C124" s="6">
        <v>2016</v>
      </c>
      <c r="D124" s="6">
        <v>11</v>
      </c>
      <c r="E124" s="7">
        <v>16</v>
      </c>
      <c r="F124" s="6" t="s">
        <v>3048</v>
      </c>
      <c r="G124" s="6" t="s">
        <v>2908</v>
      </c>
      <c r="H124" s="6" t="s">
        <v>2909</v>
      </c>
      <c r="I124" s="8"/>
      <c r="J124" s="8">
        <v>133333</v>
      </c>
      <c r="K124" s="6" t="s">
        <v>3049</v>
      </c>
      <c r="L124" s="6" t="s">
        <v>1750</v>
      </c>
      <c r="N124" s="6" t="s">
        <v>1750</v>
      </c>
      <c r="O124" s="29">
        <v>139999.65</v>
      </c>
    </row>
    <row r="125" s="1" customFormat="1" ht="16.35" hidden="1" customHeight="1" spans="1:15">
      <c r="A125" s="5"/>
      <c r="B125" s="6" t="s">
        <v>2906</v>
      </c>
      <c r="C125" s="6">
        <v>2016</v>
      </c>
      <c r="D125" s="6">
        <v>11</v>
      </c>
      <c r="E125" s="7">
        <v>17</v>
      </c>
      <c r="F125" s="6" t="s">
        <v>3022</v>
      </c>
      <c r="G125" s="6" t="s">
        <v>2908</v>
      </c>
      <c r="H125" s="6" t="s">
        <v>2909</v>
      </c>
      <c r="I125" s="8"/>
      <c r="J125" s="8">
        <v>120000</v>
      </c>
      <c r="K125" s="6" t="s">
        <v>3023</v>
      </c>
      <c r="L125" s="6" t="s">
        <v>1647</v>
      </c>
      <c r="N125" s="6" t="s">
        <v>1647</v>
      </c>
      <c r="O125" s="29">
        <v>126000</v>
      </c>
    </row>
    <row r="126" s="1" customFormat="1" ht="16.35" hidden="1" customHeight="1" spans="1:15">
      <c r="A126" s="5"/>
      <c r="B126" s="6" t="s">
        <v>2906</v>
      </c>
      <c r="C126" s="6">
        <v>2016</v>
      </c>
      <c r="D126" s="6">
        <v>11</v>
      </c>
      <c r="E126" s="7">
        <v>19</v>
      </c>
      <c r="F126" s="6" t="s">
        <v>2992</v>
      </c>
      <c r="G126" s="6" t="s">
        <v>2908</v>
      </c>
      <c r="H126" s="6" t="s">
        <v>2909</v>
      </c>
      <c r="I126" s="8"/>
      <c r="J126" s="8">
        <v>80952</v>
      </c>
      <c r="K126" s="6" t="s">
        <v>2989</v>
      </c>
      <c r="L126" s="6" t="s">
        <v>1818</v>
      </c>
      <c r="N126" s="6" t="s">
        <v>1818</v>
      </c>
      <c r="O126" s="29">
        <v>84999.6</v>
      </c>
    </row>
    <row r="127" s="1" customFormat="1" ht="16.35" hidden="1" customHeight="1" spans="1:15">
      <c r="A127" s="5"/>
      <c r="B127" s="6" t="s">
        <v>2906</v>
      </c>
      <c r="C127" s="6">
        <v>2016</v>
      </c>
      <c r="D127" s="6">
        <v>11</v>
      </c>
      <c r="E127" s="7">
        <v>20</v>
      </c>
      <c r="F127" s="6" t="s">
        <v>3034</v>
      </c>
      <c r="G127" s="6" t="s">
        <v>2908</v>
      </c>
      <c r="H127" s="6" t="s">
        <v>2909</v>
      </c>
      <c r="I127" s="8"/>
      <c r="J127" s="8">
        <v>113333</v>
      </c>
      <c r="K127" s="6" t="s">
        <v>3027</v>
      </c>
      <c r="L127" s="6" t="s">
        <v>1623</v>
      </c>
      <c r="N127" s="6" t="s">
        <v>1623</v>
      </c>
      <c r="O127" s="29">
        <v>118999.65</v>
      </c>
    </row>
    <row r="128" s="1" customFormat="1" ht="16.35" hidden="1" customHeight="1" spans="1:15">
      <c r="A128" s="5"/>
      <c r="B128" s="6" t="s">
        <v>2906</v>
      </c>
      <c r="C128" s="6">
        <v>2016</v>
      </c>
      <c r="D128" s="6">
        <v>11</v>
      </c>
      <c r="E128" s="7">
        <v>21</v>
      </c>
      <c r="F128" s="6" t="s">
        <v>3050</v>
      </c>
      <c r="G128" s="6" t="s">
        <v>2908</v>
      </c>
      <c r="H128" s="6" t="s">
        <v>2909</v>
      </c>
      <c r="I128" s="8"/>
      <c r="J128" s="8">
        <v>130476</v>
      </c>
      <c r="K128" s="6" t="s">
        <v>3033</v>
      </c>
      <c r="L128" s="6" t="s">
        <v>1597</v>
      </c>
      <c r="N128" s="6" t="s">
        <v>1597</v>
      </c>
      <c r="O128" s="29">
        <v>136999.8</v>
      </c>
    </row>
    <row r="129" s="1" customFormat="1" ht="16.35" hidden="1" customHeight="1" spans="1:15">
      <c r="A129" s="5"/>
      <c r="B129" s="6" t="s">
        <v>2906</v>
      </c>
      <c r="C129" s="6">
        <v>2016</v>
      </c>
      <c r="D129" s="6">
        <v>11</v>
      </c>
      <c r="E129" s="7">
        <v>24</v>
      </c>
      <c r="F129" s="6" t="s">
        <v>3051</v>
      </c>
      <c r="G129" s="6" t="s">
        <v>2908</v>
      </c>
      <c r="H129" s="6" t="s">
        <v>2909</v>
      </c>
      <c r="I129" s="8"/>
      <c r="J129" s="8">
        <v>52239</v>
      </c>
      <c r="K129" s="6" t="s">
        <v>3052</v>
      </c>
      <c r="L129" s="6" t="s">
        <v>1776</v>
      </c>
      <c r="N129" s="6" t="s">
        <v>1776</v>
      </c>
      <c r="O129" s="29">
        <v>54850.95</v>
      </c>
    </row>
    <row r="130" s="1" customFormat="1" ht="16.35" hidden="1" customHeight="1" spans="1:15">
      <c r="A130" s="5"/>
      <c r="B130" s="6" t="s">
        <v>2906</v>
      </c>
      <c r="C130" s="6">
        <v>2016</v>
      </c>
      <c r="D130" s="6">
        <v>11</v>
      </c>
      <c r="E130" s="7">
        <v>25</v>
      </c>
      <c r="F130" s="6" t="s">
        <v>3053</v>
      </c>
      <c r="G130" s="6" t="s">
        <v>2908</v>
      </c>
      <c r="H130" s="6" t="s">
        <v>2909</v>
      </c>
      <c r="I130" s="8"/>
      <c r="J130" s="8">
        <v>38703</v>
      </c>
      <c r="K130" s="6" t="s">
        <v>3049</v>
      </c>
      <c r="L130" s="6" t="s">
        <v>1750</v>
      </c>
      <c r="N130" s="6" t="s">
        <v>1750</v>
      </c>
      <c r="O130" s="29">
        <v>40638.15</v>
      </c>
    </row>
    <row r="131" s="1" customFormat="1" ht="16.35" hidden="1" customHeight="1" spans="1:15">
      <c r="A131" s="5"/>
      <c r="B131" s="6" t="s">
        <v>2906</v>
      </c>
      <c r="C131" s="6">
        <v>2016</v>
      </c>
      <c r="D131" s="6">
        <v>12</v>
      </c>
      <c r="E131" s="7">
        <v>1</v>
      </c>
      <c r="F131" s="6" t="s">
        <v>3054</v>
      </c>
      <c r="G131" s="6" t="s">
        <v>2908</v>
      </c>
      <c r="H131" s="6" t="s">
        <v>2909</v>
      </c>
      <c r="I131" s="8"/>
      <c r="J131" s="8">
        <v>91429</v>
      </c>
      <c r="K131" s="6" t="s">
        <v>2964</v>
      </c>
      <c r="L131" s="6" t="s">
        <v>1765</v>
      </c>
      <c r="N131" s="6" t="s">
        <v>1765</v>
      </c>
      <c r="O131" s="29">
        <v>96000.45</v>
      </c>
    </row>
    <row r="132" s="1" customFormat="1" ht="16.35" hidden="1" customHeight="1" spans="1:15">
      <c r="A132" s="5"/>
      <c r="B132" s="6" t="s">
        <v>2906</v>
      </c>
      <c r="C132" s="6">
        <v>2016</v>
      </c>
      <c r="D132" s="6">
        <v>12</v>
      </c>
      <c r="E132" s="7">
        <v>7</v>
      </c>
      <c r="F132" s="6" t="s">
        <v>3055</v>
      </c>
      <c r="G132" s="6" t="s">
        <v>2908</v>
      </c>
      <c r="H132" s="6" t="s">
        <v>2909</v>
      </c>
      <c r="I132" s="8"/>
      <c r="J132" s="8">
        <v>19048</v>
      </c>
      <c r="K132" s="6" t="s">
        <v>3056</v>
      </c>
      <c r="L132" s="6" t="s">
        <v>1577</v>
      </c>
      <c r="N132" s="6" t="s">
        <v>1577</v>
      </c>
      <c r="O132" s="29">
        <v>20000.4</v>
      </c>
    </row>
    <row r="133" s="1" customFormat="1" ht="16.35" hidden="1" customHeight="1" spans="1:15">
      <c r="A133" s="5"/>
      <c r="B133" s="6" t="s">
        <v>2906</v>
      </c>
      <c r="C133" s="6">
        <v>2016</v>
      </c>
      <c r="D133" s="6">
        <v>12</v>
      </c>
      <c r="E133" s="7">
        <v>12</v>
      </c>
      <c r="F133" s="6" t="s">
        <v>3057</v>
      </c>
      <c r="G133" s="6" t="s">
        <v>2908</v>
      </c>
      <c r="H133" s="6" t="s">
        <v>2909</v>
      </c>
      <c r="I133" s="8"/>
      <c r="J133" s="8">
        <v>19048</v>
      </c>
      <c r="K133" s="6" t="s">
        <v>3058</v>
      </c>
      <c r="L133" s="6" t="s">
        <v>1565</v>
      </c>
      <c r="N133" s="6" t="s">
        <v>1565</v>
      </c>
      <c r="O133" s="29">
        <v>20000.4</v>
      </c>
    </row>
    <row r="134" s="1" customFormat="1" ht="16.35" hidden="1" customHeight="1" spans="1:15">
      <c r="A134" s="5"/>
      <c r="B134" s="6" t="s">
        <v>2906</v>
      </c>
      <c r="C134" s="6">
        <v>2016</v>
      </c>
      <c r="D134" s="6">
        <v>12</v>
      </c>
      <c r="E134" s="7">
        <v>15</v>
      </c>
      <c r="F134" s="6" t="s">
        <v>3059</v>
      </c>
      <c r="G134" s="6" t="s">
        <v>2908</v>
      </c>
      <c r="H134" s="6" t="s">
        <v>2909</v>
      </c>
      <c r="I134" s="8"/>
      <c r="J134" s="8">
        <v>9524</v>
      </c>
      <c r="K134" s="6" t="s">
        <v>3060</v>
      </c>
      <c r="L134" s="6" t="s">
        <v>1575</v>
      </c>
      <c r="N134" s="6" t="s">
        <v>1575</v>
      </c>
      <c r="O134" s="29">
        <v>10000.2</v>
      </c>
    </row>
    <row r="135" s="1" customFormat="1" ht="16.35" hidden="1" customHeight="1" spans="1:15">
      <c r="A135" s="5"/>
      <c r="B135" s="6" t="s">
        <v>2906</v>
      </c>
      <c r="C135" s="6">
        <v>2016</v>
      </c>
      <c r="D135" s="6">
        <v>12</v>
      </c>
      <c r="E135" s="7">
        <v>18</v>
      </c>
      <c r="F135" s="6" t="s">
        <v>3061</v>
      </c>
      <c r="G135" s="6" t="s">
        <v>2908</v>
      </c>
      <c r="H135" s="6" t="s">
        <v>2909</v>
      </c>
      <c r="I135" s="8"/>
      <c r="J135" s="8">
        <v>52381</v>
      </c>
      <c r="K135" s="6" t="s">
        <v>2980</v>
      </c>
      <c r="L135" s="6" t="s">
        <v>1842</v>
      </c>
      <c r="N135" s="6" t="s">
        <v>1842</v>
      </c>
      <c r="O135" s="29">
        <v>55000.05</v>
      </c>
    </row>
    <row r="136" s="1" customFormat="1" ht="16.35" hidden="1" customHeight="1" spans="1:15">
      <c r="A136" s="5"/>
      <c r="B136" s="6" t="s">
        <v>2906</v>
      </c>
      <c r="C136" s="6">
        <v>2016</v>
      </c>
      <c r="D136" s="6">
        <v>12</v>
      </c>
      <c r="E136" s="7">
        <v>19</v>
      </c>
      <c r="F136" s="6" t="s">
        <v>3062</v>
      </c>
      <c r="G136" s="6" t="s">
        <v>2908</v>
      </c>
      <c r="H136" s="6" t="s">
        <v>2909</v>
      </c>
      <c r="I136" s="8"/>
      <c r="J136" s="8">
        <v>40548</v>
      </c>
      <c r="K136" s="6" t="s">
        <v>3063</v>
      </c>
      <c r="L136" s="6" t="s">
        <v>1892</v>
      </c>
      <c r="N136" s="6" t="s">
        <v>1892</v>
      </c>
      <c r="O136" s="29">
        <v>42575.4</v>
      </c>
    </row>
    <row r="137" s="1" customFormat="1" ht="16.35" hidden="1" customHeight="1" spans="1:15">
      <c r="A137" s="5"/>
      <c r="B137" s="6" t="s">
        <v>2906</v>
      </c>
      <c r="C137" s="6">
        <v>2016</v>
      </c>
      <c r="D137" s="6">
        <v>12</v>
      </c>
      <c r="E137" s="7">
        <v>20</v>
      </c>
      <c r="F137" s="6" t="s">
        <v>3064</v>
      </c>
      <c r="G137" s="6" t="s">
        <v>2908</v>
      </c>
      <c r="H137" s="6" t="s">
        <v>2909</v>
      </c>
      <c r="I137" s="8"/>
      <c r="J137" s="8">
        <v>119048</v>
      </c>
      <c r="K137" s="6" t="s">
        <v>3052</v>
      </c>
      <c r="L137" s="6" t="s">
        <v>1776</v>
      </c>
      <c r="N137" s="6" t="s">
        <v>1776</v>
      </c>
      <c r="O137" s="29">
        <v>125000.4</v>
      </c>
    </row>
    <row r="138" s="1" customFormat="1" ht="16.35" hidden="1" customHeight="1" spans="1:15">
      <c r="A138" s="5"/>
      <c r="B138" s="6" t="s">
        <v>2906</v>
      </c>
      <c r="C138" s="6">
        <v>2016</v>
      </c>
      <c r="D138" s="6">
        <v>12</v>
      </c>
      <c r="E138" s="7">
        <v>24</v>
      </c>
      <c r="F138" s="6" t="s">
        <v>3061</v>
      </c>
      <c r="G138" s="6" t="s">
        <v>2908</v>
      </c>
      <c r="H138" s="6" t="s">
        <v>2909</v>
      </c>
      <c r="I138" s="8"/>
      <c r="J138" s="8">
        <v>10476</v>
      </c>
      <c r="K138" s="6" t="s">
        <v>2980</v>
      </c>
      <c r="L138" s="6" t="s">
        <v>1842</v>
      </c>
      <c r="N138" s="6" t="s">
        <v>1842</v>
      </c>
      <c r="O138" s="29">
        <v>10999.8</v>
      </c>
    </row>
    <row r="139" s="1" customFormat="1" ht="16.35" hidden="1" customHeight="1" spans="1:15">
      <c r="A139" s="5"/>
      <c r="B139" s="6" t="s">
        <v>2906</v>
      </c>
      <c r="C139" s="6">
        <v>2016</v>
      </c>
      <c r="D139" s="6">
        <v>12</v>
      </c>
      <c r="E139" s="7">
        <v>27</v>
      </c>
      <c r="F139" s="6" t="s">
        <v>3065</v>
      </c>
      <c r="G139" s="6" t="s">
        <v>2908</v>
      </c>
      <c r="H139" s="6" t="s">
        <v>2909</v>
      </c>
      <c r="I139" s="8"/>
      <c r="J139" s="8">
        <v>9524</v>
      </c>
      <c r="K139" s="6" t="s">
        <v>3003</v>
      </c>
      <c r="L139" s="6" t="s">
        <v>1651</v>
      </c>
      <c r="N139" s="6" t="s">
        <v>1651</v>
      </c>
      <c r="O139" s="29">
        <v>10000.2</v>
      </c>
    </row>
    <row r="140" s="1" customFormat="1" ht="16.35" hidden="1" customHeight="1" spans="1:15">
      <c r="A140" s="5"/>
      <c r="B140" s="6" t="s">
        <v>2906</v>
      </c>
      <c r="C140" s="6">
        <v>2017</v>
      </c>
      <c r="D140" s="6">
        <v>1</v>
      </c>
      <c r="E140" s="7">
        <v>9</v>
      </c>
      <c r="F140" s="6" t="s">
        <v>3066</v>
      </c>
      <c r="G140" s="6" t="s">
        <v>2908</v>
      </c>
      <c r="H140" s="6" t="s">
        <v>2909</v>
      </c>
      <c r="I140" s="8"/>
      <c r="J140" s="8">
        <v>43668</v>
      </c>
      <c r="K140" s="6" t="s">
        <v>3067</v>
      </c>
      <c r="L140" s="6" t="s">
        <v>3068</v>
      </c>
      <c r="N140" s="6" t="s">
        <v>3068</v>
      </c>
      <c r="O140" s="29">
        <v>45851.4</v>
      </c>
    </row>
    <row r="141" s="1" customFormat="1" ht="16.35" hidden="1" customHeight="1" spans="1:15">
      <c r="A141" s="5"/>
      <c r="B141" s="6" t="s">
        <v>2906</v>
      </c>
      <c r="C141" s="6">
        <v>2017</v>
      </c>
      <c r="D141" s="6">
        <v>1</v>
      </c>
      <c r="E141" s="7">
        <v>10</v>
      </c>
      <c r="F141" s="6" t="s">
        <v>3069</v>
      </c>
      <c r="G141" s="6" t="s">
        <v>2908</v>
      </c>
      <c r="H141" s="6" t="s">
        <v>2909</v>
      </c>
      <c r="I141" s="8"/>
      <c r="J141" s="8">
        <v>9524</v>
      </c>
      <c r="K141" s="6" t="s">
        <v>3070</v>
      </c>
      <c r="L141" s="6" t="s">
        <v>3071</v>
      </c>
      <c r="N141" s="6" t="s">
        <v>3071</v>
      </c>
      <c r="O141" s="29">
        <v>10000.2</v>
      </c>
    </row>
    <row r="142" s="1" customFormat="1" ht="16.35" hidden="1" customHeight="1" spans="1:15">
      <c r="A142" s="5"/>
      <c r="B142" s="6" t="s">
        <v>2906</v>
      </c>
      <c r="C142" s="6">
        <v>2017</v>
      </c>
      <c r="D142" s="6">
        <v>1</v>
      </c>
      <c r="E142" s="7">
        <v>11</v>
      </c>
      <c r="F142" s="6" t="s">
        <v>3072</v>
      </c>
      <c r="G142" s="6" t="s">
        <v>2908</v>
      </c>
      <c r="H142" s="6" t="s">
        <v>2909</v>
      </c>
      <c r="I142" s="8"/>
      <c r="J142" s="8">
        <v>9524</v>
      </c>
      <c r="K142" s="6" t="s">
        <v>3073</v>
      </c>
      <c r="L142" s="6" t="s">
        <v>3074</v>
      </c>
      <c r="N142" s="6" t="s">
        <v>3074</v>
      </c>
      <c r="O142" s="29">
        <v>10000.2</v>
      </c>
    </row>
    <row r="143" s="1" customFormat="1" ht="16.35" hidden="1" customHeight="1" spans="1:15">
      <c r="A143" s="5"/>
      <c r="B143" s="6" t="s">
        <v>2906</v>
      </c>
      <c r="C143" s="6">
        <v>2017</v>
      </c>
      <c r="D143" s="6">
        <v>1</v>
      </c>
      <c r="E143" s="7">
        <v>12</v>
      </c>
      <c r="F143" s="6" t="s">
        <v>3075</v>
      </c>
      <c r="G143" s="6" t="s">
        <v>2908</v>
      </c>
      <c r="H143" s="6" t="s">
        <v>2909</v>
      </c>
      <c r="I143" s="8"/>
      <c r="J143" s="8">
        <v>29524</v>
      </c>
      <c r="K143" s="6" t="s">
        <v>3076</v>
      </c>
      <c r="L143" s="6" t="s">
        <v>1748</v>
      </c>
      <c r="N143" s="6" t="s">
        <v>1748</v>
      </c>
      <c r="O143" s="29">
        <v>31000.2</v>
      </c>
    </row>
    <row r="144" s="1" customFormat="1" ht="16.35" hidden="1" customHeight="1" spans="1:15">
      <c r="A144" s="5"/>
      <c r="B144" s="6" t="s">
        <v>2906</v>
      </c>
      <c r="C144" s="6">
        <v>2017</v>
      </c>
      <c r="D144" s="6">
        <v>1</v>
      </c>
      <c r="E144" s="7">
        <v>13</v>
      </c>
      <c r="F144" s="6" t="s">
        <v>3077</v>
      </c>
      <c r="G144" s="6" t="s">
        <v>2908</v>
      </c>
      <c r="H144" s="6" t="s">
        <v>2909</v>
      </c>
      <c r="I144" s="8"/>
      <c r="J144" s="8">
        <v>9524</v>
      </c>
      <c r="K144" s="6" t="s">
        <v>3078</v>
      </c>
      <c r="L144" s="6" t="s">
        <v>1802</v>
      </c>
      <c r="N144" s="6" t="s">
        <v>1802</v>
      </c>
      <c r="O144" s="29">
        <v>10000.2</v>
      </c>
    </row>
    <row r="145" s="1" customFormat="1" ht="16.35" hidden="1" customHeight="1" spans="1:15">
      <c r="A145" s="5"/>
      <c r="B145" s="6" t="s">
        <v>2906</v>
      </c>
      <c r="C145" s="6">
        <v>2017</v>
      </c>
      <c r="D145" s="6">
        <v>1</v>
      </c>
      <c r="E145" s="7">
        <v>14</v>
      </c>
      <c r="F145" s="6" t="s">
        <v>3079</v>
      </c>
      <c r="G145" s="6" t="s">
        <v>2908</v>
      </c>
      <c r="H145" s="6" t="s">
        <v>2909</v>
      </c>
      <c r="I145" s="8"/>
      <c r="J145" s="8">
        <v>4762</v>
      </c>
      <c r="K145" s="6" t="s">
        <v>3080</v>
      </c>
      <c r="L145" s="6" t="s">
        <v>1377</v>
      </c>
      <c r="N145" s="6" t="s">
        <v>1377</v>
      </c>
      <c r="O145" s="29">
        <v>5000.1</v>
      </c>
    </row>
    <row r="146" s="1" customFormat="1" ht="16.35" hidden="1" customHeight="1" spans="1:16">
      <c r="A146" s="5"/>
      <c r="B146" s="6" t="s">
        <v>2906</v>
      </c>
      <c r="C146" s="6">
        <v>2017</v>
      </c>
      <c r="D146" s="6">
        <v>1</v>
      </c>
      <c r="E146" s="7">
        <v>15</v>
      </c>
      <c r="F146" s="6" t="s">
        <v>3081</v>
      </c>
      <c r="G146" s="6" t="s">
        <v>2908</v>
      </c>
      <c r="H146" s="6" t="s">
        <v>2909</v>
      </c>
      <c r="I146" s="8"/>
      <c r="J146" s="8">
        <v>62960</v>
      </c>
      <c r="K146" s="6" t="s">
        <v>3082</v>
      </c>
      <c r="L146" s="6" t="s">
        <v>1625</v>
      </c>
      <c r="N146" s="6" t="s">
        <v>1625</v>
      </c>
      <c r="O146" s="29">
        <v>66108</v>
      </c>
      <c r="P146" s="1">
        <f>O146-J146</f>
        <v>3148</v>
      </c>
    </row>
    <row r="147" s="1" customFormat="1" ht="16.35" hidden="1" customHeight="1" spans="1:15">
      <c r="A147" s="5"/>
      <c r="B147" s="6" t="s">
        <v>2906</v>
      </c>
      <c r="C147" s="6">
        <v>2017</v>
      </c>
      <c r="D147" s="6">
        <v>1</v>
      </c>
      <c r="E147" s="7">
        <v>16</v>
      </c>
      <c r="F147" s="6" t="s">
        <v>3083</v>
      </c>
      <c r="G147" s="6" t="s">
        <v>2908</v>
      </c>
      <c r="H147" s="6" t="s">
        <v>2909</v>
      </c>
      <c r="I147" s="8"/>
      <c r="J147" s="8">
        <v>6667</v>
      </c>
      <c r="K147" s="6" t="s">
        <v>2996</v>
      </c>
      <c r="L147" s="6" t="s">
        <v>1790</v>
      </c>
      <c r="N147" s="6" t="s">
        <v>1790</v>
      </c>
      <c r="O147" s="29">
        <v>7000.35</v>
      </c>
    </row>
    <row r="148" s="1" customFormat="1" ht="16.35" hidden="1" customHeight="1" spans="1:15">
      <c r="A148" s="5"/>
      <c r="B148" s="6" t="s">
        <v>2906</v>
      </c>
      <c r="C148" s="6">
        <v>2017</v>
      </c>
      <c r="D148" s="6">
        <v>1</v>
      </c>
      <c r="E148" s="7">
        <v>17</v>
      </c>
      <c r="F148" s="6" t="s">
        <v>3084</v>
      </c>
      <c r="G148" s="6" t="s">
        <v>2908</v>
      </c>
      <c r="H148" s="6" t="s">
        <v>2909</v>
      </c>
      <c r="I148" s="8"/>
      <c r="J148" s="8">
        <v>5714</v>
      </c>
      <c r="K148" s="6" t="s">
        <v>3085</v>
      </c>
      <c r="L148" s="6" t="s">
        <v>1754</v>
      </c>
      <c r="N148" s="6" t="s">
        <v>1754</v>
      </c>
      <c r="O148" s="29">
        <v>5999.7</v>
      </c>
    </row>
    <row r="149" s="1" customFormat="1" ht="16.35" hidden="1" customHeight="1" spans="1:15">
      <c r="A149" s="5"/>
      <c r="B149" s="6" t="s">
        <v>2906</v>
      </c>
      <c r="C149" s="6">
        <v>2017</v>
      </c>
      <c r="D149" s="6">
        <v>1</v>
      </c>
      <c r="E149" s="7">
        <v>18</v>
      </c>
      <c r="F149" s="6" t="s">
        <v>3086</v>
      </c>
      <c r="G149" s="6" t="s">
        <v>2908</v>
      </c>
      <c r="H149" s="6" t="s">
        <v>2909</v>
      </c>
      <c r="I149" s="8"/>
      <c r="J149" s="8">
        <v>106667</v>
      </c>
      <c r="K149" s="6" t="s">
        <v>3021</v>
      </c>
      <c r="L149" s="6" t="s">
        <v>1832</v>
      </c>
      <c r="N149" s="6" t="s">
        <v>1832</v>
      </c>
      <c r="O149" s="29">
        <v>112000.35</v>
      </c>
    </row>
    <row r="150" s="1" customFormat="1" ht="16.35" hidden="1" customHeight="1" spans="1:15">
      <c r="A150" s="5"/>
      <c r="B150" s="6" t="s">
        <v>2906</v>
      </c>
      <c r="C150" s="6">
        <v>2017</v>
      </c>
      <c r="D150" s="6">
        <v>1</v>
      </c>
      <c r="E150" s="7">
        <v>19</v>
      </c>
      <c r="F150" s="6" t="s">
        <v>3087</v>
      </c>
      <c r="G150" s="6" t="s">
        <v>2908</v>
      </c>
      <c r="H150" s="6" t="s">
        <v>2909</v>
      </c>
      <c r="I150" s="8"/>
      <c r="J150" s="8">
        <v>9524</v>
      </c>
      <c r="K150" s="6" t="s">
        <v>3088</v>
      </c>
      <c r="L150" s="6" t="s">
        <v>1756</v>
      </c>
      <c r="N150" s="6" t="s">
        <v>1756</v>
      </c>
      <c r="O150" s="29">
        <v>10000.2</v>
      </c>
    </row>
    <row r="151" s="1" customFormat="1" ht="16.35" hidden="1" customHeight="1" spans="1:15">
      <c r="A151" s="5"/>
      <c r="B151" s="6" t="s">
        <v>2906</v>
      </c>
      <c r="C151" s="6">
        <v>2017</v>
      </c>
      <c r="D151" s="6">
        <v>1</v>
      </c>
      <c r="E151" s="7">
        <v>20</v>
      </c>
      <c r="F151" s="6" t="s">
        <v>3089</v>
      </c>
      <c r="G151" s="6" t="s">
        <v>2908</v>
      </c>
      <c r="H151" s="6" t="s">
        <v>2909</v>
      </c>
      <c r="I151" s="8"/>
      <c r="J151" s="8">
        <v>17190</v>
      </c>
      <c r="K151" s="6" t="s">
        <v>2984</v>
      </c>
      <c r="L151" s="6" t="s">
        <v>1838</v>
      </c>
      <c r="N151" s="6" t="s">
        <v>1838</v>
      </c>
      <c r="O151" s="29">
        <v>18049.5</v>
      </c>
    </row>
    <row r="152" s="1" customFormat="1" ht="16.35" hidden="1" customHeight="1" spans="1:15">
      <c r="A152" s="5"/>
      <c r="B152" s="6" t="s">
        <v>2906</v>
      </c>
      <c r="C152" s="6">
        <v>2017</v>
      </c>
      <c r="D152" s="6">
        <v>1</v>
      </c>
      <c r="E152" s="7">
        <v>21</v>
      </c>
      <c r="F152" s="6" t="s">
        <v>3090</v>
      </c>
      <c r="G152" s="6" t="s">
        <v>2908</v>
      </c>
      <c r="H152" s="6" t="s">
        <v>2909</v>
      </c>
      <c r="I152" s="8"/>
      <c r="J152" s="8">
        <v>14286</v>
      </c>
      <c r="K152" s="6" t="s">
        <v>2999</v>
      </c>
      <c r="L152" s="6" t="s">
        <v>1605</v>
      </c>
      <c r="N152" s="6" t="s">
        <v>1605</v>
      </c>
      <c r="O152" s="29">
        <v>15000.3</v>
      </c>
    </row>
    <row r="153" s="1" customFormat="1" ht="16.35" hidden="1" customHeight="1" spans="1:15">
      <c r="A153" s="5"/>
      <c r="B153" s="6" t="s">
        <v>2906</v>
      </c>
      <c r="C153" s="6">
        <v>2017</v>
      </c>
      <c r="D153" s="6">
        <v>1</v>
      </c>
      <c r="E153" s="7">
        <v>22</v>
      </c>
      <c r="F153" s="6" t="s">
        <v>3091</v>
      </c>
      <c r="G153" s="6" t="s">
        <v>2908</v>
      </c>
      <c r="H153" s="6" t="s">
        <v>2909</v>
      </c>
      <c r="I153" s="8"/>
      <c r="J153" s="8">
        <v>30764</v>
      </c>
      <c r="K153" s="6" t="s">
        <v>3092</v>
      </c>
      <c r="L153" s="6" t="s">
        <v>1075</v>
      </c>
      <c r="N153" s="6" t="s">
        <v>1075</v>
      </c>
      <c r="O153" s="29">
        <v>32302.2</v>
      </c>
    </row>
    <row r="154" s="1" customFormat="1" ht="16.35" hidden="1" customHeight="1" spans="1:15">
      <c r="A154" s="5"/>
      <c r="B154" s="6" t="s">
        <v>2906</v>
      </c>
      <c r="C154" s="6">
        <v>2017</v>
      </c>
      <c r="D154" s="6">
        <v>1</v>
      </c>
      <c r="E154" s="7">
        <v>23</v>
      </c>
      <c r="F154" s="6" t="s">
        <v>3093</v>
      </c>
      <c r="G154" s="6" t="s">
        <v>2908</v>
      </c>
      <c r="H154" s="6" t="s">
        <v>2909</v>
      </c>
      <c r="I154" s="8"/>
      <c r="J154" s="8">
        <v>9524</v>
      </c>
      <c r="K154" s="6" t="s">
        <v>3094</v>
      </c>
      <c r="L154" s="6" t="s">
        <v>1310</v>
      </c>
      <c r="N154" s="6" t="s">
        <v>1310</v>
      </c>
      <c r="O154" s="29">
        <v>10000.2</v>
      </c>
    </row>
    <row r="155" s="1" customFormat="1" ht="16.35" hidden="1" customHeight="1" spans="1:15">
      <c r="A155" s="5"/>
      <c r="B155" s="6" t="s">
        <v>2906</v>
      </c>
      <c r="C155" s="6">
        <v>2017</v>
      </c>
      <c r="D155" s="6">
        <v>1</v>
      </c>
      <c r="E155" s="7">
        <v>24</v>
      </c>
      <c r="F155" s="6" t="s">
        <v>3095</v>
      </c>
      <c r="G155" s="6" t="s">
        <v>2908</v>
      </c>
      <c r="H155" s="6" t="s">
        <v>2909</v>
      </c>
      <c r="I155" s="8"/>
      <c r="J155" s="8">
        <v>102218</v>
      </c>
      <c r="K155" s="6" t="s">
        <v>3096</v>
      </c>
      <c r="L155" s="6" t="s">
        <v>1589</v>
      </c>
      <c r="N155" s="6" t="s">
        <v>1589</v>
      </c>
      <c r="O155" s="29">
        <v>107328.9</v>
      </c>
    </row>
    <row r="156" s="1" customFormat="1" ht="16.35" hidden="1" customHeight="1" spans="1:15">
      <c r="A156" s="5"/>
      <c r="B156" s="6" t="s">
        <v>2906</v>
      </c>
      <c r="C156" s="6">
        <v>2017</v>
      </c>
      <c r="D156" s="6">
        <v>1</v>
      </c>
      <c r="E156" s="7">
        <v>25</v>
      </c>
      <c r="F156" s="6" t="s">
        <v>3097</v>
      </c>
      <c r="G156" s="6" t="s">
        <v>2908</v>
      </c>
      <c r="H156" s="6" t="s">
        <v>2909</v>
      </c>
      <c r="I156" s="8"/>
      <c r="J156" s="8">
        <v>34144</v>
      </c>
      <c r="K156" s="6" t="s">
        <v>3073</v>
      </c>
      <c r="L156" s="6" t="s">
        <v>3074</v>
      </c>
      <c r="N156" s="6" t="s">
        <v>3074</v>
      </c>
      <c r="O156" s="29">
        <v>35851.2</v>
      </c>
    </row>
    <row r="157" s="1" customFormat="1" ht="16.35" hidden="1" customHeight="1" spans="1:15">
      <c r="A157" s="5"/>
      <c r="B157" s="6" t="s">
        <v>2906</v>
      </c>
      <c r="C157" s="6">
        <v>2017</v>
      </c>
      <c r="D157" s="6">
        <v>2</v>
      </c>
      <c r="E157" s="7">
        <v>1</v>
      </c>
      <c r="F157" s="6" t="s">
        <v>3098</v>
      </c>
      <c r="G157" s="6" t="s">
        <v>2908</v>
      </c>
      <c r="H157" s="6" t="s">
        <v>2909</v>
      </c>
      <c r="I157" s="8"/>
      <c r="J157" s="8">
        <v>9524</v>
      </c>
      <c r="K157" s="6" t="s">
        <v>3099</v>
      </c>
      <c r="L157" s="6" t="s">
        <v>1557</v>
      </c>
      <c r="N157" s="6" t="s">
        <v>1557</v>
      </c>
      <c r="O157" s="29">
        <v>10000.2</v>
      </c>
    </row>
    <row r="158" s="1" customFormat="1" ht="16.35" hidden="1" customHeight="1" spans="1:15">
      <c r="A158" s="5"/>
      <c r="B158" s="6" t="s">
        <v>2906</v>
      </c>
      <c r="C158" s="6">
        <v>2017</v>
      </c>
      <c r="D158" s="6">
        <v>2</v>
      </c>
      <c r="E158" s="7">
        <v>3</v>
      </c>
      <c r="F158" s="6" t="s">
        <v>3100</v>
      </c>
      <c r="G158" s="6" t="s">
        <v>2908</v>
      </c>
      <c r="H158" s="6" t="s">
        <v>2909</v>
      </c>
      <c r="I158" s="8"/>
      <c r="J158" s="8">
        <v>43668</v>
      </c>
      <c r="K158" s="6" t="s">
        <v>3101</v>
      </c>
      <c r="L158" s="6" t="s">
        <v>1804</v>
      </c>
      <c r="N158" s="6" t="s">
        <v>1804</v>
      </c>
      <c r="O158" s="29">
        <v>45851.4</v>
      </c>
    </row>
    <row r="159" s="1" customFormat="1" ht="16.35" hidden="1" customHeight="1" spans="1:15">
      <c r="A159" s="5"/>
      <c r="B159" s="6" t="s">
        <v>2906</v>
      </c>
      <c r="C159" s="6">
        <v>2017</v>
      </c>
      <c r="D159" s="6">
        <v>2</v>
      </c>
      <c r="E159" s="7">
        <v>4</v>
      </c>
      <c r="F159" s="6" t="s">
        <v>3084</v>
      </c>
      <c r="G159" s="6" t="s">
        <v>2908</v>
      </c>
      <c r="H159" s="6" t="s">
        <v>2909</v>
      </c>
      <c r="I159" s="8"/>
      <c r="J159" s="8">
        <v>10131</v>
      </c>
      <c r="K159" s="6" t="s">
        <v>3085</v>
      </c>
      <c r="L159" s="6" t="s">
        <v>1754</v>
      </c>
      <c r="N159" s="6" t="s">
        <v>1754</v>
      </c>
      <c r="O159" s="29">
        <v>10637.55</v>
      </c>
    </row>
    <row r="160" s="1" customFormat="1" ht="16.35" hidden="1" customHeight="1" spans="1:16">
      <c r="A160" s="5"/>
      <c r="B160" s="6" t="s">
        <v>2906</v>
      </c>
      <c r="C160" s="6">
        <v>2017</v>
      </c>
      <c r="D160" s="6">
        <v>2</v>
      </c>
      <c r="E160" s="7">
        <v>5</v>
      </c>
      <c r="F160" s="6" t="s">
        <v>3102</v>
      </c>
      <c r="G160" s="6" t="s">
        <v>2908</v>
      </c>
      <c r="H160" s="6" t="s">
        <v>2909</v>
      </c>
      <c r="I160" s="8"/>
      <c r="J160" s="8">
        <v>47989</v>
      </c>
      <c r="K160" s="6" t="s">
        <v>3103</v>
      </c>
      <c r="L160" s="6" t="s">
        <v>1316</v>
      </c>
      <c r="N160" s="6" t="s">
        <v>1316</v>
      </c>
      <c r="O160" s="29">
        <v>50388.45</v>
      </c>
      <c r="P160" s="1">
        <f>O160-J160</f>
        <v>2399.45</v>
      </c>
    </row>
    <row r="161" s="1" customFormat="1" ht="16.35" hidden="1" customHeight="1" spans="1:15">
      <c r="A161" s="5"/>
      <c r="B161" s="6" t="s">
        <v>2906</v>
      </c>
      <c r="C161" s="6">
        <v>2017</v>
      </c>
      <c r="D161" s="6">
        <v>2</v>
      </c>
      <c r="E161" s="7">
        <v>6</v>
      </c>
      <c r="F161" s="6" t="s">
        <v>3104</v>
      </c>
      <c r="G161" s="6" t="s">
        <v>2908</v>
      </c>
      <c r="H161" s="6" t="s">
        <v>2909</v>
      </c>
      <c r="I161" s="8"/>
      <c r="J161" s="8">
        <v>45379</v>
      </c>
      <c r="K161" s="6" t="s">
        <v>3105</v>
      </c>
      <c r="L161" s="6" t="s">
        <v>1312</v>
      </c>
      <c r="N161" s="6" t="s">
        <v>1312</v>
      </c>
      <c r="O161" s="29">
        <v>476480</v>
      </c>
    </row>
    <row r="162" s="1" customFormat="1" ht="16.35" hidden="1" customHeight="1" spans="1:15">
      <c r="A162" s="5"/>
      <c r="B162" s="6" t="s">
        <v>2906</v>
      </c>
      <c r="C162" s="6">
        <v>2017</v>
      </c>
      <c r="D162" s="6">
        <v>2</v>
      </c>
      <c r="E162" s="7">
        <v>8</v>
      </c>
      <c r="F162" s="6" t="s">
        <v>3106</v>
      </c>
      <c r="G162" s="6" t="s">
        <v>2908</v>
      </c>
      <c r="H162" s="6" t="s">
        <v>2909</v>
      </c>
      <c r="I162" s="8"/>
      <c r="J162" s="8">
        <v>10071</v>
      </c>
      <c r="K162" s="6" t="s">
        <v>3063</v>
      </c>
      <c r="L162" s="6" t="s">
        <v>1892</v>
      </c>
      <c r="N162" s="6" t="s">
        <v>1892</v>
      </c>
      <c r="O162" s="29">
        <v>10574.55</v>
      </c>
    </row>
    <row r="163" s="1" customFormat="1" ht="16.35" hidden="1" customHeight="1" spans="1:15">
      <c r="A163" s="5"/>
      <c r="B163" s="6" t="s">
        <v>2906</v>
      </c>
      <c r="C163" s="6">
        <v>2017</v>
      </c>
      <c r="D163" s="6">
        <v>2</v>
      </c>
      <c r="E163" s="7">
        <v>9</v>
      </c>
      <c r="F163" s="6" t="s">
        <v>3107</v>
      </c>
      <c r="G163" s="6" t="s">
        <v>2908</v>
      </c>
      <c r="H163" s="6" t="s">
        <v>2909</v>
      </c>
      <c r="I163" s="8"/>
      <c r="J163" s="8">
        <v>49837</v>
      </c>
      <c r="K163" s="6" t="s">
        <v>3108</v>
      </c>
      <c r="L163" s="6" t="s">
        <v>1635</v>
      </c>
      <c r="N163" s="6" t="s">
        <v>1635</v>
      </c>
      <c r="O163" s="29">
        <v>52328.85</v>
      </c>
    </row>
    <row r="164" s="1" customFormat="1" ht="16.35" hidden="1" customHeight="1" spans="1:15">
      <c r="A164" s="5"/>
      <c r="B164" s="6" t="s">
        <v>2906</v>
      </c>
      <c r="C164" s="6">
        <v>2017</v>
      </c>
      <c r="D164" s="6">
        <v>2</v>
      </c>
      <c r="E164" s="7">
        <v>10</v>
      </c>
      <c r="F164" s="6" t="s">
        <v>3109</v>
      </c>
      <c r="G164" s="6" t="s">
        <v>2908</v>
      </c>
      <c r="H164" s="6" t="s">
        <v>2909</v>
      </c>
      <c r="I164" s="8"/>
      <c r="J164" s="8">
        <v>9524</v>
      </c>
      <c r="K164" s="6" t="s">
        <v>3110</v>
      </c>
      <c r="L164" s="6" t="s">
        <v>1559</v>
      </c>
      <c r="N164" s="6" t="s">
        <v>1559</v>
      </c>
      <c r="O164" s="29">
        <v>10000.2</v>
      </c>
    </row>
    <row r="165" s="1" customFormat="1" ht="16.35" hidden="1" customHeight="1" spans="1:15">
      <c r="A165" s="5"/>
      <c r="B165" s="6" t="s">
        <v>2906</v>
      </c>
      <c r="C165" s="6">
        <v>2017</v>
      </c>
      <c r="D165" s="6">
        <v>2</v>
      </c>
      <c r="E165" s="7">
        <v>11</v>
      </c>
      <c r="F165" s="6" t="s">
        <v>3111</v>
      </c>
      <c r="G165" s="6" t="s">
        <v>2908</v>
      </c>
      <c r="H165" s="6" t="s">
        <v>2909</v>
      </c>
      <c r="I165" s="8"/>
      <c r="J165" s="8">
        <v>34144</v>
      </c>
      <c r="K165" s="6" t="s">
        <v>3112</v>
      </c>
      <c r="L165" s="6" t="s">
        <v>1824</v>
      </c>
      <c r="N165" s="6" t="s">
        <v>1824</v>
      </c>
      <c r="O165" s="29">
        <v>35851.2</v>
      </c>
    </row>
    <row r="166" s="1" customFormat="1" ht="16.35" hidden="1" customHeight="1" spans="1:15">
      <c r="A166" s="5"/>
      <c r="B166" s="6" t="s">
        <v>2906</v>
      </c>
      <c r="C166" s="6">
        <v>2017</v>
      </c>
      <c r="D166" s="6">
        <v>2</v>
      </c>
      <c r="E166" s="7">
        <v>12</v>
      </c>
      <c r="F166" s="6" t="s">
        <v>3113</v>
      </c>
      <c r="G166" s="6" t="s">
        <v>2908</v>
      </c>
      <c r="H166" s="6" t="s">
        <v>2909</v>
      </c>
      <c r="I166" s="8"/>
      <c r="J166" s="8">
        <v>44408</v>
      </c>
      <c r="K166" s="6" t="s">
        <v>3114</v>
      </c>
      <c r="L166" s="6" t="s">
        <v>1300</v>
      </c>
      <c r="N166" s="6" t="s">
        <v>1300</v>
      </c>
      <c r="O166" s="29">
        <v>46628.4</v>
      </c>
    </row>
    <row r="167" s="1" customFormat="1" ht="16.35" hidden="1" customHeight="1" spans="1:15">
      <c r="A167" s="5"/>
      <c r="B167" s="6" t="s">
        <v>2906</v>
      </c>
      <c r="C167" s="6">
        <v>2017</v>
      </c>
      <c r="D167" s="6">
        <v>2</v>
      </c>
      <c r="E167" s="7">
        <v>13</v>
      </c>
      <c r="F167" s="6" t="s">
        <v>3115</v>
      </c>
      <c r="G167" s="6" t="s">
        <v>2908</v>
      </c>
      <c r="H167" s="6" t="s">
        <v>2909</v>
      </c>
      <c r="I167" s="8"/>
      <c r="J167" s="8">
        <v>4762</v>
      </c>
      <c r="K167" s="6" t="s">
        <v>3105</v>
      </c>
      <c r="L167" s="6" t="s">
        <v>1312</v>
      </c>
      <c r="N167" s="6" t="s">
        <v>1312</v>
      </c>
      <c r="O167" s="29">
        <v>5000</v>
      </c>
    </row>
    <row r="168" s="1" customFormat="1" ht="16.35" hidden="1" customHeight="1" spans="1:16">
      <c r="A168" s="5"/>
      <c r="B168" s="6" t="s">
        <v>2906</v>
      </c>
      <c r="C168" s="6">
        <v>2017</v>
      </c>
      <c r="D168" s="6">
        <v>2</v>
      </c>
      <c r="E168" s="7">
        <v>17</v>
      </c>
      <c r="F168" s="6" t="s">
        <v>3116</v>
      </c>
      <c r="G168" s="6" t="s">
        <v>2908</v>
      </c>
      <c r="H168" s="6" t="s">
        <v>2909</v>
      </c>
      <c r="I168" s="8"/>
      <c r="J168" s="8">
        <v>4762</v>
      </c>
      <c r="K168" s="6" t="s">
        <v>3117</v>
      </c>
      <c r="L168" s="6" t="s">
        <v>1296</v>
      </c>
      <c r="N168" s="6" t="s">
        <v>1296</v>
      </c>
      <c r="O168" s="29">
        <v>5000.1</v>
      </c>
      <c r="P168" s="1">
        <f>O168-J168</f>
        <v>238.1</v>
      </c>
    </row>
    <row r="169" s="1" customFormat="1" ht="16.35" hidden="1" customHeight="1" spans="1:15">
      <c r="A169" s="5"/>
      <c r="B169" s="6" t="s">
        <v>2906</v>
      </c>
      <c r="C169" s="6">
        <v>2017</v>
      </c>
      <c r="D169" s="6">
        <v>2</v>
      </c>
      <c r="E169" s="7">
        <v>18</v>
      </c>
      <c r="F169" s="6" t="s">
        <v>3118</v>
      </c>
      <c r="G169" s="6" t="s">
        <v>2908</v>
      </c>
      <c r="H169" s="6" t="s">
        <v>2909</v>
      </c>
      <c r="I169" s="8"/>
      <c r="J169" s="8">
        <v>38095</v>
      </c>
      <c r="K169" s="6" t="s">
        <v>3119</v>
      </c>
      <c r="L169" s="6" t="s">
        <v>1830</v>
      </c>
      <c r="N169" s="6" t="s">
        <v>1830</v>
      </c>
      <c r="O169" s="29">
        <v>39999.75</v>
      </c>
    </row>
    <row r="170" s="1" customFormat="1" ht="16.35" hidden="1" customHeight="1" spans="1:15">
      <c r="A170" s="5"/>
      <c r="B170" s="6" t="s">
        <v>2906</v>
      </c>
      <c r="C170" s="6">
        <v>2017</v>
      </c>
      <c r="D170" s="6">
        <v>2</v>
      </c>
      <c r="E170" s="7">
        <v>19</v>
      </c>
      <c r="F170" s="6" t="s">
        <v>3120</v>
      </c>
      <c r="G170" s="6" t="s">
        <v>2908</v>
      </c>
      <c r="H170" s="6" t="s">
        <v>2909</v>
      </c>
      <c r="I170" s="8"/>
      <c r="J170" s="8">
        <v>49837</v>
      </c>
      <c r="K170" s="6" t="s">
        <v>3121</v>
      </c>
      <c r="L170" s="6" t="s">
        <v>1611</v>
      </c>
      <c r="N170" s="6" t="s">
        <v>1611</v>
      </c>
      <c r="O170" s="29">
        <v>52328.85</v>
      </c>
    </row>
    <row r="171" s="1" customFormat="1" ht="16.35" hidden="1" customHeight="1" spans="1:15">
      <c r="A171" s="5"/>
      <c r="B171" s="6" t="s">
        <v>2906</v>
      </c>
      <c r="C171" s="6">
        <v>2017</v>
      </c>
      <c r="D171" s="6">
        <v>2</v>
      </c>
      <c r="E171" s="7">
        <v>20</v>
      </c>
      <c r="F171" s="6" t="s">
        <v>3122</v>
      </c>
      <c r="G171" s="6" t="s">
        <v>2908</v>
      </c>
      <c r="H171" s="6" t="s">
        <v>2909</v>
      </c>
      <c r="I171" s="8"/>
      <c r="J171" s="8">
        <v>43465</v>
      </c>
      <c r="K171" s="6" t="s">
        <v>3119</v>
      </c>
      <c r="L171" s="6" t="s">
        <v>1830</v>
      </c>
      <c r="N171" s="6" t="s">
        <v>1830</v>
      </c>
      <c r="O171" s="29">
        <v>45638.25</v>
      </c>
    </row>
    <row r="172" s="1" customFormat="1" ht="16.35" hidden="1" customHeight="1" spans="1:15">
      <c r="A172" s="5"/>
      <c r="B172" s="6" t="s">
        <v>2906</v>
      </c>
      <c r="C172" s="6">
        <v>2017</v>
      </c>
      <c r="D172" s="6">
        <v>2</v>
      </c>
      <c r="E172" s="7">
        <v>22</v>
      </c>
      <c r="F172" s="6" t="s">
        <v>3123</v>
      </c>
      <c r="G172" s="6" t="s">
        <v>2908</v>
      </c>
      <c r="H172" s="6" t="s">
        <v>2909</v>
      </c>
      <c r="I172" s="8"/>
      <c r="J172" s="8">
        <v>43668</v>
      </c>
      <c r="K172" s="6" t="s">
        <v>3124</v>
      </c>
      <c r="L172" s="6" t="s">
        <v>1828</v>
      </c>
      <c r="N172" s="6" t="s">
        <v>1828</v>
      </c>
      <c r="O172" s="29">
        <v>45851.4</v>
      </c>
    </row>
    <row r="173" s="1" customFormat="1" ht="16.35" hidden="1" customHeight="1" spans="1:15">
      <c r="A173" s="5"/>
      <c r="B173" s="6" t="s">
        <v>2906</v>
      </c>
      <c r="C173" s="6">
        <v>2017</v>
      </c>
      <c r="D173" s="6">
        <v>2</v>
      </c>
      <c r="E173" s="7">
        <v>23</v>
      </c>
      <c r="F173" s="6" t="s">
        <v>3125</v>
      </c>
      <c r="G173" s="6" t="s">
        <v>2908</v>
      </c>
      <c r="H173" s="6" t="s">
        <v>2909</v>
      </c>
      <c r="I173" s="8"/>
      <c r="J173" s="8">
        <v>46028</v>
      </c>
      <c r="K173" s="6" t="s">
        <v>3126</v>
      </c>
      <c r="L173" s="6" t="s">
        <v>1603</v>
      </c>
      <c r="N173" s="6" t="s">
        <v>1603</v>
      </c>
      <c r="O173" s="29">
        <v>48329.4</v>
      </c>
    </row>
    <row r="174" s="1" customFormat="1" ht="16.35" hidden="1" customHeight="1" spans="1:15">
      <c r="A174" s="5"/>
      <c r="B174" s="6" t="s">
        <v>2906</v>
      </c>
      <c r="C174" s="6">
        <v>2017</v>
      </c>
      <c r="D174" s="6">
        <v>2</v>
      </c>
      <c r="E174" s="7">
        <v>24</v>
      </c>
      <c r="F174" s="6" t="s">
        <v>3113</v>
      </c>
      <c r="G174" s="6" t="s">
        <v>2908</v>
      </c>
      <c r="H174" s="6" t="s">
        <v>2909</v>
      </c>
      <c r="I174" s="8"/>
      <c r="J174" s="8">
        <v>9524</v>
      </c>
      <c r="K174" s="6" t="s">
        <v>3114</v>
      </c>
      <c r="L174" s="6" t="s">
        <v>1300</v>
      </c>
      <c r="N174" s="6" t="s">
        <v>1300</v>
      </c>
      <c r="O174" s="29">
        <v>10000.2</v>
      </c>
    </row>
    <row r="175" s="1" customFormat="1" ht="16.35" hidden="1" customHeight="1" spans="1:15">
      <c r="A175" s="5"/>
      <c r="B175" s="6" t="s">
        <v>2906</v>
      </c>
      <c r="C175" s="6">
        <v>2017</v>
      </c>
      <c r="D175" s="6">
        <v>2</v>
      </c>
      <c r="E175" s="7">
        <v>25</v>
      </c>
      <c r="F175" s="6" t="s">
        <v>3127</v>
      </c>
      <c r="G175" s="6" t="s">
        <v>2908</v>
      </c>
      <c r="H175" s="6" t="s">
        <v>2909</v>
      </c>
      <c r="I175" s="8"/>
      <c r="J175" s="8">
        <v>43465</v>
      </c>
      <c r="K175" s="6" t="s">
        <v>3128</v>
      </c>
      <c r="L175" s="6" t="s">
        <v>1826</v>
      </c>
      <c r="N175" s="6" t="s">
        <v>1826</v>
      </c>
      <c r="O175" s="29">
        <v>45638.25</v>
      </c>
    </row>
    <row r="176" s="1" customFormat="1" ht="16.35" hidden="1" customHeight="1" spans="1:16">
      <c r="A176" s="5"/>
      <c r="B176" s="6" t="s">
        <v>2906</v>
      </c>
      <c r="C176" s="6">
        <v>2017</v>
      </c>
      <c r="D176" s="6">
        <v>2</v>
      </c>
      <c r="E176" s="7">
        <v>26</v>
      </c>
      <c r="F176" s="6" t="s">
        <v>3129</v>
      </c>
      <c r="G176" s="6" t="s">
        <v>2908</v>
      </c>
      <c r="H176" s="6" t="s">
        <v>2909</v>
      </c>
      <c r="I176" s="8"/>
      <c r="J176" s="8">
        <v>54286</v>
      </c>
      <c r="K176" s="6" t="s">
        <v>3103</v>
      </c>
      <c r="L176" s="6" t="s">
        <v>1316</v>
      </c>
      <c r="N176" s="6" t="s">
        <v>1316</v>
      </c>
      <c r="O176" s="29">
        <v>57000.3</v>
      </c>
      <c r="P176" s="1">
        <f>O176-J176</f>
        <v>2714.3</v>
      </c>
    </row>
    <row r="177" s="1" customFormat="1" ht="16.35" hidden="1" customHeight="1" spans="1:15">
      <c r="A177" s="5"/>
      <c r="B177" s="6" t="s">
        <v>2906</v>
      </c>
      <c r="C177" s="6">
        <v>2017</v>
      </c>
      <c r="D177" s="6">
        <v>2</v>
      </c>
      <c r="E177" s="7">
        <v>27</v>
      </c>
      <c r="F177" s="6" t="s">
        <v>3130</v>
      </c>
      <c r="G177" s="6" t="s">
        <v>2908</v>
      </c>
      <c r="H177" s="6" t="s">
        <v>2909</v>
      </c>
      <c r="I177" s="8"/>
      <c r="J177" s="8">
        <v>36654</v>
      </c>
      <c r="K177" s="6" t="s">
        <v>3094</v>
      </c>
      <c r="L177" s="6" t="s">
        <v>1310</v>
      </c>
      <c r="N177" s="6" t="s">
        <v>1310</v>
      </c>
      <c r="O177" s="29">
        <v>38486.7</v>
      </c>
    </row>
    <row r="178" s="1" customFormat="1" ht="16.35" hidden="1" customHeight="1" spans="1:15">
      <c r="A178" s="5"/>
      <c r="B178" s="6" t="s">
        <v>2906</v>
      </c>
      <c r="C178" s="6">
        <v>2017</v>
      </c>
      <c r="D178" s="6">
        <v>2</v>
      </c>
      <c r="E178" s="7">
        <v>28</v>
      </c>
      <c r="F178" s="6" t="s">
        <v>3131</v>
      </c>
      <c r="G178" s="6" t="s">
        <v>2908</v>
      </c>
      <c r="H178" s="6" t="s">
        <v>2909</v>
      </c>
      <c r="I178" s="8"/>
      <c r="J178" s="8">
        <v>4620</v>
      </c>
      <c r="K178" s="6" t="s">
        <v>3076</v>
      </c>
      <c r="L178" s="6" t="s">
        <v>1748</v>
      </c>
      <c r="N178" s="6" t="s">
        <v>1748</v>
      </c>
      <c r="O178" s="29">
        <v>4851</v>
      </c>
    </row>
    <row r="179" s="1" customFormat="1" ht="16.35" hidden="1" customHeight="1" spans="1:15">
      <c r="A179" s="5"/>
      <c r="B179" s="6" t="s">
        <v>2906</v>
      </c>
      <c r="C179" s="6">
        <v>2017</v>
      </c>
      <c r="D179" s="6">
        <v>2</v>
      </c>
      <c r="E179" s="7">
        <v>29</v>
      </c>
      <c r="F179" s="6" t="s">
        <v>3132</v>
      </c>
      <c r="G179" s="6" t="s">
        <v>2908</v>
      </c>
      <c r="H179" s="6" t="s">
        <v>2909</v>
      </c>
      <c r="I179" s="8"/>
      <c r="J179" s="8">
        <v>40598</v>
      </c>
      <c r="K179" s="6" t="s">
        <v>3133</v>
      </c>
      <c r="L179" s="6" t="s">
        <v>1314</v>
      </c>
      <c r="N179" s="6" t="s">
        <v>1314</v>
      </c>
      <c r="O179" s="29">
        <v>42627.9</v>
      </c>
    </row>
    <row r="180" s="1" customFormat="1" ht="16.35" hidden="1" customHeight="1" spans="1:15">
      <c r="A180" s="5"/>
      <c r="B180" s="6" t="s">
        <v>2906</v>
      </c>
      <c r="C180" s="6">
        <v>2017</v>
      </c>
      <c r="D180" s="6">
        <v>2</v>
      </c>
      <c r="E180" s="7">
        <v>30</v>
      </c>
      <c r="F180" s="6" t="s">
        <v>3134</v>
      </c>
      <c r="G180" s="6" t="s">
        <v>2908</v>
      </c>
      <c r="H180" s="6" t="s">
        <v>2909</v>
      </c>
      <c r="I180" s="8"/>
      <c r="J180" s="8">
        <v>24620</v>
      </c>
      <c r="K180" s="6" t="s">
        <v>3078</v>
      </c>
      <c r="L180" s="6" t="s">
        <v>1802</v>
      </c>
      <c r="N180" s="6" t="s">
        <v>1802</v>
      </c>
      <c r="O180" s="29">
        <v>25851</v>
      </c>
    </row>
    <row r="181" s="1" customFormat="1" ht="16.35" hidden="1" customHeight="1" spans="1:15">
      <c r="A181" s="5"/>
      <c r="B181" s="6" t="s">
        <v>2906</v>
      </c>
      <c r="C181" s="6">
        <v>2017</v>
      </c>
      <c r="D181" s="6">
        <v>2</v>
      </c>
      <c r="E181" s="7">
        <v>31</v>
      </c>
      <c r="F181" s="6" t="s">
        <v>3135</v>
      </c>
      <c r="G181" s="6" t="s">
        <v>2908</v>
      </c>
      <c r="H181" s="6" t="s">
        <v>2909</v>
      </c>
      <c r="I181" s="8"/>
      <c r="J181" s="8">
        <v>43668</v>
      </c>
      <c r="K181" s="6" t="s">
        <v>3136</v>
      </c>
      <c r="L181" s="6" t="s">
        <v>1780</v>
      </c>
      <c r="N181" s="6" t="s">
        <v>1780</v>
      </c>
      <c r="O181" s="29">
        <v>45851.4</v>
      </c>
    </row>
    <row r="182" s="1" customFormat="1" ht="16.35" hidden="1" customHeight="1" spans="1:15">
      <c r="A182" s="5"/>
      <c r="B182" s="6" t="s">
        <v>2906</v>
      </c>
      <c r="C182" s="6">
        <v>2017</v>
      </c>
      <c r="D182" s="6">
        <v>2</v>
      </c>
      <c r="E182" s="7">
        <v>34</v>
      </c>
      <c r="F182" s="6" t="s">
        <v>3069</v>
      </c>
      <c r="G182" s="6" t="s">
        <v>2908</v>
      </c>
      <c r="H182" s="6" t="s">
        <v>2909</v>
      </c>
      <c r="I182" s="8"/>
      <c r="J182" s="8">
        <v>34144</v>
      </c>
      <c r="K182" s="6" t="s">
        <v>3070</v>
      </c>
      <c r="L182" s="6" t="s">
        <v>3071</v>
      </c>
      <c r="N182" s="6" t="s">
        <v>3071</v>
      </c>
      <c r="O182" s="29">
        <v>35851.2</v>
      </c>
    </row>
    <row r="183" s="1" customFormat="1" ht="16.35" hidden="1" customHeight="1" spans="1:15">
      <c r="A183" s="5"/>
      <c r="B183" s="6" t="s">
        <v>2906</v>
      </c>
      <c r="C183" s="6">
        <v>2017</v>
      </c>
      <c r="D183" s="6">
        <v>3</v>
      </c>
      <c r="E183" s="7">
        <v>4</v>
      </c>
      <c r="F183" s="6" t="s">
        <v>3137</v>
      </c>
      <c r="G183" s="6" t="s">
        <v>2908</v>
      </c>
      <c r="H183" s="6" t="s">
        <v>2909</v>
      </c>
      <c r="I183" s="8"/>
      <c r="J183" s="8">
        <v>9524</v>
      </c>
      <c r="K183" s="6" t="s">
        <v>3138</v>
      </c>
      <c r="L183" s="6" t="s">
        <v>1539</v>
      </c>
      <c r="N183" s="6" t="s">
        <v>1539</v>
      </c>
      <c r="O183" s="29">
        <v>10000.2</v>
      </c>
    </row>
    <row r="184" s="1" customFormat="1" ht="16.35" hidden="1" customHeight="1" spans="1:15">
      <c r="A184" s="5"/>
      <c r="B184" s="6" t="s">
        <v>2906</v>
      </c>
      <c r="C184" s="6">
        <v>2017</v>
      </c>
      <c r="D184" s="6">
        <v>3</v>
      </c>
      <c r="E184" s="7">
        <v>5</v>
      </c>
      <c r="F184" s="6" t="s">
        <v>3139</v>
      </c>
      <c r="G184" s="6" t="s">
        <v>2908</v>
      </c>
      <c r="H184" s="6" t="s">
        <v>2909</v>
      </c>
      <c r="I184" s="8"/>
      <c r="J184" s="8">
        <v>38095</v>
      </c>
      <c r="K184" s="6" t="s">
        <v>3140</v>
      </c>
      <c r="L184" s="6" t="s">
        <v>1806</v>
      </c>
      <c r="N184" s="6" t="s">
        <v>1806</v>
      </c>
      <c r="O184" s="29">
        <v>39999.75</v>
      </c>
    </row>
    <row r="185" s="1" customFormat="1" ht="16.35" hidden="1" customHeight="1" spans="1:15">
      <c r="A185" s="5"/>
      <c r="B185" s="6" t="s">
        <v>2906</v>
      </c>
      <c r="C185" s="6">
        <v>2017</v>
      </c>
      <c r="D185" s="6">
        <v>3</v>
      </c>
      <c r="E185" s="7">
        <v>6</v>
      </c>
      <c r="F185" s="6" t="s">
        <v>3141</v>
      </c>
      <c r="G185" s="6" t="s">
        <v>2908</v>
      </c>
      <c r="H185" s="6" t="s">
        <v>2909</v>
      </c>
      <c r="I185" s="8"/>
      <c r="J185" s="8">
        <v>41150</v>
      </c>
      <c r="K185" s="6" t="s">
        <v>3142</v>
      </c>
      <c r="L185" s="6" t="s">
        <v>1533</v>
      </c>
      <c r="N185" s="6" t="s">
        <v>1533</v>
      </c>
      <c r="O185" s="29">
        <v>43207.5</v>
      </c>
    </row>
    <row r="186" s="1" customFormat="1" ht="16.35" hidden="1" customHeight="1" spans="1:15">
      <c r="A186" s="5"/>
      <c r="B186" s="6" t="s">
        <v>2906</v>
      </c>
      <c r="C186" s="6">
        <v>2017</v>
      </c>
      <c r="D186" s="6">
        <v>3</v>
      </c>
      <c r="E186" s="7">
        <v>7</v>
      </c>
      <c r="F186" s="6" t="s">
        <v>3143</v>
      </c>
      <c r="G186" s="6" t="s">
        <v>2908</v>
      </c>
      <c r="H186" s="6" t="s">
        <v>2909</v>
      </c>
      <c r="I186" s="8"/>
      <c r="J186" s="8">
        <v>9524</v>
      </c>
      <c r="K186" s="6" t="s">
        <v>3144</v>
      </c>
      <c r="L186" s="6" t="s">
        <v>1896</v>
      </c>
      <c r="N186" s="6" t="s">
        <v>1896</v>
      </c>
      <c r="O186" s="29">
        <v>10000.2</v>
      </c>
    </row>
    <row r="187" s="1" customFormat="1" ht="16.35" hidden="1" customHeight="1" spans="1:15">
      <c r="A187" s="5"/>
      <c r="B187" s="6" t="s">
        <v>2906</v>
      </c>
      <c r="C187" s="6">
        <v>2017</v>
      </c>
      <c r="D187" s="6">
        <v>3</v>
      </c>
      <c r="E187" s="7">
        <v>8</v>
      </c>
      <c r="F187" s="6" t="s">
        <v>3145</v>
      </c>
      <c r="G187" s="6" t="s">
        <v>2908</v>
      </c>
      <c r="H187" s="6" t="s">
        <v>2909</v>
      </c>
      <c r="I187" s="8"/>
      <c r="J187" s="8">
        <v>34144</v>
      </c>
      <c r="K187" s="6" t="s">
        <v>3146</v>
      </c>
      <c r="L187" s="6" t="s">
        <v>1772</v>
      </c>
      <c r="N187" s="6" t="s">
        <v>1772</v>
      </c>
      <c r="O187" s="29">
        <v>35851.2</v>
      </c>
    </row>
    <row r="188" s="1" customFormat="1" ht="16.35" hidden="1" customHeight="1" spans="1:15">
      <c r="A188" s="5"/>
      <c r="B188" s="6" t="s">
        <v>2906</v>
      </c>
      <c r="C188" s="6">
        <v>2017</v>
      </c>
      <c r="D188" s="6">
        <v>3</v>
      </c>
      <c r="E188" s="7">
        <v>9</v>
      </c>
      <c r="F188" s="6" t="s">
        <v>3145</v>
      </c>
      <c r="G188" s="6" t="s">
        <v>2908</v>
      </c>
      <c r="H188" s="6" t="s">
        <v>2909</v>
      </c>
      <c r="I188" s="8"/>
      <c r="J188" s="8">
        <v>9524</v>
      </c>
      <c r="K188" s="6" t="s">
        <v>3146</v>
      </c>
      <c r="L188" s="6" t="s">
        <v>1772</v>
      </c>
      <c r="N188" s="6" t="s">
        <v>1772</v>
      </c>
      <c r="O188" s="29">
        <v>10000.2</v>
      </c>
    </row>
    <row r="189" s="1" customFormat="1" ht="16.35" hidden="1" customHeight="1" spans="1:15">
      <c r="A189" s="5"/>
      <c r="B189" s="6" t="s">
        <v>2906</v>
      </c>
      <c r="C189" s="6">
        <v>2017</v>
      </c>
      <c r="D189" s="6">
        <v>3</v>
      </c>
      <c r="E189" s="7">
        <v>10</v>
      </c>
      <c r="F189" s="6" t="s">
        <v>3139</v>
      </c>
      <c r="G189" s="6" t="s">
        <v>2908</v>
      </c>
      <c r="H189" s="6" t="s">
        <v>2909</v>
      </c>
      <c r="I189" s="8"/>
      <c r="J189" s="8">
        <v>5572</v>
      </c>
      <c r="K189" s="6" t="s">
        <v>3140</v>
      </c>
      <c r="L189" s="6" t="s">
        <v>1806</v>
      </c>
      <c r="N189" s="6" t="s">
        <v>1806</v>
      </c>
      <c r="O189" s="29">
        <v>5850.6</v>
      </c>
    </row>
    <row r="190" s="1" customFormat="1" ht="16.35" hidden="1" customHeight="1" spans="1:15">
      <c r="A190" s="5"/>
      <c r="B190" s="6" t="s">
        <v>2906</v>
      </c>
      <c r="C190" s="6">
        <v>2017</v>
      </c>
      <c r="D190" s="6">
        <v>3</v>
      </c>
      <c r="E190" s="7">
        <v>11</v>
      </c>
      <c r="F190" s="6" t="s">
        <v>3147</v>
      </c>
      <c r="G190" s="6" t="s">
        <v>2908</v>
      </c>
      <c r="H190" s="6" t="s">
        <v>2909</v>
      </c>
      <c r="I190" s="8"/>
      <c r="J190" s="8">
        <v>86322</v>
      </c>
      <c r="K190" s="6" t="s">
        <v>3148</v>
      </c>
      <c r="L190" s="6" t="s">
        <v>1746</v>
      </c>
      <c r="N190" s="6" t="s">
        <v>1746</v>
      </c>
      <c r="O190" s="29">
        <v>90638.1</v>
      </c>
    </row>
    <row r="191" s="1" customFormat="1" ht="16.35" hidden="1" customHeight="1" spans="1:15">
      <c r="A191" s="5"/>
      <c r="B191" s="6" t="s">
        <v>2906</v>
      </c>
      <c r="C191" s="6">
        <v>2017</v>
      </c>
      <c r="D191" s="6">
        <v>3</v>
      </c>
      <c r="E191" s="7">
        <v>12</v>
      </c>
      <c r="F191" s="6" t="s">
        <v>3149</v>
      </c>
      <c r="G191" s="6" t="s">
        <v>2908</v>
      </c>
      <c r="H191" s="6" t="s">
        <v>2909</v>
      </c>
      <c r="I191" s="8"/>
      <c r="J191" s="8">
        <v>33940</v>
      </c>
      <c r="K191" s="6" t="s">
        <v>3150</v>
      </c>
      <c r="L191" s="6" t="s">
        <v>1822</v>
      </c>
      <c r="N191" s="6" t="s">
        <v>1822</v>
      </c>
      <c r="O191" s="29">
        <v>35637</v>
      </c>
    </row>
    <row r="192" s="1" customFormat="1" ht="16.35" hidden="1" customHeight="1" spans="1:15">
      <c r="A192" s="5"/>
      <c r="B192" s="6" t="s">
        <v>2906</v>
      </c>
      <c r="C192" s="6">
        <v>2017</v>
      </c>
      <c r="D192" s="6">
        <v>3</v>
      </c>
      <c r="E192" s="7">
        <v>13</v>
      </c>
      <c r="F192" s="6" t="s">
        <v>3151</v>
      </c>
      <c r="G192" s="6" t="s">
        <v>2908</v>
      </c>
      <c r="H192" s="6" t="s">
        <v>2909</v>
      </c>
      <c r="I192" s="8"/>
      <c r="J192" s="8">
        <v>4762</v>
      </c>
      <c r="K192" s="6" t="s">
        <v>3152</v>
      </c>
      <c r="L192" s="6" t="s">
        <v>1359</v>
      </c>
      <c r="N192" s="6" t="s">
        <v>1359</v>
      </c>
      <c r="O192" s="29">
        <v>5000.1</v>
      </c>
    </row>
    <row r="193" s="1" customFormat="1" ht="16.35" hidden="1" customHeight="1" spans="1:15">
      <c r="A193" s="5"/>
      <c r="B193" s="6" t="s">
        <v>2906</v>
      </c>
      <c r="C193" s="6">
        <v>2017</v>
      </c>
      <c r="D193" s="6">
        <v>3</v>
      </c>
      <c r="E193" s="7">
        <v>14</v>
      </c>
      <c r="F193" s="6" t="s">
        <v>3153</v>
      </c>
      <c r="G193" s="6" t="s">
        <v>2908</v>
      </c>
      <c r="H193" s="6" t="s">
        <v>2909</v>
      </c>
      <c r="I193" s="8"/>
      <c r="J193" s="8">
        <v>28571</v>
      </c>
      <c r="K193" s="6" t="s">
        <v>3154</v>
      </c>
      <c r="L193" s="6" t="s">
        <v>1535</v>
      </c>
      <c r="N193" s="6" t="s">
        <v>1535</v>
      </c>
      <c r="O193" s="29">
        <v>29999.55</v>
      </c>
    </row>
    <row r="194" s="1" customFormat="1" ht="16.35" hidden="1" customHeight="1" spans="1:16">
      <c r="A194" s="5"/>
      <c r="B194" s="6" t="s">
        <v>2906</v>
      </c>
      <c r="C194" s="6">
        <v>2017</v>
      </c>
      <c r="D194" s="6">
        <v>3</v>
      </c>
      <c r="E194" s="7">
        <v>15</v>
      </c>
      <c r="F194" s="6" t="s">
        <v>3155</v>
      </c>
      <c r="G194" s="6" t="s">
        <v>2908</v>
      </c>
      <c r="H194" s="6" t="s">
        <v>2909</v>
      </c>
      <c r="I194" s="8"/>
      <c r="J194" s="8">
        <v>-4762</v>
      </c>
      <c r="K194" s="6" t="s">
        <v>3117</v>
      </c>
      <c r="L194" s="6" t="s">
        <v>1296</v>
      </c>
      <c r="N194" s="6" t="s">
        <v>1296</v>
      </c>
      <c r="O194" s="29">
        <v>-5000.1</v>
      </c>
      <c r="P194" s="1">
        <f>O194-J194</f>
        <v>-238.1</v>
      </c>
    </row>
    <row r="195" s="1" customFormat="1" ht="16.35" hidden="1" customHeight="1" spans="1:15">
      <c r="A195" s="5"/>
      <c r="B195" s="6" t="s">
        <v>2906</v>
      </c>
      <c r="C195" s="6">
        <v>2017</v>
      </c>
      <c r="D195" s="6">
        <v>3</v>
      </c>
      <c r="E195" s="7">
        <v>15</v>
      </c>
      <c r="F195" s="6" t="s">
        <v>3155</v>
      </c>
      <c r="G195" s="6" t="s">
        <v>2908</v>
      </c>
      <c r="H195" s="6" t="s">
        <v>2909</v>
      </c>
      <c r="I195" s="8"/>
      <c r="J195" s="8">
        <v>4762</v>
      </c>
      <c r="K195" s="6" t="s">
        <v>3156</v>
      </c>
      <c r="L195" s="6" t="s">
        <v>1555</v>
      </c>
      <c r="N195" s="6" t="s">
        <v>1555</v>
      </c>
      <c r="O195" s="29">
        <v>5000.1</v>
      </c>
    </row>
    <row r="196" s="1" customFormat="1" ht="16.35" hidden="1" customHeight="1" spans="1:15">
      <c r="A196" s="5"/>
      <c r="B196" s="6" t="s">
        <v>2906</v>
      </c>
      <c r="C196" s="6">
        <v>2017</v>
      </c>
      <c r="D196" s="6">
        <v>3</v>
      </c>
      <c r="E196" s="7">
        <v>16</v>
      </c>
      <c r="F196" s="6" t="s">
        <v>3157</v>
      </c>
      <c r="G196" s="6" t="s">
        <v>2908</v>
      </c>
      <c r="H196" s="6" t="s">
        <v>2909</v>
      </c>
      <c r="I196" s="8"/>
      <c r="J196" s="8">
        <v>34144</v>
      </c>
      <c r="K196" s="6" t="s">
        <v>3158</v>
      </c>
      <c r="L196" s="6" t="s">
        <v>1798</v>
      </c>
      <c r="N196" s="6" t="s">
        <v>1798</v>
      </c>
      <c r="O196" s="29">
        <v>35851.2</v>
      </c>
    </row>
    <row r="197" s="1" customFormat="1" ht="16.35" hidden="1" customHeight="1" spans="1:16">
      <c r="A197" s="5"/>
      <c r="B197" s="6" t="s">
        <v>2906</v>
      </c>
      <c r="C197" s="6">
        <v>2017</v>
      </c>
      <c r="D197" s="6">
        <v>3</v>
      </c>
      <c r="E197" s="7">
        <v>17</v>
      </c>
      <c r="F197" s="6" t="s">
        <v>3159</v>
      </c>
      <c r="G197" s="6" t="s">
        <v>2908</v>
      </c>
      <c r="H197" s="6" t="s">
        <v>2909</v>
      </c>
      <c r="I197" s="8"/>
      <c r="J197" s="8">
        <v>46177</v>
      </c>
      <c r="K197" s="6" t="s">
        <v>3117</v>
      </c>
      <c r="L197" s="6" t="s">
        <v>1296</v>
      </c>
      <c r="N197" s="6" t="s">
        <v>1296</v>
      </c>
      <c r="O197" s="29">
        <v>48485.85</v>
      </c>
      <c r="P197" s="1">
        <f>O197-J197</f>
        <v>2308.85</v>
      </c>
    </row>
    <row r="198" s="1" customFormat="1" ht="16.35" hidden="1" customHeight="1" spans="1:15">
      <c r="A198" s="5"/>
      <c r="B198" s="6" t="s">
        <v>2906</v>
      </c>
      <c r="C198" s="6">
        <v>2017</v>
      </c>
      <c r="D198" s="6">
        <v>3</v>
      </c>
      <c r="E198" s="7">
        <v>18</v>
      </c>
      <c r="F198" s="6" t="s">
        <v>3160</v>
      </c>
      <c r="G198" s="6" t="s">
        <v>2908</v>
      </c>
      <c r="H198" s="6" t="s">
        <v>2909</v>
      </c>
      <c r="I198" s="8"/>
      <c r="J198" s="8">
        <v>28571</v>
      </c>
      <c r="K198" s="6" t="s">
        <v>3161</v>
      </c>
      <c r="L198" s="6" t="s">
        <v>1547</v>
      </c>
      <c r="N198" s="6" t="s">
        <v>1547</v>
      </c>
      <c r="O198" s="29">
        <v>29999.55</v>
      </c>
    </row>
    <row r="199" s="1" customFormat="1" ht="16.35" hidden="1" customHeight="1" spans="1:15">
      <c r="A199" s="5"/>
      <c r="B199" s="6" t="s">
        <v>2906</v>
      </c>
      <c r="C199" s="6">
        <v>2017</v>
      </c>
      <c r="D199" s="6">
        <v>3</v>
      </c>
      <c r="E199" s="7">
        <v>19</v>
      </c>
      <c r="F199" s="6" t="s">
        <v>3162</v>
      </c>
      <c r="G199" s="6" t="s">
        <v>2908</v>
      </c>
      <c r="H199" s="6" t="s">
        <v>2909</v>
      </c>
      <c r="I199" s="8"/>
      <c r="J199" s="8">
        <v>43668</v>
      </c>
      <c r="K199" s="6" t="s">
        <v>3163</v>
      </c>
      <c r="L199" s="6" t="s">
        <v>1796</v>
      </c>
      <c r="N199" s="6" t="s">
        <v>1796</v>
      </c>
      <c r="O199" s="29">
        <v>45851.4</v>
      </c>
    </row>
    <row r="200" s="1" customFormat="1" ht="16.35" hidden="1" customHeight="1" spans="1:15">
      <c r="A200" s="5"/>
      <c r="B200" s="6" t="s">
        <v>2906</v>
      </c>
      <c r="C200" s="6">
        <v>2017</v>
      </c>
      <c r="D200" s="6">
        <v>3</v>
      </c>
      <c r="E200" s="7">
        <v>20</v>
      </c>
      <c r="F200" s="6" t="s">
        <v>3164</v>
      </c>
      <c r="G200" s="6" t="s">
        <v>2908</v>
      </c>
      <c r="H200" s="6" t="s">
        <v>2909</v>
      </c>
      <c r="I200" s="8"/>
      <c r="J200" s="8">
        <v>4762</v>
      </c>
      <c r="K200" s="6" t="s">
        <v>3165</v>
      </c>
      <c r="L200" s="6" t="s">
        <v>1357</v>
      </c>
      <c r="N200" s="6" t="s">
        <v>1357</v>
      </c>
      <c r="O200" s="29">
        <v>5000.1</v>
      </c>
    </row>
    <row r="201" s="1" customFormat="1" ht="16.35" hidden="1" customHeight="1" spans="1:15">
      <c r="A201" s="5"/>
      <c r="B201" s="6" t="s">
        <v>2906</v>
      </c>
      <c r="C201" s="6">
        <v>2017</v>
      </c>
      <c r="D201" s="6">
        <v>3</v>
      </c>
      <c r="E201" s="7">
        <v>21</v>
      </c>
      <c r="F201" s="6" t="s">
        <v>3166</v>
      </c>
      <c r="G201" s="6" t="s">
        <v>2908</v>
      </c>
      <c r="H201" s="6" t="s">
        <v>2909</v>
      </c>
      <c r="I201" s="8"/>
      <c r="J201" s="8">
        <v>51753</v>
      </c>
      <c r="K201" s="6" t="s">
        <v>3167</v>
      </c>
      <c r="L201" s="6" t="s">
        <v>1302</v>
      </c>
      <c r="N201" s="6" t="s">
        <v>1302</v>
      </c>
      <c r="O201" s="29">
        <v>54340.65</v>
      </c>
    </row>
    <row r="202" s="1" customFormat="1" ht="16.35" hidden="1" customHeight="1" spans="1:15">
      <c r="A202" s="5"/>
      <c r="B202" s="6" t="s">
        <v>2906</v>
      </c>
      <c r="C202" s="6">
        <v>2017</v>
      </c>
      <c r="D202" s="6">
        <v>3</v>
      </c>
      <c r="E202" s="7">
        <v>22</v>
      </c>
      <c r="F202" s="6" t="s">
        <v>3168</v>
      </c>
      <c r="G202" s="6" t="s">
        <v>2908</v>
      </c>
      <c r="H202" s="6" t="s">
        <v>2909</v>
      </c>
      <c r="I202" s="8"/>
      <c r="J202" s="8">
        <v>19048</v>
      </c>
      <c r="K202" s="6" t="s">
        <v>3088</v>
      </c>
      <c r="L202" s="6" t="s">
        <v>1756</v>
      </c>
      <c r="N202" s="6" t="s">
        <v>1756</v>
      </c>
      <c r="O202" s="29">
        <v>20000.4</v>
      </c>
    </row>
    <row r="203" s="1" customFormat="1" ht="16.35" hidden="1" customHeight="1" spans="1:15">
      <c r="A203" s="5"/>
      <c r="B203" s="6" t="s">
        <v>2906</v>
      </c>
      <c r="C203" s="6">
        <v>2017</v>
      </c>
      <c r="D203" s="6">
        <v>3</v>
      </c>
      <c r="E203" s="7">
        <v>23</v>
      </c>
      <c r="F203" s="6" t="s">
        <v>3169</v>
      </c>
      <c r="G203" s="6" t="s">
        <v>2908</v>
      </c>
      <c r="H203" s="6" t="s">
        <v>2909</v>
      </c>
      <c r="I203" s="8"/>
      <c r="J203" s="8">
        <v>6667</v>
      </c>
      <c r="K203" s="6" t="s">
        <v>3170</v>
      </c>
      <c r="L203" s="6" t="s">
        <v>1886</v>
      </c>
      <c r="N203" s="6" t="s">
        <v>1886</v>
      </c>
      <c r="O203" s="29">
        <v>7000.35</v>
      </c>
    </row>
    <row r="204" s="1" customFormat="1" ht="16.35" hidden="1" customHeight="1" spans="1:15">
      <c r="A204" s="5"/>
      <c r="B204" s="6" t="s">
        <v>2906</v>
      </c>
      <c r="C204" s="6">
        <v>2017</v>
      </c>
      <c r="D204" s="6">
        <v>3</v>
      </c>
      <c r="E204" s="7">
        <v>24</v>
      </c>
      <c r="F204" s="6" t="s">
        <v>3171</v>
      </c>
      <c r="G204" s="6" t="s">
        <v>2908</v>
      </c>
      <c r="H204" s="6" t="s">
        <v>2909</v>
      </c>
      <c r="I204" s="8"/>
      <c r="J204" s="8">
        <v>9524</v>
      </c>
      <c r="K204" s="6" t="s">
        <v>3172</v>
      </c>
      <c r="L204" s="6" t="s">
        <v>1579</v>
      </c>
      <c r="N204" s="6" t="s">
        <v>1579</v>
      </c>
      <c r="O204" s="29">
        <v>10000.2</v>
      </c>
    </row>
    <row r="205" s="1" customFormat="1" ht="16.35" hidden="1" customHeight="1" spans="1:15">
      <c r="A205" s="5"/>
      <c r="B205" s="6" t="s">
        <v>2906</v>
      </c>
      <c r="C205" s="6">
        <v>2017</v>
      </c>
      <c r="D205" s="6">
        <v>3</v>
      </c>
      <c r="E205" s="7">
        <v>25</v>
      </c>
      <c r="F205" s="6" t="s">
        <v>3173</v>
      </c>
      <c r="G205" s="6" t="s">
        <v>2908</v>
      </c>
      <c r="H205" s="6" t="s">
        <v>2909</v>
      </c>
      <c r="I205" s="8"/>
      <c r="J205" s="8">
        <v>9524</v>
      </c>
      <c r="K205" s="6" t="s">
        <v>3174</v>
      </c>
      <c r="L205" s="6" t="s">
        <v>1294</v>
      </c>
      <c r="N205" s="6" t="s">
        <v>1294</v>
      </c>
      <c r="O205" s="29">
        <v>10000.2</v>
      </c>
    </row>
    <row r="206" s="1" customFormat="1" ht="16.35" hidden="1" customHeight="1" spans="1:15">
      <c r="A206" s="5"/>
      <c r="B206" s="6" t="s">
        <v>2906</v>
      </c>
      <c r="C206" s="6">
        <v>2017</v>
      </c>
      <c r="D206" s="6">
        <v>3</v>
      </c>
      <c r="E206" s="7">
        <v>33</v>
      </c>
      <c r="F206" s="6" t="s">
        <v>3175</v>
      </c>
      <c r="G206" s="6" t="s">
        <v>2908</v>
      </c>
      <c r="H206" s="6" t="s">
        <v>2909</v>
      </c>
      <c r="I206" s="8"/>
      <c r="J206" s="8">
        <v>1905</v>
      </c>
      <c r="K206" s="6" t="s">
        <v>2996</v>
      </c>
      <c r="L206" s="6" t="s">
        <v>1790</v>
      </c>
      <c r="N206" s="6" t="s">
        <v>1790</v>
      </c>
      <c r="O206" s="29">
        <v>2000.25</v>
      </c>
    </row>
    <row r="207" s="1" customFormat="1" ht="16.35" hidden="1" customHeight="1" spans="1:15">
      <c r="A207" s="5"/>
      <c r="B207" s="6" t="s">
        <v>2906</v>
      </c>
      <c r="C207" s="6">
        <v>2017</v>
      </c>
      <c r="D207" s="6">
        <v>4</v>
      </c>
      <c r="E207" s="7">
        <v>1</v>
      </c>
      <c r="F207" s="6" t="s">
        <v>3176</v>
      </c>
      <c r="G207" s="6" t="s">
        <v>2908</v>
      </c>
      <c r="H207" s="6" t="s">
        <v>2909</v>
      </c>
      <c r="I207" s="8"/>
      <c r="J207" s="8">
        <v>4762</v>
      </c>
      <c r="K207" s="6" t="s">
        <v>3177</v>
      </c>
      <c r="L207" s="6" t="s">
        <v>1615</v>
      </c>
      <c r="N207" s="6" t="s">
        <v>1615</v>
      </c>
      <c r="O207" s="29">
        <v>5000.1</v>
      </c>
    </row>
    <row r="208" s="1" customFormat="1" ht="16.35" hidden="1" customHeight="1" spans="1:15">
      <c r="A208" s="5"/>
      <c r="B208" s="6" t="s">
        <v>2906</v>
      </c>
      <c r="C208" s="6">
        <v>2017</v>
      </c>
      <c r="D208" s="6">
        <v>4</v>
      </c>
      <c r="E208" s="7">
        <v>2</v>
      </c>
      <c r="F208" s="6" t="s">
        <v>3178</v>
      </c>
      <c r="G208" s="6" t="s">
        <v>2908</v>
      </c>
      <c r="H208" s="6" t="s">
        <v>2909</v>
      </c>
      <c r="I208" s="8"/>
      <c r="J208" s="8">
        <v>3810</v>
      </c>
      <c r="K208" s="6" t="s">
        <v>3179</v>
      </c>
      <c r="L208" s="6" t="s">
        <v>1882</v>
      </c>
      <c r="N208" s="6" t="s">
        <v>1882</v>
      </c>
      <c r="O208" s="29">
        <v>4000.5</v>
      </c>
    </row>
    <row r="209" s="1" customFormat="1" ht="16.35" hidden="1" customHeight="1" spans="1:15">
      <c r="A209" s="5"/>
      <c r="B209" s="6" t="s">
        <v>2906</v>
      </c>
      <c r="C209" s="6">
        <v>2017</v>
      </c>
      <c r="D209" s="6">
        <v>4</v>
      </c>
      <c r="E209" s="7">
        <v>3</v>
      </c>
      <c r="F209" s="6" t="s">
        <v>3180</v>
      </c>
      <c r="G209" s="6" t="s">
        <v>2908</v>
      </c>
      <c r="H209" s="6" t="s">
        <v>2909</v>
      </c>
      <c r="I209" s="8"/>
      <c r="J209" s="8">
        <v>4762</v>
      </c>
      <c r="K209" s="6" t="s">
        <v>3181</v>
      </c>
      <c r="L209" s="6" t="s">
        <v>1379</v>
      </c>
      <c r="N209" s="6" t="s">
        <v>1379</v>
      </c>
      <c r="O209" s="29">
        <v>5000.1</v>
      </c>
    </row>
    <row r="210" s="1" customFormat="1" ht="16.35" hidden="1" customHeight="1" spans="1:15">
      <c r="A210" s="5"/>
      <c r="B210" s="6" t="s">
        <v>2906</v>
      </c>
      <c r="C210" s="6">
        <v>2017</v>
      </c>
      <c r="D210" s="6">
        <v>4</v>
      </c>
      <c r="E210" s="7">
        <v>4</v>
      </c>
      <c r="F210" s="6" t="s">
        <v>3182</v>
      </c>
      <c r="G210" s="6" t="s">
        <v>2908</v>
      </c>
      <c r="H210" s="6" t="s">
        <v>2909</v>
      </c>
      <c r="I210" s="8"/>
      <c r="J210" s="8">
        <v>4762</v>
      </c>
      <c r="K210" s="6" t="s">
        <v>3154</v>
      </c>
      <c r="L210" s="6" t="s">
        <v>1535</v>
      </c>
      <c r="N210" s="6" t="s">
        <v>1535</v>
      </c>
      <c r="O210" s="29">
        <v>5000.1</v>
      </c>
    </row>
    <row r="211" s="1" customFormat="1" ht="16.35" hidden="1" customHeight="1" spans="1:15">
      <c r="A211" s="5"/>
      <c r="B211" s="6" t="s">
        <v>2906</v>
      </c>
      <c r="C211" s="6">
        <v>2017</v>
      </c>
      <c r="D211" s="6">
        <v>4</v>
      </c>
      <c r="E211" s="7">
        <v>5</v>
      </c>
      <c r="F211" s="6" t="s">
        <v>3183</v>
      </c>
      <c r="G211" s="6" t="s">
        <v>2908</v>
      </c>
      <c r="H211" s="6" t="s">
        <v>2909</v>
      </c>
      <c r="I211" s="8"/>
      <c r="J211" s="8">
        <v>4762</v>
      </c>
      <c r="K211" s="6" t="s">
        <v>3184</v>
      </c>
      <c r="L211" s="6" t="s">
        <v>1902</v>
      </c>
      <c r="N211" s="6" t="s">
        <v>1902</v>
      </c>
      <c r="O211" s="29">
        <v>5000.1</v>
      </c>
    </row>
    <row r="212" s="1" customFormat="1" ht="16.35" hidden="1" customHeight="1" spans="1:15">
      <c r="A212" s="5"/>
      <c r="B212" s="6" t="s">
        <v>2906</v>
      </c>
      <c r="C212" s="6">
        <v>2017</v>
      </c>
      <c r="D212" s="6">
        <v>4</v>
      </c>
      <c r="E212" s="7">
        <v>6</v>
      </c>
      <c r="F212" s="6" t="s">
        <v>3185</v>
      </c>
      <c r="G212" s="6" t="s">
        <v>2908</v>
      </c>
      <c r="H212" s="6" t="s">
        <v>2909</v>
      </c>
      <c r="I212" s="8"/>
      <c r="J212" s="8">
        <v>146667</v>
      </c>
      <c r="K212" s="6" t="s">
        <v>3105</v>
      </c>
      <c r="L212" s="6" t="s">
        <v>1312</v>
      </c>
      <c r="N212" s="6" t="s">
        <v>1312</v>
      </c>
      <c r="O212" s="29">
        <v>154000</v>
      </c>
    </row>
    <row r="213" s="1" customFormat="1" ht="16.35" hidden="1" customHeight="1" spans="1:15">
      <c r="A213" s="5"/>
      <c r="B213" s="6" t="s">
        <v>2906</v>
      </c>
      <c r="C213" s="6">
        <v>2017</v>
      </c>
      <c r="D213" s="6">
        <v>4</v>
      </c>
      <c r="E213" s="7">
        <v>7</v>
      </c>
      <c r="F213" s="6" t="s">
        <v>3186</v>
      </c>
      <c r="G213" s="6" t="s">
        <v>2908</v>
      </c>
      <c r="H213" s="6" t="s">
        <v>2909</v>
      </c>
      <c r="I213" s="8"/>
      <c r="J213" s="8">
        <v>127619</v>
      </c>
      <c r="K213" s="6" t="s">
        <v>3070</v>
      </c>
      <c r="L213" s="6" t="s">
        <v>3071</v>
      </c>
      <c r="N213" s="6" t="s">
        <v>3071</v>
      </c>
      <c r="O213" s="29">
        <v>133999.95</v>
      </c>
    </row>
    <row r="214" s="1" customFormat="1" ht="16.35" hidden="1" customHeight="1" spans="1:15">
      <c r="A214" s="5"/>
      <c r="B214" s="6" t="s">
        <v>2906</v>
      </c>
      <c r="C214" s="6">
        <v>2017</v>
      </c>
      <c r="D214" s="6">
        <v>4</v>
      </c>
      <c r="E214" s="7">
        <v>8</v>
      </c>
      <c r="F214" s="6" t="s">
        <v>3187</v>
      </c>
      <c r="G214" s="6" t="s">
        <v>2908</v>
      </c>
      <c r="H214" s="6" t="s">
        <v>2909</v>
      </c>
      <c r="I214" s="8"/>
      <c r="J214" s="8">
        <v>5714</v>
      </c>
      <c r="K214" s="6" t="s">
        <v>3188</v>
      </c>
      <c r="L214" s="6" t="s">
        <v>1399</v>
      </c>
      <c r="N214" s="6" t="s">
        <v>1399</v>
      </c>
      <c r="O214" s="29">
        <v>5999.7</v>
      </c>
    </row>
    <row r="215" s="1" customFormat="1" ht="16.35" hidden="1" customHeight="1" spans="1:15">
      <c r="A215" s="5"/>
      <c r="B215" s="6" t="s">
        <v>2906</v>
      </c>
      <c r="C215" s="6">
        <v>2017</v>
      </c>
      <c r="D215" s="6">
        <v>4</v>
      </c>
      <c r="E215" s="7">
        <v>9</v>
      </c>
      <c r="F215" s="6" t="s">
        <v>3189</v>
      </c>
      <c r="G215" s="6" t="s">
        <v>2908</v>
      </c>
      <c r="H215" s="6" t="s">
        <v>2909</v>
      </c>
      <c r="I215" s="8"/>
      <c r="J215" s="8">
        <v>9524</v>
      </c>
      <c r="K215" s="6" t="s">
        <v>3190</v>
      </c>
      <c r="L215" s="6" t="s">
        <v>1525</v>
      </c>
      <c r="N215" s="6" t="s">
        <v>1525</v>
      </c>
      <c r="O215" s="29">
        <v>10000.2</v>
      </c>
    </row>
    <row r="216" s="1" customFormat="1" ht="16.35" hidden="1" customHeight="1" spans="1:16">
      <c r="A216" s="5"/>
      <c r="B216" s="6" t="s">
        <v>2906</v>
      </c>
      <c r="C216" s="6">
        <v>2017</v>
      </c>
      <c r="D216" s="6">
        <v>4</v>
      </c>
      <c r="E216" s="7">
        <v>10</v>
      </c>
      <c r="F216" s="6" t="s">
        <v>3191</v>
      </c>
      <c r="G216" s="6" t="s">
        <v>2908</v>
      </c>
      <c r="H216" s="6" t="s">
        <v>2909</v>
      </c>
      <c r="I216" s="8"/>
      <c r="J216" s="8">
        <v>39983</v>
      </c>
      <c r="K216" s="6" t="s">
        <v>3192</v>
      </c>
      <c r="L216" s="6" t="s">
        <v>1284</v>
      </c>
      <c r="N216" s="6" t="s">
        <v>1284</v>
      </c>
      <c r="O216" s="29">
        <v>41982.15</v>
      </c>
      <c r="P216" s="1">
        <f>O216-J216</f>
        <v>1999.15</v>
      </c>
    </row>
    <row r="217" s="1" customFormat="1" ht="16.35" hidden="1" customHeight="1" spans="1:16">
      <c r="A217" s="5"/>
      <c r="B217" s="6" t="s">
        <v>2906</v>
      </c>
      <c r="C217" s="6">
        <v>2017</v>
      </c>
      <c r="D217" s="6">
        <v>4</v>
      </c>
      <c r="E217" s="7">
        <v>10</v>
      </c>
      <c r="F217" s="6" t="s">
        <v>3102</v>
      </c>
      <c r="G217" s="6" t="s">
        <v>2908</v>
      </c>
      <c r="H217" s="6" t="s">
        <v>2909</v>
      </c>
      <c r="I217" s="8"/>
      <c r="J217" s="8">
        <v>-11429</v>
      </c>
      <c r="K217" s="6" t="s">
        <v>3103</v>
      </c>
      <c r="L217" s="6" t="s">
        <v>1316</v>
      </c>
      <c r="N217" s="6" t="s">
        <v>1316</v>
      </c>
      <c r="O217" s="29">
        <v>-12000.45</v>
      </c>
      <c r="P217" s="1">
        <f>O217-J217</f>
        <v>-571.450000000001</v>
      </c>
    </row>
    <row r="218" s="1" customFormat="1" ht="16.35" hidden="1" customHeight="1" spans="1:15">
      <c r="A218" s="5"/>
      <c r="B218" s="6" t="s">
        <v>2906</v>
      </c>
      <c r="C218" s="6">
        <v>2017</v>
      </c>
      <c r="D218" s="6">
        <v>4</v>
      </c>
      <c r="E218" s="7">
        <v>11</v>
      </c>
      <c r="F218" s="6" t="s">
        <v>3193</v>
      </c>
      <c r="G218" s="6" t="s">
        <v>2908</v>
      </c>
      <c r="H218" s="6" t="s">
        <v>2909</v>
      </c>
      <c r="I218" s="8"/>
      <c r="J218" s="8">
        <v>9524</v>
      </c>
      <c r="K218" s="6" t="s">
        <v>3150</v>
      </c>
      <c r="L218" s="6" t="s">
        <v>1822</v>
      </c>
      <c r="N218" s="6" t="s">
        <v>1822</v>
      </c>
      <c r="O218" s="29">
        <v>10000.2</v>
      </c>
    </row>
    <row r="219" s="1" customFormat="1" ht="16.35" hidden="1" customHeight="1" spans="1:15">
      <c r="A219" s="5"/>
      <c r="B219" s="6" t="s">
        <v>2906</v>
      </c>
      <c r="C219" s="6">
        <v>2017</v>
      </c>
      <c r="D219" s="6">
        <v>4</v>
      </c>
      <c r="E219" s="7">
        <v>12</v>
      </c>
      <c r="F219" s="6" t="s">
        <v>3194</v>
      </c>
      <c r="G219" s="6" t="s">
        <v>2908</v>
      </c>
      <c r="H219" s="6" t="s">
        <v>2909</v>
      </c>
      <c r="I219" s="8"/>
      <c r="J219" s="8">
        <v>105074</v>
      </c>
      <c r="K219" s="6" t="s">
        <v>3195</v>
      </c>
      <c r="L219" s="6" t="s">
        <v>1383</v>
      </c>
      <c r="N219" s="6" t="s">
        <v>1383</v>
      </c>
      <c r="O219" s="29">
        <v>110327.7</v>
      </c>
    </row>
    <row r="220" s="1" customFormat="1" ht="16.35" hidden="1" customHeight="1" spans="1:15">
      <c r="A220" s="5"/>
      <c r="B220" s="6" t="s">
        <v>2906</v>
      </c>
      <c r="C220" s="6">
        <v>2017</v>
      </c>
      <c r="D220" s="6">
        <v>4</v>
      </c>
      <c r="E220" s="7">
        <v>13</v>
      </c>
      <c r="F220" s="6" t="s">
        <v>3196</v>
      </c>
      <c r="G220" s="6" t="s">
        <v>2908</v>
      </c>
      <c r="H220" s="6" t="s">
        <v>2909</v>
      </c>
      <c r="I220" s="8"/>
      <c r="J220" s="8">
        <v>-9524</v>
      </c>
      <c r="K220" s="6" t="s">
        <v>3060</v>
      </c>
      <c r="L220" s="6" t="s">
        <v>1575</v>
      </c>
      <c r="N220" s="6" t="s">
        <v>1575</v>
      </c>
      <c r="O220" s="29">
        <v>-10000.2</v>
      </c>
    </row>
    <row r="221" s="1" customFormat="1" ht="16.35" hidden="1" customHeight="1" spans="1:15">
      <c r="A221" s="5"/>
      <c r="B221" s="6" t="s">
        <v>2906</v>
      </c>
      <c r="C221" s="6">
        <v>2017</v>
      </c>
      <c r="D221" s="6">
        <v>4</v>
      </c>
      <c r="E221" s="7">
        <v>13</v>
      </c>
      <c r="F221" s="6" t="s">
        <v>3196</v>
      </c>
      <c r="G221" s="6" t="s">
        <v>2908</v>
      </c>
      <c r="H221" s="6" t="s">
        <v>2909</v>
      </c>
      <c r="I221" s="8"/>
      <c r="J221" s="8">
        <v>9524</v>
      </c>
      <c r="K221" s="6" t="s">
        <v>3197</v>
      </c>
      <c r="L221" s="6" t="s">
        <v>1537</v>
      </c>
      <c r="N221" s="6" t="s">
        <v>1537</v>
      </c>
      <c r="O221" s="29">
        <v>10000.2</v>
      </c>
    </row>
    <row r="222" s="1" customFormat="1" ht="16.35" hidden="1" customHeight="1" spans="1:15">
      <c r="A222" s="5"/>
      <c r="B222" s="6" t="s">
        <v>2906</v>
      </c>
      <c r="C222" s="6">
        <v>2017</v>
      </c>
      <c r="D222" s="6">
        <v>4</v>
      </c>
      <c r="E222" s="7">
        <v>14</v>
      </c>
      <c r="F222" s="6" t="s">
        <v>3198</v>
      </c>
      <c r="G222" s="6" t="s">
        <v>2908</v>
      </c>
      <c r="H222" s="6" t="s">
        <v>2909</v>
      </c>
      <c r="I222" s="8"/>
      <c r="J222" s="8">
        <v>45075</v>
      </c>
      <c r="K222" s="6" t="s">
        <v>3199</v>
      </c>
      <c r="L222" s="6" t="s">
        <v>1593</v>
      </c>
      <c r="N222" s="6" t="s">
        <v>1593</v>
      </c>
      <c r="O222" s="29">
        <v>47328.75</v>
      </c>
    </row>
    <row r="223" s="1" customFormat="1" ht="16.35" hidden="1" customHeight="1" spans="1:15">
      <c r="A223" s="5"/>
      <c r="B223" s="6" t="s">
        <v>2906</v>
      </c>
      <c r="C223" s="6">
        <v>2017</v>
      </c>
      <c r="D223" s="6">
        <v>4</v>
      </c>
      <c r="E223" s="7">
        <v>15</v>
      </c>
      <c r="F223" s="6" t="s">
        <v>3200</v>
      </c>
      <c r="G223" s="6" t="s">
        <v>2908</v>
      </c>
      <c r="H223" s="6" t="s">
        <v>2909</v>
      </c>
      <c r="I223" s="8"/>
      <c r="J223" s="8">
        <v>4762</v>
      </c>
      <c r="K223" s="6" t="s">
        <v>3201</v>
      </c>
      <c r="L223" s="6" t="s">
        <v>1553</v>
      </c>
      <c r="N223" s="6" t="s">
        <v>1553</v>
      </c>
      <c r="O223" s="29">
        <v>5000.1</v>
      </c>
    </row>
    <row r="224" s="1" customFormat="1" ht="16.35" hidden="1" customHeight="1" spans="1:15">
      <c r="A224" s="5"/>
      <c r="B224" s="6" t="s">
        <v>2906</v>
      </c>
      <c r="C224" s="6">
        <v>2017</v>
      </c>
      <c r="D224" s="6">
        <v>4</v>
      </c>
      <c r="E224" s="7">
        <v>17</v>
      </c>
      <c r="F224" s="6" t="s">
        <v>3202</v>
      </c>
      <c r="G224" s="6" t="s">
        <v>2908</v>
      </c>
      <c r="H224" s="6" t="s">
        <v>2909</v>
      </c>
      <c r="I224" s="8"/>
      <c r="J224" s="8">
        <v>9524</v>
      </c>
      <c r="K224" s="6" t="s">
        <v>3203</v>
      </c>
      <c r="L224" s="6" t="s">
        <v>1563</v>
      </c>
      <c r="N224" s="6" t="s">
        <v>1563</v>
      </c>
      <c r="O224" s="29">
        <v>10000.2</v>
      </c>
    </row>
    <row r="225" s="1" customFormat="1" ht="16.35" hidden="1" customHeight="1" spans="1:15">
      <c r="A225" s="5"/>
      <c r="B225" s="6" t="s">
        <v>2906</v>
      </c>
      <c r="C225" s="6">
        <v>2017</v>
      </c>
      <c r="D225" s="6">
        <v>4</v>
      </c>
      <c r="E225" s="7">
        <v>18</v>
      </c>
      <c r="F225" s="6" t="s">
        <v>3075</v>
      </c>
      <c r="G225" s="6" t="s">
        <v>2908</v>
      </c>
      <c r="H225" s="6" t="s">
        <v>2909</v>
      </c>
      <c r="I225" s="8"/>
      <c r="J225" s="8">
        <v>8571</v>
      </c>
      <c r="K225" s="6" t="s">
        <v>3076</v>
      </c>
      <c r="L225" s="6" t="s">
        <v>1748</v>
      </c>
      <c r="N225" s="6" t="s">
        <v>1748</v>
      </c>
      <c r="O225" s="29">
        <v>8999.55</v>
      </c>
    </row>
    <row r="226" s="1" customFormat="1" ht="16.35" hidden="1" customHeight="1" spans="1:15">
      <c r="A226" s="5"/>
      <c r="B226" s="6" t="s">
        <v>2906</v>
      </c>
      <c r="C226" s="6">
        <v>2017</v>
      </c>
      <c r="D226" s="6">
        <v>4</v>
      </c>
      <c r="E226" s="7">
        <v>19</v>
      </c>
      <c r="F226" s="6" t="s">
        <v>3204</v>
      </c>
      <c r="G226" s="6" t="s">
        <v>2908</v>
      </c>
      <c r="H226" s="6" t="s">
        <v>2909</v>
      </c>
      <c r="I226" s="8"/>
      <c r="J226" s="8">
        <v>43668</v>
      </c>
      <c r="K226" s="6" t="s">
        <v>3205</v>
      </c>
      <c r="L226" s="6" t="s">
        <v>1820</v>
      </c>
      <c r="N226" s="6" t="s">
        <v>1820</v>
      </c>
      <c r="O226" s="29">
        <v>45851.4</v>
      </c>
    </row>
    <row r="227" s="1" customFormat="1" ht="16.35" hidden="1" customHeight="1" spans="1:15">
      <c r="A227" s="5"/>
      <c r="B227" s="6" t="s">
        <v>2906</v>
      </c>
      <c r="C227" s="6">
        <v>2017</v>
      </c>
      <c r="D227" s="6">
        <v>4</v>
      </c>
      <c r="E227" s="7">
        <v>20</v>
      </c>
      <c r="F227" s="6" t="s">
        <v>3206</v>
      </c>
      <c r="G227" s="6" t="s">
        <v>2908</v>
      </c>
      <c r="H227" s="6" t="s">
        <v>2909</v>
      </c>
      <c r="I227" s="8"/>
      <c r="J227" s="8">
        <v>9524</v>
      </c>
      <c r="K227" s="6" t="s">
        <v>3060</v>
      </c>
      <c r="L227" s="6" t="s">
        <v>1575</v>
      </c>
      <c r="N227" s="6" t="s">
        <v>1575</v>
      </c>
      <c r="O227" s="29">
        <v>10000.2</v>
      </c>
    </row>
    <row r="228" s="1" customFormat="1" ht="16.35" hidden="1" customHeight="1" spans="1:15">
      <c r="A228" s="5"/>
      <c r="B228" s="6" t="s">
        <v>2906</v>
      </c>
      <c r="C228" s="6">
        <v>2017</v>
      </c>
      <c r="D228" s="6">
        <v>4</v>
      </c>
      <c r="E228" s="7">
        <v>21</v>
      </c>
      <c r="F228" s="6" t="s">
        <v>3207</v>
      </c>
      <c r="G228" s="6" t="s">
        <v>2908</v>
      </c>
      <c r="H228" s="6" t="s">
        <v>2909</v>
      </c>
      <c r="I228" s="8"/>
      <c r="J228" s="8">
        <v>4762</v>
      </c>
      <c r="K228" s="6" t="s">
        <v>3208</v>
      </c>
      <c r="L228" s="6" t="s">
        <v>1567</v>
      </c>
      <c r="N228" s="6" t="s">
        <v>1567</v>
      </c>
      <c r="O228" s="29">
        <v>5000.1</v>
      </c>
    </row>
    <row r="229" s="1" customFormat="1" ht="16.35" hidden="1" customHeight="1" spans="1:15">
      <c r="A229" s="5"/>
      <c r="B229" s="6" t="s">
        <v>2906</v>
      </c>
      <c r="C229" s="6">
        <v>2017</v>
      </c>
      <c r="D229" s="6">
        <v>4</v>
      </c>
      <c r="E229" s="7">
        <v>22</v>
      </c>
      <c r="F229" s="6" t="s">
        <v>3198</v>
      </c>
      <c r="G229" s="6" t="s">
        <v>2908</v>
      </c>
      <c r="H229" s="6" t="s">
        <v>2909</v>
      </c>
      <c r="I229" s="8"/>
      <c r="J229" s="8">
        <v>4762</v>
      </c>
      <c r="K229" s="6" t="s">
        <v>3199</v>
      </c>
      <c r="L229" s="6" t="s">
        <v>1593</v>
      </c>
      <c r="N229" s="6" t="s">
        <v>1593</v>
      </c>
      <c r="O229" s="29">
        <v>5000.1</v>
      </c>
    </row>
    <row r="230" s="1" customFormat="1" ht="16.35" hidden="1" customHeight="1" spans="1:15">
      <c r="A230" s="5"/>
      <c r="B230" s="6" t="s">
        <v>2906</v>
      </c>
      <c r="C230" s="6">
        <v>2017</v>
      </c>
      <c r="D230" s="6">
        <v>4</v>
      </c>
      <c r="E230" s="7">
        <v>23</v>
      </c>
      <c r="F230" s="6" t="s">
        <v>3209</v>
      </c>
      <c r="G230" s="6" t="s">
        <v>2908</v>
      </c>
      <c r="H230" s="6" t="s">
        <v>2909</v>
      </c>
      <c r="I230" s="8"/>
      <c r="J230" s="8">
        <v>15238</v>
      </c>
      <c r="K230" s="6" t="s">
        <v>2960</v>
      </c>
      <c r="L230" s="6" t="s">
        <v>1758</v>
      </c>
      <c r="N230" s="6" t="s">
        <v>1758</v>
      </c>
      <c r="O230" s="29">
        <v>15999.9</v>
      </c>
    </row>
    <row r="231" s="1" customFormat="1" ht="16.35" hidden="1" customHeight="1" spans="1:15">
      <c r="A231" s="5"/>
      <c r="B231" s="6" t="s">
        <v>2906</v>
      </c>
      <c r="C231" s="6">
        <v>2017</v>
      </c>
      <c r="D231" s="6">
        <v>4</v>
      </c>
      <c r="E231" s="7">
        <v>28</v>
      </c>
      <c r="F231" s="6" t="s">
        <v>3210</v>
      </c>
      <c r="G231" s="6" t="s">
        <v>2908</v>
      </c>
      <c r="H231" s="6" t="s">
        <v>2909</v>
      </c>
      <c r="I231" s="8"/>
      <c r="J231" s="8">
        <v>4762</v>
      </c>
      <c r="K231" s="6" t="s">
        <v>3165</v>
      </c>
      <c r="L231" s="6" t="s">
        <v>1357</v>
      </c>
      <c r="N231" s="6" t="s">
        <v>1357</v>
      </c>
      <c r="O231" s="29">
        <v>5000.1</v>
      </c>
    </row>
    <row r="232" s="1" customFormat="1" ht="16.35" hidden="1" customHeight="1" spans="1:15">
      <c r="A232" s="5"/>
      <c r="B232" s="6" t="s">
        <v>2906</v>
      </c>
      <c r="C232" s="6">
        <v>2017</v>
      </c>
      <c r="D232" s="6">
        <v>4</v>
      </c>
      <c r="E232" s="7">
        <v>29</v>
      </c>
      <c r="F232" s="6" t="s">
        <v>3211</v>
      </c>
      <c r="G232" s="6" t="s">
        <v>2908</v>
      </c>
      <c r="H232" s="6" t="s">
        <v>2909</v>
      </c>
      <c r="I232" s="8"/>
      <c r="J232" s="8">
        <v>127619</v>
      </c>
      <c r="K232" s="6" t="s">
        <v>3124</v>
      </c>
      <c r="L232" s="6" t="s">
        <v>1828</v>
      </c>
      <c r="N232" s="6" t="s">
        <v>1828</v>
      </c>
      <c r="O232" s="29">
        <v>133999.95</v>
      </c>
    </row>
    <row r="233" s="1" customFormat="1" ht="16.35" hidden="1" customHeight="1" spans="1:15">
      <c r="A233" s="5"/>
      <c r="B233" s="6" t="s">
        <v>2906</v>
      </c>
      <c r="C233" s="6">
        <v>2017</v>
      </c>
      <c r="D233" s="6">
        <v>4</v>
      </c>
      <c r="E233" s="7">
        <v>30</v>
      </c>
      <c r="F233" s="6" t="s">
        <v>3193</v>
      </c>
      <c r="G233" s="6" t="s">
        <v>2908</v>
      </c>
      <c r="H233" s="6" t="s">
        <v>2909</v>
      </c>
      <c r="I233" s="8"/>
      <c r="J233" s="8">
        <v>128571</v>
      </c>
      <c r="K233" s="6" t="s">
        <v>3150</v>
      </c>
      <c r="L233" s="6" t="s">
        <v>1822</v>
      </c>
      <c r="N233" s="6" t="s">
        <v>1822</v>
      </c>
      <c r="O233" s="29">
        <v>134999.55</v>
      </c>
    </row>
    <row r="234" s="1" customFormat="1" ht="16.35" hidden="1" customHeight="1" spans="1:15">
      <c r="A234" s="5"/>
      <c r="B234" s="6" t="s">
        <v>2906</v>
      </c>
      <c r="C234" s="6">
        <v>2017</v>
      </c>
      <c r="D234" s="6">
        <v>4</v>
      </c>
      <c r="E234" s="7">
        <v>31</v>
      </c>
      <c r="F234" s="6" t="s">
        <v>3212</v>
      </c>
      <c r="G234" s="6" t="s">
        <v>2908</v>
      </c>
      <c r="H234" s="6" t="s">
        <v>2909</v>
      </c>
      <c r="I234" s="8"/>
      <c r="J234" s="8">
        <v>128571</v>
      </c>
      <c r="K234" s="6" t="s">
        <v>3128</v>
      </c>
      <c r="L234" s="6" t="s">
        <v>1826</v>
      </c>
      <c r="N234" s="6" t="s">
        <v>1826</v>
      </c>
      <c r="O234" s="29">
        <v>134999.55</v>
      </c>
    </row>
    <row r="235" s="1" customFormat="1" ht="16.35" hidden="1" customHeight="1" spans="1:15">
      <c r="A235" s="5"/>
      <c r="B235" s="6" t="s">
        <v>2906</v>
      </c>
      <c r="C235" s="6">
        <v>2017</v>
      </c>
      <c r="D235" s="6">
        <v>4</v>
      </c>
      <c r="E235" s="7">
        <v>32</v>
      </c>
      <c r="F235" s="6" t="s">
        <v>3213</v>
      </c>
      <c r="G235" s="6" t="s">
        <v>2908</v>
      </c>
      <c r="H235" s="6" t="s">
        <v>2909</v>
      </c>
      <c r="I235" s="8"/>
      <c r="J235" s="8">
        <v>104762</v>
      </c>
      <c r="K235" s="6" t="s">
        <v>3114</v>
      </c>
      <c r="L235" s="6" t="s">
        <v>1300</v>
      </c>
      <c r="N235" s="6" t="s">
        <v>1300</v>
      </c>
      <c r="O235" s="29">
        <v>110000.1</v>
      </c>
    </row>
    <row r="236" s="1" customFormat="1" ht="16.35" hidden="1" customHeight="1" spans="1:15">
      <c r="A236" s="5"/>
      <c r="B236" s="6" t="s">
        <v>2906</v>
      </c>
      <c r="C236" s="6">
        <v>2017</v>
      </c>
      <c r="D236" s="6">
        <v>4</v>
      </c>
      <c r="E236" s="7">
        <v>33</v>
      </c>
      <c r="F236" s="6" t="s">
        <v>3214</v>
      </c>
      <c r="G236" s="6" t="s">
        <v>2908</v>
      </c>
      <c r="H236" s="6" t="s">
        <v>2909</v>
      </c>
      <c r="I236" s="8"/>
      <c r="J236" s="8">
        <v>147619</v>
      </c>
      <c r="K236" s="6" t="s">
        <v>3108</v>
      </c>
      <c r="L236" s="6" t="s">
        <v>1635</v>
      </c>
      <c r="N236" s="6" t="s">
        <v>1635</v>
      </c>
      <c r="O236" s="29">
        <v>154999.95</v>
      </c>
    </row>
    <row r="237" s="1" customFormat="1" ht="16.35" hidden="1" customHeight="1" spans="1:16">
      <c r="A237" s="5"/>
      <c r="B237" s="6" t="s">
        <v>2906</v>
      </c>
      <c r="C237" s="6">
        <v>2017</v>
      </c>
      <c r="D237" s="6">
        <v>4</v>
      </c>
      <c r="E237" s="7">
        <v>34</v>
      </c>
      <c r="F237" s="6" t="s">
        <v>3215</v>
      </c>
      <c r="G237" s="6" t="s">
        <v>2908</v>
      </c>
      <c r="H237" s="6" t="s">
        <v>2909</v>
      </c>
      <c r="I237" s="8"/>
      <c r="J237" s="8">
        <v>24532</v>
      </c>
      <c r="K237" s="6" t="s">
        <v>3216</v>
      </c>
      <c r="L237" s="6" t="s">
        <v>1288</v>
      </c>
      <c r="N237" s="6" t="s">
        <v>1288</v>
      </c>
      <c r="O237" s="29">
        <v>25758.6</v>
      </c>
      <c r="P237" s="1">
        <f>O237-J237</f>
        <v>1226.6</v>
      </c>
    </row>
    <row r="238" s="1" customFormat="1" ht="16.35" hidden="1" customHeight="1" spans="1:15">
      <c r="A238" s="5"/>
      <c r="B238" s="6" t="s">
        <v>2906</v>
      </c>
      <c r="C238" s="6">
        <v>2017</v>
      </c>
      <c r="D238" s="6">
        <v>4</v>
      </c>
      <c r="E238" s="7">
        <v>35</v>
      </c>
      <c r="F238" s="6" t="s">
        <v>3217</v>
      </c>
      <c r="G238" s="6" t="s">
        <v>2908</v>
      </c>
      <c r="H238" s="6" t="s">
        <v>2909</v>
      </c>
      <c r="I238" s="8"/>
      <c r="J238" s="8">
        <v>147619</v>
      </c>
      <c r="K238" s="6" t="s">
        <v>3121</v>
      </c>
      <c r="L238" s="6" t="s">
        <v>1611</v>
      </c>
      <c r="N238" s="6" t="s">
        <v>1611</v>
      </c>
      <c r="O238" s="29">
        <v>154999.95</v>
      </c>
    </row>
    <row r="239" s="1" customFormat="1" ht="16.35" hidden="1" customHeight="1" spans="1:15">
      <c r="A239" s="5"/>
      <c r="B239" s="6" t="s">
        <v>2906</v>
      </c>
      <c r="C239" s="6">
        <v>2017</v>
      </c>
      <c r="D239" s="6">
        <v>4</v>
      </c>
      <c r="E239" s="7">
        <v>36</v>
      </c>
      <c r="F239" s="6" t="s">
        <v>3218</v>
      </c>
      <c r="G239" s="6" t="s">
        <v>2908</v>
      </c>
      <c r="H239" s="6" t="s">
        <v>2909</v>
      </c>
      <c r="I239" s="8"/>
      <c r="J239" s="8">
        <v>90476</v>
      </c>
      <c r="K239" s="6" t="s">
        <v>3119</v>
      </c>
      <c r="L239" s="6" t="s">
        <v>1830</v>
      </c>
      <c r="N239" s="6" t="s">
        <v>1830</v>
      </c>
      <c r="O239" s="29">
        <v>94999.8</v>
      </c>
    </row>
    <row r="240" s="1" customFormat="1" ht="16.35" hidden="1" customHeight="1" spans="1:15">
      <c r="A240" s="5"/>
      <c r="B240" s="6" t="s">
        <v>2906</v>
      </c>
      <c r="C240" s="6">
        <v>2017</v>
      </c>
      <c r="D240" s="6">
        <v>4</v>
      </c>
      <c r="E240" s="7">
        <v>37</v>
      </c>
      <c r="F240" s="6" t="s">
        <v>3093</v>
      </c>
      <c r="G240" s="6" t="s">
        <v>2908</v>
      </c>
      <c r="H240" s="6" t="s">
        <v>2909</v>
      </c>
      <c r="I240" s="8"/>
      <c r="J240" s="8">
        <v>138095</v>
      </c>
      <c r="K240" s="6" t="s">
        <v>3094</v>
      </c>
      <c r="L240" s="6" t="s">
        <v>1310</v>
      </c>
      <c r="N240" s="6" t="s">
        <v>1310</v>
      </c>
      <c r="O240" s="29">
        <v>144999.75</v>
      </c>
    </row>
    <row r="241" s="1" customFormat="1" ht="16.35" hidden="1" customHeight="1" spans="1:15">
      <c r="A241" s="5"/>
      <c r="B241" s="6" t="s">
        <v>2906</v>
      </c>
      <c r="C241" s="6">
        <v>2017</v>
      </c>
      <c r="D241" s="6">
        <v>4</v>
      </c>
      <c r="E241" s="7">
        <v>38</v>
      </c>
      <c r="F241" s="6" t="s">
        <v>3219</v>
      </c>
      <c r="G241" s="6" t="s">
        <v>2908</v>
      </c>
      <c r="H241" s="6" t="s">
        <v>2909</v>
      </c>
      <c r="I241" s="8"/>
      <c r="J241" s="8">
        <v>127619</v>
      </c>
      <c r="K241" s="6" t="s">
        <v>3136</v>
      </c>
      <c r="L241" s="6" t="s">
        <v>1780</v>
      </c>
      <c r="N241" s="6" t="s">
        <v>1780</v>
      </c>
      <c r="O241" s="29">
        <v>133999.95</v>
      </c>
    </row>
    <row r="242" s="1" customFormat="1" ht="16.35" hidden="1" customHeight="1" spans="1:15">
      <c r="A242" s="5"/>
      <c r="B242" s="6" t="s">
        <v>2906</v>
      </c>
      <c r="C242" s="6">
        <v>2017</v>
      </c>
      <c r="D242" s="6">
        <v>4</v>
      </c>
      <c r="E242" s="7">
        <v>39</v>
      </c>
      <c r="F242" s="6" t="s">
        <v>3220</v>
      </c>
      <c r="G242" s="6" t="s">
        <v>2908</v>
      </c>
      <c r="H242" s="6" t="s">
        <v>2909</v>
      </c>
      <c r="I242" s="8"/>
      <c r="J242" s="8">
        <v>118095</v>
      </c>
      <c r="K242" s="6" t="s">
        <v>3133</v>
      </c>
      <c r="L242" s="6" t="s">
        <v>1314</v>
      </c>
      <c r="N242" s="6" t="s">
        <v>1314</v>
      </c>
      <c r="O242" s="29">
        <v>123999.75</v>
      </c>
    </row>
    <row r="243" s="1" customFormat="1" ht="16.35" hidden="1" customHeight="1" spans="1:15">
      <c r="A243" s="5"/>
      <c r="B243" s="6" t="s">
        <v>2906</v>
      </c>
      <c r="C243" s="6">
        <v>2017</v>
      </c>
      <c r="D243" s="6">
        <v>4</v>
      </c>
      <c r="E243" s="7">
        <v>40</v>
      </c>
      <c r="F243" s="6" t="s">
        <v>3221</v>
      </c>
      <c r="G243" s="6" t="s">
        <v>2908</v>
      </c>
      <c r="H243" s="6" t="s">
        <v>2909</v>
      </c>
      <c r="I243" s="8"/>
      <c r="J243" s="8">
        <v>25525</v>
      </c>
      <c r="K243" s="6" t="s">
        <v>3110</v>
      </c>
      <c r="L243" s="6" t="s">
        <v>1559</v>
      </c>
      <c r="N243" s="6" t="s">
        <v>1559</v>
      </c>
      <c r="O243" s="29">
        <v>26801.25</v>
      </c>
    </row>
    <row r="244" s="1" customFormat="1" ht="16.35" hidden="1" customHeight="1" spans="1:15">
      <c r="A244" s="5"/>
      <c r="B244" s="6" t="s">
        <v>2906</v>
      </c>
      <c r="C244" s="6">
        <v>2017</v>
      </c>
      <c r="D244" s="6">
        <v>4</v>
      </c>
      <c r="E244" s="7">
        <v>41</v>
      </c>
      <c r="F244" s="6" t="s">
        <v>3176</v>
      </c>
      <c r="G244" s="6" t="s">
        <v>2908</v>
      </c>
      <c r="H244" s="6" t="s">
        <v>2909</v>
      </c>
      <c r="I244" s="8"/>
      <c r="J244" s="8">
        <v>26381</v>
      </c>
      <c r="K244" s="6" t="s">
        <v>3177</v>
      </c>
      <c r="L244" s="6" t="s">
        <v>1615</v>
      </c>
      <c r="N244" s="6" t="s">
        <v>1615</v>
      </c>
      <c r="O244" s="29">
        <v>27700.05</v>
      </c>
    </row>
    <row r="245" s="1" customFormat="1" ht="16.35" hidden="1" customHeight="1" spans="1:15">
      <c r="A245" s="5"/>
      <c r="B245" s="6" t="s">
        <v>2906</v>
      </c>
      <c r="C245" s="6">
        <v>2017</v>
      </c>
      <c r="D245" s="6">
        <v>4</v>
      </c>
      <c r="E245" s="7">
        <v>42</v>
      </c>
      <c r="F245" s="6" t="s">
        <v>3222</v>
      </c>
      <c r="G245" s="6" t="s">
        <v>2908</v>
      </c>
      <c r="H245" s="6" t="s">
        <v>2909</v>
      </c>
      <c r="I245" s="8"/>
      <c r="J245" s="8">
        <v>127619</v>
      </c>
      <c r="K245" s="6" t="s">
        <v>3073</v>
      </c>
      <c r="L245" s="6" t="s">
        <v>3074</v>
      </c>
      <c r="N245" s="6" t="s">
        <v>3074</v>
      </c>
      <c r="O245" s="29">
        <v>133999.95</v>
      </c>
    </row>
    <row r="246" s="1" customFormat="1" ht="16.35" hidden="1" customHeight="1" spans="1:15">
      <c r="A246" s="5"/>
      <c r="B246" s="6" t="s">
        <v>2906</v>
      </c>
      <c r="C246" s="6">
        <v>2017</v>
      </c>
      <c r="D246" s="6">
        <v>4</v>
      </c>
      <c r="E246" s="7">
        <v>43</v>
      </c>
      <c r="F246" s="6" t="s">
        <v>3223</v>
      </c>
      <c r="G246" s="6" t="s">
        <v>2908</v>
      </c>
      <c r="H246" s="6" t="s">
        <v>2909</v>
      </c>
      <c r="I246" s="8"/>
      <c r="J246" s="8">
        <v>127619</v>
      </c>
      <c r="K246" s="6" t="s">
        <v>3067</v>
      </c>
      <c r="L246" s="6" t="s">
        <v>3068</v>
      </c>
      <c r="N246" s="6" t="s">
        <v>3068</v>
      </c>
      <c r="O246" s="29">
        <v>133999.95</v>
      </c>
    </row>
    <row r="247" s="1" customFormat="1" ht="16.35" hidden="1" customHeight="1" spans="1:15">
      <c r="A247" s="5"/>
      <c r="B247" s="6" t="s">
        <v>2906</v>
      </c>
      <c r="C247" s="6">
        <v>2017</v>
      </c>
      <c r="D247" s="6">
        <v>4</v>
      </c>
      <c r="E247" s="7">
        <v>49</v>
      </c>
      <c r="F247" s="6" t="s">
        <v>3224</v>
      </c>
      <c r="G247" s="6" t="s">
        <v>2908</v>
      </c>
      <c r="H247" s="6" t="s">
        <v>2909</v>
      </c>
      <c r="I247" s="8"/>
      <c r="J247" s="8">
        <v>9524</v>
      </c>
      <c r="K247" s="6" t="s">
        <v>3225</v>
      </c>
      <c r="L247" s="6" t="s">
        <v>1571</v>
      </c>
      <c r="N247" s="6" t="s">
        <v>1571</v>
      </c>
      <c r="O247" s="29">
        <v>10000.2</v>
      </c>
    </row>
    <row r="248" s="1" customFormat="1" ht="16.35" hidden="1" customHeight="1" spans="1:15">
      <c r="A248" s="5"/>
      <c r="B248" s="6" t="s">
        <v>2906</v>
      </c>
      <c r="C248" s="6">
        <v>2017</v>
      </c>
      <c r="D248" s="6">
        <v>4</v>
      </c>
      <c r="E248" s="7">
        <v>50</v>
      </c>
      <c r="F248" s="6" t="s">
        <v>3226</v>
      </c>
      <c r="G248" s="6" t="s">
        <v>2908</v>
      </c>
      <c r="H248" s="6" t="s">
        <v>2909</v>
      </c>
      <c r="I248" s="8"/>
      <c r="J248" s="8">
        <v>9524</v>
      </c>
      <c r="K248" s="6" t="s">
        <v>3227</v>
      </c>
      <c r="L248" s="6" t="s">
        <v>1569</v>
      </c>
      <c r="N248" s="6" t="s">
        <v>1569</v>
      </c>
      <c r="O248" s="29">
        <v>10000.2</v>
      </c>
    </row>
    <row r="249" s="1" customFormat="1" ht="16.35" hidden="1" customHeight="1" spans="1:15">
      <c r="A249" s="5"/>
      <c r="B249" s="6" t="s">
        <v>2906</v>
      </c>
      <c r="C249" s="6">
        <v>2017</v>
      </c>
      <c r="D249" s="6">
        <v>4</v>
      </c>
      <c r="E249" s="7">
        <v>51</v>
      </c>
      <c r="F249" s="6" t="s">
        <v>3228</v>
      </c>
      <c r="G249" s="6" t="s">
        <v>2908</v>
      </c>
      <c r="H249" s="6" t="s">
        <v>2909</v>
      </c>
      <c r="I249" s="8"/>
      <c r="J249" s="8">
        <v>19048</v>
      </c>
      <c r="K249" s="6" t="s">
        <v>3177</v>
      </c>
      <c r="L249" s="6" t="s">
        <v>1615</v>
      </c>
      <c r="N249" s="6" t="s">
        <v>1615</v>
      </c>
      <c r="O249" s="29">
        <v>20000.4</v>
      </c>
    </row>
    <row r="250" s="1" customFormat="1" ht="16.35" hidden="1" customHeight="1" spans="1:15">
      <c r="A250" s="5"/>
      <c r="B250" s="6" t="s">
        <v>2906</v>
      </c>
      <c r="C250" s="6">
        <v>2017</v>
      </c>
      <c r="D250" s="6">
        <v>4</v>
      </c>
      <c r="E250" s="7">
        <v>52</v>
      </c>
      <c r="F250" s="6" t="s">
        <v>3229</v>
      </c>
      <c r="G250" s="6" t="s">
        <v>2908</v>
      </c>
      <c r="H250" s="6" t="s">
        <v>2909</v>
      </c>
      <c r="I250" s="8"/>
      <c r="J250" s="8">
        <v>4762</v>
      </c>
      <c r="K250" s="6" t="s">
        <v>3230</v>
      </c>
      <c r="L250" s="6" t="s">
        <v>1527</v>
      </c>
      <c r="N250" s="6" t="s">
        <v>1527</v>
      </c>
      <c r="O250" s="29">
        <v>5000.1</v>
      </c>
    </row>
    <row r="251" s="1" customFormat="1" ht="16.35" hidden="1" customHeight="1" spans="1:16">
      <c r="A251" s="5"/>
      <c r="B251" s="6" t="s">
        <v>2906</v>
      </c>
      <c r="C251" s="6">
        <v>2017</v>
      </c>
      <c r="D251" s="6">
        <v>4</v>
      </c>
      <c r="E251" s="7">
        <v>53</v>
      </c>
      <c r="F251" s="6" t="s">
        <v>3215</v>
      </c>
      <c r="G251" s="6" t="s">
        <v>2908</v>
      </c>
      <c r="H251" s="6" t="s">
        <v>2909</v>
      </c>
      <c r="I251" s="8"/>
      <c r="J251" s="8">
        <v>413</v>
      </c>
      <c r="K251" s="6" t="s">
        <v>3216</v>
      </c>
      <c r="L251" s="6" t="s">
        <v>1288</v>
      </c>
      <c r="N251" s="6" t="s">
        <v>1288</v>
      </c>
      <c r="O251" s="29">
        <v>433.65</v>
      </c>
      <c r="P251" s="1">
        <f>O251-J251</f>
        <v>20.65</v>
      </c>
    </row>
    <row r="252" s="1" customFormat="1" ht="16.35" hidden="1" customHeight="1" spans="1:16">
      <c r="A252" s="5"/>
      <c r="B252" s="6" t="s">
        <v>2906</v>
      </c>
      <c r="C252" s="6">
        <v>2017</v>
      </c>
      <c r="D252" s="6">
        <v>4</v>
      </c>
      <c r="E252" s="7">
        <v>53</v>
      </c>
      <c r="F252" s="6" t="s">
        <v>3215</v>
      </c>
      <c r="G252" s="6" t="s">
        <v>2908</v>
      </c>
      <c r="H252" s="6" t="s">
        <v>2909</v>
      </c>
      <c r="I252" s="8"/>
      <c r="J252" s="8">
        <v>28158</v>
      </c>
      <c r="K252" s="6" t="s">
        <v>3216</v>
      </c>
      <c r="L252" s="6" t="s">
        <v>1288</v>
      </c>
      <c r="N252" s="6" t="s">
        <v>1288</v>
      </c>
      <c r="O252" s="29">
        <v>29565.9</v>
      </c>
      <c r="P252" s="1">
        <f>O252-J252</f>
        <v>1407.9</v>
      </c>
    </row>
    <row r="253" s="1" customFormat="1" ht="16.35" hidden="1" customHeight="1" spans="1:15">
      <c r="A253" s="5"/>
      <c r="B253" s="6" t="s">
        <v>2906</v>
      </c>
      <c r="C253" s="6">
        <v>2017</v>
      </c>
      <c r="D253" s="6">
        <v>4</v>
      </c>
      <c r="E253" s="7">
        <v>53</v>
      </c>
      <c r="F253" s="6" t="s">
        <v>3231</v>
      </c>
      <c r="G253" s="6" t="s">
        <v>2908</v>
      </c>
      <c r="H253" s="6" t="s">
        <v>2909</v>
      </c>
      <c r="I253" s="8"/>
      <c r="J253" s="8">
        <v>-28158</v>
      </c>
      <c r="K253" s="6" t="s">
        <v>3172</v>
      </c>
      <c r="L253" s="6" t="s">
        <v>1579</v>
      </c>
      <c r="N253" s="6" t="s">
        <v>1579</v>
      </c>
      <c r="O253" s="29">
        <v>-29565.9</v>
      </c>
    </row>
    <row r="254" s="1" customFormat="1" ht="16.35" hidden="1" customHeight="1" spans="1:15">
      <c r="A254" s="5"/>
      <c r="B254" s="6" t="s">
        <v>2906</v>
      </c>
      <c r="C254" s="6">
        <v>2017</v>
      </c>
      <c r="D254" s="6">
        <v>4</v>
      </c>
      <c r="E254" s="7">
        <v>53</v>
      </c>
      <c r="F254" s="6" t="s">
        <v>3231</v>
      </c>
      <c r="G254" s="6" t="s">
        <v>2908</v>
      </c>
      <c r="H254" s="6" t="s">
        <v>2909</v>
      </c>
      <c r="I254" s="8"/>
      <c r="J254" s="8">
        <v>18634</v>
      </c>
      <c r="K254" s="6" t="s">
        <v>3172</v>
      </c>
      <c r="L254" s="6" t="s">
        <v>1579</v>
      </c>
      <c r="N254" s="6" t="s">
        <v>1579</v>
      </c>
      <c r="O254" s="29">
        <v>19565.7</v>
      </c>
    </row>
    <row r="255" s="1" customFormat="1" ht="16.35" hidden="1" customHeight="1" spans="1:15">
      <c r="A255" s="5"/>
      <c r="B255" s="6" t="s">
        <v>2906</v>
      </c>
      <c r="C255" s="6">
        <v>2017</v>
      </c>
      <c r="D255" s="6">
        <v>4</v>
      </c>
      <c r="E255" s="7">
        <v>54</v>
      </c>
      <c r="F255" s="6" t="s">
        <v>3232</v>
      </c>
      <c r="G255" s="6" t="s">
        <v>2908</v>
      </c>
      <c r="H255" s="6" t="s">
        <v>2909</v>
      </c>
      <c r="I255" s="8"/>
      <c r="J255" s="8">
        <v>21441</v>
      </c>
      <c r="K255" s="6" t="s">
        <v>3031</v>
      </c>
      <c r="L255" s="6" t="s">
        <v>1573</v>
      </c>
      <c r="N255" s="6" t="s">
        <v>1573</v>
      </c>
      <c r="O255" s="29">
        <v>22513.05</v>
      </c>
    </row>
    <row r="256" s="1" customFormat="1" ht="16.35" hidden="1" customHeight="1" spans="1:15">
      <c r="A256" s="5"/>
      <c r="B256" s="6" t="s">
        <v>2906</v>
      </c>
      <c r="C256" s="6">
        <v>2017</v>
      </c>
      <c r="D256" s="6">
        <v>4</v>
      </c>
      <c r="E256" s="7">
        <v>55</v>
      </c>
      <c r="F256" s="6" t="s">
        <v>3233</v>
      </c>
      <c r="G256" s="6" t="s">
        <v>2908</v>
      </c>
      <c r="H256" s="6" t="s">
        <v>2909</v>
      </c>
      <c r="I256" s="8"/>
      <c r="J256" s="8">
        <v>25613</v>
      </c>
      <c r="K256" s="6" t="s">
        <v>3234</v>
      </c>
      <c r="L256" s="6" t="s">
        <v>1880</v>
      </c>
      <c r="N256" s="6" t="s">
        <v>1880</v>
      </c>
      <c r="O256" s="29">
        <v>26893.65</v>
      </c>
    </row>
    <row r="257" s="1" customFormat="1" ht="16.35" hidden="1" customHeight="1" spans="1:15">
      <c r="A257" s="5"/>
      <c r="B257" s="6" t="s">
        <v>2906</v>
      </c>
      <c r="C257" s="6">
        <v>2017</v>
      </c>
      <c r="D257" s="6">
        <v>4</v>
      </c>
      <c r="E257" s="7">
        <v>56</v>
      </c>
      <c r="F257" s="6" t="s">
        <v>3235</v>
      </c>
      <c r="G257" s="6" t="s">
        <v>2908</v>
      </c>
      <c r="H257" s="6" t="s">
        <v>2909</v>
      </c>
      <c r="I257" s="8"/>
      <c r="J257" s="8">
        <v>32731</v>
      </c>
      <c r="K257" s="6" t="s">
        <v>3156</v>
      </c>
      <c r="L257" s="6" t="s">
        <v>1555</v>
      </c>
      <c r="N257" s="6" t="s">
        <v>1555</v>
      </c>
      <c r="O257" s="29">
        <v>34367.55</v>
      </c>
    </row>
    <row r="258" s="1" customFormat="1" ht="16.35" hidden="1" customHeight="1" spans="1:15">
      <c r="A258" s="5"/>
      <c r="B258" s="6" t="s">
        <v>2906</v>
      </c>
      <c r="C258" s="6">
        <v>2017</v>
      </c>
      <c r="D258" s="6">
        <v>4</v>
      </c>
      <c r="E258" s="7">
        <v>57</v>
      </c>
      <c r="F258" s="6" t="s">
        <v>3236</v>
      </c>
      <c r="G258" s="6" t="s">
        <v>2908</v>
      </c>
      <c r="H258" s="6" t="s">
        <v>2909</v>
      </c>
      <c r="I258" s="8"/>
      <c r="J258" s="8">
        <v>31451</v>
      </c>
      <c r="K258" s="6" t="s">
        <v>3197</v>
      </c>
      <c r="L258" s="6" t="s">
        <v>1537</v>
      </c>
      <c r="N258" s="6" t="s">
        <v>1537</v>
      </c>
      <c r="O258" s="29">
        <v>33023.55</v>
      </c>
    </row>
    <row r="259" s="1" customFormat="1" ht="16.35" hidden="1" customHeight="1" spans="1:15">
      <c r="A259" s="5"/>
      <c r="B259" s="6" t="s">
        <v>2906</v>
      </c>
      <c r="C259" s="6">
        <v>2017</v>
      </c>
      <c r="D259" s="6">
        <v>4</v>
      </c>
      <c r="E259" s="7">
        <v>58</v>
      </c>
      <c r="F259" s="6" t="s">
        <v>3237</v>
      </c>
      <c r="G259" s="6" t="s">
        <v>2908</v>
      </c>
      <c r="H259" s="6" t="s">
        <v>2909</v>
      </c>
      <c r="I259" s="8"/>
      <c r="J259" s="8">
        <v>23810</v>
      </c>
      <c r="K259" s="6" t="s">
        <v>3172</v>
      </c>
      <c r="L259" s="6" t="s">
        <v>1579</v>
      </c>
      <c r="N259" s="6" t="s">
        <v>1579</v>
      </c>
      <c r="O259" s="29">
        <v>25000.5</v>
      </c>
    </row>
    <row r="260" s="1" customFormat="1" ht="16.35" hidden="1" customHeight="1" spans="1:16">
      <c r="A260" s="5"/>
      <c r="B260" s="6" t="s">
        <v>2906</v>
      </c>
      <c r="C260" s="6">
        <v>2017</v>
      </c>
      <c r="D260" s="6">
        <v>4</v>
      </c>
      <c r="E260" s="7">
        <v>60</v>
      </c>
      <c r="F260" s="6" t="s">
        <v>3238</v>
      </c>
      <c r="G260" s="6" t="s">
        <v>2908</v>
      </c>
      <c r="H260" s="6" t="s">
        <v>2909</v>
      </c>
      <c r="I260" s="8"/>
      <c r="J260" s="8">
        <v>16190</v>
      </c>
      <c r="K260" s="6" t="s">
        <v>3239</v>
      </c>
      <c r="L260" s="6" t="s">
        <v>1397</v>
      </c>
      <c r="N260" s="6" t="s">
        <v>1397</v>
      </c>
      <c r="O260" s="29">
        <v>16999.5</v>
      </c>
      <c r="P260" s="1">
        <f>O260-J260</f>
        <v>809.5</v>
      </c>
    </row>
    <row r="261" s="1" customFormat="1" ht="16.35" hidden="1" customHeight="1" spans="1:15">
      <c r="A261" s="5"/>
      <c r="B261" s="6" t="s">
        <v>2906</v>
      </c>
      <c r="C261" s="6">
        <v>2017</v>
      </c>
      <c r="D261" s="6">
        <v>4</v>
      </c>
      <c r="E261" s="7">
        <v>64</v>
      </c>
      <c r="F261" s="6" t="s">
        <v>1774</v>
      </c>
      <c r="G261" s="6" t="s">
        <v>2908</v>
      </c>
      <c r="H261" s="6" t="s">
        <v>2909</v>
      </c>
      <c r="I261" s="8"/>
      <c r="J261" s="8">
        <v>171287</v>
      </c>
      <c r="K261" s="6" t="s">
        <v>3240</v>
      </c>
      <c r="L261" s="6" t="s">
        <v>1774</v>
      </c>
      <c r="N261" s="6" t="s">
        <v>1774</v>
      </c>
      <c r="O261" s="29">
        <v>179851.35</v>
      </c>
    </row>
    <row r="262" s="30" customFormat="1" ht="16.35" hidden="1" customHeight="1" spans="1:16">
      <c r="A262" s="41"/>
      <c r="B262" s="42" t="s">
        <v>2906</v>
      </c>
      <c r="C262" s="42">
        <v>2017</v>
      </c>
      <c r="D262" s="42">
        <v>4</v>
      </c>
      <c r="E262" s="43">
        <v>65</v>
      </c>
      <c r="F262" s="42" t="s">
        <v>3241</v>
      </c>
      <c r="G262" s="42" t="s">
        <v>2908</v>
      </c>
      <c r="H262" s="42" t="s">
        <v>2909</v>
      </c>
      <c r="I262" s="44"/>
      <c r="J262" s="44">
        <v>136</v>
      </c>
      <c r="K262" s="42" t="s">
        <v>3242</v>
      </c>
      <c r="L262" s="42" t="s">
        <v>1655</v>
      </c>
      <c r="N262" s="42" t="s">
        <v>1655</v>
      </c>
      <c r="O262" s="31">
        <v>142.8</v>
      </c>
      <c r="P262" s="30">
        <f>O262-J262</f>
        <v>6.80000000000001</v>
      </c>
    </row>
    <row r="263" s="1" customFormat="1" ht="16.35" hidden="1" customHeight="1" spans="1:15">
      <c r="A263" s="5"/>
      <c r="B263" s="6" t="s">
        <v>2906</v>
      </c>
      <c r="C263" s="6">
        <v>2017</v>
      </c>
      <c r="D263" s="6">
        <v>4</v>
      </c>
      <c r="E263" s="7">
        <v>65</v>
      </c>
      <c r="F263" s="6" t="s">
        <v>3241</v>
      </c>
      <c r="G263" s="6" t="s">
        <v>2908</v>
      </c>
      <c r="H263" s="6" t="s">
        <v>2909</v>
      </c>
      <c r="I263" s="8"/>
      <c r="J263" s="8">
        <v>280613</v>
      </c>
      <c r="K263" s="6" t="s">
        <v>3243</v>
      </c>
      <c r="L263" s="6" t="s">
        <v>1657</v>
      </c>
      <c r="N263" s="6" t="s">
        <v>1657</v>
      </c>
      <c r="O263" s="29">
        <v>294643.65</v>
      </c>
    </row>
    <row r="264" s="1" customFormat="1" ht="16.35" hidden="1" customHeight="1" spans="1:15">
      <c r="A264" s="5"/>
      <c r="B264" s="6" t="s">
        <v>2906</v>
      </c>
      <c r="C264" s="6">
        <v>2017</v>
      </c>
      <c r="D264" s="6">
        <v>4</v>
      </c>
      <c r="E264" s="7">
        <v>65</v>
      </c>
      <c r="F264" s="6" t="s">
        <v>3241</v>
      </c>
      <c r="G264" s="6" t="s">
        <v>2908</v>
      </c>
      <c r="H264" s="6" t="s">
        <v>2909</v>
      </c>
      <c r="I264" s="8"/>
      <c r="J264" s="8">
        <v>207867</v>
      </c>
      <c r="K264" s="6" t="s">
        <v>3244</v>
      </c>
      <c r="L264" s="6" t="s">
        <v>1659</v>
      </c>
      <c r="N264" s="6" t="s">
        <v>1659</v>
      </c>
      <c r="O264" s="29">
        <v>218260.35</v>
      </c>
    </row>
    <row r="265" s="1" customFormat="1" ht="16.35" hidden="1" customHeight="1" spans="1:15">
      <c r="A265" s="5"/>
      <c r="B265" s="6" t="s">
        <v>2906</v>
      </c>
      <c r="C265" s="6">
        <v>2017</v>
      </c>
      <c r="D265" s="6">
        <v>4</v>
      </c>
      <c r="E265" s="7">
        <v>65</v>
      </c>
      <c r="F265" s="6" t="s">
        <v>3241</v>
      </c>
      <c r="G265" s="6" t="s">
        <v>2908</v>
      </c>
      <c r="H265" s="6" t="s">
        <v>2909</v>
      </c>
      <c r="I265" s="8"/>
      <c r="J265" s="8">
        <v>295033</v>
      </c>
      <c r="K265" s="6" t="s">
        <v>3245</v>
      </c>
      <c r="L265" s="6" t="s">
        <v>1661</v>
      </c>
      <c r="N265" s="6" t="s">
        <v>1661</v>
      </c>
      <c r="O265" s="29">
        <v>309784.65</v>
      </c>
    </row>
    <row r="266" s="1" customFormat="1" ht="16.35" hidden="1" customHeight="1" spans="1:15">
      <c r="A266" s="5"/>
      <c r="B266" s="6" t="s">
        <v>2906</v>
      </c>
      <c r="C266" s="6">
        <v>2017</v>
      </c>
      <c r="D266" s="6">
        <v>4</v>
      </c>
      <c r="E266" s="7">
        <v>65</v>
      </c>
      <c r="F266" s="6" t="s">
        <v>3241</v>
      </c>
      <c r="G266" s="6" t="s">
        <v>2908</v>
      </c>
      <c r="H266" s="6" t="s">
        <v>2909</v>
      </c>
      <c r="I266" s="8"/>
      <c r="J266" s="8">
        <v>207096</v>
      </c>
      <c r="K266" s="6" t="s">
        <v>3246</v>
      </c>
      <c r="L266" s="6" t="s">
        <v>1663</v>
      </c>
      <c r="N266" s="6" t="s">
        <v>1663</v>
      </c>
      <c r="O266" s="29">
        <v>217450.8</v>
      </c>
    </row>
    <row r="267" s="1" customFormat="1" ht="16.35" hidden="1" customHeight="1" spans="1:15">
      <c r="A267" s="5"/>
      <c r="B267" s="6" t="s">
        <v>2906</v>
      </c>
      <c r="C267" s="6">
        <v>2017</v>
      </c>
      <c r="D267" s="6">
        <v>4</v>
      </c>
      <c r="E267" s="7">
        <v>65</v>
      </c>
      <c r="F267" s="6" t="s">
        <v>3241</v>
      </c>
      <c r="G267" s="6" t="s">
        <v>2908</v>
      </c>
      <c r="H267" s="6" t="s">
        <v>2909</v>
      </c>
      <c r="I267" s="8"/>
      <c r="J267" s="8">
        <v>320566</v>
      </c>
      <c r="K267" s="6" t="s">
        <v>3247</v>
      </c>
      <c r="L267" s="6" t="s">
        <v>1666</v>
      </c>
      <c r="N267" s="6" t="s">
        <v>1666</v>
      </c>
      <c r="O267" s="29">
        <v>336594.3</v>
      </c>
    </row>
    <row r="268" s="1" customFormat="1" ht="16.35" hidden="1" customHeight="1" spans="1:15">
      <c r="A268" s="5"/>
      <c r="B268" s="6" t="s">
        <v>2906</v>
      </c>
      <c r="C268" s="6">
        <v>2017</v>
      </c>
      <c r="D268" s="6">
        <v>4</v>
      </c>
      <c r="E268" s="7">
        <v>65</v>
      </c>
      <c r="F268" s="6" t="s">
        <v>3241</v>
      </c>
      <c r="G268" s="6" t="s">
        <v>2908</v>
      </c>
      <c r="H268" s="6" t="s">
        <v>2909</v>
      </c>
      <c r="I268" s="8"/>
      <c r="J268" s="8">
        <v>282310</v>
      </c>
      <c r="K268" s="6" t="s">
        <v>3248</v>
      </c>
      <c r="L268" s="6" t="s">
        <v>1668</v>
      </c>
      <c r="N268" s="6" t="s">
        <v>1668</v>
      </c>
      <c r="O268" s="29">
        <v>296425.5</v>
      </c>
    </row>
    <row r="269" s="1" customFormat="1" ht="16.35" hidden="1" customHeight="1" spans="1:15">
      <c r="A269" s="5"/>
      <c r="B269" s="6" t="s">
        <v>2906</v>
      </c>
      <c r="C269" s="6">
        <v>2017</v>
      </c>
      <c r="D269" s="6">
        <v>4</v>
      </c>
      <c r="E269" s="7">
        <v>65</v>
      </c>
      <c r="F269" s="6" t="s">
        <v>3241</v>
      </c>
      <c r="G269" s="6" t="s">
        <v>2908</v>
      </c>
      <c r="H269" s="6" t="s">
        <v>2909</v>
      </c>
      <c r="I269" s="8"/>
      <c r="J269" s="8">
        <v>280110</v>
      </c>
      <c r="K269" s="6" t="s">
        <v>3249</v>
      </c>
      <c r="L269" s="6" t="s">
        <v>1670</v>
      </c>
      <c r="N269" s="6" t="s">
        <v>1670</v>
      </c>
      <c r="O269" s="29">
        <v>294115.5</v>
      </c>
    </row>
    <row r="270" s="1" customFormat="1" ht="16.35" hidden="1" customHeight="1" spans="1:15">
      <c r="A270" s="5"/>
      <c r="B270" s="6" t="s">
        <v>2906</v>
      </c>
      <c r="C270" s="6">
        <v>2017</v>
      </c>
      <c r="D270" s="6">
        <v>4</v>
      </c>
      <c r="E270" s="7">
        <v>65</v>
      </c>
      <c r="F270" s="6" t="s">
        <v>3241</v>
      </c>
      <c r="G270" s="6" t="s">
        <v>2908</v>
      </c>
      <c r="H270" s="6" t="s">
        <v>2909</v>
      </c>
      <c r="I270" s="8"/>
      <c r="J270" s="8">
        <v>248378</v>
      </c>
      <c r="K270" s="6" t="s">
        <v>3250</v>
      </c>
      <c r="L270" s="6" t="s">
        <v>1672</v>
      </c>
      <c r="N270" s="6" t="s">
        <v>1672</v>
      </c>
      <c r="O270" s="29">
        <v>260796.9</v>
      </c>
    </row>
    <row r="271" s="1" customFormat="1" ht="16.35" hidden="1" customHeight="1" spans="1:15">
      <c r="A271" s="5"/>
      <c r="B271" s="6" t="s">
        <v>2906</v>
      </c>
      <c r="C271" s="6">
        <v>2017</v>
      </c>
      <c r="D271" s="6">
        <v>4</v>
      </c>
      <c r="E271" s="7">
        <v>65</v>
      </c>
      <c r="F271" s="6" t="s">
        <v>3241</v>
      </c>
      <c r="G271" s="6" t="s">
        <v>2908</v>
      </c>
      <c r="H271" s="6" t="s">
        <v>2909</v>
      </c>
      <c r="I271" s="8"/>
      <c r="J271" s="8">
        <v>280613</v>
      </c>
      <c r="K271" s="6" t="s">
        <v>3251</v>
      </c>
      <c r="L271" s="6" t="s">
        <v>1674</v>
      </c>
      <c r="N271" s="6" t="s">
        <v>1674</v>
      </c>
      <c r="O271" s="29">
        <v>294643.65</v>
      </c>
    </row>
    <row r="272" s="1" customFormat="1" ht="16.35" hidden="1" customHeight="1" spans="1:15">
      <c r="A272" s="5"/>
      <c r="B272" s="6" t="s">
        <v>2906</v>
      </c>
      <c r="C272" s="6">
        <v>2017</v>
      </c>
      <c r="D272" s="6">
        <v>4</v>
      </c>
      <c r="E272" s="7">
        <v>65</v>
      </c>
      <c r="F272" s="6" t="s">
        <v>3241</v>
      </c>
      <c r="G272" s="6" t="s">
        <v>2908</v>
      </c>
      <c r="H272" s="6" t="s">
        <v>2909</v>
      </c>
      <c r="I272" s="8"/>
      <c r="J272" s="8">
        <v>177291</v>
      </c>
      <c r="K272" s="6" t="s">
        <v>3252</v>
      </c>
      <c r="L272" s="6" t="s">
        <v>1676</v>
      </c>
      <c r="N272" s="6" t="s">
        <v>1676</v>
      </c>
      <c r="O272" s="29">
        <v>186155.55</v>
      </c>
    </row>
    <row r="273" s="1" customFormat="1" ht="16.35" hidden="1" customHeight="1" spans="1:15">
      <c r="A273" s="5"/>
      <c r="B273" s="6" t="s">
        <v>2906</v>
      </c>
      <c r="C273" s="6">
        <v>2017</v>
      </c>
      <c r="D273" s="6">
        <v>4</v>
      </c>
      <c r="E273" s="7">
        <v>65</v>
      </c>
      <c r="F273" s="6" t="s">
        <v>3241</v>
      </c>
      <c r="G273" s="6" t="s">
        <v>2908</v>
      </c>
      <c r="H273" s="6" t="s">
        <v>2909</v>
      </c>
      <c r="I273" s="8"/>
      <c r="J273" s="8">
        <v>285703</v>
      </c>
      <c r="K273" s="6" t="s">
        <v>3253</v>
      </c>
      <c r="L273" s="6" t="s">
        <v>1678</v>
      </c>
      <c r="N273" s="6" t="s">
        <v>1678</v>
      </c>
      <c r="O273" s="29">
        <v>299988.15</v>
      </c>
    </row>
    <row r="274" s="1" customFormat="1" ht="16.35" hidden="1" customHeight="1" spans="1:15">
      <c r="A274" s="5"/>
      <c r="B274" s="6" t="s">
        <v>2906</v>
      </c>
      <c r="C274" s="6">
        <v>2017</v>
      </c>
      <c r="D274" s="6">
        <v>4</v>
      </c>
      <c r="E274" s="7">
        <v>65</v>
      </c>
      <c r="F274" s="6" t="s">
        <v>3241</v>
      </c>
      <c r="G274" s="6" t="s">
        <v>2908</v>
      </c>
      <c r="H274" s="6" t="s">
        <v>2909</v>
      </c>
      <c r="I274" s="8"/>
      <c r="J274" s="8">
        <v>285703</v>
      </c>
      <c r="K274" s="6" t="s">
        <v>3254</v>
      </c>
      <c r="L274" s="6" t="s">
        <v>1680</v>
      </c>
      <c r="N274" s="6" t="s">
        <v>1680</v>
      </c>
      <c r="O274" s="29">
        <v>299988.15</v>
      </c>
    </row>
    <row r="275" s="1" customFormat="1" ht="16.35" hidden="1" customHeight="1" spans="1:15">
      <c r="A275" s="5"/>
      <c r="B275" s="6" t="s">
        <v>2906</v>
      </c>
      <c r="C275" s="6">
        <v>2017</v>
      </c>
      <c r="D275" s="6">
        <v>4</v>
      </c>
      <c r="E275" s="7">
        <v>65</v>
      </c>
      <c r="F275" s="6" t="s">
        <v>3241</v>
      </c>
      <c r="G275" s="6" t="s">
        <v>2908</v>
      </c>
      <c r="H275" s="6" t="s">
        <v>2909</v>
      </c>
      <c r="I275" s="8"/>
      <c r="J275" s="8">
        <v>190865</v>
      </c>
      <c r="K275" s="6" t="s">
        <v>3255</v>
      </c>
      <c r="L275" s="6" t="s">
        <v>1682</v>
      </c>
      <c r="N275" s="6" t="s">
        <v>1682</v>
      </c>
      <c r="O275" s="29">
        <v>200408.25</v>
      </c>
    </row>
    <row r="276" s="1" customFormat="1" ht="16.35" hidden="1" customHeight="1" spans="1:15">
      <c r="A276" s="5"/>
      <c r="B276" s="6" t="s">
        <v>2906</v>
      </c>
      <c r="C276" s="6">
        <v>2017</v>
      </c>
      <c r="D276" s="6">
        <v>4</v>
      </c>
      <c r="E276" s="7">
        <v>65</v>
      </c>
      <c r="F276" s="6" t="s">
        <v>3241</v>
      </c>
      <c r="G276" s="6" t="s">
        <v>2908</v>
      </c>
      <c r="H276" s="6" t="s">
        <v>2909</v>
      </c>
      <c r="I276" s="8"/>
      <c r="J276" s="8">
        <v>295882</v>
      </c>
      <c r="K276" s="6" t="s">
        <v>3256</v>
      </c>
      <c r="L276" s="6" t="s">
        <v>1684</v>
      </c>
      <c r="N276" s="6" t="s">
        <v>1684</v>
      </c>
      <c r="O276" s="29">
        <v>310676.1</v>
      </c>
    </row>
    <row r="277" s="1" customFormat="1" ht="16.35" hidden="1" customHeight="1" spans="1:15">
      <c r="A277" s="5"/>
      <c r="B277" s="6" t="s">
        <v>2906</v>
      </c>
      <c r="C277" s="6">
        <v>2017</v>
      </c>
      <c r="D277" s="6">
        <v>4</v>
      </c>
      <c r="E277" s="7">
        <v>65</v>
      </c>
      <c r="F277" s="6" t="s">
        <v>3241</v>
      </c>
      <c r="G277" s="6" t="s">
        <v>2908</v>
      </c>
      <c r="H277" s="6" t="s">
        <v>2909</v>
      </c>
      <c r="I277" s="8"/>
      <c r="J277" s="8">
        <v>282310</v>
      </c>
      <c r="K277" s="6" t="s">
        <v>3257</v>
      </c>
      <c r="L277" s="6" t="s">
        <v>1688</v>
      </c>
      <c r="N277" s="6" t="s">
        <v>1688</v>
      </c>
      <c r="O277" s="29">
        <v>296425.5</v>
      </c>
    </row>
    <row r="278" s="1" customFormat="1" ht="16.35" hidden="1" customHeight="1" spans="1:15">
      <c r="A278" s="5"/>
      <c r="B278" s="6" t="s">
        <v>2906</v>
      </c>
      <c r="C278" s="6">
        <v>2017</v>
      </c>
      <c r="D278" s="6">
        <v>4</v>
      </c>
      <c r="E278" s="7">
        <v>65</v>
      </c>
      <c r="F278" s="6" t="s">
        <v>3241</v>
      </c>
      <c r="G278" s="6" t="s">
        <v>2908</v>
      </c>
      <c r="H278" s="6" t="s">
        <v>2909</v>
      </c>
      <c r="I278" s="8"/>
      <c r="J278" s="8">
        <v>248378</v>
      </c>
      <c r="K278" s="6" t="s">
        <v>3258</v>
      </c>
      <c r="L278" s="6" t="s">
        <v>1690</v>
      </c>
      <c r="N278" s="6" t="s">
        <v>1690</v>
      </c>
      <c r="O278" s="29">
        <v>260796.9</v>
      </c>
    </row>
    <row r="279" s="1" customFormat="1" ht="16.35" hidden="1" customHeight="1" spans="1:15">
      <c r="A279" s="5"/>
      <c r="B279" s="6" t="s">
        <v>2906</v>
      </c>
      <c r="C279" s="6">
        <v>2017</v>
      </c>
      <c r="D279" s="6">
        <v>4</v>
      </c>
      <c r="E279" s="7">
        <v>65</v>
      </c>
      <c r="F279" s="6" t="s">
        <v>3241</v>
      </c>
      <c r="G279" s="6" t="s">
        <v>2908</v>
      </c>
      <c r="H279" s="6" t="s">
        <v>2909</v>
      </c>
      <c r="I279" s="8"/>
      <c r="J279" s="8">
        <v>246682</v>
      </c>
      <c r="K279" s="6" t="s">
        <v>3259</v>
      </c>
      <c r="L279" s="6" t="s">
        <v>1692</v>
      </c>
      <c r="N279" s="6" t="s">
        <v>1692</v>
      </c>
      <c r="O279" s="29">
        <v>259016.1</v>
      </c>
    </row>
    <row r="280" s="1" customFormat="1" ht="16.35" hidden="1" customHeight="1" spans="1:15">
      <c r="A280" s="5"/>
      <c r="B280" s="6" t="s">
        <v>2906</v>
      </c>
      <c r="C280" s="6">
        <v>2017</v>
      </c>
      <c r="D280" s="6">
        <v>4</v>
      </c>
      <c r="E280" s="7">
        <v>65</v>
      </c>
      <c r="F280" s="6" t="s">
        <v>3241</v>
      </c>
      <c r="G280" s="6" t="s">
        <v>2908</v>
      </c>
      <c r="H280" s="6" t="s">
        <v>2909</v>
      </c>
      <c r="I280" s="8"/>
      <c r="J280" s="8">
        <v>177291</v>
      </c>
      <c r="K280" s="6" t="s">
        <v>3260</v>
      </c>
      <c r="L280" s="6" t="s">
        <v>1694</v>
      </c>
      <c r="N280" s="6" t="s">
        <v>1694</v>
      </c>
      <c r="O280" s="29">
        <v>186155.55</v>
      </c>
    </row>
    <row r="281" s="1" customFormat="1" ht="16.35" hidden="1" customHeight="1" spans="1:16">
      <c r="A281" s="5"/>
      <c r="B281" s="6" t="s">
        <v>2906</v>
      </c>
      <c r="C281" s="6">
        <v>2017</v>
      </c>
      <c r="D281" s="6">
        <v>4</v>
      </c>
      <c r="E281" s="7">
        <v>65</v>
      </c>
      <c r="F281" s="6" t="s">
        <v>3241</v>
      </c>
      <c r="G281" s="6" t="s">
        <v>2908</v>
      </c>
      <c r="H281" s="6" t="s">
        <v>2909</v>
      </c>
      <c r="I281" s="8"/>
      <c r="J281" s="8">
        <v>318639</v>
      </c>
      <c r="K281" s="6" t="s">
        <v>3261</v>
      </c>
      <c r="L281" s="6" t="s">
        <v>1696</v>
      </c>
      <c r="N281" s="6" t="s">
        <v>1696</v>
      </c>
      <c r="O281" s="29">
        <v>334570.95</v>
      </c>
      <c r="P281" s="1">
        <f>O281-J281</f>
        <v>15931.95</v>
      </c>
    </row>
    <row r="282" s="1" customFormat="1" ht="16.35" hidden="1" customHeight="1" spans="1:15">
      <c r="A282" s="5"/>
      <c r="B282" s="6" t="s">
        <v>2906</v>
      </c>
      <c r="C282" s="6">
        <v>2017</v>
      </c>
      <c r="D282" s="6">
        <v>4</v>
      </c>
      <c r="E282" s="7">
        <v>65</v>
      </c>
      <c r="F282" s="6" t="s">
        <v>3241</v>
      </c>
      <c r="G282" s="6" t="s">
        <v>2908</v>
      </c>
      <c r="H282" s="6" t="s">
        <v>2909</v>
      </c>
      <c r="I282" s="8"/>
      <c r="J282" s="8">
        <v>59420</v>
      </c>
      <c r="K282" s="6" t="s">
        <v>2968</v>
      </c>
      <c r="L282" s="6" t="s">
        <v>1698</v>
      </c>
      <c r="N282" s="6" t="s">
        <v>1698</v>
      </c>
      <c r="O282" s="29">
        <v>62391</v>
      </c>
    </row>
    <row r="283" s="1" customFormat="1" ht="16.35" hidden="1" customHeight="1" spans="1:15">
      <c r="A283" s="5"/>
      <c r="B283" s="6" t="s">
        <v>2906</v>
      </c>
      <c r="C283" s="6">
        <v>2017</v>
      </c>
      <c r="D283" s="6">
        <v>4</v>
      </c>
      <c r="E283" s="7">
        <v>65</v>
      </c>
      <c r="F283" s="6" t="s">
        <v>3241</v>
      </c>
      <c r="G283" s="6" t="s">
        <v>2908</v>
      </c>
      <c r="H283" s="6" t="s">
        <v>2909</v>
      </c>
      <c r="I283" s="8"/>
      <c r="J283" s="8">
        <v>1562</v>
      </c>
      <c r="K283" s="6" t="s">
        <v>3262</v>
      </c>
      <c r="L283" s="6" t="s">
        <v>1700</v>
      </c>
      <c r="N283" s="6" t="s">
        <v>1700</v>
      </c>
      <c r="O283" s="29">
        <v>1640.1</v>
      </c>
    </row>
    <row r="284" s="1" customFormat="1" ht="16.35" hidden="1" customHeight="1" spans="1:15">
      <c r="A284" s="5"/>
      <c r="B284" s="6" t="s">
        <v>2906</v>
      </c>
      <c r="C284" s="6">
        <v>2017</v>
      </c>
      <c r="D284" s="6">
        <v>4</v>
      </c>
      <c r="E284" s="7">
        <v>65</v>
      </c>
      <c r="F284" s="6" t="s">
        <v>3241</v>
      </c>
      <c r="G284" s="6" t="s">
        <v>2908</v>
      </c>
      <c r="H284" s="6" t="s">
        <v>2909</v>
      </c>
      <c r="I284" s="8"/>
      <c r="J284" s="8">
        <v>286551</v>
      </c>
      <c r="K284" s="6" t="s">
        <v>3263</v>
      </c>
      <c r="L284" s="6" t="s">
        <v>1702</v>
      </c>
      <c r="N284" s="6" t="s">
        <v>1702</v>
      </c>
      <c r="O284" s="29">
        <v>300878.55</v>
      </c>
    </row>
    <row r="285" s="1" customFormat="1" ht="16.35" hidden="1" customHeight="1" spans="1:16">
      <c r="A285" s="5"/>
      <c r="B285" s="6" t="s">
        <v>2906</v>
      </c>
      <c r="C285" s="6">
        <v>2017</v>
      </c>
      <c r="D285" s="6">
        <v>4</v>
      </c>
      <c r="E285" s="7">
        <v>65</v>
      </c>
      <c r="F285" s="6" t="s">
        <v>3241</v>
      </c>
      <c r="G285" s="6" t="s">
        <v>2908</v>
      </c>
      <c r="H285" s="6" t="s">
        <v>2909</v>
      </c>
      <c r="I285" s="8"/>
      <c r="J285" s="8">
        <v>86334</v>
      </c>
      <c r="K285" s="6" t="s">
        <v>3264</v>
      </c>
      <c r="L285" s="6" t="s">
        <v>1704</v>
      </c>
      <c r="N285" s="6" t="s">
        <v>1704</v>
      </c>
      <c r="O285" s="29">
        <v>90650.7</v>
      </c>
      <c r="P285" s="1" t="s">
        <v>3265</v>
      </c>
    </row>
    <row r="286" s="1" customFormat="1" ht="16.35" hidden="1" customHeight="1" spans="1:15">
      <c r="A286" s="5"/>
      <c r="B286" s="6" t="s">
        <v>2906</v>
      </c>
      <c r="C286" s="6">
        <v>2017</v>
      </c>
      <c r="D286" s="6">
        <v>4</v>
      </c>
      <c r="E286" s="7">
        <v>65</v>
      </c>
      <c r="F286" s="6" t="s">
        <v>3241</v>
      </c>
      <c r="G286" s="6" t="s">
        <v>2908</v>
      </c>
      <c r="H286" s="6" t="s">
        <v>2909</v>
      </c>
      <c r="I286" s="8"/>
      <c r="J286" s="8">
        <v>272130</v>
      </c>
      <c r="K286" s="6" t="s">
        <v>3266</v>
      </c>
      <c r="L286" s="6" t="s">
        <v>1707</v>
      </c>
      <c r="N286" s="6" t="s">
        <v>1707</v>
      </c>
      <c r="O286" s="29">
        <v>285736.5</v>
      </c>
    </row>
    <row r="287" s="1" customFormat="1" ht="16.35" hidden="1" customHeight="1" spans="1:15">
      <c r="A287" s="5"/>
      <c r="B287" s="6" t="s">
        <v>2906</v>
      </c>
      <c r="C287" s="6">
        <v>2017</v>
      </c>
      <c r="D287" s="6">
        <v>4</v>
      </c>
      <c r="E287" s="7">
        <v>65</v>
      </c>
      <c r="F287" s="6" t="s">
        <v>3241</v>
      </c>
      <c r="G287" s="6" t="s">
        <v>2908</v>
      </c>
      <c r="H287" s="6" t="s">
        <v>2909</v>
      </c>
      <c r="I287" s="8"/>
      <c r="J287" s="8">
        <v>320566</v>
      </c>
      <c r="K287" s="6" t="s">
        <v>3267</v>
      </c>
      <c r="L287" s="6" t="s">
        <v>1709</v>
      </c>
      <c r="N287" s="6" t="s">
        <v>1709</v>
      </c>
      <c r="O287" s="29">
        <v>336594.3</v>
      </c>
    </row>
    <row r="288" s="1" customFormat="1" ht="16.35" hidden="1" customHeight="1" spans="1:15">
      <c r="A288" s="5"/>
      <c r="B288" s="6" t="s">
        <v>2906</v>
      </c>
      <c r="C288" s="6">
        <v>2017</v>
      </c>
      <c r="D288" s="6">
        <v>4</v>
      </c>
      <c r="E288" s="7">
        <v>65</v>
      </c>
      <c r="F288" s="6" t="s">
        <v>3241</v>
      </c>
      <c r="G288" s="6" t="s">
        <v>2908</v>
      </c>
      <c r="H288" s="6" t="s">
        <v>2909</v>
      </c>
      <c r="I288" s="8"/>
      <c r="J288" s="8">
        <v>248378</v>
      </c>
      <c r="K288" s="6" t="s">
        <v>3268</v>
      </c>
      <c r="L288" s="6" t="s">
        <v>1711</v>
      </c>
      <c r="N288" s="6" t="s">
        <v>1711</v>
      </c>
      <c r="O288" s="29">
        <v>260796.9</v>
      </c>
    </row>
    <row r="289" s="1" customFormat="1" ht="16.35" hidden="1" customHeight="1" spans="1:15">
      <c r="A289" s="5"/>
      <c r="B289" s="6" t="s">
        <v>2906</v>
      </c>
      <c r="C289" s="6">
        <v>2017</v>
      </c>
      <c r="D289" s="6">
        <v>4</v>
      </c>
      <c r="E289" s="7">
        <v>65</v>
      </c>
      <c r="F289" s="6" t="s">
        <v>3241</v>
      </c>
      <c r="G289" s="6" t="s">
        <v>2908</v>
      </c>
      <c r="H289" s="6" t="s">
        <v>2909</v>
      </c>
      <c r="I289" s="8"/>
      <c r="J289" s="8">
        <v>282036</v>
      </c>
      <c r="K289" s="6" t="s">
        <v>3269</v>
      </c>
      <c r="L289" s="6" t="s">
        <v>1713</v>
      </c>
      <c r="N289" s="6" t="s">
        <v>1713</v>
      </c>
      <c r="O289" s="29">
        <v>296137.8</v>
      </c>
    </row>
    <row r="290" s="1" customFormat="1" ht="16.35" hidden="1" customHeight="1" spans="1:15">
      <c r="A290" s="5"/>
      <c r="B290" s="6" t="s">
        <v>2906</v>
      </c>
      <c r="C290" s="6">
        <v>2017</v>
      </c>
      <c r="D290" s="6">
        <v>4</v>
      </c>
      <c r="E290" s="7">
        <v>65</v>
      </c>
      <c r="F290" s="6" t="s">
        <v>3241</v>
      </c>
      <c r="G290" s="6" t="s">
        <v>2908</v>
      </c>
      <c r="H290" s="6" t="s">
        <v>2909</v>
      </c>
      <c r="I290" s="8"/>
      <c r="J290" s="8">
        <v>351</v>
      </c>
      <c r="K290" s="6" t="s">
        <v>3270</v>
      </c>
      <c r="L290" s="6" t="s">
        <v>1035</v>
      </c>
      <c r="N290" s="6" t="s">
        <v>1035</v>
      </c>
      <c r="O290" s="29">
        <v>368.55</v>
      </c>
    </row>
    <row r="291" s="1" customFormat="1" ht="16.35" hidden="1" customHeight="1" spans="1:15">
      <c r="A291" s="5"/>
      <c r="B291" s="6" t="s">
        <v>2906</v>
      </c>
      <c r="C291" s="6">
        <v>2017</v>
      </c>
      <c r="D291" s="6">
        <v>4</v>
      </c>
      <c r="E291" s="7">
        <v>65</v>
      </c>
      <c r="F291" s="6" t="s">
        <v>3241</v>
      </c>
      <c r="G291" s="6" t="s">
        <v>2908</v>
      </c>
      <c r="H291" s="6" t="s">
        <v>2909</v>
      </c>
      <c r="I291" s="8"/>
      <c r="J291" s="8">
        <v>476</v>
      </c>
      <c r="K291" s="6" t="s">
        <v>3271</v>
      </c>
      <c r="L291" s="6" t="s">
        <v>1037</v>
      </c>
      <c r="N291" s="6" t="s">
        <v>1037</v>
      </c>
      <c r="O291" s="29">
        <v>499.8</v>
      </c>
    </row>
    <row r="292" s="1" customFormat="1" ht="16.35" hidden="1" customHeight="1" spans="1:15">
      <c r="A292" s="5"/>
      <c r="B292" s="6" t="s">
        <v>2906</v>
      </c>
      <c r="C292" s="6">
        <v>2017</v>
      </c>
      <c r="D292" s="6">
        <v>4</v>
      </c>
      <c r="E292" s="7">
        <v>65</v>
      </c>
      <c r="F292" s="6" t="s">
        <v>3241</v>
      </c>
      <c r="G292" s="6" t="s">
        <v>2908</v>
      </c>
      <c r="H292" s="6" t="s">
        <v>2909</v>
      </c>
      <c r="I292" s="8"/>
      <c r="J292" s="8">
        <v>638</v>
      </c>
      <c r="K292" s="6" t="s">
        <v>3272</v>
      </c>
      <c r="L292" s="6" t="s">
        <v>1041</v>
      </c>
      <c r="N292" s="6" t="s">
        <v>1041</v>
      </c>
      <c r="O292" s="29">
        <v>669.9</v>
      </c>
    </row>
    <row r="293" s="1" customFormat="1" ht="16.35" hidden="1" customHeight="1" spans="1:15">
      <c r="A293" s="5"/>
      <c r="B293" s="6" t="s">
        <v>2906</v>
      </c>
      <c r="C293" s="6">
        <v>2017</v>
      </c>
      <c r="D293" s="6">
        <v>4</v>
      </c>
      <c r="E293" s="7">
        <v>65</v>
      </c>
      <c r="F293" s="6" t="s">
        <v>3241</v>
      </c>
      <c r="G293" s="6" t="s">
        <v>2908</v>
      </c>
      <c r="H293" s="6" t="s">
        <v>2909</v>
      </c>
      <c r="I293" s="8"/>
      <c r="J293" s="8">
        <v>4762</v>
      </c>
      <c r="K293" s="6" t="s">
        <v>3273</v>
      </c>
      <c r="L293" s="6" t="s">
        <v>1063</v>
      </c>
      <c r="N293" s="6" t="s">
        <v>1063</v>
      </c>
      <c r="O293" s="29">
        <v>5000.1</v>
      </c>
    </row>
    <row r="294" s="1" customFormat="1" ht="16.35" hidden="1" customHeight="1" spans="1:15">
      <c r="A294" s="5"/>
      <c r="B294" s="6" t="s">
        <v>2906</v>
      </c>
      <c r="C294" s="6">
        <v>2017</v>
      </c>
      <c r="D294" s="6">
        <v>4</v>
      </c>
      <c r="E294" s="7">
        <v>65</v>
      </c>
      <c r="F294" s="6" t="s">
        <v>3241</v>
      </c>
      <c r="G294" s="6" t="s">
        <v>2908</v>
      </c>
      <c r="H294" s="6" t="s">
        <v>2909</v>
      </c>
      <c r="I294" s="8"/>
      <c r="J294" s="8">
        <v>229026</v>
      </c>
      <c r="K294" s="6" t="s">
        <v>3274</v>
      </c>
      <c r="L294" s="6" t="s">
        <v>1071</v>
      </c>
      <c r="N294" s="6" t="s">
        <v>1071</v>
      </c>
      <c r="O294" s="29">
        <v>240477.3</v>
      </c>
    </row>
    <row r="295" s="1" customFormat="1" ht="16.35" hidden="1" customHeight="1" spans="1:15">
      <c r="A295" s="5"/>
      <c r="B295" s="6" t="s">
        <v>2906</v>
      </c>
      <c r="C295" s="6">
        <v>2017</v>
      </c>
      <c r="D295" s="6">
        <v>4</v>
      </c>
      <c r="E295" s="7">
        <v>65</v>
      </c>
      <c r="F295" s="6" t="s">
        <v>3241</v>
      </c>
      <c r="G295" s="6" t="s">
        <v>2908</v>
      </c>
      <c r="H295" s="6" t="s">
        <v>2909</v>
      </c>
      <c r="I295" s="8"/>
      <c r="J295" s="8">
        <v>197003</v>
      </c>
      <c r="K295" s="6" t="s">
        <v>3275</v>
      </c>
      <c r="L295" s="6" t="s">
        <v>1073</v>
      </c>
      <c r="N295" s="6" t="s">
        <v>1073</v>
      </c>
      <c r="O295" s="29">
        <v>206853.15</v>
      </c>
    </row>
    <row r="296" s="1" customFormat="1" ht="16.35" hidden="1" customHeight="1" spans="1:15">
      <c r="A296" s="5"/>
      <c r="B296" s="6" t="s">
        <v>2906</v>
      </c>
      <c r="C296" s="6">
        <v>2017</v>
      </c>
      <c r="D296" s="6">
        <v>4</v>
      </c>
      <c r="E296" s="7">
        <v>65</v>
      </c>
      <c r="F296" s="6" t="s">
        <v>3241</v>
      </c>
      <c r="G296" s="6" t="s">
        <v>2908</v>
      </c>
      <c r="H296" s="6" t="s">
        <v>2909</v>
      </c>
      <c r="I296" s="8"/>
      <c r="J296" s="8">
        <v>39714</v>
      </c>
      <c r="K296" s="6" t="s">
        <v>2954</v>
      </c>
      <c r="L296" s="6" t="s">
        <v>1069</v>
      </c>
      <c r="N296" s="6" t="s">
        <v>1069</v>
      </c>
      <c r="O296" s="29">
        <v>41699.7</v>
      </c>
    </row>
    <row r="297" s="1" customFormat="1" ht="16.35" hidden="1" customHeight="1" spans="1:15">
      <c r="A297" s="5"/>
      <c r="B297" s="6" t="s">
        <v>2906</v>
      </c>
      <c r="C297" s="6">
        <v>2017</v>
      </c>
      <c r="D297" s="6">
        <v>5</v>
      </c>
      <c r="E297" s="7">
        <v>2</v>
      </c>
      <c r="F297" s="6" t="s">
        <v>3276</v>
      </c>
      <c r="G297" s="6" t="s">
        <v>2908</v>
      </c>
      <c r="H297" s="6" t="s">
        <v>2909</v>
      </c>
      <c r="I297" s="8"/>
      <c r="J297" s="8">
        <v>-9524</v>
      </c>
      <c r="K297" s="6" t="s">
        <v>3060</v>
      </c>
      <c r="L297" s="6" t="s">
        <v>1575</v>
      </c>
      <c r="N297" s="6" t="s">
        <v>1575</v>
      </c>
      <c r="O297" s="29">
        <v>-10000.2</v>
      </c>
    </row>
    <row r="298" s="1" customFormat="1" ht="16.35" hidden="1" customHeight="1" spans="1:15">
      <c r="A298" s="5"/>
      <c r="B298" s="6" t="s">
        <v>2906</v>
      </c>
      <c r="C298" s="6">
        <v>2017</v>
      </c>
      <c r="D298" s="6">
        <v>5</v>
      </c>
      <c r="E298" s="7">
        <v>2</v>
      </c>
      <c r="F298" s="6" t="s">
        <v>3276</v>
      </c>
      <c r="G298" s="6" t="s">
        <v>2908</v>
      </c>
      <c r="H298" s="6" t="s">
        <v>2909</v>
      </c>
      <c r="I298" s="8"/>
      <c r="J298" s="8">
        <v>9524</v>
      </c>
      <c r="K298" s="6" t="s">
        <v>3277</v>
      </c>
      <c r="L298" s="6" t="s">
        <v>1876</v>
      </c>
      <c r="N298" s="6" t="s">
        <v>1876</v>
      </c>
      <c r="O298" s="29">
        <v>10000.2</v>
      </c>
    </row>
    <row r="299" s="1" customFormat="1" ht="16.35" hidden="1" customHeight="1" spans="1:15">
      <c r="A299" s="5"/>
      <c r="B299" s="6" t="s">
        <v>2906</v>
      </c>
      <c r="C299" s="6">
        <v>2017</v>
      </c>
      <c r="D299" s="6">
        <v>5</v>
      </c>
      <c r="E299" s="7">
        <v>3</v>
      </c>
      <c r="F299" s="6" t="s">
        <v>3278</v>
      </c>
      <c r="G299" s="6" t="s">
        <v>2908</v>
      </c>
      <c r="H299" s="6" t="s">
        <v>2909</v>
      </c>
      <c r="I299" s="8"/>
      <c r="J299" s="8">
        <v>-46028</v>
      </c>
      <c r="K299" s="6" t="s">
        <v>3126</v>
      </c>
      <c r="L299" s="6" t="s">
        <v>1603</v>
      </c>
      <c r="N299" s="6" t="s">
        <v>1603</v>
      </c>
      <c r="O299" s="29">
        <v>-48329.4</v>
      </c>
    </row>
    <row r="300" s="1" customFormat="1" ht="16.35" hidden="1" customHeight="1" spans="1:16">
      <c r="A300" s="5"/>
      <c r="B300" s="6" t="s">
        <v>2906</v>
      </c>
      <c r="C300" s="6">
        <v>2017</v>
      </c>
      <c r="D300" s="6">
        <v>5</v>
      </c>
      <c r="E300" s="7">
        <v>3</v>
      </c>
      <c r="F300" s="6" t="s">
        <v>3278</v>
      </c>
      <c r="G300" s="6" t="s">
        <v>2908</v>
      </c>
      <c r="H300" s="6" t="s">
        <v>2909</v>
      </c>
      <c r="I300" s="8"/>
      <c r="J300" s="8">
        <v>46028</v>
      </c>
      <c r="K300" s="6" t="s">
        <v>3239</v>
      </c>
      <c r="L300" s="6" t="s">
        <v>1397</v>
      </c>
      <c r="N300" s="6" t="s">
        <v>1397</v>
      </c>
      <c r="O300" s="29">
        <v>48329.4</v>
      </c>
      <c r="P300" s="1">
        <f>O300-J300</f>
        <v>2301.4</v>
      </c>
    </row>
    <row r="301" s="1" customFormat="1" ht="16.35" hidden="1" customHeight="1" spans="1:15">
      <c r="A301" s="5"/>
      <c r="B301" s="6" t="s">
        <v>2906</v>
      </c>
      <c r="C301" s="6">
        <v>2017</v>
      </c>
      <c r="D301" s="6">
        <v>5</v>
      </c>
      <c r="E301" s="7">
        <v>4</v>
      </c>
      <c r="F301" s="6" t="s">
        <v>3279</v>
      </c>
      <c r="G301" s="6" t="s">
        <v>2908</v>
      </c>
      <c r="H301" s="6" t="s">
        <v>2909</v>
      </c>
      <c r="I301" s="8"/>
      <c r="J301" s="8">
        <v>31169</v>
      </c>
      <c r="K301" s="6" t="s">
        <v>3277</v>
      </c>
      <c r="L301" s="6" t="s">
        <v>1876</v>
      </c>
      <c r="N301" s="6" t="s">
        <v>1876</v>
      </c>
      <c r="O301" s="29">
        <v>32727.45</v>
      </c>
    </row>
    <row r="302" s="1" customFormat="1" ht="16.35" hidden="1" customHeight="1" spans="1:15">
      <c r="A302" s="5"/>
      <c r="B302" s="6" t="s">
        <v>2906</v>
      </c>
      <c r="C302" s="6">
        <v>2017</v>
      </c>
      <c r="D302" s="6">
        <v>5</v>
      </c>
      <c r="E302" s="7">
        <v>5</v>
      </c>
      <c r="F302" s="6" t="s">
        <v>3280</v>
      </c>
      <c r="G302" s="6" t="s">
        <v>2908</v>
      </c>
      <c r="H302" s="6" t="s">
        <v>2909</v>
      </c>
      <c r="I302" s="8"/>
      <c r="J302" s="8">
        <v>41748</v>
      </c>
      <c r="K302" s="6" t="s">
        <v>3281</v>
      </c>
      <c r="L302" s="6" t="s">
        <v>1888</v>
      </c>
      <c r="N302" s="6" t="s">
        <v>1888</v>
      </c>
      <c r="O302" s="29">
        <v>43835.4</v>
      </c>
    </row>
    <row r="303" s="1" customFormat="1" ht="16.35" hidden="1" customHeight="1" spans="1:16">
      <c r="A303" s="5"/>
      <c r="B303" s="6" t="s">
        <v>2906</v>
      </c>
      <c r="C303" s="6">
        <v>2017</v>
      </c>
      <c r="D303" s="6">
        <v>5</v>
      </c>
      <c r="E303" s="7">
        <v>6</v>
      </c>
      <c r="F303" s="6" t="s">
        <v>3238</v>
      </c>
      <c r="G303" s="6" t="s">
        <v>2908</v>
      </c>
      <c r="H303" s="6" t="s">
        <v>2909</v>
      </c>
      <c r="I303" s="8"/>
      <c r="J303" s="8">
        <v>1610</v>
      </c>
      <c r="K303" s="6" t="s">
        <v>3239</v>
      </c>
      <c r="L303" s="6" t="s">
        <v>1397</v>
      </c>
      <c r="N303" s="6" t="s">
        <v>1397</v>
      </c>
      <c r="O303" s="29">
        <v>1690.5</v>
      </c>
      <c r="P303" s="1">
        <f>O303-J303</f>
        <v>80.5</v>
      </c>
    </row>
    <row r="304" s="1" customFormat="1" ht="16.35" hidden="1" customHeight="1" spans="1:16">
      <c r="A304" s="5"/>
      <c r="B304" s="6" t="s">
        <v>2906</v>
      </c>
      <c r="C304" s="6">
        <v>2017</v>
      </c>
      <c r="D304" s="6">
        <v>5</v>
      </c>
      <c r="E304" s="7">
        <v>7</v>
      </c>
      <c r="F304" s="6" t="s">
        <v>3282</v>
      </c>
      <c r="G304" s="6" t="s">
        <v>2908</v>
      </c>
      <c r="H304" s="6" t="s">
        <v>2909</v>
      </c>
      <c r="I304" s="8"/>
      <c r="J304" s="8">
        <v>23182</v>
      </c>
      <c r="K304" s="6" t="s">
        <v>3283</v>
      </c>
      <c r="L304" s="6" t="s">
        <v>1286</v>
      </c>
      <c r="N304" s="6" t="s">
        <v>1286</v>
      </c>
      <c r="O304" s="29">
        <v>24341</v>
      </c>
      <c r="P304" s="1">
        <f>O304-J304</f>
        <v>1159</v>
      </c>
    </row>
    <row r="305" s="1" customFormat="1" ht="16.35" hidden="1" customHeight="1" spans="1:15">
      <c r="A305" s="5"/>
      <c r="B305" s="6" t="s">
        <v>2906</v>
      </c>
      <c r="C305" s="6">
        <v>2017</v>
      </c>
      <c r="D305" s="6">
        <v>5</v>
      </c>
      <c r="E305" s="7">
        <v>8</v>
      </c>
      <c r="F305" s="6" t="s">
        <v>3284</v>
      </c>
      <c r="G305" s="6" t="s">
        <v>2908</v>
      </c>
      <c r="H305" s="6" t="s">
        <v>2909</v>
      </c>
      <c r="I305" s="8"/>
      <c r="J305" s="8">
        <v>44565</v>
      </c>
      <c r="K305" s="6" t="s">
        <v>3285</v>
      </c>
      <c r="L305" s="6" t="s">
        <v>1067</v>
      </c>
      <c r="N305" s="6" t="s">
        <v>1067</v>
      </c>
      <c r="O305" s="29">
        <v>46793.25</v>
      </c>
    </row>
    <row r="306" s="1" customFormat="1" ht="16.35" hidden="1" customHeight="1" spans="1:15">
      <c r="A306" s="5"/>
      <c r="B306" s="6" t="s">
        <v>2906</v>
      </c>
      <c r="C306" s="6">
        <v>2017</v>
      </c>
      <c r="D306" s="6">
        <v>5</v>
      </c>
      <c r="E306" s="7">
        <v>9</v>
      </c>
      <c r="F306" s="6" t="s">
        <v>3286</v>
      </c>
      <c r="G306" s="6" t="s">
        <v>2908</v>
      </c>
      <c r="H306" s="6" t="s">
        <v>2909</v>
      </c>
      <c r="I306" s="8"/>
      <c r="J306" s="8">
        <v>92929</v>
      </c>
      <c r="K306" s="6" t="s">
        <v>3170</v>
      </c>
      <c r="L306" s="6" t="s">
        <v>1886</v>
      </c>
      <c r="N306" s="6" t="s">
        <v>1886</v>
      </c>
      <c r="O306" s="29">
        <v>97575.45</v>
      </c>
    </row>
    <row r="307" s="1" customFormat="1" ht="16.35" hidden="1" customHeight="1" spans="1:15">
      <c r="A307" s="5"/>
      <c r="B307" s="6" t="s">
        <v>2906</v>
      </c>
      <c r="C307" s="6">
        <v>2017</v>
      </c>
      <c r="D307" s="6">
        <v>5</v>
      </c>
      <c r="E307" s="7">
        <v>10</v>
      </c>
      <c r="F307" s="6" t="s">
        <v>3287</v>
      </c>
      <c r="G307" s="6" t="s">
        <v>2908</v>
      </c>
      <c r="H307" s="6" t="s">
        <v>2909</v>
      </c>
      <c r="I307" s="8"/>
      <c r="J307" s="8">
        <v>30510</v>
      </c>
      <c r="K307" s="6" t="s">
        <v>3288</v>
      </c>
      <c r="L307" s="6" t="s">
        <v>1894</v>
      </c>
      <c r="N307" s="6" t="s">
        <v>1894</v>
      </c>
      <c r="O307" s="29">
        <v>32035.5</v>
      </c>
    </row>
    <row r="308" s="1" customFormat="1" ht="16.35" hidden="1" customHeight="1" spans="1:15">
      <c r="A308" s="5"/>
      <c r="B308" s="6" t="s">
        <v>2906</v>
      </c>
      <c r="C308" s="6">
        <v>2017</v>
      </c>
      <c r="D308" s="6">
        <v>5</v>
      </c>
      <c r="E308" s="7">
        <v>11</v>
      </c>
      <c r="F308" s="6" t="s">
        <v>3178</v>
      </c>
      <c r="G308" s="6" t="s">
        <v>2908</v>
      </c>
      <c r="H308" s="6" t="s">
        <v>2909</v>
      </c>
      <c r="I308" s="8"/>
      <c r="J308" s="8">
        <v>37286</v>
      </c>
      <c r="K308" s="6" t="s">
        <v>3179</v>
      </c>
      <c r="L308" s="6" t="s">
        <v>1882</v>
      </c>
      <c r="N308" s="6" t="s">
        <v>1882</v>
      </c>
      <c r="O308" s="29">
        <v>39150.3</v>
      </c>
    </row>
    <row r="309" s="1" customFormat="1" ht="16.35" hidden="1" customHeight="1" spans="1:15">
      <c r="A309" s="5"/>
      <c r="B309" s="6" t="s">
        <v>2906</v>
      </c>
      <c r="C309" s="6">
        <v>2017</v>
      </c>
      <c r="D309" s="6">
        <v>5</v>
      </c>
      <c r="E309" s="7">
        <v>12</v>
      </c>
      <c r="F309" s="6" t="s">
        <v>3289</v>
      </c>
      <c r="G309" s="6" t="s">
        <v>2908</v>
      </c>
      <c r="H309" s="6" t="s">
        <v>2909</v>
      </c>
      <c r="I309" s="8"/>
      <c r="J309" s="8">
        <v>30476</v>
      </c>
      <c r="K309" s="6" t="s">
        <v>3063</v>
      </c>
      <c r="L309" s="6" t="s">
        <v>1892</v>
      </c>
      <c r="N309" s="6" t="s">
        <v>1892</v>
      </c>
      <c r="O309" s="29">
        <v>31999.8</v>
      </c>
    </row>
    <row r="310" s="1" customFormat="1" ht="16.35" hidden="1" customHeight="1" spans="1:15">
      <c r="A310" s="5"/>
      <c r="B310" s="6" t="s">
        <v>2906</v>
      </c>
      <c r="C310" s="6">
        <v>2017</v>
      </c>
      <c r="D310" s="6">
        <v>5</v>
      </c>
      <c r="E310" s="7">
        <v>13</v>
      </c>
      <c r="F310" s="6" t="s">
        <v>3180</v>
      </c>
      <c r="G310" s="6" t="s">
        <v>2908</v>
      </c>
      <c r="H310" s="6" t="s">
        <v>2909</v>
      </c>
      <c r="I310" s="8"/>
      <c r="J310" s="8">
        <v>800</v>
      </c>
      <c r="K310" s="6" t="s">
        <v>3181</v>
      </c>
      <c r="L310" s="6" t="s">
        <v>1379</v>
      </c>
      <c r="N310" s="6" t="s">
        <v>1379</v>
      </c>
      <c r="O310" s="29">
        <v>840</v>
      </c>
    </row>
    <row r="311" s="1" customFormat="1" ht="16.35" hidden="1" customHeight="1" spans="1:15">
      <c r="A311" s="5"/>
      <c r="B311" s="6" t="s">
        <v>2906</v>
      </c>
      <c r="C311" s="6">
        <v>2017</v>
      </c>
      <c r="D311" s="6">
        <v>5</v>
      </c>
      <c r="E311" s="7">
        <v>14</v>
      </c>
      <c r="F311" s="6" t="s">
        <v>3180</v>
      </c>
      <c r="G311" s="6" t="s">
        <v>2908</v>
      </c>
      <c r="H311" s="6" t="s">
        <v>2909</v>
      </c>
      <c r="I311" s="8"/>
      <c r="J311" s="8">
        <v>5333</v>
      </c>
      <c r="K311" s="6" t="s">
        <v>3181</v>
      </c>
      <c r="L311" s="6" t="s">
        <v>1379</v>
      </c>
      <c r="N311" s="6" t="s">
        <v>1379</v>
      </c>
      <c r="O311" s="29">
        <v>5599.65</v>
      </c>
    </row>
    <row r="312" s="1" customFormat="1" ht="16.35" hidden="1" customHeight="1" spans="1:15">
      <c r="A312" s="5"/>
      <c r="B312" s="6" t="s">
        <v>2906</v>
      </c>
      <c r="C312" s="6">
        <v>2017</v>
      </c>
      <c r="D312" s="6">
        <v>5</v>
      </c>
      <c r="E312" s="7">
        <v>15</v>
      </c>
      <c r="F312" s="6" t="s">
        <v>3232</v>
      </c>
      <c r="G312" s="6" t="s">
        <v>2908</v>
      </c>
      <c r="H312" s="6" t="s">
        <v>2909</v>
      </c>
      <c r="I312" s="8"/>
      <c r="J312" s="8">
        <v>6871</v>
      </c>
      <c r="K312" s="6" t="s">
        <v>3031</v>
      </c>
      <c r="L312" s="6" t="s">
        <v>1573</v>
      </c>
      <c r="N312" s="6" t="s">
        <v>1573</v>
      </c>
      <c r="O312" s="29">
        <v>7214.55</v>
      </c>
    </row>
    <row r="313" s="1" customFormat="1" ht="16.35" hidden="1" customHeight="1" spans="1:15">
      <c r="A313" s="5"/>
      <c r="B313" s="6" t="s">
        <v>2906</v>
      </c>
      <c r="C313" s="6">
        <v>2017</v>
      </c>
      <c r="D313" s="6">
        <v>5</v>
      </c>
      <c r="E313" s="7">
        <v>16</v>
      </c>
      <c r="F313" s="6" t="s">
        <v>3173</v>
      </c>
      <c r="G313" s="6" t="s">
        <v>2908</v>
      </c>
      <c r="H313" s="6" t="s">
        <v>2909</v>
      </c>
      <c r="I313" s="8"/>
      <c r="J313" s="8">
        <v>44273</v>
      </c>
      <c r="K313" s="6" t="s">
        <v>3174</v>
      </c>
      <c r="L313" s="6" t="s">
        <v>1294</v>
      </c>
      <c r="N313" s="6" t="s">
        <v>1294</v>
      </c>
      <c r="O313" s="29">
        <v>46486.65</v>
      </c>
    </row>
    <row r="314" s="1" customFormat="1" ht="16.35" hidden="1" customHeight="1" spans="1:15">
      <c r="A314" s="5"/>
      <c r="B314" s="6" t="s">
        <v>2906</v>
      </c>
      <c r="C314" s="6">
        <v>2017</v>
      </c>
      <c r="D314" s="6">
        <v>5</v>
      </c>
      <c r="E314" s="7">
        <v>17</v>
      </c>
      <c r="F314" s="6" t="s">
        <v>3290</v>
      </c>
      <c r="G314" s="6" t="s">
        <v>2908</v>
      </c>
      <c r="H314" s="6" t="s">
        <v>2909</v>
      </c>
      <c r="I314" s="8"/>
      <c r="J314" s="8">
        <v>149423</v>
      </c>
      <c r="K314" s="6" t="s">
        <v>3234</v>
      </c>
      <c r="L314" s="6" t="s">
        <v>1880</v>
      </c>
      <c r="N314" s="6" t="s">
        <v>1880</v>
      </c>
      <c r="O314" s="29">
        <v>156894.15</v>
      </c>
    </row>
    <row r="315" s="1" customFormat="1" ht="16.35" hidden="1" customHeight="1" spans="1:15">
      <c r="A315" s="5"/>
      <c r="B315" s="6" t="s">
        <v>2906</v>
      </c>
      <c r="C315" s="6">
        <v>2017</v>
      </c>
      <c r="D315" s="6">
        <v>5</v>
      </c>
      <c r="E315" s="7">
        <v>18</v>
      </c>
      <c r="F315" s="6" t="s">
        <v>3291</v>
      </c>
      <c r="G315" s="6" t="s">
        <v>2908</v>
      </c>
      <c r="H315" s="6" t="s">
        <v>2909</v>
      </c>
      <c r="I315" s="8"/>
      <c r="J315" s="8">
        <v>50190</v>
      </c>
      <c r="K315" s="6" t="s">
        <v>3292</v>
      </c>
      <c r="L315" s="6" t="s">
        <v>1639</v>
      </c>
      <c r="N315" s="6" t="s">
        <v>1639</v>
      </c>
      <c r="O315" s="29">
        <v>52699.5</v>
      </c>
    </row>
    <row r="316" s="1" customFormat="1" ht="16.35" hidden="1" customHeight="1" spans="1:15">
      <c r="A316" s="5"/>
      <c r="B316" s="6" t="s">
        <v>2906</v>
      </c>
      <c r="C316" s="6">
        <v>2017</v>
      </c>
      <c r="D316" s="6">
        <v>5</v>
      </c>
      <c r="E316" s="7">
        <v>19</v>
      </c>
      <c r="F316" s="6" t="s">
        <v>3293</v>
      </c>
      <c r="G316" s="6" t="s">
        <v>2908</v>
      </c>
      <c r="H316" s="6" t="s">
        <v>2909</v>
      </c>
      <c r="I316" s="8"/>
      <c r="J316" s="8">
        <v>9524</v>
      </c>
      <c r="K316" s="6" t="s">
        <v>3234</v>
      </c>
      <c r="L316" s="6" t="s">
        <v>1880</v>
      </c>
      <c r="N316" s="6" t="s">
        <v>1880</v>
      </c>
      <c r="O316" s="29">
        <v>10000.2</v>
      </c>
    </row>
    <row r="317" s="1" customFormat="1" ht="16.35" hidden="1" customHeight="1" spans="1:15">
      <c r="A317" s="5"/>
      <c r="B317" s="6" t="s">
        <v>2906</v>
      </c>
      <c r="C317" s="6">
        <v>2017</v>
      </c>
      <c r="D317" s="6">
        <v>5</v>
      </c>
      <c r="E317" s="7">
        <v>21</v>
      </c>
      <c r="F317" s="6" t="s">
        <v>3294</v>
      </c>
      <c r="G317" s="6" t="s">
        <v>2908</v>
      </c>
      <c r="H317" s="6" t="s">
        <v>2909</v>
      </c>
      <c r="I317" s="8"/>
      <c r="J317" s="8">
        <v>-9524</v>
      </c>
      <c r="K317" s="6" t="s">
        <v>3227</v>
      </c>
      <c r="L317" s="6" t="s">
        <v>1569</v>
      </c>
      <c r="N317" s="6" t="s">
        <v>1569</v>
      </c>
      <c r="O317" s="29">
        <v>-10000.2</v>
      </c>
    </row>
    <row r="318" s="1" customFormat="1" ht="16.35" hidden="1" customHeight="1" spans="1:15">
      <c r="A318" s="5"/>
      <c r="B318" s="6" t="s">
        <v>2906</v>
      </c>
      <c r="C318" s="6">
        <v>2017</v>
      </c>
      <c r="D318" s="6">
        <v>5</v>
      </c>
      <c r="E318" s="7">
        <v>22</v>
      </c>
      <c r="F318" s="6" t="s">
        <v>3295</v>
      </c>
      <c r="G318" s="6" t="s">
        <v>2908</v>
      </c>
      <c r="H318" s="6" t="s">
        <v>2909</v>
      </c>
      <c r="I318" s="8"/>
      <c r="J318" s="8">
        <v>-9524</v>
      </c>
      <c r="K318" s="6" t="s">
        <v>3138</v>
      </c>
      <c r="L318" s="6" t="s">
        <v>1539</v>
      </c>
      <c r="N318" s="6" t="s">
        <v>1539</v>
      </c>
      <c r="O318" s="29">
        <v>-10000.2</v>
      </c>
    </row>
    <row r="319" s="1" customFormat="1" ht="16.35" hidden="1" customHeight="1" spans="1:15">
      <c r="A319" s="5"/>
      <c r="B319" s="6" t="s">
        <v>2906</v>
      </c>
      <c r="C319" s="6">
        <v>2017</v>
      </c>
      <c r="D319" s="6">
        <v>5</v>
      </c>
      <c r="E319" s="7">
        <v>23</v>
      </c>
      <c r="F319" s="6" t="s">
        <v>3296</v>
      </c>
      <c r="G319" s="6" t="s">
        <v>2908</v>
      </c>
      <c r="H319" s="6" t="s">
        <v>2909</v>
      </c>
      <c r="I319" s="8"/>
      <c r="J319" s="8">
        <v>-9524</v>
      </c>
      <c r="K319" s="6" t="s">
        <v>3225</v>
      </c>
      <c r="L319" s="6" t="s">
        <v>1571</v>
      </c>
      <c r="N319" s="6" t="s">
        <v>1571</v>
      </c>
      <c r="O319" s="29">
        <v>-10000.2</v>
      </c>
    </row>
    <row r="320" s="1" customFormat="1" ht="16.35" hidden="1" customHeight="1" spans="1:15">
      <c r="A320" s="5"/>
      <c r="B320" s="6" t="s">
        <v>2906</v>
      </c>
      <c r="C320" s="6">
        <v>2017</v>
      </c>
      <c r="D320" s="6">
        <v>5</v>
      </c>
      <c r="E320" s="7">
        <v>24</v>
      </c>
      <c r="F320" s="6" t="s">
        <v>3297</v>
      </c>
      <c r="G320" s="6" t="s">
        <v>2908</v>
      </c>
      <c r="H320" s="6" t="s">
        <v>2909</v>
      </c>
      <c r="I320" s="8"/>
      <c r="J320" s="8">
        <v>-4762</v>
      </c>
      <c r="K320" s="6" t="s">
        <v>3154</v>
      </c>
      <c r="L320" s="6" t="s">
        <v>1535</v>
      </c>
      <c r="N320" s="6" t="s">
        <v>1535</v>
      </c>
      <c r="O320" s="29">
        <v>-5000.1</v>
      </c>
    </row>
    <row r="321" s="1" customFormat="1" ht="16.35" hidden="1" customHeight="1" spans="1:15">
      <c r="A321" s="5"/>
      <c r="B321" s="6" t="s">
        <v>2906</v>
      </c>
      <c r="C321" s="6">
        <v>2017</v>
      </c>
      <c r="D321" s="6">
        <v>5</v>
      </c>
      <c r="E321" s="7">
        <v>25</v>
      </c>
      <c r="F321" s="6" t="s">
        <v>3298</v>
      </c>
      <c r="G321" s="6" t="s">
        <v>2908</v>
      </c>
      <c r="H321" s="6" t="s">
        <v>2909</v>
      </c>
      <c r="I321" s="8"/>
      <c r="J321" s="8">
        <v>-9524</v>
      </c>
      <c r="K321" s="6" t="s">
        <v>3190</v>
      </c>
      <c r="L321" s="6" t="s">
        <v>1525</v>
      </c>
      <c r="N321" s="6" t="s">
        <v>1525</v>
      </c>
      <c r="O321" s="29">
        <v>-10000.2</v>
      </c>
    </row>
    <row r="322" s="1" customFormat="1" ht="16.35" hidden="1" customHeight="1" spans="1:15">
      <c r="A322" s="5"/>
      <c r="B322" s="6" t="s">
        <v>2906</v>
      </c>
      <c r="C322" s="6">
        <v>2017</v>
      </c>
      <c r="D322" s="6">
        <v>5</v>
      </c>
      <c r="E322" s="7">
        <v>26</v>
      </c>
      <c r="F322" s="6" t="s">
        <v>3297</v>
      </c>
      <c r="G322" s="6" t="s">
        <v>2908</v>
      </c>
      <c r="H322" s="6" t="s">
        <v>2909</v>
      </c>
      <c r="I322" s="8"/>
      <c r="J322" s="8">
        <v>-28571</v>
      </c>
      <c r="K322" s="6" t="s">
        <v>3154</v>
      </c>
      <c r="L322" s="6" t="s">
        <v>1535</v>
      </c>
      <c r="N322" s="6" t="s">
        <v>1535</v>
      </c>
      <c r="O322" s="29">
        <v>-29999.55</v>
      </c>
    </row>
    <row r="323" s="1" customFormat="1" ht="16.35" hidden="1" customHeight="1" spans="1:15">
      <c r="A323" s="5"/>
      <c r="B323" s="6" t="s">
        <v>2906</v>
      </c>
      <c r="C323" s="6">
        <v>2017</v>
      </c>
      <c r="D323" s="6">
        <v>5</v>
      </c>
      <c r="E323" s="7">
        <v>27</v>
      </c>
      <c r="F323" s="6" t="s">
        <v>3299</v>
      </c>
      <c r="G323" s="6" t="s">
        <v>2908</v>
      </c>
      <c r="H323" s="6" t="s">
        <v>2909</v>
      </c>
      <c r="I323" s="8"/>
      <c r="J323" s="8">
        <v>-6667</v>
      </c>
      <c r="K323" s="6" t="s">
        <v>3170</v>
      </c>
      <c r="L323" s="6" t="s">
        <v>1886</v>
      </c>
      <c r="N323" s="6" t="s">
        <v>1886</v>
      </c>
      <c r="O323" s="29">
        <v>-7000.35</v>
      </c>
    </row>
    <row r="324" s="1" customFormat="1" ht="16.35" hidden="1" customHeight="1" spans="1:15">
      <c r="A324" s="5"/>
      <c r="B324" s="6" t="s">
        <v>2906</v>
      </c>
      <c r="C324" s="6">
        <v>2017</v>
      </c>
      <c r="D324" s="6">
        <v>5</v>
      </c>
      <c r="E324" s="7">
        <v>31</v>
      </c>
      <c r="F324" s="6" t="s">
        <v>3075</v>
      </c>
      <c r="G324" s="6" t="s">
        <v>2908</v>
      </c>
      <c r="H324" s="6" t="s">
        <v>2909</v>
      </c>
      <c r="I324" s="8"/>
      <c r="J324" s="8">
        <v>119048</v>
      </c>
      <c r="K324" s="6" t="s">
        <v>3076</v>
      </c>
      <c r="L324" s="6" t="s">
        <v>1748</v>
      </c>
      <c r="N324" s="6" t="s">
        <v>1748</v>
      </c>
      <c r="O324" s="29">
        <v>125000.4</v>
      </c>
    </row>
    <row r="325" s="1" customFormat="1" ht="16.35" hidden="1" customHeight="1" spans="1:15">
      <c r="A325" s="5"/>
      <c r="B325" s="6" t="s">
        <v>2906</v>
      </c>
      <c r="C325" s="6">
        <v>2017</v>
      </c>
      <c r="D325" s="6">
        <v>5</v>
      </c>
      <c r="E325" s="7">
        <v>33</v>
      </c>
      <c r="F325" s="6" t="s">
        <v>3300</v>
      </c>
      <c r="G325" s="6" t="s">
        <v>2908</v>
      </c>
      <c r="H325" s="6" t="s">
        <v>2909</v>
      </c>
      <c r="I325" s="8"/>
      <c r="J325" s="8">
        <v>39369</v>
      </c>
      <c r="K325" s="6" t="s">
        <v>3144</v>
      </c>
      <c r="L325" s="6" t="s">
        <v>1896</v>
      </c>
      <c r="N325" s="6" t="s">
        <v>1896</v>
      </c>
      <c r="O325" s="29">
        <v>41337.45</v>
      </c>
    </row>
    <row r="326" s="1" customFormat="1" ht="16.35" hidden="1" customHeight="1" spans="1:15">
      <c r="A326" s="5"/>
      <c r="B326" s="6" t="s">
        <v>2906</v>
      </c>
      <c r="C326" s="6">
        <v>2017</v>
      </c>
      <c r="D326" s="6">
        <v>5</v>
      </c>
      <c r="E326" s="7">
        <v>35</v>
      </c>
      <c r="F326" s="6" t="s">
        <v>3301</v>
      </c>
      <c r="G326" s="6" t="s">
        <v>2908</v>
      </c>
      <c r="H326" s="6" t="s">
        <v>2909</v>
      </c>
      <c r="I326" s="8"/>
      <c r="J326" s="8">
        <v>-28571</v>
      </c>
      <c r="K326" s="6" t="s">
        <v>3161</v>
      </c>
      <c r="L326" s="6" t="s">
        <v>1547</v>
      </c>
      <c r="N326" s="6" t="s">
        <v>1547</v>
      </c>
      <c r="O326" s="29">
        <v>-29999.55</v>
      </c>
    </row>
    <row r="327" s="1" customFormat="1" ht="16.35" hidden="1" customHeight="1" spans="1:16">
      <c r="A327" s="5"/>
      <c r="B327" s="6" t="s">
        <v>2906</v>
      </c>
      <c r="C327" s="6">
        <v>2017</v>
      </c>
      <c r="D327" s="6">
        <v>5</v>
      </c>
      <c r="E327" s="7">
        <v>35</v>
      </c>
      <c r="F327" s="6" t="s">
        <v>3301</v>
      </c>
      <c r="G327" s="6" t="s">
        <v>2908</v>
      </c>
      <c r="H327" s="6" t="s">
        <v>2909</v>
      </c>
      <c r="I327" s="8"/>
      <c r="J327" s="8">
        <v>28571</v>
      </c>
      <c r="K327" s="6" t="s">
        <v>3283</v>
      </c>
      <c r="L327" s="6" t="s">
        <v>1286</v>
      </c>
      <c r="N327" s="6" t="s">
        <v>1286</v>
      </c>
      <c r="O327" s="29">
        <v>30000</v>
      </c>
      <c r="P327" s="1">
        <f>O327-J327</f>
        <v>1429</v>
      </c>
    </row>
    <row r="328" s="1" customFormat="1" ht="16.35" hidden="1" customHeight="1" spans="1:15">
      <c r="A328" s="5"/>
      <c r="B328" s="6" t="s">
        <v>2906</v>
      </c>
      <c r="C328" s="6">
        <v>2017</v>
      </c>
      <c r="D328" s="6">
        <v>5</v>
      </c>
      <c r="E328" s="7">
        <v>37</v>
      </c>
      <c r="F328" s="6" t="s">
        <v>3302</v>
      </c>
      <c r="G328" s="6" t="s">
        <v>2908</v>
      </c>
      <c r="H328" s="6" t="s">
        <v>2909</v>
      </c>
      <c r="I328" s="8"/>
      <c r="J328" s="8">
        <v>46667</v>
      </c>
      <c r="K328" s="6" t="s">
        <v>3303</v>
      </c>
      <c r="L328" s="6" t="s">
        <v>1878</v>
      </c>
      <c r="N328" s="6" t="s">
        <v>1878</v>
      </c>
      <c r="O328" s="29">
        <v>49000.35</v>
      </c>
    </row>
    <row r="329" s="1" customFormat="1" ht="16.35" hidden="1" customHeight="1" spans="1:15">
      <c r="A329" s="5"/>
      <c r="B329" s="6" t="s">
        <v>2906</v>
      </c>
      <c r="C329" s="6">
        <v>2017</v>
      </c>
      <c r="D329" s="6">
        <v>5</v>
      </c>
      <c r="E329" s="7">
        <v>38</v>
      </c>
      <c r="F329" s="6" t="s">
        <v>3304</v>
      </c>
      <c r="G329" s="6" t="s">
        <v>2908</v>
      </c>
      <c r="H329" s="6" t="s">
        <v>2909</v>
      </c>
      <c r="I329" s="8"/>
      <c r="J329" s="8">
        <v>-4762</v>
      </c>
      <c r="K329" s="6" t="s">
        <v>3208</v>
      </c>
      <c r="L329" s="6" t="s">
        <v>1567</v>
      </c>
      <c r="N329" s="6" t="s">
        <v>1567</v>
      </c>
      <c r="O329" s="29">
        <v>-5000.1</v>
      </c>
    </row>
    <row r="330" s="1" customFormat="1" ht="16.35" hidden="1" customHeight="1" spans="1:15">
      <c r="A330" s="5"/>
      <c r="B330" s="6" t="s">
        <v>2906</v>
      </c>
      <c r="C330" s="6">
        <v>2017</v>
      </c>
      <c r="D330" s="6">
        <v>5</v>
      </c>
      <c r="E330" s="7">
        <v>39</v>
      </c>
      <c r="F330" s="6" t="s">
        <v>3305</v>
      </c>
      <c r="G330" s="6" t="s">
        <v>2908</v>
      </c>
      <c r="H330" s="6" t="s">
        <v>2909</v>
      </c>
      <c r="I330" s="8"/>
      <c r="J330" s="8">
        <v>-41150</v>
      </c>
      <c r="K330" s="6" t="s">
        <v>3142</v>
      </c>
      <c r="L330" s="6" t="s">
        <v>1533</v>
      </c>
      <c r="N330" s="6" t="s">
        <v>1533</v>
      </c>
      <c r="O330" s="29">
        <v>-43207.5</v>
      </c>
    </row>
    <row r="331" s="1" customFormat="1" ht="16.35" hidden="1" customHeight="1" spans="1:15">
      <c r="A331" s="5"/>
      <c r="B331" s="6" t="s">
        <v>2906</v>
      </c>
      <c r="C331" s="6">
        <v>2017</v>
      </c>
      <c r="D331" s="6">
        <v>5</v>
      </c>
      <c r="E331" s="7">
        <v>40</v>
      </c>
      <c r="F331" s="6" t="s">
        <v>3306</v>
      </c>
      <c r="G331" s="6" t="s">
        <v>2908</v>
      </c>
      <c r="H331" s="6" t="s">
        <v>2909</v>
      </c>
      <c r="I331" s="8"/>
      <c r="J331" s="8">
        <v>30495</v>
      </c>
      <c r="K331" s="6" t="s">
        <v>3152</v>
      </c>
      <c r="L331" s="6" t="s">
        <v>1359</v>
      </c>
      <c r="N331" s="6" t="s">
        <v>1359</v>
      </c>
      <c r="O331" s="29">
        <v>32019.75</v>
      </c>
    </row>
    <row r="332" s="1" customFormat="1" ht="16.35" hidden="1" customHeight="1" spans="1:15">
      <c r="A332" s="5"/>
      <c r="B332" s="6" t="s">
        <v>2906</v>
      </c>
      <c r="C332" s="6">
        <v>2017</v>
      </c>
      <c r="D332" s="6">
        <v>5</v>
      </c>
      <c r="E332" s="7">
        <v>41</v>
      </c>
      <c r="F332" s="6" t="s">
        <v>3307</v>
      </c>
      <c r="G332" s="6" t="s">
        <v>2908</v>
      </c>
      <c r="H332" s="6" t="s">
        <v>2909</v>
      </c>
      <c r="I332" s="8"/>
      <c r="J332" s="8">
        <v>90340</v>
      </c>
      <c r="K332" s="6" t="s">
        <v>3308</v>
      </c>
      <c r="L332" s="6" t="s">
        <v>1584</v>
      </c>
      <c r="N332" s="6" t="s">
        <v>1584</v>
      </c>
      <c r="O332" s="29">
        <v>94857</v>
      </c>
    </row>
    <row r="333" s="1" customFormat="1" ht="16.35" hidden="1" customHeight="1" spans="1:15">
      <c r="A333" s="5"/>
      <c r="B333" s="6" t="s">
        <v>2906</v>
      </c>
      <c r="C333" s="6">
        <v>2017</v>
      </c>
      <c r="D333" s="6">
        <v>5</v>
      </c>
      <c r="E333" s="7">
        <v>42</v>
      </c>
      <c r="F333" s="6" t="s">
        <v>3307</v>
      </c>
      <c r="G333" s="6" t="s">
        <v>2908</v>
      </c>
      <c r="H333" s="6" t="s">
        <v>2909</v>
      </c>
      <c r="I333" s="8"/>
      <c r="J333" s="8">
        <v>4762</v>
      </c>
      <c r="K333" s="6" t="s">
        <v>3308</v>
      </c>
      <c r="L333" s="6" t="s">
        <v>1584</v>
      </c>
      <c r="N333" s="6" t="s">
        <v>1584</v>
      </c>
      <c r="O333" s="29">
        <v>5000.1</v>
      </c>
    </row>
    <row r="334" s="1" customFormat="1" ht="16.35" hidden="1" customHeight="1" spans="1:15">
      <c r="A334" s="5"/>
      <c r="B334" s="6" t="s">
        <v>2906</v>
      </c>
      <c r="C334" s="6">
        <v>2017</v>
      </c>
      <c r="D334" s="6">
        <v>5</v>
      </c>
      <c r="E334" s="7">
        <v>43</v>
      </c>
      <c r="F334" s="6" t="s">
        <v>3309</v>
      </c>
      <c r="G334" s="6" t="s">
        <v>2908</v>
      </c>
      <c r="H334" s="6" t="s">
        <v>2909</v>
      </c>
      <c r="I334" s="8"/>
      <c r="J334" s="8">
        <v>42709</v>
      </c>
      <c r="K334" s="6" t="s">
        <v>3310</v>
      </c>
      <c r="L334" s="6" t="s">
        <v>1884</v>
      </c>
      <c r="N334" s="6" t="s">
        <v>1884</v>
      </c>
      <c r="O334" s="29">
        <v>44844.45</v>
      </c>
    </row>
    <row r="335" s="1" customFormat="1" ht="16.35" hidden="1" customHeight="1" spans="1:15">
      <c r="A335" s="5"/>
      <c r="B335" s="6" t="s">
        <v>2906</v>
      </c>
      <c r="C335" s="6">
        <v>2017</v>
      </c>
      <c r="D335" s="6">
        <v>5</v>
      </c>
      <c r="E335" s="7">
        <v>44</v>
      </c>
      <c r="F335" s="6" t="s">
        <v>3311</v>
      </c>
      <c r="G335" s="6" t="s">
        <v>2908</v>
      </c>
      <c r="H335" s="6" t="s">
        <v>2909</v>
      </c>
      <c r="I335" s="8"/>
      <c r="J335" s="8">
        <v>41314</v>
      </c>
      <c r="K335" s="6" t="s">
        <v>3312</v>
      </c>
      <c r="L335" s="6" t="s">
        <v>1355</v>
      </c>
      <c r="N335" s="6" t="s">
        <v>1355</v>
      </c>
      <c r="O335" s="29">
        <v>43379.7</v>
      </c>
    </row>
    <row r="336" s="1" customFormat="1" ht="16.35" hidden="1" customHeight="1" spans="1:15">
      <c r="A336" s="5"/>
      <c r="B336" s="6" t="s">
        <v>2906</v>
      </c>
      <c r="C336" s="6">
        <v>2017</v>
      </c>
      <c r="D336" s="6">
        <v>5</v>
      </c>
      <c r="E336" s="7">
        <v>45</v>
      </c>
      <c r="F336" s="6" t="s">
        <v>3210</v>
      </c>
      <c r="G336" s="6" t="s">
        <v>2908</v>
      </c>
      <c r="H336" s="6" t="s">
        <v>2909</v>
      </c>
      <c r="I336" s="8"/>
      <c r="J336" s="8">
        <v>87619</v>
      </c>
      <c r="K336" s="6" t="s">
        <v>3165</v>
      </c>
      <c r="L336" s="6" t="s">
        <v>1357</v>
      </c>
      <c r="N336" s="6" t="s">
        <v>1357</v>
      </c>
      <c r="O336" s="29">
        <v>91999.95</v>
      </c>
    </row>
    <row r="337" s="1" customFormat="1" ht="16.35" hidden="1" customHeight="1" spans="1:15">
      <c r="A337" s="5"/>
      <c r="B337" s="6" t="s">
        <v>2906</v>
      </c>
      <c r="C337" s="6">
        <v>2017</v>
      </c>
      <c r="D337" s="6">
        <v>5</v>
      </c>
      <c r="E337" s="7">
        <v>46</v>
      </c>
      <c r="F337" s="6" t="s">
        <v>3313</v>
      </c>
      <c r="G337" s="6" t="s">
        <v>2908</v>
      </c>
      <c r="H337" s="6" t="s">
        <v>2909</v>
      </c>
      <c r="I337" s="8"/>
      <c r="J337" s="8">
        <v>44724</v>
      </c>
      <c r="K337" s="6" t="s">
        <v>3314</v>
      </c>
      <c r="L337" s="6" t="s">
        <v>1065</v>
      </c>
      <c r="N337" s="6" t="s">
        <v>1065</v>
      </c>
      <c r="O337" s="29">
        <v>46960.2</v>
      </c>
    </row>
    <row r="338" s="1" customFormat="1" ht="16.35" hidden="1" customHeight="1" spans="1:15">
      <c r="A338" s="5"/>
      <c r="B338" s="6" t="s">
        <v>2906</v>
      </c>
      <c r="C338" s="6">
        <v>2017</v>
      </c>
      <c r="D338" s="6">
        <v>5</v>
      </c>
      <c r="E338" s="7">
        <v>47</v>
      </c>
      <c r="F338" s="6" t="s">
        <v>3302</v>
      </c>
      <c r="G338" s="6" t="s">
        <v>2908</v>
      </c>
      <c r="H338" s="6" t="s">
        <v>2909</v>
      </c>
      <c r="I338" s="8"/>
      <c r="J338" s="8">
        <v>4762</v>
      </c>
      <c r="K338" s="6" t="s">
        <v>3303</v>
      </c>
      <c r="L338" s="6" t="s">
        <v>1878</v>
      </c>
      <c r="N338" s="6" t="s">
        <v>1878</v>
      </c>
      <c r="O338" s="29">
        <v>5000.1</v>
      </c>
    </row>
    <row r="339" s="1" customFormat="1" ht="16.35" hidden="1" customHeight="1" spans="1:15">
      <c r="A339" s="5"/>
      <c r="B339" s="6" t="s">
        <v>2906</v>
      </c>
      <c r="C339" s="6">
        <v>2017</v>
      </c>
      <c r="D339" s="6">
        <v>5</v>
      </c>
      <c r="E339" s="7">
        <v>48</v>
      </c>
      <c r="F339" s="6" t="s">
        <v>3302</v>
      </c>
      <c r="G339" s="6" t="s">
        <v>2908</v>
      </c>
      <c r="H339" s="6" t="s">
        <v>2909</v>
      </c>
      <c r="I339" s="8"/>
      <c r="J339" s="8">
        <v>438</v>
      </c>
      <c r="K339" s="6" t="s">
        <v>3303</v>
      </c>
      <c r="L339" s="6" t="s">
        <v>1878</v>
      </c>
      <c r="N339" s="6" t="s">
        <v>1878</v>
      </c>
      <c r="O339" s="29">
        <v>459.9</v>
      </c>
    </row>
    <row r="340" s="1" customFormat="1" ht="16.35" hidden="1" customHeight="1" spans="1:15">
      <c r="A340" s="5"/>
      <c r="B340" s="6" t="s">
        <v>2906</v>
      </c>
      <c r="C340" s="6">
        <v>2017</v>
      </c>
      <c r="D340" s="6">
        <v>5</v>
      </c>
      <c r="E340" s="7">
        <v>49</v>
      </c>
      <c r="F340" s="6" t="s">
        <v>3315</v>
      </c>
      <c r="G340" s="6" t="s">
        <v>2908</v>
      </c>
      <c r="H340" s="6" t="s">
        <v>2909</v>
      </c>
      <c r="I340" s="8"/>
      <c r="J340" s="8">
        <v>42571</v>
      </c>
      <c r="K340" s="6" t="s">
        <v>3316</v>
      </c>
      <c r="L340" s="6" t="s">
        <v>1298</v>
      </c>
      <c r="N340" s="6" t="s">
        <v>1298</v>
      </c>
      <c r="O340" s="29">
        <v>44699.55</v>
      </c>
    </row>
    <row r="341" s="1" customFormat="1" ht="16.35" hidden="1" customHeight="1" spans="1:15">
      <c r="A341" s="5"/>
      <c r="B341" s="6" t="s">
        <v>2906</v>
      </c>
      <c r="C341" s="6">
        <v>2017</v>
      </c>
      <c r="D341" s="6">
        <v>5</v>
      </c>
      <c r="E341" s="7">
        <v>50</v>
      </c>
      <c r="F341" s="6" t="s">
        <v>3317</v>
      </c>
      <c r="G341" s="6" t="s">
        <v>2908</v>
      </c>
      <c r="H341" s="6" t="s">
        <v>2909</v>
      </c>
      <c r="I341" s="8"/>
      <c r="J341" s="8">
        <v>-4762</v>
      </c>
      <c r="K341" s="6" t="s">
        <v>3230</v>
      </c>
      <c r="L341" s="6" t="s">
        <v>1527</v>
      </c>
      <c r="N341" s="6" t="s">
        <v>1527</v>
      </c>
      <c r="O341" s="29">
        <v>-5000.1</v>
      </c>
    </row>
    <row r="342" s="1" customFormat="1" ht="16.35" hidden="1" customHeight="1" spans="1:15">
      <c r="A342" s="5"/>
      <c r="B342" s="6" t="s">
        <v>2906</v>
      </c>
      <c r="C342" s="6">
        <v>2017</v>
      </c>
      <c r="D342" s="6">
        <v>5</v>
      </c>
      <c r="E342" s="7">
        <v>52</v>
      </c>
      <c r="F342" s="6" t="s">
        <v>3100</v>
      </c>
      <c r="G342" s="6" t="s">
        <v>2908</v>
      </c>
      <c r="H342" s="6" t="s">
        <v>2909</v>
      </c>
      <c r="I342" s="8"/>
      <c r="J342" s="8">
        <v>127619</v>
      </c>
      <c r="K342" s="6" t="s">
        <v>3101</v>
      </c>
      <c r="L342" s="6" t="s">
        <v>1804</v>
      </c>
      <c r="N342" s="6" t="s">
        <v>1804</v>
      </c>
      <c r="O342" s="29">
        <v>133999.95</v>
      </c>
    </row>
    <row r="343" s="1" customFormat="1" ht="16.35" hidden="1" customHeight="1" spans="1:16">
      <c r="A343" s="5"/>
      <c r="B343" s="6" t="s">
        <v>2906</v>
      </c>
      <c r="C343" s="6">
        <v>2017</v>
      </c>
      <c r="D343" s="6">
        <v>5</v>
      </c>
      <c r="E343" s="7">
        <v>53</v>
      </c>
      <c r="F343" s="6" t="s">
        <v>3191</v>
      </c>
      <c r="G343" s="6" t="s">
        <v>2908</v>
      </c>
      <c r="H343" s="6" t="s">
        <v>2909</v>
      </c>
      <c r="I343" s="8"/>
      <c r="J343" s="8">
        <v>119048</v>
      </c>
      <c r="K343" s="6" t="s">
        <v>3192</v>
      </c>
      <c r="L343" s="6" t="s">
        <v>1284</v>
      </c>
      <c r="N343" s="6" t="s">
        <v>1284</v>
      </c>
      <c r="O343" s="29">
        <v>125000.4</v>
      </c>
      <c r="P343" s="1">
        <f>O343-J343</f>
        <v>5952.39999999999</v>
      </c>
    </row>
    <row r="344" s="1" customFormat="1" ht="16.35" hidden="1" customHeight="1" spans="1:15">
      <c r="A344" s="5"/>
      <c r="B344" s="6" t="s">
        <v>2906</v>
      </c>
      <c r="C344" s="6">
        <v>2017</v>
      </c>
      <c r="D344" s="6">
        <v>5</v>
      </c>
      <c r="E344" s="7">
        <v>54</v>
      </c>
      <c r="F344" s="6" t="s">
        <v>3318</v>
      </c>
      <c r="G344" s="6" t="s">
        <v>2908</v>
      </c>
      <c r="H344" s="6" t="s">
        <v>2909</v>
      </c>
      <c r="I344" s="8"/>
      <c r="J344" s="8">
        <v>127619</v>
      </c>
      <c r="K344" s="6" t="s">
        <v>3146</v>
      </c>
      <c r="L344" s="6" t="s">
        <v>1772</v>
      </c>
      <c r="N344" s="6" t="s">
        <v>1772</v>
      </c>
      <c r="O344" s="29">
        <v>133999.95</v>
      </c>
    </row>
    <row r="345" s="1" customFormat="1" ht="16.35" hidden="1" customHeight="1" spans="1:15">
      <c r="A345" s="5"/>
      <c r="B345" s="6" t="s">
        <v>2906</v>
      </c>
      <c r="C345" s="6">
        <v>2017</v>
      </c>
      <c r="D345" s="6">
        <v>5</v>
      </c>
      <c r="E345" s="7">
        <v>55</v>
      </c>
      <c r="F345" s="6" t="s">
        <v>3077</v>
      </c>
      <c r="G345" s="6" t="s">
        <v>2908</v>
      </c>
      <c r="H345" s="6" t="s">
        <v>2909</v>
      </c>
      <c r="I345" s="8"/>
      <c r="J345" s="8">
        <v>127619</v>
      </c>
      <c r="K345" s="6" t="s">
        <v>3078</v>
      </c>
      <c r="L345" s="6" t="s">
        <v>1802</v>
      </c>
      <c r="N345" s="6" t="s">
        <v>1802</v>
      </c>
      <c r="O345" s="29">
        <v>133999.95</v>
      </c>
    </row>
    <row r="346" s="1" customFormat="1" ht="16.35" hidden="1" customHeight="1" spans="1:15">
      <c r="A346" s="5"/>
      <c r="B346" s="6" t="s">
        <v>2906</v>
      </c>
      <c r="C346" s="6">
        <v>2017</v>
      </c>
      <c r="D346" s="6">
        <v>5</v>
      </c>
      <c r="E346" s="7">
        <v>56</v>
      </c>
      <c r="F346" s="6" t="s">
        <v>3091</v>
      </c>
      <c r="G346" s="6" t="s">
        <v>2908</v>
      </c>
      <c r="H346" s="6" t="s">
        <v>2909</v>
      </c>
      <c r="I346" s="8"/>
      <c r="J346" s="8">
        <v>90476</v>
      </c>
      <c r="K346" s="6" t="s">
        <v>3092</v>
      </c>
      <c r="L346" s="6" t="s">
        <v>1075</v>
      </c>
      <c r="N346" s="6" t="s">
        <v>1075</v>
      </c>
      <c r="O346" s="29">
        <v>94999.8</v>
      </c>
    </row>
    <row r="347" s="1" customFormat="1" ht="16.35" hidden="1" customHeight="1" spans="1:15">
      <c r="A347" s="5"/>
      <c r="B347" s="6" t="s">
        <v>2906</v>
      </c>
      <c r="C347" s="6">
        <v>2017</v>
      </c>
      <c r="D347" s="6">
        <v>5</v>
      </c>
      <c r="E347" s="7">
        <v>57</v>
      </c>
      <c r="F347" s="6" t="s">
        <v>3319</v>
      </c>
      <c r="G347" s="6" t="s">
        <v>2908</v>
      </c>
      <c r="H347" s="6" t="s">
        <v>2909</v>
      </c>
      <c r="I347" s="8"/>
      <c r="J347" s="8">
        <v>127619</v>
      </c>
      <c r="K347" s="6" t="s">
        <v>3112</v>
      </c>
      <c r="L347" s="6" t="s">
        <v>1824</v>
      </c>
      <c r="N347" s="6" t="s">
        <v>1824</v>
      </c>
      <c r="O347" s="29">
        <v>133999.95</v>
      </c>
    </row>
    <row r="348" s="1" customFormat="1" ht="16.35" hidden="1" customHeight="1" spans="1:15">
      <c r="A348" s="5"/>
      <c r="B348" s="6" t="s">
        <v>2906</v>
      </c>
      <c r="C348" s="6">
        <v>2017</v>
      </c>
      <c r="D348" s="6">
        <v>5</v>
      </c>
      <c r="E348" s="7">
        <v>60</v>
      </c>
      <c r="F348" s="6" t="s">
        <v>3320</v>
      </c>
      <c r="G348" s="6" t="s">
        <v>2908</v>
      </c>
      <c r="H348" s="6" t="s">
        <v>2909</v>
      </c>
      <c r="I348" s="8"/>
      <c r="J348" s="8">
        <v>-25613</v>
      </c>
      <c r="K348" s="6" t="s">
        <v>3234</v>
      </c>
      <c r="L348" s="6" t="s">
        <v>1880</v>
      </c>
      <c r="N348" s="6" t="s">
        <v>1880</v>
      </c>
      <c r="O348" s="29">
        <v>-26893.65</v>
      </c>
    </row>
    <row r="349" s="1" customFormat="1" ht="16.35" hidden="1" customHeight="1" spans="1:15">
      <c r="A349" s="5"/>
      <c r="B349" s="6" t="s">
        <v>2906</v>
      </c>
      <c r="C349" s="6">
        <v>2017</v>
      </c>
      <c r="D349" s="6">
        <v>5</v>
      </c>
      <c r="E349" s="7">
        <v>60</v>
      </c>
      <c r="F349" s="6" t="s">
        <v>3321</v>
      </c>
      <c r="G349" s="6" t="s">
        <v>2908</v>
      </c>
      <c r="H349" s="6" t="s">
        <v>2909</v>
      </c>
      <c r="I349" s="8"/>
      <c r="J349" s="8">
        <v>-9524</v>
      </c>
      <c r="K349" s="6" t="s">
        <v>3099</v>
      </c>
      <c r="L349" s="6" t="s">
        <v>1557</v>
      </c>
      <c r="N349" s="6" t="s">
        <v>1557</v>
      </c>
      <c r="O349" s="29">
        <v>-10000.2</v>
      </c>
    </row>
    <row r="350" s="1" customFormat="1" ht="16.35" hidden="1" customHeight="1" spans="1:15">
      <c r="A350" s="5"/>
      <c r="B350" s="6" t="s">
        <v>2906</v>
      </c>
      <c r="C350" s="6">
        <v>2017</v>
      </c>
      <c r="D350" s="6">
        <v>5</v>
      </c>
      <c r="E350" s="7">
        <v>61</v>
      </c>
      <c r="F350" s="6" t="s">
        <v>3322</v>
      </c>
      <c r="G350" s="6" t="s">
        <v>2908</v>
      </c>
      <c r="H350" s="6" t="s">
        <v>2909</v>
      </c>
      <c r="I350" s="8"/>
      <c r="J350" s="8">
        <v>4762</v>
      </c>
      <c r="K350" s="6" t="s">
        <v>3323</v>
      </c>
      <c r="L350" s="6" t="s">
        <v>1607</v>
      </c>
      <c r="N350" s="6" t="s">
        <v>1607</v>
      </c>
      <c r="O350" s="29">
        <v>5000.1</v>
      </c>
    </row>
    <row r="351" s="1" customFormat="1" ht="16.35" hidden="1" customHeight="1" spans="1:15">
      <c r="A351" s="5"/>
      <c r="B351" s="6" t="s">
        <v>2906</v>
      </c>
      <c r="C351" s="6">
        <v>2017</v>
      </c>
      <c r="D351" s="6">
        <v>5</v>
      </c>
      <c r="E351" s="7">
        <v>62</v>
      </c>
      <c r="F351" s="6" t="s">
        <v>3324</v>
      </c>
      <c r="G351" s="6" t="s">
        <v>2908</v>
      </c>
      <c r="H351" s="6" t="s">
        <v>2909</v>
      </c>
      <c r="I351" s="8"/>
      <c r="J351" s="8">
        <v>96042</v>
      </c>
      <c r="K351" s="6" t="s">
        <v>3325</v>
      </c>
      <c r="L351" s="6" t="s">
        <v>1890</v>
      </c>
      <c r="N351" s="6" t="s">
        <v>1890</v>
      </c>
      <c r="O351" s="29">
        <v>100844.1</v>
      </c>
    </row>
    <row r="352" s="1" customFormat="1" ht="16.35" hidden="1" customHeight="1" spans="1:16">
      <c r="A352" s="5"/>
      <c r="B352" s="6" t="s">
        <v>2906</v>
      </c>
      <c r="C352" s="6">
        <v>2017</v>
      </c>
      <c r="D352" s="6">
        <v>5</v>
      </c>
      <c r="E352" s="7">
        <v>63</v>
      </c>
      <c r="F352" s="6" t="s">
        <v>3326</v>
      </c>
      <c r="G352" s="6" t="s">
        <v>2908</v>
      </c>
      <c r="H352" s="6" t="s">
        <v>2909</v>
      </c>
      <c r="I352" s="8"/>
      <c r="J352" s="8">
        <v>1775</v>
      </c>
      <c r="K352" s="6" t="s">
        <v>3327</v>
      </c>
      <c r="L352" s="6" t="s">
        <v>1898</v>
      </c>
      <c r="N352" s="6" t="s">
        <v>1898</v>
      </c>
      <c r="O352" s="29">
        <v>1863.75</v>
      </c>
      <c r="P352" s="1">
        <f>O352-J352</f>
        <v>88.75</v>
      </c>
    </row>
    <row r="353" s="1" customFormat="1" ht="16.35" hidden="1" customHeight="1" spans="1:15">
      <c r="A353" s="5"/>
      <c r="B353" s="6" t="s">
        <v>2906</v>
      </c>
      <c r="C353" s="6">
        <v>2017</v>
      </c>
      <c r="D353" s="6">
        <v>5</v>
      </c>
      <c r="E353" s="7">
        <v>64</v>
      </c>
      <c r="F353" s="6" t="s">
        <v>3328</v>
      </c>
      <c r="G353" s="6" t="s">
        <v>2908</v>
      </c>
      <c r="H353" s="6" t="s">
        <v>2909</v>
      </c>
      <c r="I353" s="8"/>
      <c r="J353" s="8">
        <v>85714</v>
      </c>
      <c r="K353" s="6" t="s">
        <v>3148</v>
      </c>
      <c r="L353" s="6" t="s">
        <v>1746</v>
      </c>
      <c r="N353" s="6" t="s">
        <v>1746</v>
      </c>
      <c r="O353" s="29">
        <v>89999.7</v>
      </c>
    </row>
    <row r="354" s="1" customFormat="1" ht="16.35" hidden="1" customHeight="1" spans="1:15">
      <c r="A354" s="5"/>
      <c r="B354" s="6" t="s">
        <v>2906</v>
      </c>
      <c r="C354" s="6">
        <v>2017</v>
      </c>
      <c r="D354" s="6">
        <v>6</v>
      </c>
      <c r="E354" s="7">
        <v>1</v>
      </c>
      <c r="F354" s="6" t="s">
        <v>3329</v>
      </c>
      <c r="G354" s="6" t="s">
        <v>2908</v>
      </c>
      <c r="H354" s="6" t="s">
        <v>2909</v>
      </c>
      <c r="I354" s="8"/>
      <c r="J354" s="8">
        <v>-9524</v>
      </c>
      <c r="K354" s="6" t="s">
        <v>3203</v>
      </c>
      <c r="L354" s="6" t="s">
        <v>1563</v>
      </c>
      <c r="N354" s="6" t="s">
        <v>1563</v>
      </c>
      <c r="O354" s="29">
        <v>-10000.2</v>
      </c>
    </row>
    <row r="355" s="1" customFormat="1" ht="16.35" hidden="1" customHeight="1" spans="1:15">
      <c r="A355" s="5"/>
      <c r="B355" s="6" t="s">
        <v>2906</v>
      </c>
      <c r="C355" s="6">
        <v>2017</v>
      </c>
      <c r="D355" s="6">
        <v>6</v>
      </c>
      <c r="E355" s="7">
        <v>4</v>
      </c>
      <c r="F355" s="6" t="s">
        <v>3330</v>
      </c>
      <c r="G355" s="6" t="s">
        <v>2908</v>
      </c>
      <c r="H355" s="6" t="s">
        <v>2909</v>
      </c>
      <c r="I355" s="8"/>
      <c r="J355" s="8">
        <v>53881</v>
      </c>
      <c r="K355" s="6" t="s">
        <v>3161</v>
      </c>
      <c r="L355" s="6" t="s">
        <v>1547</v>
      </c>
      <c r="N355" s="6" t="s">
        <v>1547</v>
      </c>
      <c r="O355" s="29">
        <v>56575.05</v>
      </c>
    </row>
    <row r="356" s="1" customFormat="1" ht="16.35" hidden="1" customHeight="1" spans="1:15">
      <c r="A356" s="5"/>
      <c r="B356" s="6" t="s">
        <v>2906</v>
      </c>
      <c r="C356" s="6">
        <v>2017</v>
      </c>
      <c r="D356" s="6">
        <v>6</v>
      </c>
      <c r="E356" s="7">
        <v>7</v>
      </c>
      <c r="F356" s="6" t="s">
        <v>3331</v>
      </c>
      <c r="G356" s="6" t="s">
        <v>2908</v>
      </c>
      <c r="H356" s="6" t="s">
        <v>2909</v>
      </c>
      <c r="I356" s="8"/>
      <c r="J356" s="8">
        <v>381</v>
      </c>
      <c r="K356" s="6" t="s">
        <v>3332</v>
      </c>
      <c r="L356" s="6" t="s">
        <v>1631</v>
      </c>
      <c r="N356" s="6" t="s">
        <v>1631</v>
      </c>
      <c r="O356" s="29">
        <v>400.05</v>
      </c>
    </row>
    <row r="357" s="1" customFormat="1" ht="16.35" hidden="1" customHeight="1" spans="1:15">
      <c r="A357" s="5"/>
      <c r="B357" s="6" t="s">
        <v>2906</v>
      </c>
      <c r="C357" s="6">
        <v>2017</v>
      </c>
      <c r="D357" s="6">
        <v>6</v>
      </c>
      <c r="E357" s="7">
        <v>8</v>
      </c>
      <c r="F357" s="6" t="s">
        <v>3331</v>
      </c>
      <c r="G357" s="6" t="s">
        <v>2908</v>
      </c>
      <c r="H357" s="6" t="s">
        <v>2909</v>
      </c>
      <c r="I357" s="8"/>
      <c r="J357" s="8">
        <v>9095</v>
      </c>
      <c r="K357" s="6" t="s">
        <v>3332</v>
      </c>
      <c r="L357" s="6" t="s">
        <v>1631</v>
      </c>
      <c r="N357" s="6" t="s">
        <v>1631</v>
      </c>
      <c r="O357" s="29">
        <v>9549.75</v>
      </c>
    </row>
    <row r="358" s="1" customFormat="1" ht="16.35" hidden="1" customHeight="1" spans="1:15">
      <c r="A358" s="5"/>
      <c r="B358" s="6" t="s">
        <v>2906</v>
      </c>
      <c r="C358" s="6">
        <v>2017</v>
      </c>
      <c r="D358" s="6">
        <v>6</v>
      </c>
      <c r="E358" s="7">
        <v>9</v>
      </c>
      <c r="F358" s="6" t="s">
        <v>3333</v>
      </c>
      <c r="G358" s="6" t="s">
        <v>2908</v>
      </c>
      <c r="H358" s="6" t="s">
        <v>2909</v>
      </c>
      <c r="I358" s="8"/>
      <c r="J358" s="8">
        <v>-41095</v>
      </c>
      <c r="K358" s="6" t="s">
        <v>3179</v>
      </c>
      <c r="L358" s="6" t="s">
        <v>1882</v>
      </c>
      <c r="N358" s="6" t="s">
        <v>1882</v>
      </c>
      <c r="O358" s="29">
        <v>-43149.75</v>
      </c>
    </row>
    <row r="359" s="1" customFormat="1" ht="16.35" hidden="1" customHeight="1" spans="1:15">
      <c r="A359" s="5"/>
      <c r="B359" s="6" t="s">
        <v>2906</v>
      </c>
      <c r="C359" s="6">
        <v>2017</v>
      </c>
      <c r="D359" s="6">
        <v>6</v>
      </c>
      <c r="E359" s="7">
        <v>9</v>
      </c>
      <c r="F359" s="6" t="s">
        <v>3333</v>
      </c>
      <c r="G359" s="6" t="s">
        <v>2908</v>
      </c>
      <c r="H359" s="6" t="s">
        <v>2909</v>
      </c>
      <c r="I359" s="8"/>
      <c r="J359" s="8">
        <v>41095</v>
      </c>
      <c r="K359" s="6" t="s">
        <v>3332</v>
      </c>
      <c r="L359" s="6" t="s">
        <v>1631</v>
      </c>
      <c r="N359" s="6" t="s">
        <v>1631</v>
      </c>
      <c r="O359" s="29">
        <v>43149.75</v>
      </c>
    </row>
    <row r="360" s="1" customFormat="1" ht="16.35" hidden="1" customHeight="1" spans="1:15">
      <c r="A360" s="5"/>
      <c r="B360" s="6" t="s">
        <v>2906</v>
      </c>
      <c r="C360" s="6">
        <v>2017</v>
      </c>
      <c r="D360" s="6">
        <v>6</v>
      </c>
      <c r="E360" s="7">
        <v>12</v>
      </c>
      <c r="F360" s="6" t="s">
        <v>3334</v>
      </c>
      <c r="G360" s="6" t="s">
        <v>2908</v>
      </c>
      <c r="H360" s="6" t="s">
        <v>2909</v>
      </c>
      <c r="I360" s="8"/>
      <c r="J360" s="8">
        <v>127619</v>
      </c>
      <c r="K360" s="6" t="s">
        <v>3158</v>
      </c>
      <c r="L360" s="6" t="s">
        <v>1798</v>
      </c>
      <c r="N360" s="6" t="s">
        <v>1798</v>
      </c>
      <c r="O360" s="29">
        <v>133999.95</v>
      </c>
    </row>
    <row r="361" s="1" customFormat="1" ht="16.35" hidden="1" customHeight="1" spans="1:15">
      <c r="A361" s="5"/>
      <c r="B361" s="6" t="s">
        <v>2906</v>
      </c>
      <c r="C361" s="6">
        <v>2017</v>
      </c>
      <c r="D361" s="6">
        <v>6</v>
      </c>
      <c r="E361" s="7">
        <v>13</v>
      </c>
      <c r="F361" s="6" t="s">
        <v>3176</v>
      </c>
      <c r="G361" s="6" t="s">
        <v>2908</v>
      </c>
      <c r="H361" s="6" t="s">
        <v>2909</v>
      </c>
      <c r="I361" s="8"/>
      <c r="J361" s="8">
        <v>150476</v>
      </c>
      <c r="K361" s="6" t="s">
        <v>3177</v>
      </c>
      <c r="L361" s="6" t="s">
        <v>1615</v>
      </c>
      <c r="N361" s="6" t="s">
        <v>1615</v>
      </c>
      <c r="O361" s="29">
        <v>157999.8</v>
      </c>
    </row>
    <row r="362" s="1" customFormat="1" ht="16.35" hidden="1" customHeight="1" spans="1:15">
      <c r="A362" s="5"/>
      <c r="B362" s="6" t="s">
        <v>2906</v>
      </c>
      <c r="C362" s="6">
        <v>2017</v>
      </c>
      <c r="D362" s="6">
        <v>6</v>
      </c>
      <c r="E362" s="7">
        <v>14</v>
      </c>
      <c r="F362" s="6" t="s">
        <v>3335</v>
      </c>
      <c r="G362" s="6" t="s">
        <v>2908</v>
      </c>
      <c r="H362" s="6" t="s">
        <v>2909</v>
      </c>
      <c r="I362" s="8"/>
      <c r="J362" s="8">
        <v>127619</v>
      </c>
      <c r="K362" s="6" t="s">
        <v>3240</v>
      </c>
      <c r="L362" s="6" t="s">
        <v>1774</v>
      </c>
      <c r="N362" s="6" t="s">
        <v>1774</v>
      </c>
      <c r="O362" s="29">
        <v>133999.95</v>
      </c>
    </row>
    <row r="363" s="1" customFormat="1" ht="16.35" hidden="1" customHeight="1" spans="1:15">
      <c r="A363" s="5"/>
      <c r="B363" s="6" t="s">
        <v>2906</v>
      </c>
      <c r="C363" s="6">
        <v>2017</v>
      </c>
      <c r="D363" s="6">
        <v>6</v>
      </c>
      <c r="E363" s="7">
        <v>15</v>
      </c>
      <c r="F363" s="6" t="s">
        <v>3336</v>
      </c>
      <c r="G363" s="6" t="s">
        <v>2908</v>
      </c>
      <c r="H363" s="6" t="s">
        <v>2909</v>
      </c>
      <c r="I363" s="8"/>
      <c r="J363" s="8">
        <v>127619</v>
      </c>
      <c r="K363" s="6" t="s">
        <v>3205</v>
      </c>
      <c r="L363" s="6" t="s">
        <v>1820</v>
      </c>
      <c r="N363" s="6" t="s">
        <v>1820</v>
      </c>
      <c r="O363" s="29">
        <v>133999.95</v>
      </c>
    </row>
    <row r="364" s="1" customFormat="1" ht="16.35" hidden="1" customHeight="1" spans="1:15">
      <c r="A364" s="5"/>
      <c r="B364" s="6" t="s">
        <v>2906</v>
      </c>
      <c r="C364" s="6">
        <v>2017</v>
      </c>
      <c r="D364" s="6">
        <v>6</v>
      </c>
      <c r="E364" s="7">
        <v>16</v>
      </c>
      <c r="F364" s="6" t="s">
        <v>3337</v>
      </c>
      <c r="G364" s="6" t="s">
        <v>2908</v>
      </c>
      <c r="H364" s="6" t="s">
        <v>2909</v>
      </c>
      <c r="I364" s="8"/>
      <c r="J364" s="8">
        <v>127619</v>
      </c>
      <c r="K364" s="6" t="s">
        <v>3163</v>
      </c>
      <c r="L364" s="6" t="s">
        <v>1796</v>
      </c>
      <c r="N364" s="6" t="s">
        <v>1796</v>
      </c>
      <c r="O364" s="29">
        <v>133999.95</v>
      </c>
    </row>
    <row r="365" s="1" customFormat="1" ht="16.35" hidden="1" customHeight="1" spans="1:15">
      <c r="A365" s="5"/>
      <c r="B365" s="6" t="s">
        <v>2906</v>
      </c>
      <c r="C365" s="6">
        <v>2017</v>
      </c>
      <c r="D365" s="6">
        <v>6</v>
      </c>
      <c r="E365" s="7">
        <v>17</v>
      </c>
      <c r="F365" s="6" t="s">
        <v>3057</v>
      </c>
      <c r="G365" s="6" t="s">
        <v>2908</v>
      </c>
      <c r="H365" s="6" t="s">
        <v>2909</v>
      </c>
      <c r="I365" s="8"/>
      <c r="J365" s="8">
        <v>24745</v>
      </c>
      <c r="K365" s="6" t="s">
        <v>3058</v>
      </c>
      <c r="L365" s="6" t="s">
        <v>1565</v>
      </c>
      <c r="N365" s="6" t="s">
        <v>1565</v>
      </c>
      <c r="O365" s="29">
        <v>25982.25</v>
      </c>
    </row>
    <row r="366" s="1" customFormat="1" ht="16.35" hidden="1" customHeight="1" spans="1:15">
      <c r="A366" s="5"/>
      <c r="B366" s="6" t="s">
        <v>2906</v>
      </c>
      <c r="C366" s="6">
        <v>2017</v>
      </c>
      <c r="D366" s="6">
        <v>6</v>
      </c>
      <c r="E366" s="7">
        <v>18</v>
      </c>
      <c r="F366" s="6" t="s">
        <v>3210</v>
      </c>
      <c r="G366" s="6" t="s">
        <v>2908</v>
      </c>
      <c r="H366" s="6" t="s">
        <v>2909</v>
      </c>
      <c r="I366" s="8"/>
      <c r="J366" s="8">
        <v>16540</v>
      </c>
      <c r="K366" s="6" t="s">
        <v>3165</v>
      </c>
      <c r="L366" s="6" t="s">
        <v>1357</v>
      </c>
      <c r="N366" s="6" t="s">
        <v>1357</v>
      </c>
      <c r="O366" s="29">
        <v>17367</v>
      </c>
    </row>
    <row r="367" s="1" customFormat="1" ht="16.35" hidden="1" customHeight="1" spans="1:15">
      <c r="A367" s="5"/>
      <c r="B367" s="6" t="s">
        <v>2906</v>
      </c>
      <c r="C367" s="6">
        <v>2017</v>
      </c>
      <c r="D367" s="6">
        <v>6</v>
      </c>
      <c r="E367" s="7">
        <v>20</v>
      </c>
      <c r="F367" s="6" t="s">
        <v>3338</v>
      </c>
      <c r="G367" s="6" t="s">
        <v>2908</v>
      </c>
      <c r="H367" s="6" t="s">
        <v>2909</v>
      </c>
      <c r="I367" s="8"/>
      <c r="J367" s="8">
        <v>-96042</v>
      </c>
      <c r="K367" s="6" t="s">
        <v>3325</v>
      </c>
      <c r="L367" s="6" t="s">
        <v>1890</v>
      </c>
      <c r="N367" s="6" t="s">
        <v>1890</v>
      </c>
      <c r="O367" s="29">
        <v>-100844.1</v>
      </c>
    </row>
    <row r="368" s="1" customFormat="1" ht="16.35" hidden="1" customHeight="1" spans="1:15">
      <c r="A368" s="5"/>
      <c r="B368" s="6" t="s">
        <v>2906</v>
      </c>
      <c r="C368" s="6">
        <v>2017</v>
      </c>
      <c r="D368" s="6">
        <v>6</v>
      </c>
      <c r="E368" s="7">
        <v>20</v>
      </c>
      <c r="F368" s="6" t="s">
        <v>3338</v>
      </c>
      <c r="G368" s="6" t="s">
        <v>2908</v>
      </c>
      <c r="H368" s="6" t="s">
        <v>2909</v>
      </c>
      <c r="I368" s="8"/>
      <c r="J368" s="8">
        <v>96042</v>
      </c>
      <c r="K368" s="6" t="s">
        <v>3179</v>
      </c>
      <c r="L368" s="6" t="s">
        <v>1882</v>
      </c>
      <c r="N368" s="6" t="s">
        <v>1882</v>
      </c>
      <c r="O368" s="29">
        <v>100844.1</v>
      </c>
    </row>
    <row r="369" s="1" customFormat="1" ht="16.35" hidden="1" customHeight="1" spans="1:15">
      <c r="A369" s="5"/>
      <c r="B369" s="6" t="s">
        <v>2906</v>
      </c>
      <c r="C369" s="6">
        <v>2017</v>
      </c>
      <c r="D369" s="6">
        <v>6</v>
      </c>
      <c r="E369" s="7">
        <v>21</v>
      </c>
      <c r="F369" s="6" t="s">
        <v>3339</v>
      </c>
      <c r="G369" s="6" t="s">
        <v>2908</v>
      </c>
      <c r="H369" s="6" t="s">
        <v>2909</v>
      </c>
      <c r="I369" s="8"/>
      <c r="J369" s="8">
        <v>2899</v>
      </c>
      <c r="K369" s="6" t="s">
        <v>3179</v>
      </c>
      <c r="L369" s="6" t="s">
        <v>1882</v>
      </c>
      <c r="N369" s="6" t="s">
        <v>1882</v>
      </c>
      <c r="O369" s="29">
        <v>3043.95</v>
      </c>
    </row>
    <row r="370" s="1" customFormat="1" ht="16.35" hidden="1" customHeight="1" spans="1:15">
      <c r="A370" s="5"/>
      <c r="B370" s="6" t="s">
        <v>2906</v>
      </c>
      <c r="C370" s="6">
        <v>2017</v>
      </c>
      <c r="D370" s="6">
        <v>6</v>
      </c>
      <c r="E370" s="7">
        <v>22</v>
      </c>
      <c r="F370" s="6" t="s">
        <v>3340</v>
      </c>
      <c r="G370" s="6" t="s">
        <v>2908</v>
      </c>
      <c r="H370" s="6" t="s">
        <v>2909</v>
      </c>
      <c r="I370" s="8"/>
      <c r="J370" s="8">
        <v>43661</v>
      </c>
      <c r="K370" s="6" t="s">
        <v>3325</v>
      </c>
      <c r="L370" s="6" t="s">
        <v>1890</v>
      </c>
      <c r="N370" s="6" t="s">
        <v>1890</v>
      </c>
      <c r="O370" s="29">
        <v>45844.05</v>
      </c>
    </row>
    <row r="371" s="1" customFormat="1" ht="16.35" hidden="1" customHeight="1" spans="1:16">
      <c r="A371" s="5"/>
      <c r="B371" s="6" t="s">
        <v>2906</v>
      </c>
      <c r="C371" s="6">
        <v>2017</v>
      </c>
      <c r="D371" s="6">
        <v>6</v>
      </c>
      <c r="E371" s="7">
        <v>27</v>
      </c>
      <c r="F371" s="6" t="s">
        <v>3282</v>
      </c>
      <c r="G371" s="6" t="s">
        <v>2908</v>
      </c>
      <c r="H371" s="6" t="s">
        <v>2909</v>
      </c>
      <c r="I371" s="8"/>
      <c r="J371" s="8">
        <v>155238</v>
      </c>
      <c r="K371" s="6" t="s">
        <v>3283</v>
      </c>
      <c r="L371" s="6" t="s">
        <v>1286</v>
      </c>
      <c r="N371" s="6" t="s">
        <v>1286</v>
      </c>
      <c r="O371" s="29">
        <v>163000</v>
      </c>
      <c r="P371" s="1">
        <f>O371-J371</f>
        <v>7762</v>
      </c>
    </row>
    <row r="372" s="1" customFormat="1" ht="16.35" hidden="1" customHeight="1" spans="1:15">
      <c r="A372" s="5"/>
      <c r="B372" s="6" t="s">
        <v>2906</v>
      </c>
      <c r="C372" s="6">
        <v>2017</v>
      </c>
      <c r="D372" s="6">
        <v>6</v>
      </c>
      <c r="E372" s="7">
        <v>28</v>
      </c>
      <c r="F372" s="6" t="s">
        <v>3341</v>
      </c>
      <c r="G372" s="6" t="s">
        <v>2908</v>
      </c>
      <c r="H372" s="6" t="s">
        <v>2909</v>
      </c>
      <c r="I372" s="8"/>
      <c r="J372" s="8">
        <v>155238</v>
      </c>
      <c r="K372" s="6" t="s">
        <v>3167</v>
      </c>
      <c r="L372" s="6" t="s">
        <v>1302</v>
      </c>
      <c r="N372" s="6" t="s">
        <v>1302</v>
      </c>
      <c r="O372" s="29">
        <v>162999.9</v>
      </c>
    </row>
    <row r="373" s="1" customFormat="1" ht="16.35" hidden="1" customHeight="1" spans="1:15">
      <c r="A373" s="5"/>
      <c r="B373" s="6" t="s">
        <v>2906</v>
      </c>
      <c r="C373" s="6">
        <v>2017</v>
      </c>
      <c r="D373" s="6">
        <v>6</v>
      </c>
      <c r="E373" s="7">
        <v>29</v>
      </c>
      <c r="F373" s="6" t="s">
        <v>3198</v>
      </c>
      <c r="G373" s="6" t="s">
        <v>2908</v>
      </c>
      <c r="H373" s="6" t="s">
        <v>2909</v>
      </c>
      <c r="I373" s="8"/>
      <c r="J373" s="8">
        <v>147619</v>
      </c>
      <c r="K373" s="6" t="s">
        <v>3199</v>
      </c>
      <c r="L373" s="6" t="s">
        <v>1593</v>
      </c>
      <c r="N373" s="6" t="s">
        <v>1593</v>
      </c>
      <c r="O373" s="29">
        <v>154999.95</v>
      </c>
    </row>
    <row r="374" s="1" customFormat="1" ht="16.35" hidden="1" customHeight="1" spans="1:15">
      <c r="A374" s="5"/>
      <c r="B374" s="6" t="s">
        <v>2906</v>
      </c>
      <c r="C374" s="6">
        <v>2017</v>
      </c>
      <c r="D374" s="6">
        <v>6</v>
      </c>
      <c r="E374" s="7">
        <v>31</v>
      </c>
      <c r="F374" s="6" t="s">
        <v>3342</v>
      </c>
      <c r="G374" s="6" t="s">
        <v>2908</v>
      </c>
      <c r="H374" s="6" t="s">
        <v>2909</v>
      </c>
      <c r="I374" s="8"/>
      <c r="J374" s="8">
        <v>150476</v>
      </c>
      <c r="K374" s="6" t="s">
        <v>3292</v>
      </c>
      <c r="L374" s="6" t="s">
        <v>1639</v>
      </c>
      <c r="N374" s="6" t="s">
        <v>1639</v>
      </c>
      <c r="O374" s="29">
        <v>157999.8</v>
      </c>
    </row>
    <row r="375" s="1" customFormat="1" ht="16.35" hidden="1" customHeight="1" spans="1:16">
      <c r="A375" s="5"/>
      <c r="B375" s="6" t="s">
        <v>2906</v>
      </c>
      <c r="C375" s="6">
        <v>2017</v>
      </c>
      <c r="D375" s="6">
        <v>6</v>
      </c>
      <c r="E375" s="7">
        <v>33</v>
      </c>
      <c r="F375" s="6" t="s">
        <v>3343</v>
      </c>
      <c r="G375" s="6" t="s">
        <v>2908</v>
      </c>
      <c r="H375" s="6" t="s">
        <v>2909</v>
      </c>
      <c r="I375" s="8"/>
      <c r="J375" s="8">
        <v>39048</v>
      </c>
      <c r="K375" s="6" t="s">
        <v>3344</v>
      </c>
      <c r="L375" s="6" t="s">
        <v>1373</v>
      </c>
      <c r="N375" s="6" t="s">
        <v>1373</v>
      </c>
      <c r="O375" s="29">
        <v>41000.4</v>
      </c>
      <c r="P375" s="1">
        <f>O375-J375</f>
        <v>1952.4</v>
      </c>
    </row>
    <row r="376" s="1" customFormat="1" ht="16.35" hidden="1" customHeight="1" spans="1:15">
      <c r="A376" s="5"/>
      <c r="B376" s="6" t="s">
        <v>2906</v>
      </c>
      <c r="C376" s="6">
        <v>2017</v>
      </c>
      <c r="D376" s="6">
        <v>7</v>
      </c>
      <c r="E376" s="7">
        <v>1</v>
      </c>
      <c r="F376" s="6" t="s">
        <v>3345</v>
      </c>
      <c r="G376" s="6" t="s">
        <v>2908</v>
      </c>
      <c r="H376" s="6" t="s">
        <v>2909</v>
      </c>
      <c r="I376" s="8"/>
      <c r="J376" s="8">
        <v>42066</v>
      </c>
      <c r="K376" s="6" t="s">
        <v>3099</v>
      </c>
      <c r="L376" s="6" t="s">
        <v>1557</v>
      </c>
      <c r="N376" s="6" t="s">
        <v>1557</v>
      </c>
      <c r="O376" s="29">
        <v>44169.3</v>
      </c>
    </row>
    <row r="377" s="1" customFormat="1" ht="16.35" hidden="1" customHeight="1" spans="1:15">
      <c r="A377" s="5"/>
      <c r="B377" s="6" t="s">
        <v>2906</v>
      </c>
      <c r="C377" s="6">
        <v>2017</v>
      </c>
      <c r="D377" s="6">
        <v>7</v>
      </c>
      <c r="E377" s="7">
        <v>2</v>
      </c>
      <c r="F377" s="6" t="s">
        <v>3187</v>
      </c>
      <c r="G377" s="6" t="s">
        <v>2908</v>
      </c>
      <c r="H377" s="6" t="s">
        <v>2909</v>
      </c>
      <c r="I377" s="8"/>
      <c r="J377" s="8">
        <v>29873</v>
      </c>
      <c r="K377" s="6" t="s">
        <v>3188</v>
      </c>
      <c r="L377" s="6" t="s">
        <v>1399</v>
      </c>
      <c r="N377" s="6" t="s">
        <v>1399</v>
      </c>
      <c r="O377" s="29">
        <v>31366.65</v>
      </c>
    </row>
    <row r="378" s="1" customFormat="1" ht="16.35" hidden="1" customHeight="1" spans="1:15">
      <c r="A378" s="5"/>
      <c r="B378" s="6" t="s">
        <v>2906</v>
      </c>
      <c r="C378" s="6">
        <v>2017</v>
      </c>
      <c r="D378" s="6">
        <v>7</v>
      </c>
      <c r="E378" s="7">
        <v>3</v>
      </c>
      <c r="F378" s="6" t="s">
        <v>3346</v>
      </c>
      <c r="G378" s="6" t="s">
        <v>2908</v>
      </c>
      <c r="H378" s="6" t="s">
        <v>2909</v>
      </c>
      <c r="I378" s="8"/>
      <c r="J378" s="8">
        <v>41638</v>
      </c>
      <c r="K378" s="6" t="s">
        <v>3056</v>
      </c>
      <c r="L378" s="6" t="s">
        <v>1577</v>
      </c>
      <c r="N378" s="6" t="s">
        <v>1577</v>
      </c>
      <c r="O378" s="29">
        <v>43719.9</v>
      </c>
    </row>
    <row r="379" s="1" customFormat="1" ht="16.35" hidden="1" customHeight="1" spans="1:15">
      <c r="A379" s="5"/>
      <c r="B379" s="6" t="s">
        <v>2906</v>
      </c>
      <c r="C379" s="6">
        <v>2017</v>
      </c>
      <c r="D379" s="6">
        <v>7</v>
      </c>
      <c r="E379" s="7">
        <v>4</v>
      </c>
      <c r="F379" s="6" t="s">
        <v>3347</v>
      </c>
      <c r="G379" s="6" t="s">
        <v>2908</v>
      </c>
      <c r="H379" s="6" t="s">
        <v>2909</v>
      </c>
      <c r="I379" s="8"/>
      <c r="J379" s="8">
        <v>36038</v>
      </c>
      <c r="K379" s="6" t="s">
        <v>3348</v>
      </c>
      <c r="L379" s="6" t="s">
        <v>1353</v>
      </c>
      <c r="N379" s="6" t="s">
        <v>1353</v>
      </c>
      <c r="O379" s="29">
        <v>37839.9</v>
      </c>
    </row>
    <row r="380" s="1" customFormat="1" ht="16.35" hidden="1" customHeight="1" spans="1:15">
      <c r="A380" s="5"/>
      <c r="B380" s="6" t="s">
        <v>2906</v>
      </c>
      <c r="C380" s="6">
        <v>2017</v>
      </c>
      <c r="D380" s="6">
        <v>7</v>
      </c>
      <c r="E380" s="7">
        <v>5</v>
      </c>
      <c r="F380" s="6" t="s">
        <v>3349</v>
      </c>
      <c r="G380" s="6" t="s">
        <v>2908</v>
      </c>
      <c r="H380" s="6" t="s">
        <v>2909</v>
      </c>
      <c r="I380" s="8"/>
      <c r="J380" s="8">
        <v>47619</v>
      </c>
      <c r="K380" s="6" t="s">
        <v>3060</v>
      </c>
      <c r="L380" s="6" t="s">
        <v>1575</v>
      </c>
      <c r="N380" s="6" t="s">
        <v>1575</v>
      </c>
      <c r="O380" s="29">
        <v>49999.95</v>
      </c>
    </row>
    <row r="381" s="1" customFormat="1" ht="16.35" hidden="1" customHeight="1" spans="1:15">
      <c r="A381" s="5"/>
      <c r="B381" s="6" t="s">
        <v>2906</v>
      </c>
      <c r="C381" s="6">
        <v>2017</v>
      </c>
      <c r="D381" s="6">
        <v>7</v>
      </c>
      <c r="E381" s="7">
        <v>6</v>
      </c>
      <c r="F381" s="6" t="s">
        <v>3350</v>
      </c>
      <c r="G381" s="6" t="s">
        <v>2908</v>
      </c>
      <c r="H381" s="6" t="s">
        <v>2909</v>
      </c>
      <c r="I381" s="8"/>
      <c r="J381" s="8">
        <v>-7619</v>
      </c>
      <c r="K381" s="6" t="s">
        <v>3174</v>
      </c>
      <c r="L381" s="6" t="s">
        <v>1294</v>
      </c>
      <c r="N381" s="6" t="s">
        <v>1294</v>
      </c>
      <c r="O381" s="29">
        <v>-7999.95</v>
      </c>
    </row>
    <row r="382" s="1" customFormat="1" ht="16.35" hidden="1" customHeight="1" spans="1:16">
      <c r="A382" s="5"/>
      <c r="B382" s="6" t="s">
        <v>2906</v>
      </c>
      <c r="C382" s="6">
        <v>2017</v>
      </c>
      <c r="D382" s="6">
        <v>7</v>
      </c>
      <c r="E382" s="7">
        <v>10</v>
      </c>
      <c r="F382" s="6" t="s">
        <v>3351</v>
      </c>
      <c r="G382" s="6" t="s">
        <v>2908</v>
      </c>
      <c r="H382" s="6" t="s">
        <v>2909</v>
      </c>
      <c r="I382" s="8"/>
      <c r="J382" s="8">
        <v>2798</v>
      </c>
      <c r="K382" s="6" t="s">
        <v>3344</v>
      </c>
      <c r="L382" s="6" t="s">
        <v>1373</v>
      </c>
      <c r="N382" s="6" t="s">
        <v>1373</v>
      </c>
      <c r="O382" s="29">
        <v>2937.9</v>
      </c>
      <c r="P382" s="1">
        <f>O382-J382</f>
        <v>139.9</v>
      </c>
    </row>
    <row r="383" s="1" customFormat="1" ht="16.35" hidden="1" customHeight="1" spans="1:15">
      <c r="A383" s="5"/>
      <c r="B383" s="6" t="s">
        <v>2906</v>
      </c>
      <c r="C383" s="6">
        <v>2017</v>
      </c>
      <c r="D383" s="6">
        <v>7</v>
      </c>
      <c r="E383" s="7">
        <v>11</v>
      </c>
      <c r="F383" s="6" t="s">
        <v>3307</v>
      </c>
      <c r="G383" s="6" t="s">
        <v>2908</v>
      </c>
      <c r="H383" s="6" t="s">
        <v>2909</v>
      </c>
      <c r="I383" s="8"/>
      <c r="J383" s="8">
        <v>104761</v>
      </c>
      <c r="K383" s="6" t="s">
        <v>3308</v>
      </c>
      <c r="L383" s="6" t="s">
        <v>1584</v>
      </c>
      <c r="N383" s="6" t="s">
        <v>1584</v>
      </c>
      <c r="O383" s="29">
        <v>109999.05</v>
      </c>
    </row>
    <row r="384" s="1" customFormat="1" ht="16.35" hidden="1" customHeight="1" spans="1:15">
      <c r="A384" s="5"/>
      <c r="B384" s="6" t="s">
        <v>2906</v>
      </c>
      <c r="C384" s="6">
        <v>2017</v>
      </c>
      <c r="D384" s="6">
        <v>7</v>
      </c>
      <c r="E384" s="7">
        <v>12</v>
      </c>
      <c r="F384" s="6" t="s">
        <v>3352</v>
      </c>
      <c r="G384" s="6" t="s">
        <v>2908</v>
      </c>
      <c r="H384" s="6" t="s">
        <v>2909</v>
      </c>
      <c r="I384" s="8"/>
      <c r="J384" s="8">
        <v>104762</v>
      </c>
      <c r="K384" s="6" t="s">
        <v>3001</v>
      </c>
      <c r="L384" s="6" t="s">
        <v>1836</v>
      </c>
      <c r="N384" s="6" t="s">
        <v>1836</v>
      </c>
      <c r="O384" s="29">
        <v>110000.1</v>
      </c>
    </row>
    <row r="385" s="1" customFormat="1" ht="16.35" hidden="1" customHeight="1" spans="1:15">
      <c r="A385" s="5"/>
      <c r="B385" s="6" t="s">
        <v>2906</v>
      </c>
      <c r="C385" s="6">
        <v>2017</v>
      </c>
      <c r="D385" s="6">
        <v>7</v>
      </c>
      <c r="E385" s="7">
        <v>13</v>
      </c>
      <c r="F385" s="6" t="s">
        <v>3349</v>
      </c>
      <c r="G385" s="6" t="s">
        <v>2908</v>
      </c>
      <c r="H385" s="6" t="s">
        <v>2909</v>
      </c>
      <c r="I385" s="8"/>
      <c r="J385" s="8">
        <v>524</v>
      </c>
      <c r="K385" s="6" t="s">
        <v>3060</v>
      </c>
      <c r="L385" s="6" t="s">
        <v>1575</v>
      </c>
      <c r="N385" s="6" t="s">
        <v>1575</v>
      </c>
      <c r="O385" s="29">
        <v>550.2</v>
      </c>
    </row>
    <row r="386" s="1" customFormat="1" ht="16.35" hidden="1" customHeight="1" spans="1:15">
      <c r="A386" s="5"/>
      <c r="B386" s="6" t="s">
        <v>2906</v>
      </c>
      <c r="C386" s="6">
        <v>2017</v>
      </c>
      <c r="D386" s="6">
        <v>7</v>
      </c>
      <c r="E386" s="7">
        <v>14</v>
      </c>
      <c r="F386" s="6" t="s">
        <v>3349</v>
      </c>
      <c r="G386" s="6" t="s">
        <v>2908</v>
      </c>
      <c r="H386" s="6" t="s">
        <v>2909</v>
      </c>
      <c r="I386" s="8"/>
      <c r="J386" s="8">
        <v>244</v>
      </c>
      <c r="K386" s="6" t="s">
        <v>3060</v>
      </c>
      <c r="L386" s="6" t="s">
        <v>1575</v>
      </c>
      <c r="N386" s="6" t="s">
        <v>1575</v>
      </c>
      <c r="O386" s="29">
        <v>256.2</v>
      </c>
    </row>
    <row r="387" s="1" customFormat="1" ht="16.35" hidden="1" customHeight="1" spans="1:15">
      <c r="A387" s="5"/>
      <c r="B387" s="6" t="s">
        <v>2906</v>
      </c>
      <c r="C387" s="6">
        <v>2017</v>
      </c>
      <c r="D387" s="6">
        <v>7</v>
      </c>
      <c r="E387" s="7">
        <v>15</v>
      </c>
      <c r="F387" s="6" t="s">
        <v>3353</v>
      </c>
      <c r="G387" s="6" t="s">
        <v>2908</v>
      </c>
      <c r="H387" s="6" t="s">
        <v>2909</v>
      </c>
      <c r="I387" s="8"/>
      <c r="J387" s="8">
        <v>285</v>
      </c>
      <c r="K387" s="6" t="s">
        <v>3348</v>
      </c>
      <c r="L387" s="6" t="s">
        <v>1353</v>
      </c>
      <c r="N387" s="6" t="s">
        <v>1353</v>
      </c>
      <c r="O387" s="29">
        <v>299.25</v>
      </c>
    </row>
    <row r="388" s="1" customFormat="1" ht="16.35" hidden="1" customHeight="1" spans="1:15">
      <c r="A388" s="5"/>
      <c r="B388" s="6" t="s">
        <v>2906</v>
      </c>
      <c r="C388" s="6">
        <v>2017</v>
      </c>
      <c r="D388" s="6">
        <v>7</v>
      </c>
      <c r="E388" s="7">
        <v>16</v>
      </c>
      <c r="F388" s="6" t="s">
        <v>3354</v>
      </c>
      <c r="G388" s="6" t="s">
        <v>2908</v>
      </c>
      <c r="H388" s="6" t="s">
        <v>2909</v>
      </c>
      <c r="I388" s="8"/>
      <c r="J388" s="8">
        <v>41846</v>
      </c>
      <c r="K388" s="6" t="s">
        <v>3355</v>
      </c>
      <c r="L388" s="6" t="s">
        <v>1375</v>
      </c>
      <c r="N388" s="6" t="s">
        <v>1375</v>
      </c>
      <c r="O388" s="29">
        <v>43938.3</v>
      </c>
    </row>
    <row r="389" s="1" customFormat="1" ht="16.35" hidden="1" customHeight="1" spans="1:15">
      <c r="A389" s="5"/>
      <c r="B389" s="6" t="s">
        <v>2906</v>
      </c>
      <c r="C389" s="6">
        <v>2017</v>
      </c>
      <c r="D389" s="6">
        <v>7</v>
      </c>
      <c r="E389" s="7">
        <v>18</v>
      </c>
      <c r="F389" s="6" t="s">
        <v>3200</v>
      </c>
      <c r="G389" s="6" t="s">
        <v>2908</v>
      </c>
      <c r="H389" s="6" t="s">
        <v>2909</v>
      </c>
      <c r="I389" s="8"/>
      <c r="J389" s="8">
        <v>35931</v>
      </c>
      <c r="K389" s="6" t="s">
        <v>3201</v>
      </c>
      <c r="L389" s="6" t="s">
        <v>1553</v>
      </c>
      <c r="N389" s="6" t="s">
        <v>1553</v>
      </c>
      <c r="O389" s="29">
        <v>37727.55</v>
      </c>
    </row>
    <row r="390" s="1" customFormat="1" ht="16.35" hidden="1" customHeight="1" spans="1:15">
      <c r="A390" s="5"/>
      <c r="B390" s="6" t="s">
        <v>2906</v>
      </c>
      <c r="C390" s="6">
        <v>2017</v>
      </c>
      <c r="D390" s="6">
        <v>7</v>
      </c>
      <c r="E390" s="7">
        <v>19</v>
      </c>
      <c r="F390" s="6" t="s">
        <v>3356</v>
      </c>
      <c r="G390" s="6" t="s">
        <v>2908</v>
      </c>
      <c r="H390" s="6" t="s">
        <v>2909</v>
      </c>
      <c r="I390" s="8"/>
      <c r="J390" s="8">
        <v>9524</v>
      </c>
      <c r="K390" s="6" t="s">
        <v>3357</v>
      </c>
      <c r="L390" s="6" t="s">
        <v>1351</v>
      </c>
      <c r="N390" s="6" t="s">
        <v>1351</v>
      </c>
      <c r="O390" s="29">
        <v>10000.2</v>
      </c>
    </row>
    <row r="391" s="1" customFormat="1" ht="16.35" hidden="1" customHeight="1" spans="1:15">
      <c r="A391" s="5"/>
      <c r="B391" s="6" t="s">
        <v>2906</v>
      </c>
      <c r="C391" s="6">
        <v>2017</v>
      </c>
      <c r="D391" s="6">
        <v>7</v>
      </c>
      <c r="E391" s="7">
        <v>20</v>
      </c>
      <c r="F391" s="6" t="s">
        <v>3358</v>
      </c>
      <c r="G391" s="6" t="s">
        <v>2908</v>
      </c>
      <c r="H391" s="6" t="s">
        <v>2909</v>
      </c>
      <c r="I391" s="8"/>
      <c r="J391" s="8">
        <v>-127619</v>
      </c>
      <c r="K391" s="6" t="s">
        <v>3240</v>
      </c>
      <c r="L391" s="6" t="s">
        <v>1774</v>
      </c>
      <c r="N391" s="6" t="s">
        <v>1774</v>
      </c>
      <c r="O391" s="29">
        <v>-133999.95</v>
      </c>
    </row>
    <row r="392" s="1" customFormat="1" ht="16.35" hidden="1" customHeight="1" spans="1:15">
      <c r="A392" s="5"/>
      <c r="B392" s="6" t="s">
        <v>2906</v>
      </c>
      <c r="C392" s="6">
        <v>2017</v>
      </c>
      <c r="D392" s="6">
        <v>7</v>
      </c>
      <c r="E392" s="7">
        <v>22</v>
      </c>
      <c r="F392" s="6" t="s">
        <v>3359</v>
      </c>
      <c r="G392" s="6" t="s">
        <v>2908</v>
      </c>
      <c r="H392" s="6" t="s">
        <v>2909</v>
      </c>
      <c r="I392" s="8"/>
      <c r="J392" s="8">
        <v>33333</v>
      </c>
      <c r="K392" s="6" t="s">
        <v>2956</v>
      </c>
      <c r="L392" s="6" t="s">
        <v>1760</v>
      </c>
      <c r="N392" s="6" t="s">
        <v>1760</v>
      </c>
      <c r="O392" s="29">
        <v>34999.65</v>
      </c>
    </row>
    <row r="393" s="1" customFormat="1" ht="16.35" hidden="1" customHeight="1" spans="1:15">
      <c r="A393" s="5"/>
      <c r="B393" s="6" t="s">
        <v>2906</v>
      </c>
      <c r="C393" s="6">
        <v>2017</v>
      </c>
      <c r="D393" s="6">
        <v>7</v>
      </c>
      <c r="E393" s="7">
        <v>23</v>
      </c>
      <c r="F393" s="6" t="s">
        <v>3360</v>
      </c>
      <c r="G393" s="6" t="s">
        <v>2908</v>
      </c>
      <c r="H393" s="6" t="s">
        <v>2909</v>
      </c>
      <c r="I393" s="8"/>
      <c r="J393" s="8">
        <v>42667</v>
      </c>
      <c r="K393" s="6" t="s">
        <v>3361</v>
      </c>
      <c r="L393" s="6" t="s">
        <v>1393</v>
      </c>
      <c r="N393" s="6" t="s">
        <v>1393</v>
      </c>
      <c r="O393" s="29">
        <v>44800.35</v>
      </c>
    </row>
    <row r="394" s="1" customFormat="1" ht="16.35" hidden="1" customHeight="1" spans="1:16">
      <c r="A394" s="5"/>
      <c r="B394" s="6" t="s">
        <v>2906</v>
      </c>
      <c r="C394" s="6">
        <v>2017</v>
      </c>
      <c r="D394" s="6">
        <v>7</v>
      </c>
      <c r="E394" s="7">
        <v>24</v>
      </c>
      <c r="F394" s="6" t="s">
        <v>3362</v>
      </c>
      <c r="G394" s="6" t="s">
        <v>2908</v>
      </c>
      <c r="H394" s="6" t="s">
        <v>2909</v>
      </c>
      <c r="I394" s="8"/>
      <c r="J394" s="8">
        <v>158095</v>
      </c>
      <c r="K394" s="6" t="s">
        <v>3216</v>
      </c>
      <c r="L394" s="6" t="s">
        <v>1288</v>
      </c>
      <c r="N394" s="6" t="s">
        <v>1288</v>
      </c>
      <c r="O394" s="29">
        <v>165999.75</v>
      </c>
      <c r="P394" s="1">
        <f>O394-J394</f>
        <v>7904.75</v>
      </c>
    </row>
    <row r="395" s="1" customFormat="1" ht="16.35" hidden="1" customHeight="1" spans="1:15">
      <c r="A395" s="5"/>
      <c r="B395" s="6" t="s">
        <v>2906</v>
      </c>
      <c r="C395" s="6">
        <v>2017</v>
      </c>
      <c r="D395" s="6">
        <v>7</v>
      </c>
      <c r="E395" s="7">
        <v>26</v>
      </c>
      <c r="F395" s="6" t="s">
        <v>3363</v>
      </c>
      <c r="G395" s="6" t="s">
        <v>2908</v>
      </c>
      <c r="H395" s="6" t="s">
        <v>2909</v>
      </c>
      <c r="I395" s="8"/>
      <c r="J395" s="8">
        <v>4762</v>
      </c>
      <c r="K395" s="6" t="s">
        <v>2989</v>
      </c>
      <c r="L395" s="6" t="s">
        <v>1818</v>
      </c>
      <c r="N395" s="6" t="s">
        <v>1818</v>
      </c>
      <c r="O395" s="29">
        <v>5000.1</v>
      </c>
    </row>
    <row r="396" s="1" customFormat="1" ht="16.35" hidden="1" customHeight="1" spans="1:15">
      <c r="A396" s="5"/>
      <c r="B396" s="6" t="s">
        <v>2906</v>
      </c>
      <c r="C396" s="6">
        <v>2017</v>
      </c>
      <c r="D396" s="6">
        <v>7</v>
      </c>
      <c r="E396" s="7">
        <v>27</v>
      </c>
      <c r="F396" s="6" t="s">
        <v>3364</v>
      </c>
      <c r="G396" s="6" t="s">
        <v>2908</v>
      </c>
      <c r="H396" s="6" t="s">
        <v>2909</v>
      </c>
      <c r="I396" s="8"/>
      <c r="J396" s="8">
        <v>57771</v>
      </c>
      <c r="K396" s="6" t="s">
        <v>3138</v>
      </c>
      <c r="L396" s="6" t="s">
        <v>1539</v>
      </c>
      <c r="N396" s="6" t="s">
        <v>1539</v>
      </c>
      <c r="O396" s="29">
        <v>60659.55</v>
      </c>
    </row>
    <row r="397" s="1" customFormat="1" ht="16.35" hidden="1" customHeight="1" spans="1:15">
      <c r="A397" s="5"/>
      <c r="B397" s="6" t="s">
        <v>2906</v>
      </c>
      <c r="C397" s="6">
        <v>2017</v>
      </c>
      <c r="D397" s="6">
        <v>7</v>
      </c>
      <c r="E397" s="7">
        <v>28</v>
      </c>
      <c r="F397" s="6" t="s">
        <v>3315</v>
      </c>
      <c r="G397" s="6" t="s">
        <v>2908</v>
      </c>
      <c r="H397" s="6" t="s">
        <v>2909</v>
      </c>
      <c r="I397" s="8"/>
      <c r="J397" s="8">
        <v>125714</v>
      </c>
      <c r="K397" s="6" t="s">
        <v>3316</v>
      </c>
      <c r="L397" s="6" t="s">
        <v>1298</v>
      </c>
      <c r="N397" s="6" t="s">
        <v>1298</v>
      </c>
      <c r="O397" s="29">
        <v>131999.7</v>
      </c>
    </row>
    <row r="398" s="1" customFormat="1" ht="16.35" hidden="1" customHeight="1" spans="1:15">
      <c r="A398" s="5"/>
      <c r="B398" s="6" t="s">
        <v>2906</v>
      </c>
      <c r="C398" s="6">
        <v>2017</v>
      </c>
      <c r="D398" s="6">
        <v>7</v>
      </c>
      <c r="E398" s="7">
        <v>30</v>
      </c>
      <c r="F398" s="6" t="s">
        <v>3365</v>
      </c>
      <c r="G398" s="6" t="s">
        <v>2908</v>
      </c>
      <c r="H398" s="6" t="s">
        <v>2909</v>
      </c>
      <c r="I398" s="8"/>
      <c r="J398" s="8">
        <v>11429</v>
      </c>
      <c r="K398" s="6" t="s">
        <v>3361</v>
      </c>
      <c r="L398" s="6" t="s">
        <v>1393</v>
      </c>
      <c r="N398" s="6" t="s">
        <v>1393</v>
      </c>
      <c r="O398" s="29">
        <v>12000.45</v>
      </c>
    </row>
    <row r="399" s="1" customFormat="1" ht="16.35" hidden="1" customHeight="1" spans="1:15">
      <c r="A399" s="5"/>
      <c r="B399" s="6" t="s">
        <v>2906</v>
      </c>
      <c r="C399" s="6">
        <v>2017</v>
      </c>
      <c r="D399" s="6">
        <v>7</v>
      </c>
      <c r="E399" s="7">
        <v>31</v>
      </c>
      <c r="F399" s="6" t="s">
        <v>3366</v>
      </c>
      <c r="G399" s="6" t="s">
        <v>2908</v>
      </c>
      <c r="H399" s="6" t="s">
        <v>2909</v>
      </c>
      <c r="I399" s="8"/>
      <c r="J399" s="8">
        <v>131429</v>
      </c>
      <c r="K399" s="6" t="s">
        <v>3285</v>
      </c>
      <c r="L399" s="6" t="s">
        <v>1067</v>
      </c>
      <c r="N399" s="6" t="s">
        <v>1067</v>
      </c>
      <c r="O399" s="29">
        <v>138000.45</v>
      </c>
    </row>
    <row r="400" s="1" customFormat="1" ht="16.35" hidden="1" customHeight="1" spans="1:15">
      <c r="A400" s="5"/>
      <c r="B400" s="6" t="s">
        <v>2906</v>
      </c>
      <c r="C400" s="6">
        <v>2017</v>
      </c>
      <c r="D400" s="6">
        <v>7</v>
      </c>
      <c r="E400" s="7">
        <v>32</v>
      </c>
      <c r="F400" s="6" t="s">
        <v>3367</v>
      </c>
      <c r="G400" s="6" t="s">
        <v>2908</v>
      </c>
      <c r="H400" s="6" t="s">
        <v>2909</v>
      </c>
      <c r="I400" s="8"/>
      <c r="J400" s="8">
        <v>95238</v>
      </c>
      <c r="K400" s="6" t="s">
        <v>3144</v>
      </c>
      <c r="L400" s="6" t="s">
        <v>1896</v>
      </c>
      <c r="N400" s="6" t="s">
        <v>1896</v>
      </c>
      <c r="O400" s="29">
        <v>99999.9</v>
      </c>
    </row>
    <row r="401" s="1" customFormat="1" ht="16.35" hidden="1" customHeight="1" spans="1:15">
      <c r="A401" s="5"/>
      <c r="B401" s="6" t="s">
        <v>2906</v>
      </c>
      <c r="C401" s="6">
        <v>2017</v>
      </c>
      <c r="D401" s="6">
        <v>7</v>
      </c>
      <c r="E401" s="7">
        <v>33</v>
      </c>
      <c r="F401" s="6" t="s">
        <v>3057</v>
      </c>
      <c r="G401" s="6" t="s">
        <v>2908</v>
      </c>
      <c r="H401" s="6" t="s">
        <v>2909</v>
      </c>
      <c r="I401" s="8"/>
      <c r="J401" s="8">
        <v>157143</v>
      </c>
      <c r="K401" s="6" t="s">
        <v>3058</v>
      </c>
      <c r="L401" s="6" t="s">
        <v>1565</v>
      </c>
      <c r="N401" s="6" t="s">
        <v>1565</v>
      </c>
      <c r="O401" s="29">
        <v>165000.15</v>
      </c>
    </row>
    <row r="402" s="1" customFormat="1" ht="16.35" hidden="1" customHeight="1" spans="1:15">
      <c r="A402" s="5"/>
      <c r="B402" s="6" t="s">
        <v>2906</v>
      </c>
      <c r="C402" s="6">
        <v>2017</v>
      </c>
      <c r="D402" s="6">
        <v>7</v>
      </c>
      <c r="E402" s="7">
        <v>34</v>
      </c>
      <c r="F402" s="6" t="s">
        <v>3340</v>
      </c>
      <c r="G402" s="6" t="s">
        <v>2908</v>
      </c>
      <c r="H402" s="6" t="s">
        <v>2909</v>
      </c>
      <c r="I402" s="8"/>
      <c r="J402" s="8">
        <v>123810</v>
      </c>
      <c r="K402" s="6" t="s">
        <v>3325</v>
      </c>
      <c r="L402" s="6" t="s">
        <v>1890</v>
      </c>
      <c r="N402" s="6" t="s">
        <v>1890</v>
      </c>
      <c r="O402" s="29">
        <v>130000.5</v>
      </c>
    </row>
    <row r="403" s="1" customFormat="1" ht="16.35" hidden="1" customHeight="1" spans="1:15">
      <c r="A403" s="5"/>
      <c r="B403" s="6" t="s">
        <v>2906</v>
      </c>
      <c r="C403" s="6">
        <v>2017</v>
      </c>
      <c r="D403" s="6">
        <v>7</v>
      </c>
      <c r="E403" s="7">
        <v>35</v>
      </c>
      <c r="F403" s="6" t="s">
        <v>3368</v>
      </c>
      <c r="G403" s="6" t="s">
        <v>2908</v>
      </c>
      <c r="H403" s="6" t="s">
        <v>2909</v>
      </c>
      <c r="I403" s="8"/>
      <c r="J403" s="8">
        <v>66667</v>
      </c>
      <c r="K403" s="6" t="s">
        <v>3179</v>
      </c>
      <c r="L403" s="6" t="s">
        <v>1882</v>
      </c>
      <c r="N403" s="6" t="s">
        <v>1882</v>
      </c>
      <c r="O403" s="29">
        <v>70000.35</v>
      </c>
    </row>
    <row r="404" s="1" customFormat="1" ht="16.35" hidden="1" customHeight="1" spans="1:15">
      <c r="A404" s="5"/>
      <c r="B404" s="6" t="s">
        <v>2906</v>
      </c>
      <c r="C404" s="6">
        <v>2017</v>
      </c>
      <c r="D404" s="6">
        <v>7</v>
      </c>
      <c r="E404" s="7">
        <v>36</v>
      </c>
      <c r="F404" s="6" t="s">
        <v>3089</v>
      </c>
      <c r="G404" s="6" t="s">
        <v>2908</v>
      </c>
      <c r="H404" s="6" t="s">
        <v>2909</v>
      </c>
      <c r="I404" s="8"/>
      <c r="J404" s="8">
        <v>104762</v>
      </c>
      <c r="K404" s="6" t="s">
        <v>2984</v>
      </c>
      <c r="L404" s="6" t="s">
        <v>1838</v>
      </c>
      <c r="N404" s="6" t="s">
        <v>1838</v>
      </c>
      <c r="O404" s="29">
        <v>110000.1</v>
      </c>
    </row>
    <row r="405" s="1" customFormat="1" ht="16.35" hidden="1" customHeight="1" spans="1:15">
      <c r="A405" s="5"/>
      <c r="B405" s="6" t="s">
        <v>2906</v>
      </c>
      <c r="C405" s="6">
        <v>2017</v>
      </c>
      <c r="D405" s="6">
        <v>7</v>
      </c>
      <c r="E405" s="7">
        <v>37</v>
      </c>
      <c r="F405" s="6" t="s">
        <v>3302</v>
      </c>
      <c r="G405" s="6" t="s">
        <v>2908</v>
      </c>
      <c r="H405" s="6" t="s">
        <v>2909</v>
      </c>
      <c r="I405" s="8"/>
      <c r="J405" s="8">
        <v>114286</v>
      </c>
      <c r="K405" s="6" t="s">
        <v>3303</v>
      </c>
      <c r="L405" s="6" t="s">
        <v>1878</v>
      </c>
      <c r="N405" s="6" t="s">
        <v>1878</v>
      </c>
      <c r="O405" s="29">
        <v>120000.3</v>
      </c>
    </row>
    <row r="406" s="1" customFormat="1" ht="16.35" hidden="1" customHeight="1" spans="1:15">
      <c r="A406" s="5"/>
      <c r="B406" s="6" t="s">
        <v>2906</v>
      </c>
      <c r="C406" s="6">
        <v>2017</v>
      </c>
      <c r="D406" s="6">
        <v>7</v>
      </c>
      <c r="E406" s="7">
        <v>38</v>
      </c>
      <c r="F406" s="6" t="s">
        <v>3200</v>
      </c>
      <c r="G406" s="6" t="s">
        <v>2908</v>
      </c>
      <c r="H406" s="6" t="s">
        <v>2909</v>
      </c>
      <c r="I406" s="8"/>
      <c r="J406" s="8">
        <v>6667</v>
      </c>
      <c r="K406" s="6" t="s">
        <v>3201</v>
      </c>
      <c r="L406" s="6" t="s">
        <v>1553</v>
      </c>
      <c r="N406" s="6" t="s">
        <v>1553</v>
      </c>
      <c r="O406" s="29">
        <v>7000.35</v>
      </c>
    </row>
    <row r="407" s="1" customFormat="1" ht="16.35" hidden="1" customHeight="1" spans="1:15">
      <c r="A407" s="5"/>
      <c r="B407" s="6" t="s">
        <v>2906</v>
      </c>
      <c r="C407" s="6">
        <v>2017</v>
      </c>
      <c r="D407" s="6">
        <v>7</v>
      </c>
      <c r="E407" s="7">
        <v>40</v>
      </c>
      <c r="F407" s="6" t="s">
        <v>3369</v>
      </c>
      <c r="G407" s="6" t="s">
        <v>2908</v>
      </c>
      <c r="H407" s="6" t="s">
        <v>2909</v>
      </c>
      <c r="I407" s="8"/>
      <c r="J407" s="8">
        <v>140000</v>
      </c>
      <c r="K407" s="6" t="s">
        <v>3031</v>
      </c>
      <c r="L407" s="6" t="s">
        <v>1573</v>
      </c>
      <c r="N407" s="6" t="s">
        <v>1573</v>
      </c>
      <c r="O407" s="29">
        <v>147000</v>
      </c>
    </row>
    <row r="408" s="1" customFormat="1" ht="16.35" hidden="1" customHeight="1" spans="1:15">
      <c r="A408" s="5"/>
      <c r="B408" s="6" t="s">
        <v>2906</v>
      </c>
      <c r="C408" s="6">
        <v>2017</v>
      </c>
      <c r="D408" s="6">
        <v>7</v>
      </c>
      <c r="E408" s="7">
        <v>41</v>
      </c>
      <c r="F408" s="6" t="s">
        <v>3289</v>
      </c>
      <c r="G408" s="6" t="s">
        <v>2908</v>
      </c>
      <c r="H408" s="6" t="s">
        <v>2909</v>
      </c>
      <c r="I408" s="8"/>
      <c r="J408" s="8">
        <v>119048</v>
      </c>
      <c r="K408" s="6" t="s">
        <v>3063</v>
      </c>
      <c r="L408" s="6" t="s">
        <v>1892</v>
      </c>
      <c r="N408" s="6" t="s">
        <v>1892</v>
      </c>
      <c r="O408" s="29">
        <v>125000.4</v>
      </c>
    </row>
    <row r="409" s="1" customFormat="1" ht="16.35" hidden="1" customHeight="1" spans="1:15">
      <c r="A409" s="5"/>
      <c r="B409" s="6" t="s">
        <v>2906</v>
      </c>
      <c r="C409" s="6">
        <v>2017</v>
      </c>
      <c r="D409" s="6">
        <v>7</v>
      </c>
      <c r="E409" s="7">
        <v>42</v>
      </c>
      <c r="F409" s="6" t="s">
        <v>3309</v>
      </c>
      <c r="G409" s="6" t="s">
        <v>2908</v>
      </c>
      <c r="H409" s="6" t="s">
        <v>2909</v>
      </c>
      <c r="I409" s="8"/>
      <c r="J409" s="8">
        <v>124762</v>
      </c>
      <c r="K409" s="6" t="s">
        <v>3310</v>
      </c>
      <c r="L409" s="6" t="s">
        <v>1884</v>
      </c>
      <c r="N409" s="6" t="s">
        <v>1884</v>
      </c>
      <c r="O409" s="29">
        <v>131000.1</v>
      </c>
    </row>
    <row r="410" s="1" customFormat="1" ht="16.35" hidden="1" customHeight="1" spans="1:16">
      <c r="A410" s="5"/>
      <c r="B410" s="6" t="s">
        <v>2906</v>
      </c>
      <c r="C410" s="6">
        <v>2017</v>
      </c>
      <c r="D410" s="6">
        <v>7</v>
      </c>
      <c r="E410" s="7">
        <v>43</v>
      </c>
      <c r="F410" s="6" t="s">
        <v>3238</v>
      </c>
      <c r="G410" s="6" t="s">
        <v>2908</v>
      </c>
      <c r="H410" s="6" t="s">
        <v>2909</v>
      </c>
      <c r="I410" s="8"/>
      <c r="J410" s="8">
        <v>66667</v>
      </c>
      <c r="K410" s="6" t="s">
        <v>3239</v>
      </c>
      <c r="L410" s="6" t="s">
        <v>1397</v>
      </c>
      <c r="N410" s="6" t="s">
        <v>1397</v>
      </c>
      <c r="O410" s="29">
        <v>70000.35</v>
      </c>
      <c r="P410" s="1">
        <f>O410-J410</f>
        <v>3333.35000000001</v>
      </c>
    </row>
    <row r="411" s="1" customFormat="1" ht="16.35" hidden="1" customHeight="1" spans="1:15">
      <c r="A411" s="5"/>
      <c r="B411" s="6" t="s">
        <v>2906</v>
      </c>
      <c r="C411" s="6">
        <v>2017</v>
      </c>
      <c r="D411" s="6">
        <v>7</v>
      </c>
      <c r="E411" s="7">
        <v>47</v>
      </c>
      <c r="F411" s="6" t="s">
        <v>3370</v>
      </c>
      <c r="G411" s="6" t="s">
        <v>2908</v>
      </c>
      <c r="H411" s="6" t="s">
        <v>2909</v>
      </c>
      <c r="I411" s="8"/>
      <c r="J411" s="8">
        <v>88791</v>
      </c>
      <c r="K411" s="6" t="s">
        <v>3042</v>
      </c>
      <c r="L411" s="6" t="s">
        <v>1752</v>
      </c>
      <c r="N411" s="6" t="s">
        <v>1752</v>
      </c>
      <c r="O411" s="29">
        <v>93230.55</v>
      </c>
    </row>
    <row r="412" s="1" customFormat="1" ht="16.35" hidden="1" customHeight="1" spans="1:15">
      <c r="A412" s="5"/>
      <c r="B412" s="6" t="s">
        <v>2906</v>
      </c>
      <c r="C412" s="6">
        <v>2017</v>
      </c>
      <c r="D412" s="6">
        <v>7</v>
      </c>
      <c r="E412" s="7">
        <v>48</v>
      </c>
      <c r="F412" s="6" t="s">
        <v>3371</v>
      </c>
      <c r="G412" s="6" t="s">
        <v>2908</v>
      </c>
      <c r="H412" s="6" t="s">
        <v>2909</v>
      </c>
      <c r="I412" s="8"/>
      <c r="J412" s="8">
        <v>47524</v>
      </c>
      <c r="K412" s="6" t="s">
        <v>3372</v>
      </c>
      <c r="L412" s="6" t="s">
        <v>1369</v>
      </c>
      <c r="N412" s="6" t="s">
        <v>1369</v>
      </c>
      <c r="O412" s="29">
        <v>49900.2</v>
      </c>
    </row>
    <row r="413" s="1" customFormat="1" ht="16.35" hidden="1" customHeight="1" spans="1:16">
      <c r="A413" s="5"/>
      <c r="B413" s="6" t="s">
        <v>2906</v>
      </c>
      <c r="C413" s="6">
        <v>2017</v>
      </c>
      <c r="D413" s="6">
        <v>7</v>
      </c>
      <c r="E413" s="7">
        <v>49</v>
      </c>
      <c r="F413" s="6" t="s">
        <v>3373</v>
      </c>
      <c r="G413" s="6" t="s">
        <v>2908</v>
      </c>
      <c r="H413" s="6" t="s">
        <v>2909</v>
      </c>
      <c r="I413" s="8"/>
      <c r="J413" s="8">
        <v>0.96</v>
      </c>
      <c r="K413" s="6" t="s">
        <v>3117</v>
      </c>
      <c r="L413" s="6" t="s">
        <v>1296</v>
      </c>
      <c r="N413" s="6" t="s">
        <v>1296</v>
      </c>
      <c r="O413" s="29">
        <v>1.008</v>
      </c>
      <c r="P413" s="1">
        <f>O413-J413</f>
        <v>0.048</v>
      </c>
    </row>
    <row r="414" s="1" customFormat="1" ht="16.35" hidden="1" customHeight="1" spans="1:16">
      <c r="A414" s="5"/>
      <c r="B414" s="6" t="s">
        <v>2906</v>
      </c>
      <c r="C414" s="6">
        <v>2017</v>
      </c>
      <c r="D414" s="6">
        <v>7</v>
      </c>
      <c r="E414" s="7">
        <v>50</v>
      </c>
      <c r="F414" s="6" t="s">
        <v>3374</v>
      </c>
      <c r="G414" s="6" t="s">
        <v>2908</v>
      </c>
      <c r="H414" s="6" t="s">
        <v>2909</v>
      </c>
      <c r="I414" s="8"/>
      <c r="J414" s="8">
        <v>138095</v>
      </c>
      <c r="K414" s="6" t="s">
        <v>3117</v>
      </c>
      <c r="L414" s="6" t="s">
        <v>1296</v>
      </c>
      <c r="N414" s="6" t="s">
        <v>1296</v>
      </c>
      <c r="O414" s="29">
        <v>144999.75</v>
      </c>
      <c r="P414" s="1">
        <f>O414-J414</f>
        <v>6904.75</v>
      </c>
    </row>
    <row r="415" s="1" customFormat="1" ht="16.35" hidden="1" customHeight="1" spans="1:15">
      <c r="A415" s="5"/>
      <c r="B415" s="6" t="s">
        <v>2906</v>
      </c>
      <c r="C415" s="6">
        <v>2017</v>
      </c>
      <c r="D415" s="6">
        <v>7</v>
      </c>
      <c r="E415" s="7">
        <v>51</v>
      </c>
      <c r="F415" s="6" t="s">
        <v>3375</v>
      </c>
      <c r="G415" s="6" t="s">
        <v>2908</v>
      </c>
      <c r="H415" s="6" t="s">
        <v>2909</v>
      </c>
      <c r="I415" s="8"/>
      <c r="J415" s="8">
        <v>119048</v>
      </c>
      <c r="K415" s="6" t="s">
        <v>3277</v>
      </c>
      <c r="L415" s="6" t="s">
        <v>1876</v>
      </c>
      <c r="N415" s="6" t="s">
        <v>1876</v>
      </c>
      <c r="O415" s="29">
        <v>125000.4</v>
      </c>
    </row>
    <row r="416" s="1" customFormat="1" ht="16.35" hidden="1" customHeight="1" spans="1:15">
      <c r="A416" s="5"/>
      <c r="B416" s="6" t="s">
        <v>2906</v>
      </c>
      <c r="C416" s="6">
        <v>2017</v>
      </c>
      <c r="D416" s="6">
        <v>7</v>
      </c>
      <c r="E416" s="7">
        <v>52</v>
      </c>
      <c r="F416" s="6" t="s">
        <v>3376</v>
      </c>
      <c r="G416" s="6" t="s">
        <v>2908</v>
      </c>
      <c r="H416" s="6" t="s">
        <v>2909</v>
      </c>
      <c r="I416" s="8"/>
      <c r="J416" s="8">
        <v>118095</v>
      </c>
      <c r="K416" s="6" t="s">
        <v>3110</v>
      </c>
      <c r="L416" s="6" t="s">
        <v>1559</v>
      </c>
      <c r="N416" s="6" t="s">
        <v>1559</v>
      </c>
      <c r="O416" s="29">
        <v>123999.75</v>
      </c>
    </row>
    <row r="417" s="1" customFormat="1" ht="16.35" hidden="1" customHeight="1" spans="1:15">
      <c r="A417" s="5"/>
      <c r="B417" s="6" t="s">
        <v>2906</v>
      </c>
      <c r="C417" s="6">
        <v>2017</v>
      </c>
      <c r="D417" s="6">
        <v>7</v>
      </c>
      <c r="E417" s="7">
        <v>53</v>
      </c>
      <c r="F417" s="6" t="s">
        <v>3377</v>
      </c>
      <c r="G417" s="6" t="s">
        <v>2908</v>
      </c>
      <c r="H417" s="6" t="s">
        <v>2909</v>
      </c>
      <c r="I417" s="8"/>
      <c r="J417" s="8">
        <v>160000</v>
      </c>
      <c r="K417" s="6" t="s">
        <v>3161</v>
      </c>
      <c r="L417" s="6" t="s">
        <v>1547</v>
      </c>
      <c r="N417" s="6" t="s">
        <v>1547</v>
      </c>
      <c r="O417" s="29">
        <v>168000</v>
      </c>
    </row>
    <row r="418" s="1" customFormat="1" ht="16.35" hidden="1" customHeight="1" spans="1:15">
      <c r="A418" s="5"/>
      <c r="B418" s="6" t="s">
        <v>2906</v>
      </c>
      <c r="C418" s="6">
        <v>2017</v>
      </c>
      <c r="D418" s="6">
        <v>7</v>
      </c>
      <c r="E418" s="7">
        <v>54</v>
      </c>
      <c r="F418" s="6" t="s">
        <v>3378</v>
      </c>
      <c r="G418" s="6" t="s">
        <v>2908</v>
      </c>
      <c r="H418" s="6" t="s">
        <v>2909</v>
      </c>
      <c r="I418" s="8"/>
      <c r="J418" s="8">
        <v>121905</v>
      </c>
      <c r="K418" s="6" t="s">
        <v>3281</v>
      </c>
      <c r="L418" s="6" t="s">
        <v>1888</v>
      </c>
      <c r="N418" s="6" t="s">
        <v>1888</v>
      </c>
      <c r="O418" s="29">
        <v>128000.25</v>
      </c>
    </row>
    <row r="419" s="1" customFormat="1" ht="16.35" hidden="1" customHeight="1" spans="1:15">
      <c r="A419" s="5"/>
      <c r="B419" s="6" t="s">
        <v>2906</v>
      </c>
      <c r="C419" s="6">
        <v>2017</v>
      </c>
      <c r="D419" s="6">
        <v>7</v>
      </c>
      <c r="E419" s="7">
        <v>55</v>
      </c>
      <c r="F419" s="6" t="s">
        <v>1369</v>
      </c>
      <c r="G419" s="6" t="s">
        <v>2908</v>
      </c>
      <c r="H419" s="6" t="s">
        <v>2909</v>
      </c>
      <c r="I419" s="8"/>
      <c r="J419" s="8">
        <v>189429</v>
      </c>
      <c r="K419" s="6" t="s">
        <v>3372</v>
      </c>
      <c r="L419" s="6" t="s">
        <v>1369</v>
      </c>
      <c r="N419" s="6" t="s">
        <v>1369</v>
      </c>
      <c r="O419" s="29">
        <v>198900.45</v>
      </c>
    </row>
    <row r="420" s="1" customFormat="1" ht="16.35" hidden="1" customHeight="1" spans="1:15">
      <c r="A420" s="5"/>
      <c r="B420" s="6" t="s">
        <v>2906</v>
      </c>
      <c r="C420" s="6">
        <v>2017</v>
      </c>
      <c r="D420" s="6">
        <v>7</v>
      </c>
      <c r="E420" s="7">
        <v>57</v>
      </c>
      <c r="F420" s="6" t="s">
        <v>1357</v>
      </c>
      <c r="G420" s="6" t="s">
        <v>2908</v>
      </c>
      <c r="H420" s="6" t="s">
        <v>2909</v>
      </c>
      <c r="I420" s="8"/>
      <c r="J420" s="8">
        <v>30476</v>
      </c>
      <c r="K420" s="6" t="s">
        <v>3165</v>
      </c>
      <c r="L420" s="6" t="s">
        <v>1357</v>
      </c>
      <c r="N420" s="6" t="s">
        <v>1357</v>
      </c>
      <c r="O420" s="29">
        <v>31999.8</v>
      </c>
    </row>
    <row r="421" s="1" customFormat="1" ht="16.35" hidden="1" customHeight="1" spans="1:15">
      <c r="A421" s="5"/>
      <c r="B421" s="6" t="s">
        <v>2906</v>
      </c>
      <c r="C421" s="6">
        <v>2017</v>
      </c>
      <c r="D421" s="6">
        <v>8</v>
      </c>
      <c r="E421" s="7">
        <v>1</v>
      </c>
      <c r="F421" s="6" t="s">
        <v>3379</v>
      </c>
      <c r="G421" s="6" t="s">
        <v>2908</v>
      </c>
      <c r="H421" s="6" t="s">
        <v>2909</v>
      </c>
      <c r="I421" s="8"/>
      <c r="J421" s="8">
        <v>9524</v>
      </c>
      <c r="K421" s="6" t="s">
        <v>3078</v>
      </c>
      <c r="L421" s="6" t="s">
        <v>1802</v>
      </c>
      <c r="N421" s="6" t="s">
        <v>1802</v>
      </c>
      <c r="O421" s="29">
        <v>10000.2</v>
      </c>
    </row>
    <row r="422" s="1" customFormat="1" ht="16.35" hidden="1" customHeight="1" spans="1:15">
      <c r="A422" s="5"/>
      <c r="B422" s="6" t="s">
        <v>2906</v>
      </c>
      <c r="C422" s="6">
        <v>2017</v>
      </c>
      <c r="D422" s="6">
        <v>8</v>
      </c>
      <c r="E422" s="7">
        <v>6</v>
      </c>
      <c r="F422" s="6" t="s">
        <v>3380</v>
      </c>
      <c r="G422" s="6" t="s">
        <v>2908</v>
      </c>
      <c r="H422" s="6" t="s">
        <v>2909</v>
      </c>
      <c r="I422" s="8"/>
      <c r="J422" s="8">
        <v>-27092</v>
      </c>
      <c r="K422" s="6" t="s">
        <v>3001</v>
      </c>
      <c r="L422" s="6" t="s">
        <v>1836</v>
      </c>
      <c r="N422" s="6" t="s">
        <v>1836</v>
      </c>
      <c r="O422" s="29">
        <v>-28446.6</v>
      </c>
    </row>
    <row r="423" s="1" customFormat="1" ht="16.35" hidden="1" customHeight="1" spans="1:15">
      <c r="A423" s="5"/>
      <c r="B423" s="6" t="s">
        <v>2906</v>
      </c>
      <c r="C423" s="6">
        <v>2017</v>
      </c>
      <c r="D423" s="6">
        <v>8</v>
      </c>
      <c r="E423" s="7">
        <v>6</v>
      </c>
      <c r="F423" s="6" t="s">
        <v>3380</v>
      </c>
      <c r="G423" s="6" t="s">
        <v>2908</v>
      </c>
      <c r="H423" s="6" t="s">
        <v>2909</v>
      </c>
      <c r="I423" s="8"/>
      <c r="J423" s="8">
        <v>27092</v>
      </c>
      <c r="K423" s="6" t="s">
        <v>3006</v>
      </c>
      <c r="L423" s="6" t="s">
        <v>1627</v>
      </c>
      <c r="N423" s="6" t="s">
        <v>1627</v>
      </c>
      <c r="O423" s="29">
        <v>28446.6</v>
      </c>
    </row>
    <row r="424" s="1" customFormat="1" ht="25" hidden="1" customHeight="1" spans="1:15">
      <c r="A424" s="5"/>
      <c r="B424" s="6" t="s">
        <v>2906</v>
      </c>
      <c r="C424" s="6">
        <v>2017</v>
      </c>
      <c r="D424" s="6">
        <v>8</v>
      </c>
      <c r="E424" s="7">
        <v>7</v>
      </c>
      <c r="F424" s="6" t="s">
        <v>3381</v>
      </c>
      <c r="G424" s="6" t="s">
        <v>2908</v>
      </c>
      <c r="H424" s="6" t="s">
        <v>2909</v>
      </c>
      <c r="I424" s="8"/>
      <c r="J424" s="8">
        <v>-40548</v>
      </c>
      <c r="K424" s="6" t="s">
        <v>3063</v>
      </c>
      <c r="L424" s="6" t="s">
        <v>1892</v>
      </c>
      <c r="N424" s="6" t="s">
        <v>1892</v>
      </c>
      <c r="O424" s="29">
        <v>-42575.4</v>
      </c>
    </row>
    <row r="425" s="1" customFormat="1" ht="25" hidden="1" customHeight="1" spans="1:16">
      <c r="A425" s="5"/>
      <c r="B425" s="6" t="s">
        <v>2906</v>
      </c>
      <c r="C425" s="6">
        <v>2017</v>
      </c>
      <c r="D425" s="6">
        <v>8</v>
      </c>
      <c r="E425" s="7">
        <v>7</v>
      </c>
      <c r="F425" s="6" t="s">
        <v>3381</v>
      </c>
      <c r="G425" s="6" t="s">
        <v>2908</v>
      </c>
      <c r="H425" s="6" t="s">
        <v>2909</v>
      </c>
      <c r="I425" s="8"/>
      <c r="J425" s="8">
        <v>40548</v>
      </c>
      <c r="K425" s="6" t="s">
        <v>3103</v>
      </c>
      <c r="L425" s="6" t="s">
        <v>1316</v>
      </c>
      <c r="N425" s="6" t="s">
        <v>1316</v>
      </c>
      <c r="O425" s="29">
        <v>42575.4</v>
      </c>
      <c r="P425" s="1">
        <f>O425-J425</f>
        <v>2027.4</v>
      </c>
    </row>
    <row r="426" s="1" customFormat="1" ht="16.35" hidden="1" customHeight="1" spans="1:15">
      <c r="A426" s="5"/>
      <c r="B426" s="6" t="s">
        <v>2906</v>
      </c>
      <c r="C426" s="6">
        <v>2017</v>
      </c>
      <c r="D426" s="6">
        <v>8</v>
      </c>
      <c r="E426" s="7">
        <v>8</v>
      </c>
      <c r="F426" s="6" t="s">
        <v>3382</v>
      </c>
      <c r="G426" s="6" t="s">
        <v>2908</v>
      </c>
      <c r="H426" s="6" t="s">
        <v>2909</v>
      </c>
      <c r="I426" s="8"/>
      <c r="J426" s="8">
        <v>9524</v>
      </c>
      <c r="K426" s="6" t="s">
        <v>3112</v>
      </c>
      <c r="L426" s="6" t="s">
        <v>1824</v>
      </c>
      <c r="N426" s="6" t="s">
        <v>1824</v>
      </c>
      <c r="O426" s="29">
        <v>10000.2</v>
      </c>
    </row>
    <row r="427" s="1" customFormat="1" ht="16.35" hidden="1" customHeight="1" spans="1:15">
      <c r="A427" s="5"/>
      <c r="B427" s="6" t="s">
        <v>2906</v>
      </c>
      <c r="C427" s="6">
        <v>2017</v>
      </c>
      <c r="D427" s="6">
        <v>8</v>
      </c>
      <c r="E427" s="7">
        <v>11</v>
      </c>
      <c r="F427" s="6" t="s">
        <v>3383</v>
      </c>
      <c r="G427" s="6" t="s">
        <v>2908</v>
      </c>
      <c r="H427" s="6" t="s">
        <v>2909</v>
      </c>
      <c r="I427" s="8"/>
      <c r="J427" s="8">
        <v>45581</v>
      </c>
      <c r="K427" s="6" t="s">
        <v>3384</v>
      </c>
      <c r="L427" s="6" t="s">
        <v>1395</v>
      </c>
      <c r="N427" s="6" t="s">
        <v>1395</v>
      </c>
      <c r="O427" s="29">
        <v>47860.05</v>
      </c>
    </row>
    <row r="428" s="1" customFormat="1" ht="16.35" hidden="1" customHeight="1" spans="1:15">
      <c r="A428" s="5"/>
      <c r="B428" s="6" t="s">
        <v>2906</v>
      </c>
      <c r="C428" s="6">
        <v>2017</v>
      </c>
      <c r="D428" s="6">
        <v>8</v>
      </c>
      <c r="E428" s="7">
        <v>12</v>
      </c>
      <c r="F428" s="6" t="s">
        <v>3385</v>
      </c>
      <c r="G428" s="6" t="s">
        <v>2908</v>
      </c>
      <c r="H428" s="6" t="s">
        <v>2909</v>
      </c>
      <c r="I428" s="8"/>
      <c r="J428" s="8">
        <v>6667</v>
      </c>
      <c r="K428" s="6" t="s">
        <v>3288</v>
      </c>
      <c r="L428" s="6" t="s">
        <v>1894</v>
      </c>
      <c r="N428" s="6" t="s">
        <v>1894</v>
      </c>
      <c r="O428" s="29">
        <v>7000.35</v>
      </c>
    </row>
    <row r="429" s="1" customFormat="1" ht="16.35" hidden="1" customHeight="1" spans="1:15">
      <c r="A429" s="5"/>
      <c r="B429" s="6" t="s">
        <v>2906</v>
      </c>
      <c r="C429" s="6">
        <v>2017</v>
      </c>
      <c r="D429" s="6">
        <v>8</v>
      </c>
      <c r="E429" s="7">
        <v>14</v>
      </c>
      <c r="F429" s="6" t="s">
        <v>3194</v>
      </c>
      <c r="G429" s="6" t="s">
        <v>2908</v>
      </c>
      <c r="H429" s="6" t="s">
        <v>2909</v>
      </c>
      <c r="I429" s="8"/>
      <c r="J429" s="8">
        <v>297</v>
      </c>
      <c r="K429" s="6" t="s">
        <v>3195</v>
      </c>
      <c r="L429" s="6" t="s">
        <v>1383</v>
      </c>
      <c r="N429" s="6" t="s">
        <v>1383</v>
      </c>
      <c r="O429" s="29">
        <v>311.85</v>
      </c>
    </row>
    <row r="430" s="1" customFormat="1" ht="16.35" hidden="1" customHeight="1" spans="1:15">
      <c r="A430" s="5"/>
      <c r="B430" s="6" t="s">
        <v>2906</v>
      </c>
      <c r="C430" s="6">
        <v>2017</v>
      </c>
      <c r="D430" s="6">
        <v>8</v>
      </c>
      <c r="E430" s="7">
        <v>15</v>
      </c>
      <c r="F430" s="6" t="s">
        <v>3386</v>
      </c>
      <c r="G430" s="6" t="s">
        <v>2908</v>
      </c>
      <c r="H430" s="6" t="s">
        <v>2909</v>
      </c>
      <c r="I430" s="8"/>
      <c r="J430" s="8">
        <v>2857</v>
      </c>
      <c r="K430" s="6" t="s">
        <v>3027</v>
      </c>
      <c r="L430" s="6" t="s">
        <v>1623</v>
      </c>
      <c r="N430" s="6" t="s">
        <v>1623</v>
      </c>
      <c r="O430" s="29">
        <v>2999.85</v>
      </c>
    </row>
    <row r="431" s="1" customFormat="1" ht="16.35" hidden="1" customHeight="1" spans="1:15">
      <c r="A431" s="5"/>
      <c r="B431" s="6" t="s">
        <v>2906</v>
      </c>
      <c r="C431" s="6">
        <v>2017</v>
      </c>
      <c r="D431" s="6">
        <v>8</v>
      </c>
      <c r="E431" s="7">
        <v>16</v>
      </c>
      <c r="F431" s="6" t="s">
        <v>3387</v>
      </c>
      <c r="G431" s="6" t="s">
        <v>2908</v>
      </c>
      <c r="H431" s="6" t="s">
        <v>2909</v>
      </c>
      <c r="I431" s="8"/>
      <c r="J431" s="8">
        <v>-19048</v>
      </c>
      <c r="K431" s="6" t="s">
        <v>3056</v>
      </c>
      <c r="L431" s="6" t="s">
        <v>1577</v>
      </c>
      <c r="N431" s="6" t="s">
        <v>1577</v>
      </c>
      <c r="O431" s="29">
        <v>-20000.4</v>
      </c>
    </row>
    <row r="432" s="1" customFormat="1" ht="16.35" hidden="1" customHeight="1" spans="1:15">
      <c r="A432" s="5"/>
      <c r="B432" s="6" t="s">
        <v>2906</v>
      </c>
      <c r="C432" s="6">
        <v>2017</v>
      </c>
      <c r="D432" s="6">
        <v>8</v>
      </c>
      <c r="E432" s="7">
        <v>17</v>
      </c>
      <c r="F432" s="6" t="s">
        <v>3388</v>
      </c>
      <c r="G432" s="6" t="s">
        <v>2908</v>
      </c>
      <c r="H432" s="6" t="s">
        <v>2909</v>
      </c>
      <c r="I432" s="8"/>
      <c r="J432" s="8">
        <v>14355</v>
      </c>
      <c r="K432" s="6" t="s">
        <v>3172</v>
      </c>
      <c r="L432" s="6" t="s">
        <v>1579</v>
      </c>
      <c r="N432" s="6" t="s">
        <v>1579</v>
      </c>
      <c r="O432" s="29">
        <v>15072.75</v>
      </c>
    </row>
    <row r="433" s="1" customFormat="1" ht="16.35" hidden="1" customHeight="1" spans="1:15">
      <c r="A433" s="5"/>
      <c r="B433" s="6" t="s">
        <v>2906</v>
      </c>
      <c r="C433" s="6">
        <v>2017</v>
      </c>
      <c r="D433" s="6">
        <v>8</v>
      </c>
      <c r="E433" s="7">
        <v>22</v>
      </c>
      <c r="F433" s="6" t="s">
        <v>3389</v>
      </c>
      <c r="G433" s="6" t="s">
        <v>2908</v>
      </c>
      <c r="H433" s="6" t="s">
        <v>2909</v>
      </c>
      <c r="I433" s="8"/>
      <c r="J433" s="8">
        <v>9524</v>
      </c>
      <c r="K433" s="6" t="s">
        <v>3076</v>
      </c>
      <c r="L433" s="6" t="s">
        <v>1748</v>
      </c>
      <c r="N433" s="6" t="s">
        <v>1748</v>
      </c>
      <c r="O433" s="29">
        <v>10000.2</v>
      </c>
    </row>
    <row r="434" s="1" customFormat="1" ht="16.35" hidden="1" customHeight="1" spans="1:15">
      <c r="A434" s="5"/>
      <c r="B434" s="6" t="s">
        <v>2906</v>
      </c>
      <c r="C434" s="6">
        <v>2017</v>
      </c>
      <c r="D434" s="6">
        <v>8</v>
      </c>
      <c r="E434" s="7">
        <v>23</v>
      </c>
      <c r="F434" s="6" t="s">
        <v>3390</v>
      </c>
      <c r="G434" s="6" t="s">
        <v>2908</v>
      </c>
      <c r="H434" s="6" t="s">
        <v>2909</v>
      </c>
      <c r="I434" s="8"/>
      <c r="J434" s="8">
        <v>114286</v>
      </c>
      <c r="K434" s="6" t="s">
        <v>3361</v>
      </c>
      <c r="L434" s="6" t="s">
        <v>1393</v>
      </c>
      <c r="N434" s="6" t="s">
        <v>1393</v>
      </c>
      <c r="O434" s="29">
        <v>120000.3</v>
      </c>
    </row>
    <row r="435" s="1" customFormat="1" ht="16.35" hidden="1" customHeight="1" spans="1:15">
      <c r="A435" s="5"/>
      <c r="B435" s="6" t="s">
        <v>2906</v>
      </c>
      <c r="C435" s="6">
        <v>2017</v>
      </c>
      <c r="D435" s="6">
        <v>8</v>
      </c>
      <c r="E435" s="7">
        <v>24</v>
      </c>
      <c r="F435" s="6" t="s">
        <v>3391</v>
      </c>
      <c r="G435" s="6" t="s">
        <v>2908</v>
      </c>
      <c r="H435" s="6" t="s">
        <v>2909</v>
      </c>
      <c r="I435" s="8"/>
      <c r="J435" s="8">
        <v>109524</v>
      </c>
      <c r="K435" s="6" t="s">
        <v>3288</v>
      </c>
      <c r="L435" s="6" t="s">
        <v>1894</v>
      </c>
      <c r="N435" s="6" t="s">
        <v>1894</v>
      </c>
      <c r="O435" s="29">
        <v>115000.2</v>
      </c>
    </row>
    <row r="436" s="1" customFormat="1" ht="16.35" hidden="1" customHeight="1" spans="1:15">
      <c r="A436" s="5"/>
      <c r="B436" s="6" t="s">
        <v>2906</v>
      </c>
      <c r="C436" s="6">
        <v>2017</v>
      </c>
      <c r="D436" s="6">
        <v>8</v>
      </c>
      <c r="E436" s="7">
        <v>25</v>
      </c>
      <c r="F436" s="6" t="s">
        <v>3392</v>
      </c>
      <c r="G436" s="6" t="s">
        <v>2908</v>
      </c>
      <c r="H436" s="6" t="s">
        <v>2909</v>
      </c>
      <c r="I436" s="8"/>
      <c r="J436" s="8">
        <v>-9524</v>
      </c>
      <c r="K436" s="6" t="s">
        <v>3357</v>
      </c>
      <c r="L436" s="6" t="s">
        <v>1351</v>
      </c>
      <c r="N436" s="6" t="s">
        <v>1351</v>
      </c>
      <c r="O436" s="29">
        <v>-10000.2</v>
      </c>
    </row>
    <row r="437" s="1" customFormat="1" ht="16.35" hidden="1" customHeight="1" spans="1:15">
      <c r="A437" s="5"/>
      <c r="B437" s="6" t="s">
        <v>2906</v>
      </c>
      <c r="C437" s="6">
        <v>2017</v>
      </c>
      <c r="D437" s="6">
        <v>8</v>
      </c>
      <c r="E437" s="7">
        <v>26</v>
      </c>
      <c r="F437" s="6" t="s">
        <v>3393</v>
      </c>
      <c r="G437" s="6" t="s">
        <v>2908</v>
      </c>
      <c r="H437" s="6" t="s">
        <v>2909</v>
      </c>
      <c r="I437" s="8"/>
      <c r="J437" s="8">
        <v>121905</v>
      </c>
      <c r="K437" s="6" t="s">
        <v>3355</v>
      </c>
      <c r="L437" s="6" t="s">
        <v>1375</v>
      </c>
      <c r="N437" s="6" t="s">
        <v>1375</v>
      </c>
      <c r="O437" s="29">
        <v>128000.25</v>
      </c>
    </row>
    <row r="438" s="1" customFormat="1" ht="16.35" hidden="1" customHeight="1" spans="1:16">
      <c r="A438" s="5"/>
      <c r="B438" s="6" t="s">
        <v>2906</v>
      </c>
      <c r="C438" s="6">
        <v>2017</v>
      </c>
      <c r="D438" s="6">
        <v>8</v>
      </c>
      <c r="E438" s="7">
        <v>27</v>
      </c>
      <c r="F438" s="6" t="s">
        <v>3343</v>
      </c>
      <c r="G438" s="6" t="s">
        <v>2908</v>
      </c>
      <c r="H438" s="6" t="s">
        <v>2909</v>
      </c>
      <c r="I438" s="8"/>
      <c r="J438" s="8">
        <v>122857</v>
      </c>
      <c r="K438" s="6" t="s">
        <v>3344</v>
      </c>
      <c r="L438" s="6" t="s">
        <v>1373</v>
      </c>
      <c r="N438" s="6" t="s">
        <v>1373</v>
      </c>
      <c r="O438" s="29">
        <v>128999.85</v>
      </c>
      <c r="P438" s="1">
        <f>O438-J438</f>
        <v>6142.85000000001</v>
      </c>
    </row>
    <row r="439" s="1" customFormat="1" ht="16.35" hidden="1" customHeight="1" spans="1:15">
      <c r="A439" s="5"/>
      <c r="B439" s="6" t="s">
        <v>2906</v>
      </c>
      <c r="C439" s="6">
        <v>2017</v>
      </c>
      <c r="D439" s="6">
        <v>8</v>
      </c>
      <c r="E439" s="7">
        <v>28</v>
      </c>
      <c r="F439" s="6" t="s">
        <v>3394</v>
      </c>
      <c r="G439" s="6" t="s">
        <v>2908</v>
      </c>
      <c r="H439" s="6" t="s">
        <v>2909</v>
      </c>
      <c r="I439" s="8"/>
      <c r="J439" s="8">
        <v>124762</v>
      </c>
      <c r="K439" s="6" t="s">
        <v>3099</v>
      </c>
      <c r="L439" s="6" t="s">
        <v>1557</v>
      </c>
      <c r="N439" s="6" t="s">
        <v>1557</v>
      </c>
      <c r="O439" s="29">
        <v>131000.1</v>
      </c>
    </row>
    <row r="440" s="1" customFormat="1" ht="16.35" hidden="1" customHeight="1" spans="1:15">
      <c r="A440" s="5"/>
      <c r="B440" s="6" t="s">
        <v>2906</v>
      </c>
      <c r="C440" s="6">
        <v>2017</v>
      </c>
      <c r="D440" s="6">
        <v>8</v>
      </c>
      <c r="E440" s="7">
        <v>30</v>
      </c>
      <c r="F440" s="6" t="s">
        <v>3395</v>
      </c>
      <c r="G440" s="6" t="s">
        <v>2908</v>
      </c>
      <c r="H440" s="6" t="s">
        <v>2909</v>
      </c>
      <c r="I440" s="8"/>
      <c r="J440" s="8">
        <v>130476</v>
      </c>
      <c r="K440" s="6" t="s">
        <v>3314</v>
      </c>
      <c r="L440" s="6" t="s">
        <v>1065</v>
      </c>
      <c r="N440" s="6" t="s">
        <v>1065</v>
      </c>
      <c r="O440" s="29">
        <v>136999.8</v>
      </c>
    </row>
    <row r="441" s="1" customFormat="1" ht="16.35" hidden="1" customHeight="1" spans="1:15">
      <c r="A441" s="5"/>
      <c r="B441" s="6" t="s">
        <v>2906</v>
      </c>
      <c r="C441" s="6">
        <v>2017</v>
      </c>
      <c r="D441" s="6">
        <v>8</v>
      </c>
      <c r="E441" s="7">
        <v>31</v>
      </c>
      <c r="F441" s="6" t="s">
        <v>3396</v>
      </c>
      <c r="G441" s="6" t="s">
        <v>2908</v>
      </c>
      <c r="H441" s="6" t="s">
        <v>2909</v>
      </c>
      <c r="I441" s="8"/>
      <c r="J441" s="8">
        <v>142857</v>
      </c>
      <c r="K441" s="6" t="s">
        <v>3060</v>
      </c>
      <c r="L441" s="6" t="s">
        <v>1575</v>
      </c>
      <c r="N441" s="6" t="s">
        <v>1575</v>
      </c>
      <c r="O441" s="29">
        <v>149999.85</v>
      </c>
    </row>
    <row r="442" s="1" customFormat="1" ht="16.35" hidden="1" customHeight="1" spans="1:15">
      <c r="A442" s="5"/>
      <c r="B442" s="6" t="s">
        <v>2906</v>
      </c>
      <c r="C442" s="6">
        <v>2017</v>
      </c>
      <c r="D442" s="6">
        <v>8</v>
      </c>
      <c r="E442" s="7">
        <v>32</v>
      </c>
      <c r="F442" s="6" t="s">
        <v>3397</v>
      </c>
      <c r="G442" s="6" t="s">
        <v>2908</v>
      </c>
      <c r="H442" s="6" t="s">
        <v>2909</v>
      </c>
      <c r="I442" s="8"/>
      <c r="J442" s="8">
        <v>129524</v>
      </c>
      <c r="K442" s="6" t="s">
        <v>3348</v>
      </c>
      <c r="L442" s="6" t="s">
        <v>1353</v>
      </c>
      <c r="N442" s="6" t="s">
        <v>1353</v>
      </c>
      <c r="O442" s="29">
        <v>136000.2</v>
      </c>
    </row>
    <row r="443" s="1" customFormat="1" ht="16.35" hidden="1" customHeight="1" spans="1:15">
      <c r="A443" s="5"/>
      <c r="B443" s="6" t="s">
        <v>2906</v>
      </c>
      <c r="C443" s="6">
        <v>2017</v>
      </c>
      <c r="D443" s="6">
        <v>8</v>
      </c>
      <c r="E443" s="7">
        <v>33</v>
      </c>
      <c r="F443" s="6" t="s">
        <v>3398</v>
      </c>
      <c r="G443" s="6" t="s">
        <v>2908</v>
      </c>
      <c r="H443" s="6" t="s">
        <v>2909</v>
      </c>
      <c r="I443" s="8"/>
      <c r="J443" s="8">
        <v>124762</v>
      </c>
      <c r="K443" s="6" t="s">
        <v>3056</v>
      </c>
      <c r="L443" s="6" t="s">
        <v>1577</v>
      </c>
      <c r="N443" s="6" t="s">
        <v>1577</v>
      </c>
      <c r="O443" s="29">
        <v>131000.1</v>
      </c>
    </row>
    <row r="444" s="1" customFormat="1" ht="16.35" hidden="1" customHeight="1" spans="1:15">
      <c r="A444" s="5"/>
      <c r="B444" s="6" t="s">
        <v>2906</v>
      </c>
      <c r="C444" s="6">
        <v>2017</v>
      </c>
      <c r="D444" s="6">
        <v>8</v>
      </c>
      <c r="E444" s="7">
        <v>34</v>
      </c>
      <c r="F444" s="6" t="s">
        <v>3399</v>
      </c>
      <c r="G444" s="6" t="s">
        <v>2908</v>
      </c>
      <c r="H444" s="6" t="s">
        <v>2909</v>
      </c>
      <c r="I444" s="8"/>
      <c r="J444" s="8">
        <v>15096</v>
      </c>
      <c r="K444" s="6" t="s">
        <v>3088</v>
      </c>
      <c r="L444" s="6" t="s">
        <v>1756</v>
      </c>
      <c r="N444" s="6" t="s">
        <v>1756</v>
      </c>
      <c r="O444" s="29">
        <v>15850.8</v>
      </c>
    </row>
    <row r="445" s="1" customFormat="1" ht="16.35" hidden="1" customHeight="1" spans="1:15">
      <c r="A445" s="5"/>
      <c r="B445" s="6" t="s">
        <v>2906</v>
      </c>
      <c r="C445" s="6">
        <v>2017</v>
      </c>
      <c r="D445" s="6">
        <v>8</v>
      </c>
      <c r="E445" s="7">
        <v>36</v>
      </c>
      <c r="F445" s="6" t="s">
        <v>3400</v>
      </c>
      <c r="G445" s="6" t="s">
        <v>2908</v>
      </c>
      <c r="H445" s="6" t="s">
        <v>2909</v>
      </c>
      <c r="I445" s="8"/>
      <c r="J445" s="8">
        <v>6667</v>
      </c>
      <c r="K445" s="6" t="s">
        <v>3401</v>
      </c>
      <c r="L445" s="6" t="s">
        <v>1343</v>
      </c>
      <c r="N445" s="6" t="s">
        <v>1343</v>
      </c>
      <c r="O445" s="29">
        <v>7000.35</v>
      </c>
    </row>
    <row r="446" s="1" customFormat="1" ht="16.35" hidden="1" customHeight="1" spans="1:15">
      <c r="A446" s="5"/>
      <c r="B446" s="6" t="s">
        <v>2906</v>
      </c>
      <c r="C446" s="6">
        <v>2017</v>
      </c>
      <c r="D446" s="6">
        <v>8</v>
      </c>
      <c r="E446" s="7">
        <v>37</v>
      </c>
      <c r="F446" s="6" t="s">
        <v>3402</v>
      </c>
      <c r="G446" s="6" t="s">
        <v>2908</v>
      </c>
      <c r="H446" s="6" t="s">
        <v>2909</v>
      </c>
      <c r="I446" s="8"/>
      <c r="J446" s="8">
        <v>66667</v>
      </c>
      <c r="K446" s="6" t="s">
        <v>3170</v>
      </c>
      <c r="L446" s="6" t="s">
        <v>1886</v>
      </c>
      <c r="N446" s="6" t="s">
        <v>1886</v>
      </c>
      <c r="O446" s="29">
        <v>70000.35</v>
      </c>
    </row>
    <row r="447" s="1" customFormat="1" ht="16.35" hidden="1" customHeight="1" spans="1:15">
      <c r="A447" s="5"/>
      <c r="B447" s="6" t="s">
        <v>2906</v>
      </c>
      <c r="C447" s="6">
        <v>2017</v>
      </c>
      <c r="D447" s="6">
        <v>8</v>
      </c>
      <c r="E447" s="7">
        <v>38</v>
      </c>
      <c r="F447" s="6" t="s">
        <v>3403</v>
      </c>
      <c r="G447" s="6" t="s">
        <v>2908</v>
      </c>
      <c r="H447" s="6" t="s">
        <v>2909</v>
      </c>
      <c r="I447" s="8"/>
      <c r="J447" s="8">
        <v>95238</v>
      </c>
      <c r="K447" s="6" t="s">
        <v>3152</v>
      </c>
      <c r="L447" s="6" t="s">
        <v>1359</v>
      </c>
      <c r="N447" s="6" t="s">
        <v>1359</v>
      </c>
      <c r="O447" s="29">
        <v>99999.9</v>
      </c>
    </row>
    <row r="448" s="1" customFormat="1" ht="16.35" hidden="1" customHeight="1" spans="1:15">
      <c r="A448" s="5"/>
      <c r="B448" s="6" t="s">
        <v>2906</v>
      </c>
      <c r="C448" s="6">
        <v>2017</v>
      </c>
      <c r="D448" s="6">
        <v>8</v>
      </c>
      <c r="E448" s="7">
        <v>40</v>
      </c>
      <c r="F448" s="6" t="s">
        <v>3404</v>
      </c>
      <c r="G448" s="6" t="s">
        <v>2908</v>
      </c>
      <c r="H448" s="6" t="s">
        <v>2909</v>
      </c>
      <c r="I448" s="8"/>
      <c r="J448" s="8">
        <v>113333</v>
      </c>
      <c r="K448" s="6" t="s">
        <v>3138</v>
      </c>
      <c r="L448" s="6" t="s">
        <v>1539</v>
      </c>
      <c r="N448" s="6" t="s">
        <v>1539</v>
      </c>
      <c r="O448" s="29">
        <v>118999.65</v>
      </c>
    </row>
    <row r="449" s="1" customFormat="1" ht="16.35" hidden="1" customHeight="1" spans="1:15">
      <c r="A449" s="5"/>
      <c r="B449" s="6" t="s">
        <v>2906</v>
      </c>
      <c r="C449" s="6">
        <v>2017</v>
      </c>
      <c r="D449" s="6">
        <v>8</v>
      </c>
      <c r="E449" s="7">
        <v>41</v>
      </c>
      <c r="F449" s="6" t="s">
        <v>3405</v>
      </c>
      <c r="G449" s="6" t="s">
        <v>2908</v>
      </c>
      <c r="H449" s="6" t="s">
        <v>2909</v>
      </c>
      <c r="I449" s="8"/>
      <c r="J449" s="8">
        <v>140000</v>
      </c>
      <c r="K449" s="6" t="s">
        <v>3201</v>
      </c>
      <c r="L449" s="6" t="s">
        <v>1553</v>
      </c>
      <c r="N449" s="6" t="s">
        <v>1553</v>
      </c>
      <c r="O449" s="29">
        <v>147000</v>
      </c>
    </row>
    <row r="450" s="1" customFormat="1" ht="16.35" hidden="1" customHeight="1" spans="1:15">
      <c r="A450" s="5"/>
      <c r="B450" s="6" t="s">
        <v>2906</v>
      </c>
      <c r="C450" s="6">
        <v>2017</v>
      </c>
      <c r="D450" s="6">
        <v>9</v>
      </c>
      <c r="E450" s="7">
        <v>1</v>
      </c>
      <c r="F450" s="6" t="s">
        <v>3406</v>
      </c>
      <c r="G450" s="6" t="s">
        <v>2908</v>
      </c>
      <c r="H450" s="6" t="s">
        <v>2909</v>
      </c>
      <c r="I450" s="8"/>
      <c r="J450" s="8">
        <v>37836</v>
      </c>
      <c r="K450" s="6" t="s">
        <v>3154</v>
      </c>
      <c r="L450" s="6" t="s">
        <v>1535</v>
      </c>
      <c r="N450" s="6" t="s">
        <v>1535</v>
      </c>
      <c r="O450" s="29">
        <v>39727.8</v>
      </c>
    </row>
    <row r="451" s="1" customFormat="1" ht="16.35" hidden="1" customHeight="1" spans="1:15">
      <c r="A451" s="5"/>
      <c r="B451" s="6" t="s">
        <v>2906</v>
      </c>
      <c r="C451" s="6">
        <v>2017</v>
      </c>
      <c r="D451" s="6">
        <v>9</v>
      </c>
      <c r="E451" s="7">
        <v>2</v>
      </c>
      <c r="F451" s="6" t="s">
        <v>3407</v>
      </c>
      <c r="G451" s="6" t="s">
        <v>2908</v>
      </c>
      <c r="H451" s="6" t="s">
        <v>2909</v>
      </c>
      <c r="I451" s="8"/>
      <c r="J451" s="8">
        <v>47284</v>
      </c>
      <c r="K451" s="6" t="s">
        <v>3142</v>
      </c>
      <c r="L451" s="6" t="s">
        <v>1533</v>
      </c>
      <c r="N451" s="6" t="s">
        <v>1533</v>
      </c>
      <c r="O451" s="29">
        <v>49648.2</v>
      </c>
    </row>
    <row r="452" s="1" customFormat="1" ht="16.35" hidden="1" customHeight="1" spans="1:15">
      <c r="A452" s="5"/>
      <c r="B452" s="6" t="s">
        <v>2906</v>
      </c>
      <c r="C452" s="6">
        <v>2017</v>
      </c>
      <c r="D452" s="6">
        <v>9</v>
      </c>
      <c r="E452" s="7">
        <v>4</v>
      </c>
      <c r="F452" s="6" t="s">
        <v>3408</v>
      </c>
      <c r="G452" s="6" t="s">
        <v>2908</v>
      </c>
      <c r="H452" s="6" t="s">
        <v>2909</v>
      </c>
      <c r="I452" s="8"/>
      <c r="J452" s="8">
        <v>28076</v>
      </c>
      <c r="K452" s="6" t="s">
        <v>3409</v>
      </c>
      <c r="L452" s="6" t="s">
        <v>1371</v>
      </c>
      <c r="N452" s="6" t="s">
        <v>1371</v>
      </c>
      <c r="O452" s="29">
        <v>29479.8</v>
      </c>
    </row>
    <row r="453" s="1" customFormat="1" ht="16.35" hidden="1" customHeight="1" spans="1:15">
      <c r="A453" s="5"/>
      <c r="B453" s="6" t="s">
        <v>2906</v>
      </c>
      <c r="C453" s="6">
        <v>2017</v>
      </c>
      <c r="D453" s="6">
        <v>9</v>
      </c>
      <c r="E453" s="7">
        <v>5</v>
      </c>
      <c r="F453" s="6" t="s">
        <v>3408</v>
      </c>
      <c r="G453" s="6" t="s">
        <v>2908</v>
      </c>
      <c r="H453" s="6" t="s">
        <v>2909</v>
      </c>
      <c r="I453" s="8"/>
      <c r="J453" s="8">
        <v>19048</v>
      </c>
      <c r="K453" s="6" t="s">
        <v>3409</v>
      </c>
      <c r="L453" s="6" t="s">
        <v>1371</v>
      </c>
      <c r="N453" s="6" t="s">
        <v>1371</v>
      </c>
      <c r="O453" s="29">
        <v>20000.4</v>
      </c>
    </row>
    <row r="454" s="1" customFormat="1" ht="16.35" hidden="1" customHeight="1" spans="1:15">
      <c r="A454" s="5"/>
      <c r="B454" s="6" t="s">
        <v>2906</v>
      </c>
      <c r="C454" s="6">
        <v>2017</v>
      </c>
      <c r="D454" s="6">
        <v>9</v>
      </c>
      <c r="E454" s="7">
        <v>8</v>
      </c>
      <c r="F454" s="6" t="s">
        <v>3371</v>
      </c>
      <c r="G454" s="6" t="s">
        <v>2908</v>
      </c>
      <c r="H454" s="6" t="s">
        <v>2909</v>
      </c>
      <c r="I454" s="8"/>
      <c r="J454" s="8">
        <v>141905</v>
      </c>
      <c r="K454" s="6" t="s">
        <v>3372</v>
      </c>
      <c r="L454" s="6" t="s">
        <v>1369</v>
      </c>
      <c r="N454" s="6" t="s">
        <v>1369</v>
      </c>
      <c r="O454" s="29">
        <v>149000.25</v>
      </c>
    </row>
    <row r="455" s="1" customFormat="1" ht="16.35" hidden="1" customHeight="1" spans="1:16">
      <c r="A455" s="5"/>
      <c r="B455" s="6" t="s">
        <v>2906</v>
      </c>
      <c r="C455" s="6">
        <v>2017</v>
      </c>
      <c r="D455" s="6">
        <v>9</v>
      </c>
      <c r="E455" s="7">
        <v>9</v>
      </c>
      <c r="F455" s="6" t="s">
        <v>3410</v>
      </c>
      <c r="G455" s="6" t="s">
        <v>2908</v>
      </c>
      <c r="H455" s="6" t="s">
        <v>2909</v>
      </c>
      <c r="I455" s="8"/>
      <c r="J455" s="8">
        <v>9524</v>
      </c>
      <c r="K455" s="6" t="s">
        <v>3411</v>
      </c>
      <c r="L455" s="6" t="s">
        <v>1389</v>
      </c>
      <c r="N455" s="6" t="s">
        <v>1389</v>
      </c>
      <c r="O455" s="29">
        <v>10000.2</v>
      </c>
      <c r="P455" s="1">
        <f>O455-J455</f>
        <v>476.200000000001</v>
      </c>
    </row>
    <row r="456" s="1" customFormat="1" ht="16.35" hidden="1" customHeight="1" spans="1:15">
      <c r="A456" s="5"/>
      <c r="B456" s="6" t="s">
        <v>2906</v>
      </c>
      <c r="C456" s="6">
        <v>2017</v>
      </c>
      <c r="D456" s="6">
        <v>9</v>
      </c>
      <c r="E456" s="7">
        <v>10</v>
      </c>
      <c r="F456" s="6" t="s">
        <v>3412</v>
      </c>
      <c r="G456" s="6" t="s">
        <v>2908</v>
      </c>
      <c r="H456" s="6" t="s">
        <v>2909</v>
      </c>
      <c r="I456" s="8"/>
      <c r="J456" s="8">
        <v>49260</v>
      </c>
      <c r="K456" s="6" t="s">
        <v>3208</v>
      </c>
      <c r="L456" s="6" t="s">
        <v>1567</v>
      </c>
      <c r="N456" s="6" t="s">
        <v>1567</v>
      </c>
      <c r="O456" s="29">
        <v>51723</v>
      </c>
    </row>
    <row r="457" s="1" customFormat="1" ht="16.35" hidden="1" customHeight="1" spans="1:15">
      <c r="A457" s="5"/>
      <c r="B457" s="6" t="s">
        <v>2906</v>
      </c>
      <c r="C457" s="6">
        <v>2017</v>
      </c>
      <c r="D457" s="6">
        <v>9</v>
      </c>
      <c r="E457" s="7">
        <v>11</v>
      </c>
      <c r="F457" s="6" t="s">
        <v>3413</v>
      </c>
      <c r="G457" s="6" t="s">
        <v>2908</v>
      </c>
      <c r="H457" s="6" t="s">
        <v>2909</v>
      </c>
      <c r="I457" s="8"/>
      <c r="J457" s="8">
        <v>-4762</v>
      </c>
      <c r="K457" s="6" t="s">
        <v>3323</v>
      </c>
      <c r="L457" s="6" t="s">
        <v>1607</v>
      </c>
      <c r="N457" s="6" t="s">
        <v>1607</v>
      </c>
      <c r="O457" s="29">
        <v>-5000.1</v>
      </c>
    </row>
    <row r="458" s="1" customFormat="1" ht="16.35" hidden="1" customHeight="1" spans="1:15">
      <c r="A458" s="5"/>
      <c r="B458" s="6" t="s">
        <v>2906</v>
      </c>
      <c r="C458" s="6">
        <v>2017</v>
      </c>
      <c r="D458" s="6">
        <v>9</v>
      </c>
      <c r="E458" s="7">
        <v>11</v>
      </c>
      <c r="F458" s="6" t="s">
        <v>3413</v>
      </c>
      <c r="G458" s="6" t="s">
        <v>2908</v>
      </c>
      <c r="H458" s="6" t="s">
        <v>2909</v>
      </c>
      <c r="I458" s="8"/>
      <c r="J458" s="8">
        <v>4762</v>
      </c>
      <c r="K458" s="6" t="s">
        <v>3208</v>
      </c>
      <c r="L458" s="6" t="s">
        <v>1567</v>
      </c>
      <c r="N458" s="6" t="s">
        <v>1567</v>
      </c>
      <c r="O458" s="29">
        <v>5000.1</v>
      </c>
    </row>
    <row r="459" s="1" customFormat="1" ht="16.35" hidden="1" customHeight="1" spans="1:15">
      <c r="A459" s="5"/>
      <c r="B459" s="6" t="s">
        <v>2906</v>
      </c>
      <c r="C459" s="6">
        <v>2017</v>
      </c>
      <c r="D459" s="6">
        <v>9</v>
      </c>
      <c r="E459" s="7">
        <v>13</v>
      </c>
      <c r="F459" s="6" t="s">
        <v>3414</v>
      </c>
      <c r="G459" s="6" t="s">
        <v>2908</v>
      </c>
      <c r="H459" s="6" t="s">
        <v>2909</v>
      </c>
      <c r="I459" s="8"/>
      <c r="J459" s="8">
        <v>46667</v>
      </c>
      <c r="K459" s="6" t="s">
        <v>3323</v>
      </c>
      <c r="L459" s="6" t="s">
        <v>1607</v>
      </c>
      <c r="N459" s="6" t="s">
        <v>1607</v>
      </c>
      <c r="O459" s="29">
        <v>49000.35</v>
      </c>
    </row>
    <row r="460" s="1" customFormat="1" ht="16.35" hidden="1" customHeight="1" spans="1:15">
      <c r="A460" s="5"/>
      <c r="B460" s="6" t="s">
        <v>2906</v>
      </c>
      <c r="C460" s="6">
        <v>2017</v>
      </c>
      <c r="D460" s="6">
        <v>9</v>
      </c>
      <c r="E460" s="7">
        <v>14</v>
      </c>
      <c r="F460" s="6" t="s">
        <v>3415</v>
      </c>
      <c r="G460" s="6" t="s">
        <v>2908</v>
      </c>
      <c r="H460" s="6" t="s">
        <v>2909</v>
      </c>
      <c r="I460" s="8"/>
      <c r="J460" s="8">
        <v>952</v>
      </c>
      <c r="K460" s="6" t="s">
        <v>3323</v>
      </c>
      <c r="L460" s="6" t="s">
        <v>1607</v>
      </c>
      <c r="N460" s="6" t="s">
        <v>1607</v>
      </c>
      <c r="O460" s="29">
        <v>999.6</v>
      </c>
    </row>
    <row r="461" s="1" customFormat="1" ht="16.35" hidden="1" customHeight="1" spans="1:15">
      <c r="A461" s="5"/>
      <c r="B461" s="6" t="s">
        <v>2906</v>
      </c>
      <c r="C461" s="6">
        <v>2017</v>
      </c>
      <c r="D461" s="6">
        <v>9</v>
      </c>
      <c r="E461" s="7">
        <v>15</v>
      </c>
      <c r="F461" s="6" t="s">
        <v>3416</v>
      </c>
      <c r="G461" s="6" t="s">
        <v>2908</v>
      </c>
      <c r="H461" s="6" t="s">
        <v>2909</v>
      </c>
      <c r="I461" s="8"/>
      <c r="J461" s="8">
        <v>952</v>
      </c>
      <c r="K461" s="6" t="s">
        <v>3225</v>
      </c>
      <c r="L461" s="6" t="s">
        <v>1571</v>
      </c>
      <c r="N461" s="6" t="s">
        <v>1571</v>
      </c>
      <c r="O461" s="29">
        <v>999.6</v>
      </c>
    </row>
    <row r="462" s="1" customFormat="1" ht="16.35" hidden="1" customHeight="1" spans="1:15">
      <c r="A462" s="5"/>
      <c r="B462" s="6" t="s">
        <v>2906</v>
      </c>
      <c r="C462" s="6">
        <v>2017</v>
      </c>
      <c r="D462" s="6">
        <v>9</v>
      </c>
      <c r="E462" s="7">
        <v>16</v>
      </c>
      <c r="F462" s="6" t="s">
        <v>3417</v>
      </c>
      <c r="G462" s="6" t="s">
        <v>2908</v>
      </c>
      <c r="H462" s="6" t="s">
        <v>2909</v>
      </c>
      <c r="I462" s="8"/>
      <c r="J462" s="8">
        <v>1905</v>
      </c>
      <c r="K462" s="6" t="s">
        <v>3418</v>
      </c>
      <c r="L462" s="6" t="s">
        <v>1277</v>
      </c>
      <c r="N462" s="6" t="s">
        <v>1277</v>
      </c>
      <c r="O462" s="29">
        <v>2000.25</v>
      </c>
    </row>
    <row r="463" s="1" customFormat="1" ht="16.35" hidden="1" customHeight="1" spans="1:15">
      <c r="A463" s="5"/>
      <c r="B463" s="6" t="s">
        <v>2906</v>
      </c>
      <c r="C463" s="6">
        <v>2017</v>
      </c>
      <c r="D463" s="6">
        <v>9</v>
      </c>
      <c r="E463" s="7">
        <v>17</v>
      </c>
      <c r="F463" s="6" t="s">
        <v>3419</v>
      </c>
      <c r="G463" s="6" t="s">
        <v>2908</v>
      </c>
      <c r="H463" s="6" t="s">
        <v>2909</v>
      </c>
      <c r="I463" s="8"/>
      <c r="J463" s="8">
        <v>4286</v>
      </c>
      <c r="K463" s="6" t="s">
        <v>3420</v>
      </c>
      <c r="L463" s="6" t="s">
        <v>1280</v>
      </c>
      <c r="N463" s="6" t="s">
        <v>1280</v>
      </c>
      <c r="O463" s="29">
        <v>4500.3</v>
      </c>
    </row>
    <row r="464" s="1" customFormat="1" ht="16.35" hidden="1" customHeight="1" spans="1:15">
      <c r="A464" s="5"/>
      <c r="B464" s="6" t="s">
        <v>2906</v>
      </c>
      <c r="C464" s="6">
        <v>2017</v>
      </c>
      <c r="D464" s="6">
        <v>9</v>
      </c>
      <c r="E464" s="7">
        <v>18</v>
      </c>
      <c r="F464" s="6" t="s">
        <v>3421</v>
      </c>
      <c r="G464" s="6" t="s">
        <v>2908</v>
      </c>
      <c r="H464" s="6" t="s">
        <v>2909</v>
      </c>
      <c r="I464" s="8"/>
      <c r="J464" s="8">
        <v>28571</v>
      </c>
      <c r="K464" s="6" t="s">
        <v>3422</v>
      </c>
      <c r="L464" s="6" t="s">
        <v>993</v>
      </c>
      <c r="N464" s="6" t="s">
        <v>993</v>
      </c>
      <c r="O464" s="29">
        <v>29999.55</v>
      </c>
    </row>
    <row r="465" s="1" customFormat="1" ht="16.35" hidden="1" customHeight="1" spans="1:15">
      <c r="A465" s="5"/>
      <c r="B465" s="6" t="s">
        <v>2906</v>
      </c>
      <c r="C465" s="6">
        <v>2017</v>
      </c>
      <c r="D465" s="6">
        <v>9</v>
      </c>
      <c r="E465" s="7">
        <v>19</v>
      </c>
      <c r="F465" s="6" t="s">
        <v>3423</v>
      </c>
      <c r="G465" s="6" t="s">
        <v>2908</v>
      </c>
      <c r="H465" s="6" t="s">
        <v>2909</v>
      </c>
      <c r="I465" s="8"/>
      <c r="J465" s="8">
        <v>85714</v>
      </c>
      <c r="K465" s="6" t="s">
        <v>2994</v>
      </c>
      <c r="L465" s="6" t="s">
        <v>1840</v>
      </c>
      <c r="N465" s="6" t="s">
        <v>1840</v>
      </c>
      <c r="O465" s="29">
        <v>89999.7</v>
      </c>
    </row>
    <row r="466" s="1" customFormat="1" ht="16.35" hidden="1" customHeight="1" spans="1:15">
      <c r="A466" s="5"/>
      <c r="B466" s="6" t="s">
        <v>2906</v>
      </c>
      <c r="C466" s="6">
        <v>2017</v>
      </c>
      <c r="D466" s="6">
        <v>9</v>
      </c>
      <c r="E466" s="7">
        <v>22</v>
      </c>
      <c r="F466" s="6" t="s">
        <v>3424</v>
      </c>
      <c r="G466" s="6" t="s">
        <v>2908</v>
      </c>
      <c r="H466" s="6" t="s">
        <v>2909</v>
      </c>
      <c r="I466" s="8"/>
      <c r="J466" s="8">
        <v>9524</v>
      </c>
      <c r="K466" s="6" t="s">
        <v>3158</v>
      </c>
      <c r="L466" s="6" t="s">
        <v>1798</v>
      </c>
      <c r="N466" s="6" t="s">
        <v>1798</v>
      </c>
      <c r="O466" s="29">
        <v>10000.2</v>
      </c>
    </row>
    <row r="467" s="1" customFormat="1" ht="16.35" hidden="1" customHeight="1" spans="1:15">
      <c r="A467" s="5"/>
      <c r="B467" s="6" t="s">
        <v>2906</v>
      </c>
      <c r="C467" s="6">
        <v>2017</v>
      </c>
      <c r="D467" s="6">
        <v>9</v>
      </c>
      <c r="E467" s="7">
        <v>23</v>
      </c>
      <c r="F467" s="6" t="s">
        <v>3399</v>
      </c>
      <c r="G467" s="6" t="s">
        <v>2908</v>
      </c>
      <c r="H467" s="6" t="s">
        <v>2909</v>
      </c>
      <c r="I467" s="8"/>
      <c r="J467" s="8">
        <v>127619</v>
      </c>
      <c r="K467" s="6" t="s">
        <v>3088</v>
      </c>
      <c r="L467" s="6" t="s">
        <v>1756</v>
      </c>
      <c r="N467" s="6" t="s">
        <v>1756</v>
      </c>
      <c r="O467" s="29">
        <v>133999.95</v>
      </c>
    </row>
    <row r="468" s="1" customFormat="1" ht="16.35" hidden="1" customHeight="1" spans="1:15">
      <c r="A468" s="5"/>
      <c r="B468" s="6" t="s">
        <v>2906</v>
      </c>
      <c r="C468" s="6">
        <v>2017</v>
      </c>
      <c r="D468" s="6">
        <v>9</v>
      </c>
      <c r="E468" s="7">
        <v>24</v>
      </c>
      <c r="F468" s="6" t="s">
        <v>3425</v>
      </c>
      <c r="G468" s="6" t="s">
        <v>2908</v>
      </c>
      <c r="H468" s="6" t="s">
        <v>2909</v>
      </c>
      <c r="I468" s="8"/>
      <c r="J468" s="8">
        <v>134286</v>
      </c>
      <c r="K468" s="6" t="s">
        <v>3384</v>
      </c>
      <c r="L468" s="6" t="s">
        <v>1395</v>
      </c>
      <c r="N468" s="6" t="s">
        <v>1395</v>
      </c>
      <c r="O468" s="29">
        <v>141000.3</v>
      </c>
    </row>
    <row r="469" s="1" customFormat="1" ht="16.35" hidden="1" customHeight="1" spans="1:15">
      <c r="A469" s="5"/>
      <c r="B469" s="6" t="s">
        <v>2906</v>
      </c>
      <c r="C469" s="6">
        <v>2017</v>
      </c>
      <c r="D469" s="6">
        <v>9</v>
      </c>
      <c r="E469" s="7">
        <v>25</v>
      </c>
      <c r="F469" s="6" t="s">
        <v>3426</v>
      </c>
      <c r="G469" s="6" t="s">
        <v>2908</v>
      </c>
      <c r="H469" s="6" t="s">
        <v>2909</v>
      </c>
      <c r="I469" s="8"/>
      <c r="J469" s="8">
        <v>952</v>
      </c>
      <c r="K469" s="6" t="s">
        <v>3427</v>
      </c>
      <c r="L469" s="6" t="s">
        <v>1043</v>
      </c>
      <c r="N469" s="6" t="s">
        <v>1043</v>
      </c>
      <c r="O469" s="29">
        <v>999.6</v>
      </c>
    </row>
    <row r="470" s="1" customFormat="1" ht="16.35" hidden="1" customHeight="1" spans="1:15">
      <c r="A470" s="5"/>
      <c r="B470" s="6" t="s">
        <v>2906</v>
      </c>
      <c r="C470" s="6">
        <v>2017</v>
      </c>
      <c r="D470" s="6">
        <v>9</v>
      </c>
      <c r="E470" s="7">
        <v>26</v>
      </c>
      <c r="F470" s="6" t="s">
        <v>3428</v>
      </c>
      <c r="G470" s="6" t="s">
        <v>2908</v>
      </c>
      <c r="H470" s="6" t="s">
        <v>2909</v>
      </c>
      <c r="I470" s="8"/>
      <c r="J470" s="8">
        <v>952</v>
      </c>
      <c r="K470" s="6" t="s">
        <v>3429</v>
      </c>
      <c r="L470" s="6" t="s">
        <v>1271</v>
      </c>
      <c r="N470" s="6" t="s">
        <v>1271</v>
      </c>
      <c r="O470" s="29">
        <v>999.6</v>
      </c>
    </row>
    <row r="471" s="1" customFormat="1" ht="16.35" hidden="1" customHeight="1" spans="1:15">
      <c r="A471" s="5"/>
      <c r="B471" s="6" t="s">
        <v>2906</v>
      </c>
      <c r="C471" s="6">
        <v>2017</v>
      </c>
      <c r="D471" s="6">
        <v>9</v>
      </c>
      <c r="E471" s="7">
        <v>27</v>
      </c>
      <c r="F471" s="6" t="s">
        <v>3430</v>
      </c>
      <c r="G471" s="6" t="s">
        <v>2908</v>
      </c>
      <c r="H471" s="6" t="s">
        <v>2909</v>
      </c>
      <c r="I471" s="8"/>
      <c r="J471" s="8">
        <v>1905</v>
      </c>
      <c r="K471" s="6" t="s">
        <v>3431</v>
      </c>
      <c r="L471" s="6" t="s">
        <v>1282</v>
      </c>
      <c r="N471" s="6" t="s">
        <v>1282</v>
      </c>
      <c r="O471" s="29">
        <v>2000.25</v>
      </c>
    </row>
    <row r="472" s="1" customFormat="1" ht="16.35" hidden="1" customHeight="1" spans="1:15">
      <c r="A472" s="5"/>
      <c r="B472" s="6" t="s">
        <v>2906</v>
      </c>
      <c r="C472" s="6">
        <v>2017</v>
      </c>
      <c r="D472" s="6">
        <v>9</v>
      </c>
      <c r="E472" s="7">
        <v>30</v>
      </c>
      <c r="F472" s="6" t="s">
        <v>3417</v>
      </c>
      <c r="G472" s="6" t="s">
        <v>2908</v>
      </c>
      <c r="H472" s="6" t="s">
        <v>2909</v>
      </c>
      <c r="I472" s="8"/>
      <c r="J472" s="8">
        <v>37707</v>
      </c>
      <c r="K472" s="6" t="s">
        <v>3418</v>
      </c>
      <c r="L472" s="6" t="s">
        <v>1277</v>
      </c>
      <c r="N472" s="6" t="s">
        <v>1277</v>
      </c>
      <c r="O472" s="29">
        <v>39592.35</v>
      </c>
    </row>
    <row r="473" s="1" customFormat="1" ht="16.35" hidden="1" customHeight="1" spans="1:15">
      <c r="A473" s="5"/>
      <c r="B473" s="6" t="s">
        <v>2906</v>
      </c>
      <c r="C473" s="6">
        <v>2017</v>
      </c>
      <c r="D473" s="6">
        <v>9</v>
      </c>
      <c r="E473" s="7">
        <v>34</v>
      </c>
      <c r="F473" s="6" t="s">
        <v>3432</v>
      </c>
      <c r="G473" s="6" t="s">
        <v>2908</v>
      </c>
      <c r="H473" s="6" t="s">
        <v>2909</v>
      </c>
      <c r="I473" s="8"/>
      <c r="J473" s="8">
        <v>21810</v>
      </c>
      <c r="K473" s="6" t="s">
        <v>3184</v>
      </c>
      <c r="L473" s="6" t="s">
        <v>1902</v>
      </c>
      <c r="N473" s="6" t="s">
        <v>1902</v>
      </c>
      <c r="O473" s="29">
        <v>22900.5</v>
      </c>
    </row>
    <row r="474" s="1" customFormat="1" ht="16.35" hidden="1" customHeight="1" spans="1:15">
      <c r="A474" s="5"/>
      <c r="B474" s="6" t="s">
        <v>2906</v>
      </c>
      <c r="C474" s="6">
        <v>2017</v>
      </c>
      <c r="D474" s="6">
        <v>9</v>
      </c>
      <c r="E474" s="7">
        <v>35</v>
      </c>
      <c r="F474" s="6" t="s">
        <v>3432</v>
      </c>
      <c r="G474" s="6" t="s">
        <v>2908</v>
      </c>
      <c r="H474" s="6" t="s">
        <v>2909</v>
      </c>
      <c r="I474" s="8"/>
      <c r="J474" s="8">
        <v>4762</v>
      </c>
      <c r="K474" s="6" t="s">
        <v>3184</v>
      </c>
      <c r="L474" s="6" t="s">
        <v>1902</v>
      </c>
      <c r="N474" s="6" t="s">
        <v>1902</v>
      </c>
      <c r="O474" s="29">
        <v>5000.1</v>
      </c>
    </row>
    <row r="475" s="1" customFormat="1" ht="16.35" hidden="1" customHeight="1" spans="1:15">
      <c r="A475" s="5"/>
      <c r="B475" s="6" t="s">
        <v>2906</v>
      </c>
      <c r="C475" s="6">
        <v>2017</v>
      </c>
      <c r="D475" s="6">
        <v>9</v>
      </c>
      <c r="E475" s="7">
        <v>36</v>
      </c>
      <c r="F475" s="6" t="s">
        <v>3433</v>
      </c>
      <c r="G475" s="6" t="s">
        <v>2908</v>
      </c>
      <c r="H475" s="6" t="s">
        <v>2909</v>
      </c>
      <c r="I475" s="8"/>
      <c r="J475" s="8">
        <v>122857.14</v>
      </c>
      <c r="K475" s="6" t="s">
        <v>3312</v>
      </c>
      <c r="L475" s="6" t="s">
        <v>1355</v>
      </c>
      <c r="N475" s="6" t="s">
        <v>1355</v>
      </c>
      <c r="O475" s="29">
        <v>128999.997</v>
      </c>
    </row>
    <row r="476" s="1" customFormat="1" ht="16.35" hidden="1" customHeight="1" spans="1:15">
      <c r="A476" s="5"/>
      <c r="B476" s="6" t="s">
        <v>2906</v>
      </c>
      <c r="C476" s="6">
        <v>2017</v>
      </c>
      <c r="D476" s="6">
        <v>10</v>
      </c>
      <c r="E476" s="7">
        <v>1</v>
      </c>
      <c r="F476" s="6" t="s">
        <v>3432</v>
      </c>
      <c r="G476" s="6" t="s">
        <v>2908</v>
      </c>
      <c r="H476" s="6" t="s">
        <v>2909</v>
      </c>
      <c r="I476" s="8"/>
      <c r="J476" s="8">
        <v>158</v>
      </c>
      <c r="K476" s="6" t="s">
        <v>3184</v>
      </c>
      <c r="L476" s="6" t="s">
        <v>1902</v>
      </c>
      <c r="N476" s="6" t="s">
        <v>1902</v>
      </c>
      <c r="O476" s="29">
        <v>165.9</v>
      </c>
    </row>
    <row r="477" s="1" customFormat="1" ht="16.35" hidden="1" customHeight="1" spans="1:15">
      <c r="A477" s="5"/>
      <c r="B477" s="6" t="s">
        <v>2906</v>
      </c>
      <c r="C477" s="6">
        <v>2017</v>
      </c>
      <c r="D477" s="6">
        <v>10</v>
      </c>
      <c r="E477" s="7">
        <v>2</v>
      </c>
      <c r="F477" s="6" t="s">
        <v>3434</v>
      </c>
      <c r="G477" s="6" t="s">
        <v>2908</v>
      </c>
      <c r="H477" s="6" t="s">
        <v>2909</v>
      </c>
      <c r="I477" s="8"/>
      <c r="J477" s="8">
        <v>4762</v>
      </c>
      <c r="K477" s="6" t="s">
        <v>3435</v>
      </c>
      <c r="L477" s="6" t="s">
        <v>1057</v>
      </c>
      <c r="N477" s="6" t="s">
        <v>1057</v>
      </c>
      <c r="O477" s="29">
        <v>5000.1</v>
      </c>
    </row>
    <row r="478" s="1" customFormat="1" ht="16.35" hidden="1" customHeight="1" spans="1:15">
      <c r="A478" s="5"/>
      <c r="B478" s="6" t="s">
        <v>2906</v>
      </c>
      <c r="C478" s="6">
        <v>2017</v>
      </c>
      <c r="D478" s="6">
        <v>10</v>
      </c>
      <c r="E478" s="7">
        <v>3</v>
      </c>
      <c r="F478" s="6" t="s">
        <v>3436</v>
      </c>
      <c r="G478" s="6" t="s">
        <v>2908</v>
      </c>
      <c r="H478" s="6" t="s">
        <v>2909</v>
      </c>
      <c r="I478" s="8"/>
      <c r="J478" s="8">
        <v>2224</v>
      </c>
      <c r="K478" s="6" t="s">
        <v>3437</v>
      </c>
      <c r="L478" s="6" t="s">
        <v>1059</v>
      </c>
      <c r="N478" s="6" t="s">
        <v>1059</v>
      </c>
      <c r="O478" s="29">
        <v>2335.2</v>
      </c>
    </row>
    <row r="479" s="1" customFormat="1" ht="16.35" hidden="1" customHeight="1" spans="1:15">
      <c r="A479" s="5"/>
      <c r="B479" s="6" t="s">
        <v>2906</v>
      </c>
      <c r="C479" s="6">
        <v>2017</v>
      </c>
      <c r="D479" s="6">
        <v>10</v>
      </c>
      <c r="E479" s="7">
        <v>4</v>
      </c>
      <c r="F479" s="6" t="s">
        <v>3438</v>
      </c>
      <c r="G479" s="6" t="s">
        <v>2908</v>
      </c>
      <c r="H479" s="6" t="s">
        <v>2909</v>
      </c>
      <c r="I479" s="8"/>
      <c r="J479" s="8">
        <v>35680</v>
      </c>
      <c r="K479" s="6" t="s">
        <v>3401</v>
      </c>
      <c r="L479" s="6" t="s">
        <v>1343</v>
      </c>
      <c r="N479" s="6" t="s">
        <v>1343</v>
      </c>
      <c r="O479" s="29">
        <v>37464</v>
      </c>
    </row>
    <row r="480" s="1" customFormat="1" ht="16.35" hidden="1" customHeight="1" spans="1:15">
      <c r="A480" s="5"/>
      <c r="B480" s="6" t="s">
        <v>2906</v>
      </c>
      <c r="C480" s="6">
        <v>2017</v>
      </c>
      <c r="D480" s="6">
        <v>10</v>
      </c>
      <c r="E480" s="7">
        <v>5</v>
      </c>
      <c r="F480" s="6" t="s">
        <v>3439</v>
      </c>
      <c r="G480" s="6" t="s">
        <v>2908</v>
      </c>
      <c r="H480" s="6" t="s">
        <v>2909</v>
      </c>
      <c r="I480" s="8"/>
      <c r="J480" s="8">
        <v>43405</v>
      </c>
      <c r="K480" s="6" t="s">
        <v>3230</v>
      </c>
      <c r="L480" s="6" t="s">
        <v>1527</v>
      </c>
      <c r="N480" s="6" t="s">
        <v>1527</v>
      </c>
      <c r="O480" s="29">
        <v>45575.25</v>
      </c>
    </row>
    <row r="481" s="1" customFormat="1" ht="16.35" hidden="1" customHeight="1" spans="1:15">
      <c r="A481" s="5"/>
      <c r="B481" s="6" t="s">
        <v>2906</v>
      </c>
      <c r="C481" s="6">
        <v>2017</v>
      </c>
      <c r="D481" s="6">
        <v>10</v>
      </c>
      <c r="E481" s="7">
        <v>6</v>
      </c>
      <c r="F481" s="6" t="s">
        <v>3440</v>
      </c>
      <c r="G481" s="6" t="s">
        <v>2908</v>
      </c>
      <c r="H481" s="6" t="s">
        <v>2909</v>
      </c>
      <c r="I481" s="8"/>
      <c r="J481" s="8">
        <v>160000</v>
      </c>
      <c r="K481" s="6" t="s">
        <v>3208</v>
      </c>
      <c r="L481" s="6" t="s">
        <v>1567</v>
      </c>
      <c r="N481" s="6" t="s">
        <v>1567</v>
      </c>
      <c r="O481" s="29">
        <v>168000</v>
      </c>
    </row>
    <row r="482" s="1" customFormat="1" ht="16.35" hidden="1" customHeight="1" spans="1:15">
      <c r="A482" s="5"/>
      <c r="B482" s="6" t="s">
        <v>2906</v>
      </c>
      <c r="C482" s="6">
        <v>2017</v>
      </c>
      <c r="D482" s="6">
        <v>10</v>
      </c>
      <c r="E482" s="7">
        <v>8</v>
      </c>
      <c r="F482" s="6" t="s">
        <v>3441</v>
      </c>
      <c r="G482" s="6" t="s">
        <v>2908</v>
      </c>
      <c r="H482" s="6" t="s">
        <v>2909</v>
      </c>
      <c r="I482" s="8"/>
      <c r="J482" s="8">
        <v>47610</v>
      </c>
      <c r="K482" s="6" t="s">
        <v>3437</v>
      </c>
      <c r="L482" s="6" t="s">
        <v>1059</v>
      </c>
      <c r="N482" s="6" t="s">
        <v>1059</v>
      </c>
      <c r="O482" s="29">
        <v>49990.5</v>
      </c>
    </row>
    <row r="483" s="1" customFormat="1" ht="16.35" hidden="1" customHeight="1" spans="1:15">
      <c r="A483" s="5"/>
      <c r="B483" s="6" t="s">
        <v>2906</v>
      </c>
      <c r="C483" s="6">
        <v>2017</v>
      </c>
      <c r="D483" s="6">
        <v>10</v>
      </c>
      <c r="E483" s="7">
        <v>9</v>
      </c>
      <c r="F483" s="6" t="s">
        <v>3442</v>
      </c>
      <c r="G483" s="6" t="s">
        <v>2908</v>
      </c>
      <c r="H483" s="6" t="s">
        <v>2909</v>
      </c>
      <c r="I483" s="8"/>
      <c r="J483" s="8">
        <v>-189429</v>
      </c>
      <c r="K483" s="6" t="s">
        <v>3372</v>
      </c>
      <c r="L483" s="6" t="s">
        <v>1369</v>
      </c>
      <c r="N483" s="6" t="s">
        <v>1369</v>
      </c>
      <c r="O483" s="29">
        <v>-198900.45</v>
      </c>
    </row>
    <row r="484" s="1" customFormat="1" ht="16.35" hidden="1" customHeight="1" spans="1:15">
      <c r="A484" s="5"/>
      <c r="B484" s="6" t="s">
        <v>2906</v>
      </c>
      <c r="C484" s="6">
        <v>2017</v>
      </c>
      <c r="D484" s="6">
        <v>10</v>
      </c>
      <c r="E484" s="7">
        <v>11</v>
      </c>
      <c r="F484" s="6" t="s">
        <v>3443</v>
      </c>
      <c r="G484" s="6" t="s">
        <v>2908</v>
      </c>
      <c r="H484" s="6" t="s">
        <v>2909</v>
      </c>
      <c r="I484" s="8"/>
      <c r="J484" s="8">
        <v>8571</v>
      </c>
      <c r="K484" s="6" t="s">
        <v>3156</v>
      </c>
      <c r="L484" s="6" t="s">
        <v>1555</v>
      </c>
      <c r="N484" s="6" t="s">
        <v>1555</v>
      </c>
      <c r="O484" s="29">
        <v>8999.55</v>
      </c>
    </row>
    <row r="485" s="1" customFormat="1" ht="16.35" hidden="1" customHeight="1" spans="1:15">
      <c r="A485" s="5"/>
      <c r="B485" s="6" t="s">
        <v>2906</v>
      </c>
      <c r="C485" s="6">
        <v>2017</v>
      </c>
      <c r="D485" s="6">
        <v>10</v>
      </c>
      <c r="E485" s="7">
        <v>12</v>
      </c>
      <c r="F485" s="6" t="s">
        <v>3444</v>
      </c>
      <c r="G485" s="6" t="s">
        <v>2908</v>
      </c>
      <c r="H485" s="6" t="s">
        <v>2909</v>
      </c>
      <c r="I485" s="8"/>
      <c r="J485" s="8">
        <v>952</v>
      </c>
      <c r="K485" s="6" t="s">
        <v>3445</v>
      </c>
      <c r="L485" s="6" t="s">
        <v>1011</v>
      </c>
      <c r="N485" s="6" t="s">
        <v>1011</v>
      </c>
      <c r="O485" s="29">
        <v>999.6</v>
      </c>
    </row>
    <row r="486" s="1" customFormat="1" ht="16.35" hidden="1" customHeight="1" spans="1:15">
      <c r="A486" s="5"/>
      <c r="B486" s="6" t="s">
        <v>2906</v>
      </c>
      <c r="C486" s="6">
        <v>2017</v>
      </c>
      <c r="D486" s="6">
        <v>10</v>
      </c>
      <c r="E486" s="7">
        <v>13</v>
      </c>
      <c r="F486" s="6" t="s">
        <v>3446</v>
      </c>
      <c r="G486" s="6" t="s">
        <v>2908</v>
      </c>
      <c r="H486" s="6" t="s">
        <v>2909</v>
      </c>
      <c r="I486" s="8"/>
      <c r="J486" s="8">
        <v>90476</v>
      </c>
      <c r="K486" s="6" t="s">
        <v>2956</v>
      </c>
      <c r="L486" s="6" t="s">
        <v>1760</v>
      </c>
      <c r="N486" s="6" t="s">
        <v>1760</v>
      </c>
      <c r="O486" s="29">
        <v>94999.8</v>
      </c>
    </row>
    <row r="487" s="1" customFormat="1" ht="16.35" hidden="1" customHeight="1" spans="1:15">
      <c r="A487" s="5"/>
      <c r="B487" s="6" t="s">
        <v>2906</v>
      </c>
      <c r="C487" s="6">
        <v>2017</v>
      </c>
      <c r="D487" s="6">
        <v>10</v>
      </c>
      <c r="E487" s="7">
        <v>14</v>
      </c>
      <c r="F487" s="6" t="s">
        <v>3447</v>
      </c>
      <c r="G487" s="6" t="s">
        <v>2908</v>
      </c>
      <c r="H487" s="6" t="s">
        <v>2909</v>
      </c>
      <c r="I487" s="8"/>
      <c r="J487" s="8">
        <v>55833</v>
      </c>
      <c r="K487" s="6" t="s">
        <v>3448</v>
      </c>
      <c r="L487" s="6" t="s">
        <v>1529</v>
      </c>
      <c r="N487" s="6" t="s">
        <v>1529</v>
      </c>
      <c r="O487" s="29">
        <v>58624.65</v>
      </c>
    </row>
    <row r="488" s="1" customFormat="1" ht="16.35" hidden="1" customHeight="1" spans="1:15">
      <c r="A488" s="5"/>
      <c r="B488" s="6" t="s">
        <v>2906</v>
      </c>
      <c r="C488" s="6">
        <v>2017</v>
      </c>
      <c r="D488" s="6">
        <v>10</v>
      </c>
      <c r="E488" s="7">
        <v>15</v>
      </c>
      <c r="F488" s="6" t="s">
        <v>3444</v>
      </c>
      <c r="G488" s="6" t="s">
        <v>2908</v>
      </c>
      <c r="H488" s="6" t="s">
        <v>2909</v>
      </c>
      <c r="I488" s="8"/>
      <c r="J488" s="8">
        <v>38476</v>
      </c>
      <c r="K488" s="6" t="s">
        <v>3445</v>
      </c>
      <c r="L488" s="6" t="s">
        <v>1011</v>
      </c>
      <c r="N488" s="6" t="s">
        <v>1011</v>
      </c>
      <c r="O488" s="29">
        <v>40399.8</v>
      </c>
    </row>
    <row r="489" s="1" customFormat="1" ht="16.35" hidden="1" customHeight="1" spans="1:15">
      <c r="A489" s="5"/>
      <c r="B489" s="6" t="s">
        <v>2906</v>
      </c>
      <c r="C489" s="6">
        <v>2017</v>
      </c>
      <c r="D489" s="6">
        <v>10</v>
      </c>
      <c r="E489" s="7">
        <v>16</v>
      </c>
      <c r="F489" s="6" t="s">
        <v>3421</v>
      </c>
      <c r="G489" s="6" t="s">
        <v>2908</v>
      </c>
      <c r="H489" s="6" t="s">
        <v>2909</v>
      </c>
      <c r="I489" s="8"/>
      <c r="J489" s="8">
        <v>123810</v>
      </c>
      <c r="K489" s="6" t="s">
        <v>3422</v>
      </c>
      <c r="L489" s="6" t="s">
        <v>993</v>
      </c>
      <c r="N489" s="6" t="s">
        <v>993</v>
      </c>
      <c r="O489" s="29">
        <v>130000.5</v>
      </c>
    </row>
    <row r="490" s="1" customFormat="1" ht="16.35" hidden="1" customHeight="1" spans="1:15">
      <c r="A490" s="5"/>
      <c r="B490" s="6" t="s">
        <v>2906</v>
      </c>
      <c r="C490" s="6">
        <v>2017</v>
      </c>
      <c r="D490" s="6">
        <v>10</v>
      </c>
      <c r="E490" s="7">
        <v>19</v>
      </c>
      <c r="F490" s="6" t="s">
        <v>3426</v>
      </c>
      <c r="G490" s="6" t="s">
        <v>2908</v>
      </c>
      <c r="H490" s="6" t="s">
        <v>2909</v>
      </c>
      <c r="I490" s="8"/>
      <c r="J490" s="8">
        <v>51307</v>
      </c>
      <c r="K490" s="6" t="s">
        <v>3427</v>
      </c>
      <c r="L490" s="6" t="s">
        <v>1043</v>
      </c>
      <c r="N490" s="6" t="s">
        <v>1043</v>
      </c>
      <c r="O490" s="29">
        <v>53872.35</v>
      </c>
    </row>
    <row r="491" s="1" customFormat="1" ht="16.35" hidden="1" customHeight="1" spans="1:15">
      <c r="A491" s="5"/>
      <c r="B491" s="6" t="s">
        <v>2906</v>
      </c>
      <c r="C491" s="6">
        <v>2017</v>
      </c>
      <c r="D491" s="6">
        <v>10</v>
      </c>
      <c r="E491" s="7">
        <v>21</v>
      </c>
      <c r="F491" s="6" t="s">
        <v>3449</v>
      </c>
      <c r="G491" s="6" t="s">
        <v>2908</v>
      </c>
      <c r="H491" s="6" t="s">
        <v>2909</v>
      </c>
      <c r="I491" s="8"/>
      <c r="J491" s="8">
        <v>120952</v>
      </c>
      <c r="K491" s="6" t="s">
        <v>3172</v>
      </c>
      <c r="L491" s="6" t="s">
        <v>1579</v>
      </c>
      <c r="N491" s="6" t="s">
        <v>1579</v>
      </c>
      <c r="O491" s="29">
        <v>126999.6</v>
      </c>
    </row>
    <row r="492" s="1" customFormat="1" ht="16.35" hidden="1" customHeight="1" spans="1:15">
      <c r="A492" s="5"/>
      <c r="B492" s="6" t="s">
        <v>2906</v>
      </c>
      <c r="C492" s="6">
        <v>2017</v>
      </c>
      <c r="D492" s="6">
        <v>10</v>
      </c>
      <c r="E492" s="7">
        <v>22</v>
      </c>
      <c r="F492" s="6" t="s">
        <v>3450</v>
      </c>
      <c r="G492" s="6" t="s">
        <v>2908</v>
      </c>
      <c r="H492" s="6" t="s">
        <v>2909</v>
      </c>
      <c r="I492" s="8"/>
      <c r="J492" s="8">
        <v>140952</v>
      </c>
      <c r="K492" s="6" t="s">
        <v>3142</v>
      </c>
      <c r="L492" s="6" t="s">
        <v>1533</v>
      </c>
      <c r="N492" s="6" t="s">
        <v>1533</v>
      </c>
      <c r="O492" s="29">
        <v>147999.6</v>
      </c>
    </row>
    <row r="493" s="1" customFormat="1" ht="16.35" hidden="1" customHeight="1" spans="1:15">
      <c r="A493" s="5"/>
      <c r="B493" s="6" t="s">
        <v>2906</v>
      </c>
      <c r="C493" s="6">
        <v>2017</v>
      </c>
      <c r="D493" s="6">
        <v>10</v>
      </c>
      <c r="E493" s="7">
        <v>23</v>
      </c>
      <c r="F493" s="6" t="s">
        <v>3451</v>
      </c>
      <c r="G493" s="6" t="s">
        <v>2908</v>
      </c>
      <c r="H493" s="6" t="s">
        <v>2909</v>
      </c>
      <c r="I493" s="8"/>
      <c r="J493" s="8">
        <v>138095</v>
      </c>
      <c r="K493" s="6" t="s">
        <v>3409</v>
      </c>
      <c r="L493" s="6" t="s">
        <v>1371</v>
      </c>
      <c r="N493" s="6" t="s">
        <v>1371</v>
      </c>
      <c r="O493" s="29">
        <v>144999.75</v>
      </c>
    </row>
    <row r="494" s="1" customFormat="1" ht="16.35" hidden="1" customHeight="1" spans="1:16">
      <c r="A494" s="5"/>
      <c r="B494" s="6" t="s">
        <v>2906</v>
      </c>
      <c r="C494" s="6">
        <v>2017</v>
      </c>
      <c r="D494" s="6">
        <v>10</v>
      </c>
      <c r="E494" s="7">
        <v>26</v>
      </c>
      <c r="F494" s="6" t="s">
        <v>3452</v>
      </c>
      <c r="G494" s="6" t="s">
        <v>2908</v>
      </c>
      <c r="H494" s="6" t="s">
        <v>2909</v>
      </c>
      <c r="I494" s="8"/>
      <c r="J494" s="8">
        <v>85714</v>
      </c>
      <c r="K494" s="6" t="s">
        <v>3411</v>
      </c>
      <c r="L494" s="6" t="s">
        <v>1389</v>
      </c>
      <c r="N494" s="6" t="s">
        <v>1389</v>
      </c>
      <c r="O494" s="29">
        <v>89999.7</v>
      </c>
      <c r="P494" s="1">
        <f>O494-J494</f>
        <v>4285.7</v>
      </c>
    </row>
    <row r="495" s="1" customFormat="1" ht="16.35" hidden="1" customHeight="1" spans="1:15">
      <c r="A495" s="5"/>
      <c r="B495" s="6" t="s">
        <v>2906</v>
      </c>
      <c r="C495" s="6">
        <v>2017</v>
      </c>
      <c r="D495" s="6">
        <v>10</v>
      </c>
      <c r="E495" s="7">
        <v>27</v>
      </c>
      <c r="F495" s="6" t="s">
        <v>3453</v>
      </c>
      <c r="G495" s="6" t="s">
        <v>2908</v>
      </c>
      <c r="H495" s="6" t="s">
        <v>2909</v>
      </c>
      <c r="I495" s="8"/>
      <c r="J495" s="8">
        <v>19701</v>
      </c>
      <c r="K495" s="6" t="s">
        <v>3422</v>
      </c>
      <c r="L495" s="6" t="s">
        <v>993</v>
      </c>
      <c r="N495" s="6" t="s">
        <v>993</v>
      </c>
      <c r="O495" s="29">
        <v>20686.05</v>
      </c>
    </row>
    <row r="496" s="1" customFormat="1" ht="16.35" hidden="1" customHeight="1" spans="1:15">
      <c r="A496" s="5"/>
      <c r="B496" s="6" t="s">
        <v>2906</v>
      </c>
      <c r="C496" s="6">
        <v>2017</v>
      </c>
      <c r="D496" s="6">
        <v>10</v>
      </c>
      <c r="E496" s="7">
        <v>28</v>
      </c>
      <c r="F496" s="6" t="s">
        <v>3454</v>
      </c>
      <c r="G496" s="6" t="s">
        <v>2908</v>
      </c>
      <c r="H496" s="6" t="s">
        <v>2909</v>
      </c>
      <c r="I496" s="8"/>
      <c r="J496" s="8">
        <v>19048</v>
      </c>
      <c r="K496" s="6" t="s">
        <v>3357</v>
      </c>
      <c r="L496" s="6" t="s">
        <v>1351</v>
      </c>
      <c r="N496" s="6" t="s">
        <v>1351</v>
      </c>
      <c r="O496" s="29">
        <v>20000.4</v>
      </c>
    </row>
    <row r="497" s="1" customFormat="1" ht="16.35" hidden="1" customHeight="1" spans="1:15">
      <c r="A497" s="5"/>
      <c r="B497" s="6" t="s">
        <v>2906</v>
      </c>
      <c r="C497" s="6">
        <v>2017</v>
      </c>
      <c r="D497" s="6">
        <v>10</v>
      </c>
      <c r="E497" s="7">
        <v>29</v>
      </c>
      <c r="F497" s="6" t="s">
        <v>3455</v>
      </c>
      <c r="G497" s="6" t="s">
        <v>2908</v>
      </c>
      <c r="H497" s="6" t="s">
        <v>2909</v>
      </c>
      <c r="I497" s="8"/>
      <c r="J497" s="8">
        <v>4762</v>
      </c>
      <c r="K497" s="6" t="s">
        <v>3190</v>
      </c>
      <c r="L497" s="6" t="s">
        <v>1525</v>
      </c>
      <c r="N497" s="6" t="s">
        <v>1525</v>
      </c>
      <c r="O497" s="29">
        <v>5000.1</v>
      </c>
    </row>
    <row r="498" s="1" customFormat="1" ht="16.35" hidden="1" customHeight="1" spans="1:15">
      <c r="A498" s="5"/>
      <c r="B498" s="6" t="s">
        <v>2906</v>
      </c>
      <c r="C498" s="6">
        <v>2017</v>
      </c>
      <c r="D498" s="6">
        <v>10</v>
      </c>
      <c r="E498" s="7">
        <v>32</v>
      </c>
      <c r="F498" s="6" t="s">
        <v>3456</v>
      </c>
      <c r="G498" s="6" t="s">
        <v>2908</v>
      </c>
      <c r="H498" s="6" t="s">
        <v>2909</v>
      </c>
      <c r="I498" s="8"/>
      <c r="J498" s="8">
        <v>28885</v>
      </c>
      <c r="K498" s="6" t="s">
        <v>3323</v>
      </c>
      <c r="L498" s="6" t="s">
        <v>1607</v>
      </c>
      <c r="N498" s="6" t="s">
        <v>1607</v>
      </c>
      <c r="O498" s="29">
        <v>30329.25</v>
      </c>
    </row>
    <row r="499" s="1" customFormat="1" ht="16.35" hidden="1" customHeight="1" spans="1:16">
      <c r="A499" s="5"/>
      <c r="B499" s="6" t="s">
        <v>2906</v>
      </c>
      <c r="C499" s="6">
        <v>2017</v>
      </c>
      <c r="D499" s="6">
        <v>10</v>
      </c>
      <c r="E499" s="7">
        <v>33</v>
      </c>
      <c r="F499" s="6" t="s">
        <v>3457</v>
      </c>
      <c r="G499" s="6" t="s">
        <v>2908</v>
      </c>
      <c r="H499" s="6" t="s">
        <v>2909</v>
      </c>
      <c r="I499" s="8"/>
      <c r="J499" s="8">
        <v>70952</v>
      </c>
      <c r="K499" s="6" t="s">
        <v>3458</v>
      </c>
      <c r="L499" s="6" t="s">
        <v>1609</v>
      </c>
      <c r="N499" s="6" t="s">
        <v>1609</v>
      </c>
      <c r="O499" s="29">
        <v>74499.6</v>
      </c>
      <c r="P499" s="1">
        <f>O499-J499</f>
        <v>3547.60000000001</v>
      </c>
    </row>
    <row r="500" s="1" customFormat="1" ht="16.35" hidden="1" customHeight="1" spans="1:15">
      <c r="A500" s="5"/>
      <c r="B500" s="6" t="s">
        <v>2906</v>
      </c>
      <c r="C500" s="6">
        <v>2017</v>
      </c>
      <c r="D500" s="6">
        <v>10</v>
      </c>
      <c r="E500" s="7">
        <v>34</v>
      </c>
      <c r="F500" s="6" t="s">
        <v>3459</v>
      </c>
      <c r="G500" s="6" t="s">
        <v>2908</v>
      </c>
      <c r="H500" s="6" t="s">
        <v>2909</v>
      </c>
      <c r="I500" s="8"/>
      <c r="J500" s="8">
        <v>48952</v>
      </c>
      <c r="K500" s="6" t="s">
        <v>3460</v>
      </c>
      <c r="L500" s="6" t="s">
        <v>1009</v>
      </c>
      <c r="N500" s="6" t="s">
        <v>1009</v>
      </c>
      <c r="O500" s="29">
        <v>51399.6</v>
      </c>
    </row>
    <row r="501" s="1" customFormat="1" ht="16.35" hidden="1" customHeight="1" spans="1:15">
      <c r="A501" s="5"/>
      <c r="B501" s="6" t="s">
        <v>2906</v>
      </c>
      <c r="C501" s="6">
        <v>2017</v>
      </c>
      <c r="D501" s="6">
        <v>10</v>
      </c>
      <c r="E501" s="7">
        <v>35</v>
      </c>
      <c r="F501" s="6" t="s">
        <v>3455</v>
      </c>
      <c r="G501" s="6" t="s">
        <v>2908</v>
      </c>
      <c r="H501" s="6" t="s">
        <v>2909</v>
      </c>
      <c r="I501" s="8"/>
      <c r="J501" s="8">
        <v>49352</v>
      </c>
      <c r="K501" s="6" t="s">
        <v>3190</v>
      </c>
      <c r="L501" s="6" t="s">
        <v>1525</v>
      </c>
      <c r="N501" s="6" t="s">
        <v>1525</v>
      </c>
      <c r="O501" s="29">
        <v>51819.6</v>
      </c>
    </row>
    <row r="502" s="1" customFormat="1" ht="16.35" hidden="1" customHeight="1" spans="1:15">
      <c r="A502" s="5"/>
      <c r="B502" s="6" t="s">
        <v>2906</v>
      </c>
      <c r="C502" s="6">
        <v>2017</v>
      </c>
      <c r="D502" s="6">
        <v>10</v>
      </c>
      <c r="E502" s="7">
        <v>36</v>
      </c>
      <c r="F502" s="6" t="s">
        <v>3461</v>
      </c>
      <c r="G502" s="6" t="s">
        <v>2908</v>
      </c>
      <c r="H502" s="6" t="s">
        <v>2909</v>
      </c>
      <c r="I502" s="8"/>
      <c r="J502" s="8">
        <v>19048</v>
      </c>
      <c r="K502" s="6" t="s">
        <v>3462</v>
      </c>
      <c r="L502" s="6" t="s">
        <v>1440</v>
      </c>
      <c r="N502" s="6" t="s">
        <v>1440</v>
      </c>
      <c r="O502" s="29">
        <v>20000.4</v>
      </c>
    </row>
    <row r="503" s="1" customFormat="1" ht="16.35" hidden="1" customHeight="1" spans="1:15">
      <c r="A503" s="5"/>
      <c r="B503" s="6" t="s">
        <v>2906</v>
      </c>
      <c r="C503" s="6">
        <v>2017</v>
      </c>
      <c r="D503" s="6">
        <v>10</v>
      </c>
      <c r="E503" s="7">
        <v>37</v>
      </c>
      <c r="F503" s="6" t="s">
        <v>3461</v>
      </c>
      <c r="G503" s="6" t="s">
        <v>2908</v>
      </c>
      <c r="H503" s="6" t="s">
        <v>2909</v>
      </c>
      <c r="I503" s="8"/>
      <c r="J503" s="8">
        <v>19104</v>
      </c>
      <c r="K503" s="6" t="s">
        <v>3462</v>
      </c>
      <c r="L503" s="6" t="s">
        <v>1440</v>
      </c>
      <c r="N503" s="6" t="s">
        <v>1440</v>
      </c>
      <c r="O503" s="29">
        <v>20059.2</v>
      </c>
    </row>
    <row r="504" s="1" customFormat="1" ht="16.35" hidden="1" customHeight="1" spans="1:15">
      <c r="A504" s="5"/>
      <c r="B504" s="6" t="s">
        <v>2906</v>
      </c>
      <c r="C504" s="6">
        <v>2017</v>
      </c>
      <c r="D504" s="6">
        <v>11</v>
      </c>
      <c r="E504" s="7">
        <v>3</v>
      </c>
      <c r="F504" s="6" t="s">
        <v>3463</v>
      </c>
      <c r="G504" s="6" t="s">
        <v>2908</v>
      </c>
      <c r="H504" s="6" t="s">
        <v>2909</v>
      </c>
      <c r="I504" s="8"/>
      <c r="J504" s="8">
        <v>140000</v>
      </c>
      <c r="K504" s="6" t="s">
        <v>3154</v>
      </c>
      <c r="L504" s="6" t="s">
        <v>1535</v>
      </c>
      <c r="N504" s="6" t="s">
        <v>1535</v>
      </c>
      <c r="O504" s="29">
        <v>147000</v>
      </c>
    </row>
    <row r="505" s="1" customFormat="1" ht="16.35" hidden="1" customHeight="1" spans="1:15">
      <c r="A505" s="5"/>
      <c r="B505" s="6" t="s">
        <v>2906</v>
      </c>
      <c r="C505" s="6">
        <v>2017</v>
      </c>
      <c r="D505" s="6">
        <v>11</v>
      </c>
      <c r="E505" s="7">
        <v>4</v>
      </c>
      <c r="F505" s="6" t="s">
        <v>3464</v>
      </c>
      <c r="G505" s="6" t="s">
        <v>2908</v>
      </c>
      <c r="H505" s="6" t="s">
        <v>2909</v>
      </c>
      <c r="I505" s="8"/>
      <c r="J505" s="8">
        <v>103810</v>
      </c>
      <c r="K505" s="6" t="s">
        <v>3188</v>
      </c>
      <c r="L505" s="6" t="s">
        <v>1399</v>
      </c>
      <c r="N505" s="6" t="s">
        <v>1399</v>
      </c>
      <c r="O505" s="29">
        <v>109000.5</v>
      </c>
    </row>
    <row r="506" s="1" customFormat="1" ht="16.35" hidden="1" customHeight="1" spans="1:15">
      <c r="A506" s="5"/>
      <c r="B506" s="6" t="s">
        <v>2906</v>
      </c>
      <c r="C506" s="6">
        <v>2017</v>
      </c>
      <c r="D506" s="6">
        <v>11</v>
      </c>
      <c r="E506" s="7">
        <v>5</v>
      </c>
      <c r="F506" s="6" t="s">
        <v>3465</v>
      </c>
      <c r="G506" s="6" t="s">
        <v>2908</v>
      </c>
      <c r="H506" s="6" t="s">
        <v>2909</v>
      </c>
      <c r="I506" s="8"/>
      <c r="J506" s="8">
        <v>110476</v>
      </c>
      <c r="K506" s="6" t="s">
        <v>3195</v>
      </c>
      <c r="L506" s="6" t="s">
        <v>1383</v>
      </c>
      <c r="N506" s="6" t="s">
        <v>1383</v>
      </c>
      <c r="O506" s="29">
        <v>115999.8</v>
      </c>
    </row>
    <row r="507" s="1" customFormat="1" ht="16.35" hidden="1" customHeight="1" spans="1:15">
      <c r="A507" s="5"/>
      <c r="B507" s="6" t="s">
        <v>2906</v>
      </c>
      <c r="C507" s="6">
        <v>2017</v>
      </c>
      <c r="D507" s="6">
        <v>11</v>
      </c>
      <c r="E507" s="7">
        <v>6</v>
      </c>
      <c r="F507" s="6" t="s">
        <v>3466</v>
      </c>
      <c r="G507" s="6" t="s">
        <v>2908</v>
      </c>
      <c r="H507" s="6" t="s">
        <v>2909</v>
      </c>
      <c r="I507" s="8"/>
      <c r="J507" s="8">
        <v>170476</v>
      </c>
      <c r="K507" s="6" t="s">
        <v>3230</v>
      </c>
      <c r="L507" s="6" t="s">
        <v>1527</v>
      </c>
      <c r="N507" s="6" t="s">
        <v>1527</v>
      </c>
      <c r="O507" s="29">
        <v>178999.8</v>
      </c>
    </row>
    <row r="508" s="1" customFormat="1" ht="16.35" hidden="1" customHeight="1" spans="1:15">
      <c r="A508" s="5"/>
      <c r="B508" s="6" t="s">
        <v>2906</v>
      </c>
      <c r="C508" s="6">
        <v>2017</v>
      </c>
      <c r="D508" s="6">
        <v>11</v>
      </c>
      <c r="E508" s="7">
        <v>7</v>
      </c>
      <c r="F508" s="6" t="s">
        <v>3467</v>
      </c>
      <c r="G508" s="6" t="s">
        <v>2908</v>
      </c>
      <c r="H508" s="6" t="s">
        <v>2909</v>
      </c>
      <c r="I508" s="8"/>
      <c r="J508" s="8">
        <v>9524</v>
      </c>
      <c r="K508" s="6" t="s">
        <v>3468</v>
      </c>
      <c r="L508" s="6" t="s">
        <v>1458</v>
      </c>
      <c r="N508" s="6" t="s">
        <v>1458</v>
      </c>
      <c r="O508" s="29">
        <v>10000.2</v>
      </c>
    </row>
    <row r="509" s="1" customFormat="1" ht="16.35" hidden="1" customHeight="1" spans="1:15">
      <c r="A509" s="5"/>
      <c r="B509" s="6" t="s">
        <v>2906</v>
      </c>
      <c r="C509" s="6">
        <v>2017</v>
      </c>
      <c r="D509" s="6">
        <v>11</v>
      </c>
      <c r="E509" s="7">
        <v>8</v>
      </c>
      <c r="F509" s="6" t="s">
        <v>3467</v>
      </c>
      <c r="G509" s="6" t="s">
        <v>2908</v>
      </c>
      <c r="H509" s="6" t="s">
        <v>2909</v>
      </c>
      <c r="I509" s="8"/>
      <c r="J509" s="8">
        <v>19104</v>
      </c>
      <c r="K509" s="6" t="s">
        <v>3468</v>
      </c>
      <c r="L509" s="6" t="s">
        <v>1458</v>
      </c>
      <c r="N509" s="6" t="s">
        <v>1458</v>
      </c>
      <c r="O509" s="29">
        <v>20059.2</v>
      </c>
    </row>
    <row r="510" s="1" customFormat="1" ht="16.35" hidden="1" customHeight="1" spans="1:15">
      <c r="A510" s="5"/>
      <c r="B510" s="6" t="s">
        <v>2906</v>
      </c>
      <c r="C510" s="6">
        <v>2017</v>
      </c>
      <c r="D510" s="6">
        <v>11</v>
      </c>
      <c r="E510" s="7">
        <v>9</v>
      </c>
      <c r="F510" s="6" t="s">
        <v>3469</v>
      </c>
      <c r="G510" s="6" t="s">
        <v>2908</v>
      </c>
      <c r="H510" s="6" t="s">
        <v>2909</v>
      </c>
      <c r="I510" s="8"/>
      <c r="J510" s="8">
        <v>18326</v>
      </c>
      <c r="K510" s="6" t="s">
        <v>3357</v>
      </c>
      <c r="L510" s="6" t="s">
        <v>1351</v>
      </c>
      <c r="N510" s="6" t="s">
        <v>1351</v>
      </c>
      <c r="O510" s="29">
        <v>19242.3</v>
      </c>
    </row>
    <row r="511" s="1" customFormat="1" ht="16.35" hidden="1" customHeight="1" spans="1:15">
      <c r="A511" s="5"/>
      <c r="B511" s="6" t="s">
        <v>2906</v>
      </c>
      <c r="C511" s="6">
        <v>2017</v>
      </c>
      <c r="D511" s="6">
        <v>11</v>
      </c>
      <c r="E511" s="7">
        <v>10</v>
      </c>
      <c r="F511" s="6" t="s">
        <v>3470</v>
      </c>
      <c r="G511" s="6" t="s">
        <v>2908</v>
      </c>
      <c r="H511" s="6" t="s">
        <v>2909</v>
      </c>
      <c r="I511" s="8"/>
      <c r="J511" s="8">
        <v>206324</v>
      </c>
      <c r="K511" s="6" t="s">
        <v>3471</v>
      </c>
      <c r="L511" s="6" t="s">
        <v>1341</v>
      </c>
      <c r="N511" s="6" t="s">
        <v>1341</v>
      </c>
      <c r="O511" s="29">
        <v>216640.2</v>
      </c>
    </row>
    <row r="512" s="1" customFormat="1" ht="16.35" hidden="1" customHeight="1" spans="1:15">
      <c r="A512" s="5"/>
      <c r="B512" s="6" t="s">
        <v>2906</v>
      </c>
      <c r="C512" s="6">
        <v>2017</v>
      </c>
      <c r="D512" s="6">
        <v>11</v>
      </c>
      <c r="E512" s="7">
        <v>11</v>
      </c>
      <c r="F512" s="6" t="s">
        <v>3472</v>
      </c>
      <c r="G512" s="6" t="s">
        <v>2908</v>
      </c>
      <c r="H512" s="6" t="s">
        <v>2909</v>
      </c>
      <c r="I512" s="8"/>
      <c r="J512" s="8">
        <v>1905</v>
      </c>
      <c r="K512" s="6" t="s">
        <v>3473</v>
      </c>
      <c r="L512" s="6" t="s">
        <v>987</v>
      </c>
      <c r="N512" s="6" t="s">
        <v>987</v>
      </c>
      <c r="O512" s="29">
        <v>2000.25</v>
      </c>
    </row>
    <row r="513" s="1" customFormat="1" ht="16.35" hidden="1" customHeight="1" spans="1:15">
      <c r="A513" s="5"/>
      <c r="B513" s="6" t="s">
        <v>2906</v>
      </c>
      <c r="C513" s="6">
        <v>2017</v>
      </c>
      <c r="D513" s="6">
        <v>11</v>
      </c>
      <c r="E513" s="7">
        <v>12</v>
      </c>
      <c r="F513" s="6" t="s">
        <v>3470</v>
      </c>
      <c r="G513" s="6" t="s">
        <v>2908</v>
      </c>
      <c r="H513" s="6" t="s">
        <v>2909</v>
      </c>
      <c r="I513" s="8"/>
      <c r="J513" s="8">
        <v>9524</v>
      </c>
      <c r="K513" s="6" t="s">
        <v>3471</v>
      </c>
      <c r="L513" s="6" t="s">
        <v>1341</v>
      </c>
      <c r="N513" s="6" t="s">
        <v>1341</v>
      </c>
      <c r="O513" s="29">
        <v>10000.2</v>
      </c>
    </row>
    <row r="514" s="1" customFormat="1" ht="16.35" hidden="1" customHeight="1" spans="1:15">
      <c r="A514" s="5"/>
      <c r="B514" s="6" t="s">
        <v>2906</v>
      </c>
      <c r="C514" s="6">
        <v>2017</v>
      </c>
      <c r="D514" s="6">
        <v>11</v>
      </c>
      <c r="E514" s="7">
        <v>13</v>
      </c>
      <c r="F514" s="6" t="s">
        <v>3474</v>
      </c>
      <c r="G514" s="6" t="s">
        <v>2908</v>
      </c>
      <c r="H514" s="6" t="s">
        <v>2909</v>
      </c>
      <c r="I514" s="8"/>
      <c r="J514" s="8">
        <v>9524</v>
      </c>
      <c r="K514" s="6" t="s">
        <v>3475</v>
      </c>
      <c r="L514" s="6" t="s">
        <v>1448</v>
      </c>
      <c r="N514" s="6" t="s">
        <v>1448</v>
      </c>
      <c r="O514" s="29">
        <v>10000.2</v>
      </c>
    </row>
    <row r="515" s="1" customFormat="1" ht="16.35" hidden="1" customHeight="1" spans="1:15">
      <c r="A515" s="5"/>
      <c r="B515" s="6" t="s">
        <v>2906</v>
      </c>
      <c r="C515" s="6">
        <v>2017</v>
      </c>
      <c r="D515" s="6">
        <v>11</v>
      </c>
      <c r="E515" s="7">
        <v>14</v>
      </c>
      <c r="F515" s="6" t="s">
        <v>3476</v>
      </c>
      <c r="G515" s="6" t="s">
        <v>2908</v>
      </c>
      <c r="H515" s="6" t="s">
        <v>2909</v>
      </c>
      <c r="I515" s="8"/>
      <c r="J515" s="8">
        <v>47124</v>
      </c>
      <c r="K515" s="6" t="s">
        <v>3477</v>
      </c>
      <c r="L515" s="6" t="s">
        <v>1450</v>
      </c>
      <c r="N515" s="6" t="s">
        <v>1450</v>
      </c>
      <c r="O515" s="29">
        <v>49480.2</v>
      </c>
    </row>
    <row r="516" s="1" customFormat="1" ht="16.35" hidden="1" customHeight="1" spans="1:15">
      <c r="A516" s="5"/>
      <c r="B516" s="6" t="s">
        <v>2906</v>
      </c>
      <c r="C516" s="6">
        <v>2017</v>
      </c>
      <c r="D516" s="6">
        <v>11</v>
      </c>
      <c r="E516" s="7">
        <v>15</v>
      </c>
      <c r="F516" s="6" t="s">
        <v>3478</v>
      </c>
      <c r="G516" s="6" t="s">
        <v>2908</v>
      </c>
      <c r="H516" s="6" t="s">
        <v>2909</v>
      </c>
      <c r="I516" s="8"/>
      <c r="J516" s="8">
        <v>42840</v>
      </c>
      <c r="K516" s="6" t="s">
        <v>3227</v>
      </c>
      <c r="L516" s="6" t="s">
        <v>1569</v>
      </c>
      <c r="N516" s="6" t="s">
        <v>1569</v>
      </c>
      <c r="O516" s="29">
        <v>44982</v>
      </c>
    </row>
    <row r="517" s="1" customFormat="1" ht="16.35" hidden="1" customHeight="1" spans="1:15">
      <c r="A517" s="5"/>
      <c r="B517" s="6" t="s">
        <v>2906</v>
      </c>
      <c r="C517" s="6">
        <v>2017</v>
      </c>
      <c r="D517" s="6">
        <v>11</v>
      </c>
      <c r="E517" s="7">
        <v>17</v>
      </c>
      <c r="F517" s="6" t="s">
        <v>3479</v>
      </c>
      <c r="G517" s="6" t="s">
        <v>2908</v>
      </c>
      <c r="H517" s="6" t="s">
        <v>2909</v>
      </c>
      <c r="I517" s="8"/>
      <c r="J517" s="8">
        <v>5714</v>
      </c>
      <c r="K517" s="6" t="s">
        <v>3110</v>
      </c>
      <c r="L517" s="6" t="s">
        <v>1559</v>
      </c>
      <c r="N517" s="6" t="s">
        <v>1559</v>
      </c>
      <c r="O517" s="29">
        <v>5999.7</v>
      </c>
    </row>
    <row r="518" s="1" customFormat="1" ht="16.35" hidden="1" customHeight="1" spans="1:15">
      <c r="A518" s="5"/>
      <c r="B518" s="6" t="s">
        <v>2906</v>
      </c>
      <c r="C518" s="6">
        <v>2017</v>
      </c>
      <c r="D518" s="6">
        <v>11</v>
      </c>
      <c r="E518" s="7">
        <v>18</v>
      </c>
      <c r="F518" s="6" t="s">
        <v>3480</v>
      </c>
      <c r="G518" s="6" t="s">
        <v>2908</v>
      </c>
      <c r="H518" s="6" t="s">
        <v>2909</v>
      </c>
      <c r="I518" s="8"/>
      <c r="J518" s="8">
        <v>11961</v>
      </c>
      <c r="K518" s="6" t="s">
        <v>3481</v>
      </c>
      <c r="L518" s="6" t="s">
        <v>1456</v>
      </c>
      <c r="N518" s="6" t="s">
        <v>1456</v>
      </c>
      <c r="O518" s="29">
        <v>12559.05</v>
      </c>
    </row>
    <row r="519" s="1" customFormat="1" ht="16.35" hidden="1" customHeight="1" spans="1:15">
      <c r="A519" s="5"/>
      <c r="B519" s="6" t="s">
        <v>2906</v>
      </c>
      <c r="C519" s="6">
        <v>2017</v>
      </c>
      <c r="D519" s="6">
        <v>11</v>
      </c>
      <c r="E519" s="7">
        <v>19</v>
      </c>
      <c r="F519" s="6" t="s">
        <v>3480</v>
      </c>
      <c r="G519" s="6" t="s">
        <v>2908</v>
      </c>
      <c r="H519" s="6" t="s">
        <v>2909</v>
      </c>
      <c r="I519" s="8"/>
      <c r="J519" s="8">
        <v>18571</v>
      </c>
      <c r="K519" s="6" t="s">
        <v>3481</v>
      </c>
      <c r="L519" s="6" t="s">
        <v>1456</v>
      </c>
      <c r="N519" s="6" t="s">
        <v>1456</v>
      </c>
      <c r="O519" s="29">
        <v>19499.55</v>
      </c>
    </row>
    <row r="520" s="1" customFormat="1" ht="16.35" hidden="1" customHeight="1" spans="1:15">
      <c r="A520" s="5"/>
      <c r="B520" s="6" t="s">
        <v>2906</v>
      </c>
      <c r="C520" s="6">
        <v>2017</v>
      </c>
      <c r="D520" s="6">
        <v>11</v>
      </c>
      <c r="E520" s="7">
        <v>20</v>
      </c>
      <c r="F520" s="6" t="s">
        <v>3474</v>
      </c>
      <c r="G520" s="6" t="s">
        <v>2908</v>
      </c>
      <c r="H520" s="6" t="s">
        <v>2909</v>
      </c>
      <c r="I520" s="8"/>
      <c r="J520" s="8">
        <v>86171</v>
      </c>
      <c r="K520" s="6" t="s">
        <v>3475</v>
      </c>
      <c r="L520" s="6" t="s">
        <v>1448</v>
      </c>
      <c r="N520" s="6" t="s">
        <v>1448</v>
      </c>
      <c r="O520" s="29">
        <v>90479.55</v>
      </c>
    </row>
    <row r="521" s="1" customFormat="1" ht="16.35" hidden="1" customHeight="1" spans="1:15">
      <c r="A521" s="5"/>
      <c r="B521" s="6" t="s">
        <v>2906</v>
      </c>
      <c r="C521" s="6">
        <v>2017</v>
      </c>
      <c r="D521" s="6">
        <v>11</v>
      </c>
      <c r="E521" s="7">
        <v>22</v>
      </c>
      <c r="F521" s="6" t="s">
        <v>3472</v>
      </c>
      <c r="G521" s="6" t="s">
        <v>2908</v>
      </c>
      <c r="H521" s="6" t="s">
        <v>2909</v>
      </c>
      <c r="I521" s="8"/>
      <c r="J521" s="8">
        <v>37267</v>
      </c>
      <c r="K521" s="6" t="s">
        <v>3473</v>
      </c>
      <c r="L521" s="6" t="s">
        <v>987</v>
      </c>
      <c r="N521" s="6" t="s">
        <v>987</v>
      </c>
      <c r="O521" s="29">
        <v>39130.35</v>
      </c>
    </row>
    <row r="522" s="1" customFormat="1" ht="16.35" hidden="1" customHeight="1" spans="1:15">
      <c r="A522" s="5"/>
      <c r="B522" s="6" t="s">
        <v>2906</v>
      </c>
      <c r="C522" s="6">
        <v>2017</v>
      </c>
      <c r="D522" s="6">
        <v>11</v>
      </c>
      <c r="E522" s="7">
        <v>23</v>
      </c>
      <c r="F522" s="6" t="s">
        <v>3482</v>
      </c>
      <c r="G522" s="6" t="s">
        <v>2908</v>
      </c>
      <c r="H522" s="6" t="s">
        <v>2909</v>
      </c>
      <c r="I522" s="8"/>
      <c r="J522" s="8">
        <v>207109</v>
      </c>
      <c r="K522" s="6" t="s">
        <v>3483</v>
      </c>
      <c r="L522" s="6" t="s">
        <v>1363</v>
      </c>
      <c r="N522" s="6" t="s">
        <v>1363</v>
      </c>
      <c r="O522" s="29">
        <v>217464.45</v>
      </c>
    </row>
    <row r="523" s="1" customFormat="1" ht="16.35" hidden="1" customHeight="1" spans="1:15">
      <c r="A523" s="5"/>
      <c r="B523" s="6" t="s">
        <v>2906</v>
      </c>
      <c r="C523" s="6">
        <v>2017</v>
      </c>
      <c r="D523" s="6">
        <v>11</v>
      </c>
      <c r="E523" s="7">
        <v>25</v>
      </c>
      <c r="F523" s="6" t="s">
        <v>3484</v>
      </c>
      <c r="G523" s="6" t="s">
        <v>2908</v>
      </c>
      <c r="H523" s="6" t="s">
        <v>2909</v>
      </c>
      <c r="I523" s="8"/>
      <c r="J523" s="8">
        <v>952</v>
      </c>
      <c r="K523" s="6" t="s">
        <v>3485</v>
      </c>
      <c r="L523" s="6" t="s">
        <v>1055</v>
      </c>
      <c r="N523" s="6" t="s">
        <v>1055</v>
      </c>
      <c r="O523" s="29">
        <v>999.6</v>
      </c>
    </row>
    <row r="524" s="1" customFormat="1" ht="25" hidden="1" customHeight="1" spans="1:15">
      <c r="A524" s="5"/>
      <c r="B524" s="6" t="s">
        <v>2906</v>
      </c>
      <c r="C524" s="6">
        <v>2017</v>
      </c>
      <c r="D524" s="6">
        <v>11</v>
      </c>
      <c r="E524" s="7">
        <v>29</v>
      </c>
      <c r="F524" s="6" t="s">
        <v>3486</v>
      </c>
      <c r="G524" s="6" t="s">
        <v>2908</v>
      </c>
      <c r="H524" s="6" t="s">
        <v>2909</v>
      </c>
      <c r="I524" s="8"/>
      <c r="J524" s="8">
        <v>104762</v>
      </c>
      <c r="K524" s="6" t="s">
        <v>3487</v>
      </c>
      <c r="L524" s="6" t="s">
        <v>1304</v>
      </c>
      <c r="N524" s="6" t="s">
        <v>1304</v>
      </c>
      <c r="O524" s="29">
        <v>110000.1</v>
      </c>
    </row>
    <row r="525" s="1" customFormat="1" ht="16.35" hidden="1" customHeight="1" spans="1:15">
      <c r="A525" s="5"/>
      <c r="B525" s="6" t="s">
        <v>2906</v>
      </c>
      <c r="C525" s="6">
        <v>2017</v>
      </c>
      <c r="D525" s="6">
        <v>11</v>
      </c>
      <c r="E525" s="7">
        <v>30</v>
      </c>
      <c r="F525" s="6" t="s">
        <v>3488</v>
      </c>
      <c r="G525" s="6" t="s">
        <v>2908</v>
      </c>
      <c r="H525" s="6" t="s">
        <v>2909</v>
      </c>
      <c r="I525" s="8"/>
      <c r="J525" s="8">
        <v>952</v>
      </c>
      <c r="K525" s="6" t="s">
        <v>3489</v>
      </c>
      <c r="L525" s="6" t="s">
        <v>1436</v>
      </c>
      <c r="N525" s="6" t="s">
        <v>1436</v>
      </c>
      <c r="O525" s="29">
        <v>999.6</v>
      </c>
    </row>
    <row r="526" s="1" customFormat="1" ht="16.35" hidden="1" customHeight="1" spans="1:15">
      <c r="A526" s="5"/>
      <c r="B526" s="6" t="s">
        <v>2906</v>
      </c>
      <c r="C526" s="6">
        <v>2017</v>
      </c>
      <c r="D526" s="6">
        <v>11</v>
      </c>
      <c r="E526" s="7">
        <v>31</v>
      </c>
      <c r="F526" s="6" t="s">
        <v>3490</v>
      </c>
      <c r="G526" s="6" t="s">
        <v>2908</v>
      </c>
      <c r="H526" s="6" t="s">
        <v>2909</v>
      </c>
      <c r="I526" s="8"/>
      <c r="J526" s="8">
        <v>952</v>
      </c>
      <c r="K526" s="6" t="s">
        <v>3491</v>
      </c>
      <c r="L526" s="6" t="s">
        <v>1551</v>
      </c>
      <c r="N526" s="6" t="s">
        <v>1551</v>
      </c>
      <c r="O526" s="29">
        <v>999.6</v>
      </c>
    </row>
    <row r="527" s="1" customFormat="1" ht="16.35" hidden="1" customHeight="1" spans="1:15">
      <c r="A527" s="5"/>
      <c r="B527" s="6" t="s">
        <v>2906</v>
      </c>
      <c r="C527" s="6">
        <v>2017</v>
      </c>
      <c r="D527" s="6">
        <v>11</v>
      </c>
      <c r="E527" s="7">
        <v>32</v>
      </c>
      <c r="F527" s="6" t="s">
        <v>3492</v>
      </c>
      <c r="G527" s="6" t="s">
        <v>2908</v>
      </c>
      <c r="H527" s="6" t="s">
        <v>2909</v>
      </c>
      <c r="I527" s="8"/>
      <c r="J527" s="8">
        <v>15707</v>
      </c>
      <c r="K527" s="6" t="s">
        <v>3487</v>
      </c>
      <c r="L527" s="6" t="s">
        <v>1304</v>
      </c>
      <c r="N527" s="6" t="s">
        <v>1304</v>
      </c>
      <c r="O527" s="29">
        <v>16492.35</v>
      </c>
    </row>
    <row r="528" s="1" customFormat="1" ht="16.35" hidden="1" customHeight="1" spans="1:15">
      <c r="A528" s="5"/>
      <c r="B528" s="6" t="s">
        <v>2906</v>
      </c>
      <c r="C528" s="6">
        <v>2017</v>
      </c>
      <c r="D528" s="6">
        <v>11</v>
      </c>
      <c r="E528" s="7">
        <v>34</v>
      </c>
      <c r="F528" s="6" t="s">
        <v>3493</v>
      </c>
      <c r="G528" s="6" t="s">
        <v>2908</v>
      </c>
      <c r="H528" s="6" t="s">
        <v>2909</v>
      </c>
      <c r="I528" s="8"/>
      <c r="J528" s="8">
        <v>952</v>
      </c>
      <c r="K528" s="6" t="s">
        <v>3494</v>
      </c>
      <c r="L528" s="6" t="s">
        <v>1269</v>
      </c>
      <c r="N528" s="6" t="s">
        <v>1269</v>
      </c>
      <c r="O528" s="29">
        <v>999.6</v>
      </c>
    </row>
    <row r="529" s="1" customFormat="1" ht="16.35" hidden="1" customHeight="1" spans="1:15">
      <c r="A529" s="5"/>
      <c r="B529" s="6" t="s">
        <v>2906</v>
      </c>
      <c r="C529" s="6">
        <v>2017</v>
      </c>
      <c r="D529" s="6">
        <v>11</v>
      </c>
      <c r="E529" s="7">
        <v>35</v>
      </c>
      <c r="F529" s="6" t="s">
        <v>3495</v>
      </c>
      <c r="G529" s="6" t="s">
        <v>2908</v>
      </c>
      <c r="H529" s="6" t="s">
        <v>2909</v>
      </c>
      <c r="I529" s="8"/>
      <c r="J529" s="8">
        <v>952</v>
      </c>
      <c r="K529" s="6" t="s">
        <v>3496</v>
      </c>
      <c r="L529" s="6" t="s">
        <v>1476</v>
      </c>
      <c r="N529" s="6" t="s">
        <v>1476</v>
      </c>
      <c r="O529" s="29">
        <v>999.6</v>
      </c>
    </row>
    <row r="530" s="1" customFormat="1" ht="16.35" hidden="1" customHeight="1" spans="1:15">
      <c r="A530" s="5"/>
      <c r="B530" s="6" t="s">
        <v>2906</v>
      </c>
      <c r="C530" s="6">
        <v>2017</v>
      </c>
      <c r="D530" s="6">
        <v>11</v>
      </c>
      <c r="E530" s="7">
        <v>36</v>
      </c>
      <c r="F530" s="6" t="s">
        <v>3490</v>
      </c>
      <c r="G530" s="6" t="s">
        <v>2908</v>
      </c>
      <c r="H530" s="6" t="s">
        <v>2909</v>
      </c>
      <c r="I530" s="8"/>
      <c r="J530" s="8">
        <v>52364</v>
      </c>
      <c r="K530" s="6" t="s">
        <v>3491</v>
      </c>
      <c r="L530" s="6" t="s">
        <v>1551</v>
      </c>
      <c r="N530" s="6" t="s">
        <v>1551</v>
      </c>
      <c r="O530" s="29">
        <v>54982.2</v>
      </c>
    </row>
    <row r="531" s="1" customFormat="1" ht="16.35" hidden="1" customHeight="1" spans="1:15">
      <c r="A531" s="5"/>
      <c r="B531" s="6" t="s">
        <v>2906</v>
      </c>
      <c r="C531" s="6">
        <v>2017</v>
      </c>
      <c r="D531" s="6">
        <v>11</v>
      </c>
      <c r="E531" s="7">
        <v>37</v>
      </c>
      <c r="F531" s="6" t="s">
        <v>3497</v>
      </c>
      <c r="G531" s="6" t="s">
        <v>2908</v>
      </c>
      <c r="H531" s="6" t="s">
        <v>2909</v>
      </c>
      <c r="I531" s="8"/>
      <c r="J531" s="8">
        <v>51552</v>
      </c>
      <c r="K531" s="6" t="s">
        <v>3498</v>
      </c>
      <c r="L531" s="6" t="s">
        <v>1061</v>
      </c>
      <c r="N531" s="6" t="s">
        <v>1061</v>
      </c>
      <c r="O531" s="29">
        <v>54129.6</v>
      </c>
    </row>
    <row r="532" s="1" customFormat="1" ht="16.35" hidden="1" customHeight="1" spans="1:15">
      <c r="A532" s="5"/>
      <c r="B532" s="6" t="s">
        <v>2906</v>
      </c>
      <c r="C532" s="6">
        <v>2017</v>
      </c>
      <c r="D532" s="6">
        <v>11</v>
      </c>
      <c r="E532" s="7">
        <v>38</v>
      </c>
      <c r="F532" s="6" t="s">
        <v>3499</v>
      </c>
      <c r="G532" s="6" t="s">
        <v>2908</v>
      </c>
      <c r="H532" s="6" t="s">
        <v>2909</v>
      </c>
      <c r="I532" s="8"/>
      <c r="J532" s="8">
        <v>6667</v>
      </c>
      <c r="K532" s="6" t="s">
        <v>3498</v>
      </c>
      <c r="L532" s="6" t="s">
        <v>1061</v>
      </c>
      <c r="N532" s="6" t="s">
        <v>1061</v>
      </c>
      <c r="O532" s="29">
        <v>7000.35</v>
      </c>
    </row>
    <row r="533" s="1" customFormat="1" ht="16.35" hidden="1" customHeight="1" spans="1:15">
      <c r="A533" s="5"/>
      <c r="B533" s="6" t="s">
        <v>2906</v>
      </c>
      <c r="C533" s="6">
        <v>2017</v>
      </c>
      <c r="D533" s="6">
        <v>11</v>
      </c>
      <c r="E533" s="7">
        <v>39</v>
      </c>
      <c r="F533" s="6" t="s">
        <v>3500</v>
      </c>
      <c r="G533" s="6" t="s">
        <v>2908</v>
      </c>
      <c r="H533" s="6" t="s">
        <v>2909</v>
      </c>
      <c r="I533" s="8"/>
      <c r="J533" s="8">
        <v>2857</v>
      </c>
      <c r="K533" s="6" t="s">
        <v>3501</v>
      </c>
      <c r="L533" s="6" t="s">
        <v>1425</v>
      </c>
      <c r="N533" s="6" t="s">
        <v>1425</v>
      </c>
      <c r="O533" s="29">
        <v>2999.85</v>
      </c>
    </row>
    <row r="534" s="1" customFormat="1" ht="16.35" hidden="1" customHeight="1" spans="1:15">
      <c r="A534" s="5"/>
      <c r="B534" s="6" t="s">
        <v>2906</v>
      </c>
      <c r="C534" s="6">
        <v>2017</v>
      </c>
      <c r="D534" s="6">
        <v>11</v>
      </c>
      <c r="E534" s="7">
        <v>40</v>
      </c>
      <c r="F534" s="6" t="s">
        <v>3502</v>
      </c>
      <c r="G534" s="6" t="s">
        <v>2908</v>
      </c>
      <c r="H534" s="6" t="s">
        <v>2909</v>
      </c>
      <c r="I534" s="8"/>
      <c r="J534" s="8">
        <v>66667</v>
      </c>
      <c r="K534" s="6" t="s">
        <v>3503</v>
      </c>
      <c r="L534" s="6" t="s">
        <v>1361</v>
      </c>
      <c r="N534" s="6" t="s">
        <v>1361</v>
      </c>
      <c r="O534" s="29">
        <v>70000.35</v>
      </c>
    </row>
    <row r="535" s="1" customFormat="1" ht="16.35" hidden="1" customHeight="1" spans="1:15">
      <c r="A535" s="5"/>
      <c r="B535" s="6" t="s">
        <v>2906</v>
      </c>
      <c r="C535" s="6">
        <v>2017</v>
      </c>
      <c r="D535" s="6">
        <v>11</v>
      </c>
      <c r="E535" s="7">
        <v>41</v>
      </c>
      <c r="F535" s="6" t="s">
        <v>3504</v>
      </c>
      <c r="G535" s="6" t="s">
        <v>2908</v>
      </c>
      <c r="H535" s="6" t="s">
        <v>2909</v>
      </c>
      <c r="I535" s="8"/>
      <c r="J535" s="8">
        <v>4762</v>
      </c>
      <c r="K535" s="6" t="s">
        <v>3505</v>
      </c>
      <c r="L535" s="6" t="s">
        <v>1454</v>
      </c>
      <c r="N535" s="6" t="s">
        <v>1454</v>
      </c>
      <c r="O535" s="29">
        <v>5000.1</v>
      </c>
    </row>
    <row r="536" s="1" customFormat="1" ht="16.35" hidden="1" customHeight="1" spans="1:15">
      <c r="A536" s="5"/>
      <c r="B536" s="6" t="s">
        <v>2906</v>
      </c>
      <c r="C536" s="6">
        <v>2017</v>
      </c>
      <c r="D536" s="6">
        <v>11</v>
      </c>
      <c r="E536" s="7">
        <v>42</v>
      </c>
      <c r="F536" s="6" t="s">
        <v>3506</v>
      </c>
      <c r="G536" s="6" t="s">
        <v>2908</v>
      </c>
      <c r="H536" s="6" t="s">
        <v>2909</v>
      </c>
      <c r="I536" s="8"/>
      <c r="J536" s="8">
        <v>35695</v>
      </c>
      <c r="K536" s="6" t="s">
        <v>3507</v>
      </c>
      <c r="L536" s="6" t="s">
        <v>1432</v>
      </c>
      <c r="N536" s="6" t="s">
        <v>1432</v>
      </c>
      <c r="O536" s="29">
        <v>37479.75</v>
      </c>
    </row>
    <row r="537" s="1" customFormat="1" ht="16.35" hidden="1" customHeight="1" spans="1:15">
      <c r="A537" s="5"/>
      <c r="B537" s="6" t="s">
        <v>2906</v>
      </c>
      <c r="C537" s="6">
        <v>2017</v>
      </c>
      <c r="D537" s="6">
        <v>11</v>
      </c>
      <c r="E537" s="7">
        <v>43</v>
      </c>
      <c r="F537" s="6" t="s">
        <v>3508</v>
      </c>
      <c r="G537" s="6" t="s">
        <v>2908</v>
      </c>
      <c r="H537" s="6" t="s">
        <v>2909</v>
      </c>
      <c r="I537" s="8"/>
      <c r="J537" s="8">
        <v>5238</v>
      </c>
      <c r="K537" s="6" t="s">
        <v>3509</v>
      </c>
      <c r="L537" s="6" t="s">
        <v>1053</v>
      </c>
      <c r="N537" s="6" t="s">
        <v>1053</v>
      </c>
      <c r="O537" s="29">
        <v>5499.9</v>
      </c>
    </row>
    <row r="538" s="1" customFormat="1" ht="16.35" hidden="1" customHeight="1" spans="1:15">
      <c r="A538" s="5"/>
      <c r="B538" s="6" t="s">
        <v>2906</v>
      </c>
      <c r="C538" s="6">
        <v>2017</v>
      </c>
      <c r="D538" s="6">
        <v>11</v>
      </c>
      <c r="E538" s="7">
        <v>44</v>
      </c>
      <c r="F538" s="6" t="s">
        <v>3510</v>
      </c>
      <c r="G538" s="6" t="s">
        <v>2908</v>
      </c>
      <c r="H538" s="6" t="s">
        <v>2909</v>
      </c>
      <c r="I538" s="8"/>
      <c r="J538" s="8">
        <v>145714</v>
      </c>
      <c r="K538" s="6" t="s">
        <v>3437</v>
      </c>
      <c r="L538" s="6" t="s">
        <v>1059</v>
      </c>
      <c r="N538" s="6" t="s">
        <v>1059</v>
      </c>
      <c r="O538" s="29">
        <v>152999.7</v>
      </c>
    </row>
    <row r="539" s="1" customFormat="1" ht="16.35" hidden="1" customHeight="1" spans="1:15">
      <c r="A539" s="5"/>
      <c r="B539" s="6" t="s">
        <v>2906</v>
      </c>
      <c r="C539" s="6">
        <v>2017</v>
      </c>
      <c r="D539" s="6">
        <v>11</v>
      </c>
      <c r="E539" s="7">
        <v>46</v>
      </c>
      <c r="F539" s="6" t="s">
        <v>3508</v>
      </c>
      <c r="G539" s="6" t="s">
        <v>2908</v>
      </c>
      <c r="H539" s="6" t="s">
        <v>2909</v>
      </c>
      <c r="I539" s="8"/>
      <c r="J539" s="8">
        <v>34190</v>
      </c>
      <c r="K539" s="6" t="s">
        <v>3509</v>
      </c>
      <c r="L539" s="6" t="s">
        <v>1053</v>
      </c>
      <c r="N539" s="6" t="s">
        <v>1053</v>
      </c>
      <c r="O539" s="29">
        <v>35899.5</v>
      </c>
    </row>
    <row r="540" s="1" customFormat="1" ht="16.35" hidden="1" customHeight="1" spans="1:15">
      <c r="A540" s="5"/>
      <c r="B540" s="6" t="s">
        <v>2906</v>
      </c>
      <c r="C540" s="6">
        <v>2017</v>
      </c>
      <c r="D540" s="6">
        <v>11</v>
      </c>
      <c r="E540" s="7">
        <v>47</v>
      </c>
      <c r="F540" s="6" t="s">
        <v>3511</v>
      </c>
      <c r="G540" s="6" t="s">
        <v>2908</v>
      </c>
      <c r="H540" s="6" t="s">
        <v>2909</v>
      </c>
      <c r="I540" s="8"/>
      <c r="J540" s="8">
        <v>39383</v>
      </c>
      <c r="K540" s="6" t="s">
        <v>3485</v>
      </c>
      <c r="L540" s="6" t="s">
        <v>1055</v>
      </c>
      <c r="N540" s="6" t="s">
        <v>1055</v>
      </c>
      <c r="O540" s="29">
        <v>41352.15</v>
      </c>
    </row>
    <row r="541" s="1" customFormat="1" ht="16.35" hidden="1" customHeight="1" spans="1:15">
      <c r="A541" s="5"/>
      <c r="B541" s="6" t="s">
        <v>2906</v>
      </c>
      <c r="C541" s="6">
        <v>2017</v>
      </c>
      <c r="D541" s="6">
        <v>11</v>
      </c>
      <c r="E541" s="7">
        <v>48</v>
      </c>
      <c r="F541" s="6" t="s">
        <v>3512</v>
      </c>
      <c r="G541" s="6" t="s">
        <v>2908</v>
      </c>
      <c r="H541" s="6" t="s">
        <v>2909</v>
      </c>
      <c r="I541" s="8"/>
      <c r="J541" s="8">
        <v>5714</v>
      </c>
      <c r="K541" s="6" t="s">
        <v>3513</v>
      </c>
      <c r="L541" s="6" t="s">
        <v>1485</v>
      </c>
      <c r="N541" s="6" t="s">
        <v>1485</v>
      </c>
      <c r="O541" s="29">
        <v>5999.7</v>
      </c>
    </row>
    <row r="542" s="1" customFormat="1" ht="16.35" hidden="1" customHeight="1" spans="1:15">
      <c r="A542" s="5"/>
      <c r="B542" s="6" t="s">
        <v>2906</v>
      </c>
      <c r="C542" s="6">
        <v>2017</v>
      </c>
      <c r="D542" s="6">
        <v>11</v>
      </c>
      <c r="E542" s="7">
        <v>50</v>
      </c>
      <c r="F542" s="6" t="s">
        <v>3514</v>
      </c>
      <c r="G542" s="6" t="s">
        <v>2908</v>
      </c>
      <c r="H542" s="6" t="s">
        <v>2909</v>
      </c>
      <c r="I542" s="8"/>
      <c r="J542" s="8">
        <v>6667</v>
      </c>
      <c r="K542" s="6" t="s">
        <v>3027</v>
      </c>
      <c r="L542" s="6" t="s">
        <v>1623</v>
      </c>
      <c r="N542" s="6" t="s">
        <v>1623</v>
      </c>
      <c r="O542" s="29">
        <v>7000.35</v>
      </c>
    </row>
    <row r="543" s="1" customFormat="1" ht="16.35" hidden="1" customHeight="1" spans="1:15">
      <c r="A543" s="5"/>
      <c r="B543" s="6" t="s">
        <v>2906</v>
      </c>
      <c r="C543" s="6">
        <v>2017</v>
      </c>
      <c r="D543" s="6">
        <v>11</v>
      </c>
      <c r="E543" s="7">
        <v>51</v>
      </c>
      <c r="F543" s="6" t="s">
        <v>3515</v>
      </c>
      <c r="G543" s="6" t="s">
        <v>2908</v>
      </c>
      <c r="H543" s="6" t="s">
        <v>2909</v>
      </c>
      <c r="I543" s="8"/>
      <c r="J543" s="8">
        <v>1905</v>
      </c>
      <c r="K543" s="6" t="s">
        <v>3516</v>
      </c>
      <c r="L543" s="6" t="s">
        <v>1452</v>
      </c>
      <c r="N543" s="6" t="s">
        <v>1452</v>
      </c>
      <c r="O543" s="29">
        <v>2000.25</v>
      </c>
    </row>
    <row r="544" s="1" customFormat="1" ht="16.35" hidden="1" customHeight="1" spans="1:15">
      <c r="A544" s="5"/>
      <c r="B544" s="6" t="s">
        <v>2906</v>
      </c>
      <c r="C544" s="6">
        <v>2017</v>
      </c>
      <c r="D544" s="6">
        <v>11</v>
      </c>
      <c r="E544" s="7">
        <v>52</v>
      </c>
      <c r="F544" s="6" t="s">
        <v>3506</v>
      </c>
      <c r="G544" s="6" t="s">
        <v>2908</v>
      </c>
      <c r="H544" s="6" t="s">
        <v>2909</v>
      </c>
      <c r="I544" s="8"/>
      <c r="J544" s="8">
        <v>1905</v>
      </c>
      <c r="K544" s="6" t="s">
        <v>3507</v>
      </c>
      <c r="L544" s="6" t="s">
        <v>1432</v>
      </c>
      <c r="N544" s="6" t="s">
        <v>1432</v>
      </c>
      <c r="O544" s="29">
        <v>2000.25</v>
      </c>
    </row>
    <row r="545" s="1" customFormat="1" ht="16.35" hidden="1" customHeight="1" spans="1:15">
      <c r="A545" s="5"/>
      <c r="B545" s="6" t="s">
        <v>2906</v>
      </c>
      <c r="C545" s="6">
        <v>2017</v>
      </c>
      <c r="D545" s="6">
        <v>11</v>
      </c>
      <c r="E545" s="7">
        <v>55</v>
      </c>
      <c r="F545" s="6" t="s">
        <v>3517</v>
      </c>
      <c r="G545" s="6" t="s">
        <v>2908</v>
      </c>
      <c r="H545" s="6" t="s">
        <v>2909</v>
      </c>
      <c r="I545" s="8"/>
      <c r="J545" s="8">
        <v>4762</v>
      </c>
      <c r="K545" s="6" t="s">
        <v>3518</v>
      </c>
      <c r="L545" s="6" t="s">
        <v>1472</v>
      </c>
      <c r="N545" s="6" t="s">
        <v>1472</v>
      </c>
      <c r="O545" s="29">
        <v>5000.1</v>
      </c>
    </row>
    <row r="546" s="1" customFormat="1" ht="16.35" hidden="1" customHeight="1" spans="1:15">
      <c r="A546" s="5"/>
      <c r="B546" s="6" t="s">
        <v>2906</v>
      </c>
      <c r="C546" s="6">
        <v>2017</v>
      </c>
      <c r="D546" s="6">
        <v>12</v>
      </c>
      <c r="E546" s="7">
        <v>1</v>
      </c>
      <c r="F546" s="6" t="s">
        <v>3519</v>
      </c>
      <c r="G546" s="6" t="s">
        <v>2908</v>
      </c>
      <c r="H546" s="6" t="s">
        <v>2909</v>
      </c>
      <c r="I546" s="8"/>
      <c r="J546" s="8">
        <v>4762</v>
      </c>
      <c r="K546" s="6" t="s">
        <v>3520</v>
      </c>
      <c r="L546" s="6" t="s">
        <v>1633</v>
      </c>
      <c r="N546" s="6" t="s">
        <v>1633</v>
      </c>
      <c r="O546" s="29">
        <v>5000.1</v>
      </c>
    </row>
    <row r="547" s="1" customFormat="1" ht="16.35" hidden="1" customHeight="1" spans="1:15">
      <c r="A547" s="5"/>
      <c r="B547" s="6" t="s">
        <v>2906</v>
      </c>
      <c r="C547" s="6">
        <v>2017</v>
      </c>
      <c r="D547" s="6">
        <v>12</v>
      </c>
      <c r="E547" s="7">
        <v>2</v>
      </c>
      <c r="F547" s="6" t="s">
        <v>3521</v>
      </c>
      <c r="G547" s="6" t="s">
        <v>2908</v>
      </c>
      <c r="H547" s="6" t="s">
        <v>2909</v>
      </c>
      <c r="I547" s="8"/>
      <c r="J547" s="8">
        <v>4762</v>
      </c>
      <c r="K547" s="6" t="s">
        <v>3522</v>
      </c>
      <c r="L547" s="6" t="s">
        <v>1621</v>
      </c>
      <c r="N547" s="6" t="s">
        <v>1621</v>
      </c>
      <c r="O547" s="29">
        <v>5000.1</v>
      </c>
    </row>
    <row r="548" s="1" customFormat="1" ht="16.35" hidden="1" customHeight="1" spans="1:15">
      <c r="A548" s="5"/>
      <c r="B548" s="6" t="s">
        <v>2906</v>
      </c>
      <c r="C548" s="6">
        <v>2017</v>
      </c>
      <c r="D548" s="6">
        <v>12</v>
      </c>
      <c r="E548" s="7">
        <v>3</v>
      </c>
      <c r="F548" s="6" t="s">
        <v>3523</v>
      </c>
      <c r="G548" s="6" t="s">
        <v>2908</v>
      </c>
      <c r="H548" s="6" t="s">
        <v>2909</v>
      </c>
      <c r="I548" s="8"/>
      <c r="J548" s="8">
        <v>1714</v>
      </c>
      <c r="K548" s="6" t="s">
        <v>3489</v>
      </c>
      <c r="L548" s="6" t="s">
        <v>1436</v>
      </c>
      <c r="N548" s="6" t="s">
        <v>1436</v>
      </c>
      <c r="O548" s="29">
        <v>1799.7</v>
      </c>
    </row>
    <row r="549" s="1" customFormat="1" ht="16.35" hidden="1" customHeight="1" spans="1:15">
      <c r="A549" s="5"/>
      <c r="B549" s="6" t="s">
        <v>2906</v>
      </c>
      <c r="C549" s="6">
        <v>2017</v>
      </c>
      <c r="D549" s="6">
        <v>12</v>
      </c>
      <c r="E549" s="7">
        <v>4</v>
      </c>
      <c r="F549" s="6" t="s">
        <v>3524</v>
      </c>
      <c r="G549" s="6" t="s">
        <v>2908</v>
      </c>
      <c r="H549" s="6" t="s">
        <v>2909</v>
      </c>
      <c r="I549" s="8"/>
      <c r="J549" s="8">
        <v>196190</v>
      </c>
      <c r="K549" s="6" t="s">
        <v>3525</v>
      </c>
      <c r="L549" s="6" t="s">
        <v>1460</v>
      </c>
      <c r="N549" s="6" t="s">
        <v>1460</v>
      </c>
      <c r="O549" s="29">
        <v>205999.5</v>
      </c>
    </row>
    <row r="550" s="1" customFormat="1" ht="16.35" hidden="1" customHeight="1" spans="1:15">
      <c r="A550" s="5"/>
      <c r="B550" s="6" t="s">
        <v>2906</v>
      </c>
      <c r="C550" s="6">
        <v>2017</v>
      </c>
      <c r="D550" s="6">
        <v>12</v>
      </c>
      <c r="E550" s="7">
        <v>5</v>
      </c>
      <c r="F550" s="6" t="s">
        <v>3526</v>
      </c>
      <c r="G550" s="6" t="s">
        <v>2908</v>
      </c>
      <c r="H550" s="6" t="s">
        <v>2909</v>
      </c>
      <c r="I550" s="8"/>
      <c r="J550" s="8">
        <v>159048</v>
      </c>
      <c r="K550" s="6" t="s">
        <v>3190</v>
      </c>
      <c r="L550" s="6" t="s">
        <v>1525</v>
      </c>
      <c r="N550" s="6" t="s">
        <v>1525</v>
      </c>
      <c r="O550" s="29">
        <v>167000.4</v>
      </c>
    </row>
    <row r="551" s="1" customFormat="1" ht="16.35" hidden="1" customHeight="1" spans="1:15">
      <c r="A551" s="5"/>
      <c r="B551" s="6" t="s">
        <v>2906</v>
      </c>
      <c r="C551" s="6">
        <v>2017</v>
      </c>
      <c r="D551" s="6">
        <v>12</v>
      </c>
      <c r="E551" s="7">
        <v>6</v>
      </c>
      <c r="F551" s="6" t="s">
        <v>3527</v>
      </c>
      <c r="G551" s="6" t="s">
        <v>2908</v>
      </c>
      <c r="H551" s="6" t="s">
        <v>2909</v>
      </c>
      <c r="I551" s="8"/>
      <c r="J551" s="8">
        <v>112381</v>
      </c>
      <c r="K551" s="6" t="s">
        <v>3462</v>
      </c>
      <c r="L551" s="6" t="s">
        <v>1440</v>
      </c>
      <c r="N551" s="6" t="s">
        <v>1440</v>
      </c>
      <c r="O551" s="29">
        <v>118000.05</v>
      </c>
    </row>
    <row r="552" s="1" customFormat="1" ht="16.35" hidden="1" customHeight="1" spans="1:15">
      <c r="A552" s="5"/>
      <c r="B552" s="6" t="s">
        <v>2906</v>
      </c>
      <c r="C552" s="6">
        <v>2017</v>
      </c>
      <c r="D552" s="6">
        <v>12</v>
      </c>
      <c r="E552" s="7">
        <v>7</v>
      </c>
      <c r="F552" s="6" t="s">
        <v>3444</v>
      </c>
      <c r="G552" s="6" t="s">
        <v>2908</v>
      </c>
      <c r="H552" s="6" t="s">
        <v>2909</v>
      </c>
      <c r="I552" s="8"/>
      <c r="J552" s="8">
        <v>155238</v>
      </c>
      <c r="K552" s="6" t="s">
        <v>3445</v>
      </c>
      <c r="L552" s="6" t="s">
        <v>1011</v>
      </c>
      <c r="N552" s="6" t="s">
        <v>1011</v>
      </c>
      <c r="O552" s="29">
        <v>162999.9</v>
      </c>
    </row>
    <row r="553" s="1" customFormat="1" ht="16.35" hidden="1" customHeight="1" spans="1:15">
      <c r="A553" s="5"/>
      <c r="B553" s="6" t="s">
        <v>2906</v>
      </c>
      <c r="C553" s="6">
        <v>2017</v>
      </c>
      <c r="D553" s="6">
        <v>12</v>
      </c>
      <c r="E553" s="7">
        <v>10</v>
      </c>
      <c r="F553" s="6" t="s">
        <v>3528</v>
      </c>
      <c r="G553" s="6" t="s">
        <v>2908</v>
      </c>
      <c r="H553" s="6" t="s">
        <v>2909</v>
      </c>
      <c r="I553" s="8"/>
      <c r="J553" s="8">
        <v>64278</v>
      </c>
      <c r="K553" s="6" t="s">
        <v>3494</v>
      </c>
      <c r="L553" s="6" t="s">
        <v>1269</v>
      </c>
      <c r="N553" s="6" t="s">
        <v>1269</v>
      </c>
      <c r="O553" s="29">
        <v>67491.9</v>
      </c>
    </row>
    <row r="554" s="1" customFormat="1" ht="16.35" hidden="1" customHeight="1" spans="1:15">
      <c r="A554" s="5"/>
      <c r="B554" s="6" t="s">
        <v>2906</v>
      </c>
      <c r="C554" s="6">
        <v>2017</v>
      </c>
      <c r="D554" s="6">
        <v>12</v>
      </c>
      <c r="E554" s="7">
        <v>11</v>
      </c>
      <c r="F554" s="6" t="s">
        <v>3524</v>
      </c>
      <c r="G554" s="6" t="s">
        <v>2908</v>
      </c>
      <c r="H554" s="6" t="s">
        <v>2909</v>
      </c>
      <c r="I554" s="8"/>
      <c r="J554" s="8">
        <v>9524</v>
      </c>
      <c r="K554" s="6" t="s">
        <v>3525</v>
      </c>
      <c r="L554" s="6" t="s">
        <v>1460</v>
      </c>
      <c r="N554" s="6" t="s">
        <v>1460</v>
      </c>
      <c r="O554" s="29">
        <v>10000.2</v>
      </c>
    </row>
    <row r="555" s="1" customFormat="1" ht="16.35" hidden="1" customHeight="1" spans="1:15">
      <c r="A555" s="5"/>
      <c r="B555" s="6" t="s">
        <v>2906</v>
      </c>
      <c r="C555" s="6">
        <v>2017</v>
      </c>
      <c r="D555" s="6">
        <v>12</v>
      </c>
      <c r="E555" s="7">
        <v>12</v>
      </c>
      <c r="F555" s="6" t="s">
        <v>3529</v>
      </c>
      <c r="G555" s="6" t="s">
        <v>2908</v>
      </c>
      <c r="H555" s="6" t="s">
        <v>2909</v>
      </c>
      <c r="I555" s="8"/>
      <c r="J555" s="8">
        <v>4762</v>
      </c>
      <c r="K555" s="6" t="s">
        <v>3530</v>
      </c>
      <c r="L555" s="6" t="s">
        <v>1381</v>
      </c>
      <c r="N555" s="6" t="s">
        <v>1381</v>
      </c>
      <c r="O555" s="29">
        <v>5000.1</v>
      </c>
    </row>
    <row r="556" s="1" customFormat="1" ht="16.35" hidden="1" customHeight="1" spans="1:16">
      <c r="A556" s="5"/>
      <c r="B556" s="6" t="s">
        <v>2906</v>
      </c>
      <c r="C556" s="6">
        <v>2017</v>
      </c>
      <c r="D556" s="6">
        <v>12</v>
      </c>
      <c r="E556" s="7">
        <v>13</v>
      </c>
      <c r="F556" s="6" t="s">
        <v>3531</v>
      </c>
      <c r="G556" s="6" t="s">
        <v>2908</v>
      </c>
      <c r="H556" s="6" t="s">
        <v>2909</v>
      </c>
      <c r="I556" s="8"/>
      <c r="J556" s="8">
        <v>11429</v>
      </c>
      <c r="K556" s="6" t="s">
        <v>3103</v>
      </c>
      <c r="L556" s="6" t="s">
        <v>1316</v>
      </c>
      <c r="N556" s="6" t="s">
        <v>1316</v>
      </c>
      <c r="O556" s="29">
        <v>12000.45</v>
      </c>
      <c r="P556" s="1">
        <f>O556-J556</f>
        <v>571.450000000001</v>
      </c>
    </row>
    <row r="557" s="1" customFormat="1" ht="16.35" hidden="1" customHeight="1" spans="1:16">
      <c r="A557" s="5"/>
      <c r="B557" s="6" t="s">
        <v>2906</v>
      </c>
      <c r="C557" s="6">
        <v>2017</v>
      </c>
      <c r="D557" s="6">
        <v>12</v>
      </c>
      <c r="E557" s="7">
        <v>14</v>
      </c>
      <c r="F557" s="6" t="s">
        <v>3532</v>
      </c>
      <c r="G557" s="6" t="s">
        <v>2908</v>
      </c>
      <c r="H557" s="6" t="s">
        <v>2909</v>
      </c>
      <c r="I557" s="8"/>
      <c r="J557" s="8">
        <v>14286</v>
      </c>
      <c r="K557" s="6" t="s">
        <v>3458</v>
      </c>
      <c r="L557" s="6" t="s">
        <v>1609</v>
      </c>
      <c r="N557" s="6" t="s">
        <v>1609</v>
      </c>
      <c r="O557" s="29">
        <v>15000.3</v>
      </c>
      <c r="P557" s="1">
        <f>O557-J557</f>
        <v>714.299999999999</v>
      </c>
    </row>
    <row r="558" s="1" customFormat="1" ht="16.35" hidden="1" customHeight="1" spans="1:15">
      <c r="A558" s="5"/>
      <c r="B558" s="6" t="s">
        <v>2906</v>
      </c>
      <c r="C558" s="6">
        <v>2017</v>
      </c>
      <c r="D558" s="6">
        <v>12</v>
      </c>
      <c r="E558" s="7">
        <v>15</v>
      </c>
      <c r="F558" s="6" t="s">
        <v>3533</v>
      </c>
      <c r="G558" s="6" t="s">
        <v>2908</v>
      </c>
      <c r="H558" s="6" t="s">
        <v>2909</v>
      </c>
      <c r="I558" s="8"/>
      <c r="J558" s="8">
        <v>9966</v>
      </c>
      <c r="K558" s="6" t="s">
        <v>3503</v>
      </c>
      <c r="L558" s="6" t="s">
        <v>1361</v>
      </c>
      <c r="N558" s="6" t="s">
        <v>1361</v>
      </c>
      <c r="O558" s="29">
        <v>10464.3</v>
      </c>
    </row>
    <row r="559" s="1" customFormat="1" ht="16.35" hidden="1" customHeight="1" spans="1:15">
      <c r="A559" s="5"/>
      <c r="B559" s="6" t="s">
        <v>2906</v>
      </c>
      <c r="C559" s="6">
        <v>2017</v>
      </c>
      <c r="D559" s="6">
        <v>12</v>
      </c>
      <c r="E559" s="7">
        <v>16</v>
      </c>
      <c r="F559" s="6" t="s">
        <v>3534</v>
      </c>
      <c r="G559" s="6" t="s">
        <v>2908</v>
      </c>
      <c r="H559" s="6" t="s">
        <v>2909</v>
      </c>
      <c r="I559" s="8"/>
      <c r="J559" s="8">
        <v>107109</v>
      </c>
      <c r="K559" s="6" t="s">
        <v>3530</v>
      </c>
      <c r="L559" s="6" t="s">
        <v>1381</v>
      </c>
      <c r="N559" s="6" t="s">
        <v>1381</v>
      </c>
      <c r="O559" s="29">
        <v>112464.45</v>
      </c>
    </row>
    <row r="560" s="1" customFormat="1" ht="16.35" hidden="1" customHeight="1" spans="1:15">
      <c r="A560" s="5"/>
      <c r="B560" s="6" t="s">
        <v>2906</v>
      </c>
      <c r="C560" s="6">
        <v>2017</v>
      </c>
      <c r="D560" s="6">
        <v>12</v>
      </c>
      <c r="E560" s="7">
        <v>17</v>
      </c>
      <c r="F560" s="6" t="s">
        <v>3535</v>
      </c>
      <c r="G560" s="6" t="s">
        <v>2908</v>
      </c>
      <c r="H560" s="6" t="s">
        <v>2909</v>
      </c>
      <c r="I560" s="8"/>
      <c r="J560" s="8">
        <v>36190</v>
      </c>
      <c r="K560" s="6" t="s">
        <v>3501</v>
      </c>
      <c r="L560" s="6" t="s">
        <v>1425</v>
      </c>
      <c r="N560" s="6" t="s">
        <v>1425</v>
      </c>
      <c r="O560" s="29">
        <v>37999.5</v>
      </c>
    </row>
    <row r="561" s="1" customFormat="1" ht="16.35" hidden="1" customHeight="1" spans="1:15">
      <c r="A561" s="5"/>
      <c r="B561" s="6" t="s">
        <v>2906</v>
      </c>
      <c r="C561" s="6">
        <v>2017</v>
      </c>
      <c r="D561" s="6">
        <v>12</v>
      </c>
      <c r="E561" s="7">
        <v>18</v>
      </c>
      <c r="F561" s="6" t="s">
        <v>3536</v>
      </c>
      <c r="G561" s="6" t="s">
        <v>2908</v>
      </c>
      <c r="H561" s="6" t="s">
        <v>2909</v>
      </c>
      <c r="I561" s="8"/>
      <c r="J561" s="8">
        <v>4762</v>
      </c>
      <c r="K561" s="6" t="s">
        <v>3537</v>
      </c>
      <c r="L561" s="6" t="s">
        <v>1515</v>
      </c>
      <c r="N561" s="6" t="s">
        <v>1515</v>
      </c>
      <c r="O561" s="29">
        <v>5000.1</v>
      </c>
    </row>
    <row r="562" s="1" customFormat="1" ht="16.35" hidden="1" customHeight="1" spans="1:15">
      <c r="A562" s="5"/>
      <c r="B562" s="6" t="s">
        <v>2906</v>
      </c>
      <c r="C562" s="6">
        <v>2017</v>
      </c>
      <c r="D562" s="6">
        <v>12</v>
      </c>
      <c r="E562" s="7">
        <v>19</v>
      </c>
      <c r="F562" s="6" t="s">
        <v>3538</v>
      </c>
      <c r="G562" s="6" t="s">
        <v>2908</v>
      </c>
      <c r="H562" s="6" t="s">
        <v>2909</v>
      </c>
      <c r="I562" s="8"/>
      <c r="J562" s="8">
        <v>28381</v>
      </c>
      <c r="K562" s="6" t="s">
        <v>3505</v>
      </c>
      <c r="L562" s="6" t="s">
        <v>1454</v>
      </c>
      <c r="N562" s="6" t="s">
        <v>1454</v>
      </c>
      <c r="O562" s="29">
        <v>29800.05</v>
      </c>
    </row>
    <row r="563" s="1" customFormat="1" ht="16.35" hidden="1" customHeight="1" spans="1:15">
      <c r="A563" s="5"/>
      <c r="B563" s="6" t="s">
        <v>2906</v>
      </c>
      <c r="C563" s="6">
        <v>2017</v>
      </c>
      <c r="D563" s="6">
        <v>12</v>
      </c>
      <c r="E563" s="7">
        <v>20</v>
      </c>
      <c r="F563" s="6" t="s">
        <v>3539</v>
      </c>
      <c r="G563" s="6" t="s">
        <v>2908</v>
      </c>
      <c r="H563" s="6" t="s">
        <v>2909</v>
      </c>
      <c r="I563" s="8"/>
      <c r="J563" s="8">
        <v>4762</v>
      </c>
      <c r="K563" s="6" t="s">
        <v>3540</v>
      </c>
      <c r="L563" s="6" t="s">
        <v>1513</v>
      </c>
      <c r="N563" s="6" t="s">
        <v>1513</v>
      </c>
      <c r="O563" s="29">
        <v>5000.1</v>
      </c>
    </row>
    <row r="564" s="1" customFormat="1" ht="16.35" hidden="1" customHeight="1" spans="1:15">
      <c r="A564" s="5"/>
      <c r="B564" s="6" t="s">
        <v>2906</v>
      </c>
      <c r="C564" s="6">
        <v>2017</v>
      </c>
      <c r="D564" s="6">
        <v>12</v>
      </c>
      <c r="E564" s="7">
        <v>22</v>
      </c>
      <c r="F564" s="6" t="s">
        <v>3541</v>
      </c>
      <c r="G564" s="6" t="s">
        <v>2908</v>
      </c>
      <c r="H564" s="6" t="s">
        <v>2909</v>
      </c>
      <c r="I564" s="8"/>
      <c r="J564" s="8">
        <v>95238</v>
      </c>
      <c r="K564" s="6" t="s">
        <v>3487</v>
      </c>
      <c r="L564" s="6" t="s">
        <v>1304</v>
      </c>
      <c r="N564" s="6" t="s">
        <v>1304</v>
      </c>
      <c r="O564" s="29">
        <v>99999.9</v>
      </c>
    </row>
    <row r="565" s="1" customFormat="1" ht="16.35" hidden="1" customHeight="1" spans="1:15">
      <c r="A565" s="5"/>
      <c r="B565" s="6" t="s">
        <v>2906</v>
      </c>
      <c r="C565" s="6">
        <v>2017</v>
      </c>
      <c r="D565" s="6">
        <v>12</v>
      </c>
      <c r="E565" s="7">
        <v>23</v>
      </c>
      <c r="F565" s="6" t="s">
        <v>3542</v>
      </c>
      <c r="G565" s="6" t="s">
        <v>2908</v>
      </c>
      <c r="H565" s="6" t="s">
        <v>2909</v>
      </c>
      <c r="I565" s="8"/>
      <c r="J565" s="8">
        <v>167619</v>
      </c>
      <c r="K565" s="6" t="s">
        <v>3227</v>
      </c>
      <c r="L565" s="6" t="s">
        <v>1569</v>
      </c>
      <c r="N565" s="6" t="s">
        <v>1569</v>
      </c>
      <c r="O565" s="29">
        <v>175999.95</v>
      </c>
    </row>
    <row r="566" s="1" customFormat="1" ht="16.35" hidden="1" customHeight="1" spans="1:15">
      <c r="A566" s="5"/>
      <c r="B566" s="6" t="s">
        <v>2906</v>
      </c>
      <c r="C566" s="6">
        <v>2017</v>
      </c>
      <c r="D566" s="6">
        <v>12</v>
      </c>
      <c r="E566" s="7">
        <v>24</v>
      </c>
      <c r="F566" s="6" t="s">
        <v>3543</v>
      </c>
      <c r="G566" s="6" t="s">
        <v>2908</v>
      </c>
      <c r="H566" s="6" t="s">
        <v>2909</v>
      </c>
      <c r="I566" s="8"/>
      <c r="J566" s="8">
        <v>89524</v>
      </c>
      <c r="K566" s="6" t="s">
        <v>3475</v>
      </c>
      <c r="L566" s="6" t="s">
        <v>1448</v>
      </c>
      <c r="N566" s="6" t="s">
        <v>1448</v>
      </c>
      <c r="O566" s="29">
        <v>94000.2</v>
      </c>
    </row>
    <row r="567" s="1" customFormat="1" ht="16.35" hidden="1" customHeight="1" spans="1:15">
      <c r="A567" s="5"/>
      <c r="B567" s="6" t="s">
        <v>2906</v>
      </c>
      <c r="C567" s="6">
        <v>2017</v>
      </c>
      <c r="D567" s="6">
        <v>12</v>
      </c>
      <c r="E567" s="7">
        <v>25</v>
      </c>
      <c r="F567" s="6" t="s">
        <v>3544</v>
      </c>
      <c r="G567" s="6" t="s">
        <v>2908</v>
      </c>
      <c r="H567" s="6" t="s">
        <v>2909</v>
      </c>
      <c r="I567" s="8"/>
      <c r="J567" s="8">
        <v>138095</v>
      </c>
      <c r="K567" s="6" t="s">
        <v>3477</v>
      </c>
      <c r="L567" s="6" t="s">
        <v>1450</v>
      </c>
      <c r="N567" s="6" t="s">
        <v>1450</v>
      </c>
      <c r="O567" s="29">
        <v>144999.75</v>
      </c>
    </row>
    <row r="568" s="1" customFormat="1" ht="16.35" hidden="1" customHeight="1" spans="1:15">
      <c r="A568" s="5"/>
      <c r="B568" s="6" t="s">
        <v>2906</v>
      </c>
      <c r="C568" s="6">
        <v>2017</v>
      </c>
      <c r="D568" s="6">
        <v>12</v>
      </c>
      <c r="E568" s="7">
        <v>26</v>
      </c>
      <c r="F568" s="6" t="s">
        <v>3417</v>
      </c>
      <c r="G568" s="6" t="s">
        <v>2908</v>
      </c>
      <c r="H568" s="6" t="s">
        <v>2909</v>
      </c>
      <c r="I568" s="8"/>
      <c r="J568" s="8">
        <v>158095</v>
      </c>
      <c r="K568" s="6" t="s">
        <v>3418</v>
      </c>
      <c r="L568" s="6" t="s">
        <v>1277</v>
      </c>
      <c r="N568" s="6" t="s">
        <v>1277</v>
      </c>
      <c r="O568" s="29">
        <v>165999.75</v>
      </c>
    </row>
    <row r="569" s="1" customFormat="1" ht="16.35" hidden="1" customHeight="1" spans="1:15">
      <c r="A569" s="5"/>
      <c r="B569" s="6" t="s">
        <v>2906</v>
      </c>
      <c r="C569" s="6">
        <v>2017</v>
      </c>
      <c r="D569" s="6">
        <v>12</v>
      </c>
      <c r="E569" s="7">
        <v>27</v>
      </c>
      <c r="F569" s="6" t="s">
        <v>3447</v>
      </c>
      <c r="G569" s="6" t="s">
        <v>2908</v>
      </c>
      <c r="H569" s="6" t="s">
        <v>2909</v>
      </c>
      <c r="I569" s="8"/>
      <c r="J569" s="8">
        <v>159048</v>
      </c>
      <c r="K569" s="6" t="s">
        <v>3448</v>
      </c>
      <c r="L569" s="6" t="s">
        <v>1529</v>
      </c>
      <c r="N569" s="6" t="s">
        <v>1529</v>
      </c>
      <c r="O569" s="29">
        <v>167000.4</v>
      </c>
    </row>
    <row r="570" s="1" customFormat="1" ht="16.35" hidden="1" customHeight="1" spans="1:15">
      <c r="A570" s="5"/>
      <c r="B570" s="6" t="s">
        <v>2906</v>
      </c>
      <c r="C570" s="6">
        <v>2017</v>
      </c>
      <c r="D570" s="6">
        <v>12</v>
      </c>
      <c r="E570" s="7">
        <v>28</v>
      </c>
      <c r="F570" s="6" t="s">
        <v>3400</v>
      </c>
      <c r="G570" s="6" t="s">
        <v>2908</v>
      </c>
      <c r="H570" s="6" t="s">
        <v>2909</v>
      </c>
      <c r="I570" s="8"/>
      <c r="J570" s="8">
        <v>164762</v>
      </c>
      <c r="K570" s="6" t="s">
        <v>3401</v>
      </c>
      <c r="L570" s="6" t="s">
        <v>1343</v>
      </c>
      <c r="N570" s="6" t="s">
        <v>1343</v>
      </c>
      <c r="O570" s="29">
        <v>173000.1</v>
      </c>
    </row>
    <row r="571" s="1" customFormat="1" ht="16.35" hidden="1" customHeight="1" spans="1:15">
      <c r="A571" s="5"/>
      <c r="B571" s="6" t="s">
        <v>2906</v>
      </c>
      <c r="C571" s="6">
        <v>2017</v>
      </c>
      <c r="D571" s="6">
        <v>12</v>
      </c>
      <c r="E571" s="7">
        <v>29</v>
      </c>
      <c r="F571" s="6" t="s">
        <v>3545</v>
      </c>
      <c r="G571" s="6" t="s">
        <v>2908</v>
      </c>
      <c r="H571" s="6" t="s">
        <v>2909</v>
      </c>
      <c r="I571" s="8"/>
      <c r="J571" s="8">
        <v>120000</v>
      </c>
      <c r="K571" s="6" t="s">
        <v>3481</v>
      </c>
      <c r="L571" s="6" t="s">
        <v>1456</v>
      </c>
      <c r="N571" s="6" t="s">
        <v>1456</v>
      </c>
      <c r="O571" s="29">
        <v>126000</v>
      </c>
    </row>
    <row r="572" s="1" customFormat="1" ht="16.35" hidden="1" customHeight="1" spans="1:15">
      <c r="A572" s="5"/>
      <c r="B572" s="6" t="s">
        <v>2906</v>
      </c>
      <c r="C572" s="6">
        <v>2017</v>
      </c>
      <c r="D572" s="6">
        <v>12</v>
      </c>
      <c r="E572" s="7">
        <v>30</v>
      </c>
      <c r="F572" s="6" t="s">
        <v>3546</v>
      </c>
      <c r="G572" s="6" t="s">
        <v>2908</v>
      </c>
      <c r="H572" s="6" t="s">
        <v>2909</v>
      </c>
      <c r="I572" s="8"/>
      <c r="J572" s="8">
        <v>9524</v>
      </c>
      <c r="K572" s="6" t="s">
        <v>3547</v>
      </c>
      <c r="L572" s="6" t="s">
        <v>1347</v>
      </c>
      <c r="N572" s="6" t="s">
        <v>1347</v>
      </c>
      <c r="O572" s="29">
        <v>10000.2</v>
      </c>
    </row>
    <row r="573" s="1" customFormat="1" ht="16.35" hidden="1" customHeight="1" spans="1:15">
      <c r="A573" s="5"/>
      <c r="B573" s="6" t="s">
        <v>2906</v>
      </c>
      <c r="C573" s="6">
        <v>2017</v>
      </c>
      <c r="D573" s="6">
        <v>12</v>
      </c>
      <c r="E573" s="7">
        <v>31</v>
      </c>
      <c r="F573" s="6" t="s">
        <v>3548</v>
      </c>
      <c r="G573" s="6" t="s">
        <v>2908</v>
      </c>
      <c r="H573" s="6" t="s">
        <v>2909</v>
      </c>
      <c r="I573" s="8"/>
      <c r="J573" s="8">
        <v>29762</v>
      </c>
      <c r="K573" s="6" t="s">
        <v>3513</v>
      </c>
      <c r="L573" s="6" t="s">
        <v>1485</v>
      </c>
      <c r="N573" s="6" t="s">
        <v>1485</v>
      </c>
      <c r="O573" s="29">
        <v>31250.1</v>
      </c>
    </row>
    <row r="574" s="1" customFormat="1" ht="16.35" hidden="1" customHeight="1" spans="1:15">
      <c r="A574" s="5"/>
      <c r="B574" s="6" t="s">
        <v>2906</v>
      </c>
      <c r="C574" s="6">
        <v>2017</v>
      </c>
      <c r="D574" s="6">
        <v>12</v>
      </c>
      <c r="E574" s="7">
        <v>32</v>
      </c>
      <c r="F574" s="6" t="s">
        <v>3549</v>
      </c>
      <c r="G574" s="6" t="s">
        <v>2908</v>
      </c>
      <c r="H574" s="6" t="s">
        <v>2909</v>
      </c>
      <c r="I574" s="8"/>
      <c r="J574" s="8">
        <v>9524</v>
      </c>
      <c r="K574" s="6" t="s">
        <v>3550</v>
      </c>
      <c r="L574" s="6" t="s">
        <v>1345</v>
      </c>
      <c r="N574" s="6" t="s">
        <v>1345</v>
      </c>
      <c r="O574" s="29">
        <v>10000.2</v>
      </c>
    </row>
    <row r="575" s="1" customFormat="1" ht="16.35" hidden="1" customHeight="1" spans="1:15">
      <c r="A575" s="5"/>
      <c r="B575" s="6" t="s">
        <v>2906</v>
      </c>
      <c r="C575" s="6">
        <v>2017</v>
      </c>
      <c r="D575" s="6">
        <v>12</v>
      </c>
      <c r="E575" s="7">
        <v>33</v>
      </c>
      <c r="F575" s="6" t="s">
        <v>3551</v>
      </c>
      <c r="G575" s="6" t="s">
        <v>2908</v>
      </c>
      <c r="H575" s="6" t="s">
        <v>2909</v>
      </c>
      <c r="I575" s="8"/>
      <c r="J575" s="8">
        <v>210459</v>
      </c>
      <c r="K575" s="6" t="s">
        <v>3552</v>
      </c>
      <c r="L575" s="6" t="s">
        <v>1531</v>
      </c>
      <c r="N575" s="6" t="s">
        <v>1531</v>
      </c>
      <c r="O575" s="29">
        <v>220981.95</v>
      </c>
    </row>
    <row r="576" s="1" customFormat="1" ht="16.35" hidden="1" customHeight="1" spans="1:15">
      <c r="A576" s="5"/>
      <c r="B576" s="6" t="s">
        <v>2906</v>
      </c>
      <c r="C576" s="6">
        <v>2017</v>
      </c>
      <c r="D576" s="6">
        <v>12</v>
      </c>
      <c r="E576" s="7">
        <v>34</v>
      </c>
      <c r="F576" s="6" t="s">
        <v>3553</v>
      </c>
      <c r="G576" s="6" t="s">
        <v>2908</v>
      </c>
      <c r="H576" s="6" t="s">
        <v>2909</v>
      </c>
      <c r="I576" s="8"/>
      <c r="J576" s="8">
        <v>288601</v>
      </c>
      <c r="K576" s="6" t="s">
        <v>3554</v>
      </c>
      <c r="L576" s="6" t="s">
        <v>1637</v>
      </c>
      <c r="N576" s="6" t="s">
        <v>1637</v>
      </c>
      <c r="O576" s="29">
        <v>303031.05</v>
      </c>
    </row>
    <row r="577" s="1" customFormat="1" ht="16.35" hidden="1" customHeight="1" spans="1:15">
      <c r="A577" s="5"/>
      <c r="B577" s="6" t="s">
        <v>2906</v>
      </c>
      <c r="C577" s="6">
        <v>2017</v>
      </c>
      <c r="D577" s="6">
        <v>12</v>
      </c>
      <c r="E577" s="7">
        <v>35</v>
      </c>
      <c r="F577" s="6" t="s">
        <v>3553</v>
      </c>
      <c r="G577" s="6" t="s">
        <v>2908</v>
      </c>
      <c r="H577" s="6" t="s">
        <v>2909</v>
      </c>
      <c r="I577" s="8"/>
      <c r="J577" s="8">
        <v>952</v>
      </c>
      <c r="K577" s="6" t="s">
        <v>3554</v>
      </c>
      <c r="L577" s="6" t="s">
        <v>1637</v>
      </c>
      <c r="N577" s="6" t="s">
        <v>1637</v>
      </c>
      <c r="O577" s="29">
        <v>999.6</v>
      </c>
    </row>
    <row r="578" s="1" customFormat="1" ht="16.35" hidden="1" customHeight="1" spans="1:15">
      <c r="A578" s="5"/>
      <c r="B578" s="6" t="s">
        <v>2906</v>
      </c>
      <c r="C578" s="6">
        <v>2017</v>
      </c>
      <c r="D578" s="6">
        <v>12</v>
      </c>
      <c r="E578" s="7">
        <v>36</v>
      </c>
      <c r="F578" s="6" t="s">
        <v>3555</v>
      </c>
      <c r="G578" s="6" t="s">
        <v>2908</v>
      </c>
      <c r="H578" s="6" t="s">
        <v>2909</v>
      </c>
      <c r="I578" s="8"/>
      <c r="J578" s="8">
        <v>1905</v>
      </c>
      <c r="K578" s="6" t="s">
        <v>3556</v>
      </c>
      <c r="L578" s="6" t="s">
        <v>989</v>
      </c>
      <c r="N578" s="6" t="s">
        <v>989</v>
      </c>
      <c r="O578" s="29">
        <v>2000.25</v>
      </c>
    </row>
    <row r="579" s="1" customFormat="1" ht="16.35" hidden="1" customHeight="1" spans="1:15">
      <c r="A579" s="5"/>
      <c r="B579" s="6" t="s">
        <v>2906</v>
      </c>
      <c r="C579" s="6">
        <v>2017</v>
      </c>
      <c r="D579" s="6">
        <v>12</v>
      </c>
      <c r="E579" s="7">
        <v>38</v>
      </c>
      <c r="F579" s="6" t="s">
        <v>3557</v>
      </c>
      <c r="G579" s="6" t="s">
        <v>2908</v>
      </c>
      <c r="H579" s="6" t="s">
        <v>2909</v>
      </c>
      <c r="I579" s="8"/>
      <c r="J579" s="8">
        <v>30476</v>
      </c>
      <c r="K579" s="6" t="s">
        <v>3558</v>
      </c>
      <c r="L579" s="6" t="s">
        <v>1438</v>
      </c>
      <c r="N579" s="6" t="s">
        <v>1438</v>
      </c>
      <c r="O579" s="29">
        <v>31999.8</v>
      </c>
    </row>
    <row r="580" s="1" customFormat="1" ht="16.35" hidden="1" customHeight="1" spans="1:15">
      <c r="A580" s="5"/>
      <c r="B580" s="6" t="s">
        <v>2906</v>
      </c>
      <c r="C580" s="6">
        <v>2017</v>
      </c>
      <c r="D580" s="6">
        <v>12</v>
      </c>
      <c r="E580" s="7">
        <v>39</v>
      </c>
      <c r="F580" s="6" t="s">
        <v>3559</v>
      </c>
      <c r="G580" s="6" t="s">
        <v>2908</v>
      </c>
      <c r="H580" s="6" t="s">
        <v>2909</v>
      </c>
      <c r="I580" s="8"/>
      <c r="J580" s="8">
        <v>3333</v>
      </c>
      <c r="K580" s="6" t="s">
        <v>3172</v>
      </c>
      <c r="L580" s="6" t="s">
        <v>1579</v>
      </c>
      <c r="N580" s="6" t="s">
        <v>1579</v>
      </c>
      <c r="O580" s="29">
        <v>3499.65</v>
      </c>
    </row>
    <row r="581" s="1" customFormat="1" ht="16.35" hidden="1" customHeight="1" spans="1:15">
      <c r="A581" s="5"/>
      <c r="B581" s="6" t="s">
        <v>2906</v>
      </c>
      <c r="C581" s="6">
        <v>2017</v>
      </c>
      <c r="D581" s="6">
        <v>12</v>
      </c>
      <c r="E581" s="7">
        <v>40</v>
      </c>
      <c r="F581" s="6" t="s">
        <v>3539</v>
      </c>
      <c r="G581" s="6" t="s">
        <v>2908</v>
      </c>
      <c r="H581" s="6" t="s">
        <v>2909</v>
      </c>
      <c r="I581" s="8"/>
      <c r="J581" s="8">
        <v>90644</v>
      </c>
      <c r="K581" s="6" t="s">
        <v>3540</v>
      </c>
      <c r="L581" s="6" t="s">
        <v>1513</v>
      </c>
      <c r="N581" s="6" t="s">
        <v>1513</v>
      </c>
      <c r="O581" s="29">
        <v>95176.2</v>
      </c>
    </row>
    <row r="582" s="1" customFormat="1" ht="16.35" hidden="1" customHeight="1" spans="1:15">
      <c r="A582" s="5"/>
      <c r="B582" s="6" t="s">
        <v>2906</v>
      </c>
      <c r="C582" s="6">
        <v>2017</v>
      </c>
      <c r="D582" s="6">
        <v>12</v>
      </c>
      <c r="E582" s="7">
        <v>41</v>
      </c>
      <c r="F582" s="6" t="s">
        <v>3536</v>
      </c>
      <c r="G582" s="6" t="s">
        <v>2908</v>
      </c>
      <c r="H582" s="6" t="s">
        <v>2909</v>
      </c>
      <c r="I582" s="8"/>
      <c r="J582" s="8">
        <v>90571</v>
      </c>
      <c r="K582" s="6" t="s">
        <v>3537</v>
      </c>
      <c r="L582" s="6" t="s">
        <v>1515</v>
      </c>
      <c r="N582" s="6" t="s">
        <v>1515</v>
      </c>
      <c r="O582" s="29">
        <v>95099.55</v>
      </c>
    </row>
    <row r="583" s="1" customFormat="1" ht="16.35" hidden="1" customHeight="1" spans="1:15">
      <c r="A583" s="5"/>
      <c r="B583" s="6" t="s">
        <v>2906</v>
      </c>
      <c r="C583" s="6">
        <v>2017</v>
      </c>
      <c r="D583" s="6">
        <v>12</v>
      </c>
      <c r="E583" s="7">
        <v>42</v>
      </c>
      <c r="F583" s="6" t="s">
        <v>3555</v>
      </c>
      <c r="G583" s="6" t="s">
        <v>2908</v>
      </c>
      <c r="H583" s="6" t="s">
        <v>2909</v>
      </c>
      <c r="I583" s="8"/>
      <c r="J583" s="8">
        <v>57452</v>
      </c>
      <c r="K583" s="6" t="s">
        <v>3556</v>
      </c>
      <c r="L583" s="6" t="s">
        <v>989</v>
      </c>
      <c r="N583" s="6" t="s">
        <v>989</v>
      </c>
      <c r="O583" s="29">
        <v>60324.6</v>
      </c>
    </row>
    <row r="584" s="1" customFormat="1" ht="16.35" hidden="1" customHeight="1" spans="1:15">
      <c r="A584" s="5"/>
      <c r="B584" s="6" t="s">
        <v>2906</v>
      </c>
      <c r="C584" s="6">
        <v>2017</v>
      </c>
      <c r="D584" s="6">
        <v>12</v>
      </c>
      <c r="E584" s="7">
        <v>43</v>
      </c>
      <c r="F584" s="6" t="s">
        <v>3560</v>
      </c>
      <c r="G584" s="6" t="s">
        <v>2908</v>
      </c>
      <c r="H584" s="6" t="s">
        <v>2909</v>
      </c>
      <c r="I584" s="8"/>
      <c r="J584" s="8">
        <v>952</v>
      </c>
      <c r="K584" s="6" t="s">
        <v>3561</v>
      </c>
      <c r="L584" s="6" t="s">
        <v>1645</v>
      </c>
      <c r="N584" s="6" t="s">
        <v>1645</v>
      </c>
      <c r="O584" s="29">
        <v>999.6</v>
      </c>
    </row>
    <row r="585" s="1" customFormat="1" ht="16.35" hidden="1" customHeight="1" spans="1:15">
      <c r="A585" s="5"/>
      <c r="B585" s="6" t="s">
        <v>2906</v>
      </c>
      <c r="C585" s="6">
        <v>2017</v>
      </c>
      <c r="D585" s="6">
        <v>12</v>
      </c>
      <c r="E585" s="7">
        <v>44</v>
      </c>
      <c r="F585" s="6" t="s">
        <v>3562</v>
      </c>
      <c r="G585" s="6" t="s">
        <v>2908</v>
      </c>
      <c r="H585" s="6" t="s">
        <v>2909</v>
      </c>
      <c r="I585" s="8"/>
      <c r="J585" s="8">
        <v>952</v>
      </c>
      <c r="K585" s="6" t="s">
        <v>3563</v>
      </c>
      <c r="L585" s="6" t="s">
        <v>1495</v>
      </c>
      <c r="N585" s="6" t="s">
        <v>1495</v>
      </c>
      <c r="O585" s="29">
        <v>999.6</v>
      </c>
    </row>
    <row r="586" s="1" customFormat="1" ht="16.35" hidden="1" customHeight="1" spans="1:15">
      <c r="A586" s="5"/>
      <c r="B586" s="6" t="s">
        <v>2906</v>
      </c>
      <c r="C586" s="6">
        <v>2017</v>
      </c>
      <c r="D586" s="6">
        <v>12</v>
      </c>
      <c r="E586" s="7">
        <v>45</v>
      </c>
      <c r="F586" s="6" t="s">
        <v>3564</v>
      </c>
      <c r="G586" s="6" t="s">
        <v>2908</v>
      </c>
      <c r="H586" s="6" t="s">
        <v>2909</v>
      </c>
      <c r="I586" s="8"/>
      <c r="J586" s="8">
        <v>762</v>
      </c>
      <c r="K586" s="6" t="s">
        <v>3565</v>
      </c>
      <c r="L586" s="6" t="s">
        <v>1493</v>
      </c>
      <c r="N586" s="6" t="s">
        <v>1493</v>
      </c>
      <c r="O586" s="29">
        <v>800.1</v>
      </c>
    </row>
    <row r="587" s="1" customFormat="1" ht="16.35" hidden="1" customHeight="1" spans="1:15">
      <c r="A587" s="5"/>
      <c r="B587" s="6" t="s">
        <v>2906</v>
      </c>
      <c r="C587" s="6">
        <v>2017</v>
      </c>
      <c r="D587" s="6">
        <v>12</v>
      </c>
      <c r="E587" s="7">
        <v>46</v>
      </c>
      <c r="F587" s="6" t="s">
        <v>3519</v>
      </c>
      <c r="G587" s="6" t="s">
        <v>2908</v>
      </c>
      <c r="H587" s="6" t="s">
        <v>2909</v>
      </c>
      <c r="I587" s="8"/>
      <c r="J587" s="8">
        <v>78511</v>
      </c>
      <c r="K587" s="6" t="s">
        <v>3520</v>
      </c>
      <c r="L587" s="6" t="s">
        <v>1633</v>
      </c>
      <c r="N587" s="6" t="s">
        <v>1633</v>
      </c>
      <c r="O587" s="29">
        <v>82436.55</v>
      </c>
    </row>
    <row r="588" s="1" customFormat="1" ht="16.35" hidden="1" customHeight="1" spans="1:15">
      <c r="A588" s="5"/>
      <c r="B588" s="6" t="s">
        <v>2906</v>
      </c>
      <c r="C588" s="6">
        <v>2017</v>
      </c>
      <c r="D588" s="6">
        <v>12</v>
      </c>
      <c r="E588" s="7">
        <v>47</v>
      </c>
      <c r="F588" s="6" t="s">
        <v>3557</v>
      </c>
      <c r="G588" s="6" t="s">
        <v>2908</v>
      </c>
      <c r="H588" s="6" t="s">
        <v>2909</v>
      </c>
      <c r="I588" s="8"/>
      <c r="J588" s="8">
        <v>1736</v>
      </c>
      <c r="K588" s="6" t="s">
        <v>3558</v>
      </c>
      <c r="L588" s="6" t="s">
        <v>1438</v>
      </c>
      <c r="N588" s="6" t="s">
        <v>1438</v>
      </c>
      <c r="O588" s="29">
        <v>1822.8</v>
      </c>
    </row>
    <row r="589" s="1" customFormat="1" ht="16.35" hidden="1" customHeight="1" spans="1:15">
      <c r="A589" s="5"/>
      <c r="B589" s="6" t="s">
        <v>2906</v>
      </c>
      <c r="C589" s="6">
        <v>2017</v>
      </c>
      <c r="D589" s="6">
        <v>12</v>
      </c>
      <c r="E589" s="7">
        <v>48</v>
      </c>
      <c r="F589" s="6" t="s">
        <v>3521</v>
      </c>
      <c r="G589" s="6" t="s">
        <v>2908</v>
      </c>
      <c r="H589" s="6" t="s">
        <v>2909</v>
      </c>
      <c r="I589" s="8"/>
      <c r="J589" s="8">
        <v>67876</v>
      </c>
      <c r="K589" s="6" t="s">
        <v>3522</v>
      </c>
      <c r="L589" s="6" t="s">
        <v>1621</v>
      </c>
      <c r="N589" s="6" t="s">
        <v>1621</v>
      </c>
      <c r="O589" s="29">
        <v>71269.8</v>
      </c>
    </row>
    <row r="590" s="1" customFormat="1" ht="16.35" hidden="1" customHeight="1" spans="1:15">
      <c r="A590" s="5"/>
      <c r="B590" s="6" t="s">
        <v>2906</v>
      </c>
      <c r="C590" s="6">
        <v>2017</v>
      </c>
      <c r="D590" s="6">
        <v>12</v>
      </c>
      <c r="E590" s="7">
        <v>49</v>
      </c>
      <c r="F590" s="6" t="s">
        <v>3524</v>
      </c>
      <c r="G590" s="6" t="s">
        <v>2908</v>
      </c>
      <c r="H590" s="6" t="s">
        <v>2909</v>
      </c>
      <c r="I590" s="8"/>
      <c r="J590" s="8">
        <v>1394</v>
      </c>
      <c r="K590" s="6" t="s">
        <v>3525</v>
      </c>
      <c r="L590" s="6" t="s">
        <v>1460</v>
      </c>
      <c r="N590" s="6" t="s">
        <v>1460</v>
      </c>
      <c r="O590" s="29">
        <v>1463.7</v>
      </c>
    </row>
    <row r="591" s="1" customFormat="1" ht="16.35" hidden="1" customHeight="1" spans="1:15">
      <c r="A591" s="5"/>
      <c r="B591" s="6" t="s">
        <v>2906</v>
      </c>
      <c r="C591" s="6">
        <v>2017</v>
      </c>
      <c r="D591" s="6">
        <v>12</v>
      </c>
      <c r="E591" s="7">
        <v>50</v>
      </c>
      <c r="F591" s="6" t="s">
        <v>3566</v>
      </c>
      <c r="G591" s="6" t="s">
        <v>2908</v>
      </c>
      <c r="H591" s="6" t="s">
        <v>2909</v>
      </c>
      <c r="I591" s="8"/>
      <c r="J591" s="8">
        <v>5143</v>
      </c>
      <c r="K591" s="6" t="s">
        <v>3567</v>
      </c>
      <c r="L591" s="6" t="s">
        <v>1039</v>
      </c>
      <c r="N591" s="6" t="s">
        <v>1039</v>
      </c>
      <c r="O591" s="29">
        <v>5400.15</v>
      </c>
    </row>
    <row r="592" s="1" customFormat="1" ht="16.35" hidden="1" customHeight="1" spans="1:15">
      <c r="A592" s="5"/>
      <c r="B592" s="6" t="s">
        <v>2906</v>
      </c>
      <c r="C592" s="6">
        <v>2017</v>
      </c>
      <c r="D592" s="6">
        <v>12</v>
      </c>
      <c r="E592" s="7">
        <v>51</v>
      </c>
      <c r="F592" s="6" t="s">
        <v>3568</v>
      </c>
      <c r="G592" s="6" t="s">
        <v>2908</v>
      </c>
      <c r="H592" s="6" t="s">
        <v>2909</v>
      </c>
      <c r="I592" s="8"/>
      <c r="J592" s="8">
        <v>4762</v>
      </c>
      <c r="K592" s="6" t="s">
        <v>3569</v>
      </c>
      <c r="L592" s="6" t="s">
        <v>1110</v>
      </c>
      <c r="N592" s="6" t="s">
        <v>1110</v>
      </c>
      <c r="O592" s="29">
        <v>5000.1</v>
      </c>
    </row>
    <row r="593" s="30" customFormat="1" ht="16.35" hidden="1" customHeight="1" spans="1:16">
      <c r="A593" s="41"/>
      <c r="B593" s="42" t="s">
        <v>2906</v>
      </c>
      <c r="C593" s="42">
        <v>2017</v>
      </c>
      <c r="D593" s="42">
        <v>12</v>
      </c>
      <c r="E593" s="43">
        <v>52</v>
      </c>
      <c r="F593" s="42" t="s">
        <v>3570</v>
      </c>
      <c r="G593" s="42" t="s">
        <v>2908</v>
      </c>
      <c r="H593" s="42" t="s">
        <v>2909</v>
      </c>
      <c r="I593" s="44"/>
      <c r="J593" s="44">
        <v>4762</v>
      </c>
      <c r="K593" s="42" t="s">
        <v>3571</v>
      </c>
      <c r="L593" s="42" t="s">
        <v>1083</v>
      </c>
      <c r="N593" s="42" t="s">
        <v>1083</v>
      </c>
      <c r="O593" s="31">
        <v>5000.1</v>
      </c>
      <c r="P593" s="30">
        <f>O593-J593</f>
        <v>238.1</v>
      </c>
    </row>
    <row r="594" s="1" customFormat="1" ht="16.35" hidden="1" customHeight="1" spans="1:15">
      <c r="A594" s="5"/>
      <c r="B594" s="6" t="s">
        <v>2906</v>
      </c>
      <c r="C594" s="6">
        <v>2017</v>
      </c>
      <c r="D594" s="6">
        <v>12</v>
      </c>
      <c r="E594" s="7">
        <v>53</v>
      </c>
      <c r="F594" s="6" t="s">
        <v>3572</v>
      </c>
      <c r="G594" s="6" t="s">
        <v>2908</v>
      </c>
      <c r="H594" s="6" t="s">
        <v>2909</v>
      </c>
      <c r="I594" s="8"/>
      <c r="J594" s="8">
        <v>4762</v>
      </c>
      <c r="K594" s="6" t="s">
        <v>3573</v>
      </c>
      <c r="L594" s="6" t="s">
        <v>991</v>
      </c>
      <c r="N594" s="6" t="s">
        <v>991</v>
      </c>
      <c r="O594" s="29">
        <v>5000.1</v>
      </c>
    </row>
    <row r="595" s="1" customFormat="1" ht="16.35" hidden="1" customHeight="1" spans="1:15">
      <c r="A595" s="5"/>
      <c r="B595" s="6" t="s">
        <v>2906</v>
      </c>
      <c r="C595" s="6">
        <v>2017</v>
      </c>
      <c r="D595" s="6">
        <v>12</v>
      </c>
      <c r="E595" s="7">
        <v>54</v>
      </c>
      <c r="F595" s="6" t="s">
        <v>3574</v>
      </c>
      <c r="G595" s="6" t="s">
        <v>2908</v>
      </c>
      <c r="H595" s="6" t="s">
        <v>2909</v>
      </c>
      <c r="I595" s="8"/>
      <c r="J595" s="8">
        <v>952</v>
      </c>
      <c r="K595" s="6" t="s">
        <v>3575</v>
      </c>
      <c r="L595" s="6" t="s">
        <v>1479</v>
      </c>
      <c r="N595" s="6" t="s">
        <v>1479</v>
      </c>
      <c r="O595" s="29">
        <v>999.6</v>
      </c>
    </row>
    <row r="596" s="1" customFormat="1" ht="16.35" hidden="1" customHeight="1" spans="1:15">
      <c r="A596" s="5"/>
      <c r="B596" s="6" t="s">
        <v>2906</v>
      </c>
      <c r="C596" s="6">
        <v>2017</v>
      </c>
      <c r="D596" s="6">
        <v>12</v>
      </c>
      <c r="E596" s="7">
        <v>57</v>
      </c>
      <c r="F596" s="6" t="s">
        <v>3576</v>
      </c>
      <c r="G596" s="6" t="s">
        <v>2908</v>
      </c>
      <c r="H596" s="6" t="s">
        <v>2909</v>
      </c>
      <c r="I596" s="8"/>
      <c r="J596" s="8">
        <v>67602</v>
      </c>
      <c r="K596" s="6" t="s">
        <v>3577</v>
      </c>
      <c r="L596" s="6" t="s">
        <v>1545</v>
      </c>
      <c r="N596" s="6" t="s">
        <v>1545</v>
      </c>
      <c r="O596" s="29">
        <v>70982.1</v>
      </c>
    </row>
    <row r="597" s="1" customFormat="1" ht="16.35" hidden="1" customHeight="1" spans="1:15">
      <c r="A597" s="5"/>
      <c r="B597" s="6" t="s">
        <v>2906</v>
      </c>
      <c r="C597" s="6">
        <v>2017</v>
      </c>
      <c r="D597" s="6">
        <v>12</v>
      </c>
      <c r="E597" s="7">
        <v>59</v>
      </c>
      <c r="F597" s="6" t="s">
        <v>3578</v>
      </c>
      <c r="G597" s="6" t="s">
        <v>2908</v>
      </c>
      <c r="H597" s="6" t="s">
        <v>2909</v>
      </c>
      <c r="I597" s="8"/>
      <c r="J597" s="8">
        <v>47619</v>
      </c>
      <c r="K597" s="6" t="s">
        <v>3096</v>
      </c>
      <c r="L597" s="6" t="s">
        <v>1589</v>
      </c>
      <c r="N597" s="6" t="s">
        <v>1589</v>
      </c>
      <c r="O597" s="29">
        <v>49999.95</v>
      </c>
    </row>
    <row r="598" s="1" customFormat="1" ht="16.35" hidden="1" customHeight="1" spans="1:15">
      <c r="A598" s="5"/>
      <c r="B598" s="6" t="s">
        <v>2906</v>
      </c>
      <c r="C598" s="6">
        <v>2017</v>
      </c>
      <c r="D598" s="6">
        <v>12</v>
      </c>
      <c r="E598" s="7">
        <v>65</v>
      </c>
      <c r="F598" s="6" t="s">
        <v>3579</v>
      </c>
      <c r="G598" s="6" t="s">
        <v>2908</v>
      </c>
      <c r="H598" s="6" t="s">
        <v>2909</v>
      </c>
      <c r="I598" s="8"/>
      <c r="J598" s="8">
        <v>59762</v>
      </c>
      <c r="K598" s="6" t="s">
        <v>3580</v>
      </c>
      <c r="L598" s="6" t="s">
        <v>1162</v>
      </c>
      <c r="N598" s="6" t="s">
        <v>1162</v>
      </c>
      <c r="O598" s="29">
        <v>62750.1</v>
      </c>
    </row>
    <row r="599" s="1" customFormat="1" ht="16.35" hidden="1" customHeight="1" spans="1:15">
      <c r="A599" s="5"/>
      <c r="B599" s="6" t="s">
        <v>2906</v>
      </c>
      <c r="C599" s="6">
        <v>2017</v>
      </c>
      <c r="D599" s="6">
        <v>12</v>
      </c>
      <c r="E599" s="7">
        <v>66</v>
      </c>
      <c r="F599" s="6" t="s">
        <v>3581</v>
      </c>
      <c r="G599" s="6" t="s">
        <v>2908</v>
      </c>
      <c r="H599" s="6" t="s">
        <v>2909</v>
      </c>
      <c r="I599" s="8"/>
      <c r="J599" s="8">
        <v>105065</v>
      </c>
      <c r="K599" s="6" t="s">
        <v>3582</v>
      </c>
      <c r="L599" s="6" t="s">
        <v>1090</v>
      </c>
      <c r="N599" s="6" t="s">
        <v>1090</v>
      </c>
      <c r="O599" s="29">
        <v>110318.25</v>
      </c>
    </row>
    <row r="600" s="1" customFormat="1" ht="16.35" hidden="1" customHeight="1" spans="1:15">
      <c r="A600" s="5"/>
      <c r="B600" s="6" t="s">
        <v>2906</v>
      </c>
      <c r="C600" s="6">
        <v>2017</v>
      </c>
      <c r="D600" s="6">
        <v>12</v>
      </c>
      <c r="E600" s="7">
        <v>67</v>
      </c>
      <c r="F600" s="6" t="s">
        <v>3583</v>
      </c>
      <c r="G600" s="6" t="s">
        <v>2908</v>
      </c>
      <c r="H600" s="6" t="s">
        <v>2909</v>
      </c>
      <c r="I600" s="8"/>
      <c r="J600" s="8">
        <v>59262</v>
      </c>
      <c r="K600" s="6" t="s">
        <v>3584</v>
      </c>
      <c r="L600" s="6" t="s">
        <v>1077</v>
      </c>
      <c r="N600" s="6" t="s">
        <v>1077</v>
      </c>
      <c r="O600" s="29">
        <v>62225.1</v>
      </c>
    </row>
    <row r="601" s="1" customFormat="1" ht="16.35" hidden="1" customHeight="1" spans="1:15">
      <c r="A601" s="5"/>
      <c r="B601" s="6" t="s">
        <v>2906</v>
      </c>
      <c r="C601" s="6">
        <v>2017</v>
      </c>
      <c r="D601" s="6">
        <v>12</v>
      </c>
      <c r="E601" s="7">
        <v>68</v>
      </c>
      <c r="F601" s="6" t="s">
        <v>3568</v>
      </c>
      <c r="G601" s="6" t="s">
        <v>2908</v>
      </c>
      <c r="H601" s="6" t="s">
        <v>2909</v>
      </c>
      <c r="I601" s="8"/>
      <c r="J601" s="8">
        <v>47619</v>
      </c>
      <c r="K601" s="6" t="s">
        <v>3569</v>
      </c>
      <c r="L601" s="6" t="s">
        <v>1110</v>
      </c>
      <c r="N601" s="6" t="s">
        <v>1110</v>
      </c>
      <c r="O601" s="29">
        <v>49999.95</v>
      </c>
    </row>
    <row r="602" s="1" customFormat="1" ht="16.35" hidden="1" customHeight="1" spans="1:15">
      <c r="A602" s="5"/>
      <c r="B602" s="6" t="s">
        <v>2906</v>
      </c>
      <c r="C602" s="6">
        <v>2017</v>
      </c>
      <c r="D602" s="6">
        <v>12</v>
      </c>
      <c r="E602" s="7">
        <v>69</v>
      </c>
      <c r="F602" s="6" t="s">
        <v>3585</v>
      </c>
      <c r="G602" s="6" t="s">
        <v>2908</v>
      </c>
      <c r="H602" s="6" t="s">
        <v>2909</v>
      </c>
      <c r="I602" s="8"/>
      <c r="J602" s="8">
        <v>191552</v>
      </c>
      <c r="K602" s="6" t="s">
        <v>3586</v>
      </c>
      <c r="L602" s="6" t="s">
        <v>1015</v>
      </c>
      <c r="N602" s="6" t="s">
        <v>1015</v>
      </c>
      <c r="O602" s="29">
        <v>201129.6</v>
      </c>
    </row>
    <row r="603" s="1" customFormat="1" ht="16.35" hidden="1" customHeight="1" spans="1:15">
      <c r="A603" s="5"/>
      <c r="B603" s="6" t="s">
        <v>2906</v>
      </c>
      <c r="C603" s="6">
        <v>2017</v>
      </c>
      <c r="D603" s="6">
        <v>12</v>
      </c>
      <c r="E603" s="7">
        <v>70</v>
      </c>
      <c r="F603" s="6" t="s">
        <v>3587</v>
      </c>
      <c r="G603" s="6" t="s">
        <v>2908</v>
      </c>
      <c r="H603" s="6" t="s">
        <v>2909</v>
      </c>
      <c r="I603" s="8"/>
      <c r="J603" s="8">
        <v>4762</v>
      </c>
      <c r="K603" s="6" t="s">
        <v>3588</v>
      </c>
      <c r="L603" s="6" t="s">
        <v>1118</v>
      </c>
      <c r="N603" s="6" t="s">
        <v>1118</v>
      </c>
      <c r="O603" s="29">
        <v>5000.1</v>
      </c>
    </row>
    <row r="604" s="1" customFormat="1" ht="16.35" hidden="1" customHeight="1" spans="1:15">
      <c r="A604" s="5"/>
      <c r="B604" s="6" t="s">
        <v>2906</v>
      </c>
      <c r="C604" s="6">
        <v>2017</v>
      </c>
      <c r="D604" s="6">
        <v>12</v>
      </c>
      <c r="E604" s="7">
        <v>71</v>
      </c>
      <c r="F604" s="6" t="s">
        <v>3589</v>
      </c>
      <c r="G604" s="6" t="s">
        <v>2908</v>
      </c>
      <c r="H604" s="6" t="s">
        <v>2909</v>
      </c>
      <c r="I604" s="8"/>
      <c r="J604" s="8">
        <v>206300</v>
      </c>
      <c r="K604" s="6" t="s">
        <v>3590</v>
      </c>
      <c r="L604" s="6" t="s">
        <v>1423</v>
      </c>
      <c r="N604" s="6" t="s">
        <v>1423</v>
      </c>
      <c r="O604" s="29">
        <v>216615</v>
      </c>
    </row>
    <row r="605" s="1" customFormat="1" ht="16.35" hidden="1" customHeight="1" spans="1:15">
      <c r="A605" s="5"/>
      <c r="B605" s="6" t="s">
        <v>2906</v>
      </c>
      <c r="C605" s="6">
        <v>2017</v>
      </c>
      <c r="D605" s="6">
        <v>12</v>
      </c>
      <c r="E605" s="7">
        <v>72</v>
      </c>
      <c r="F605" s="6" t="s">
        <v>3591</v>
      </c>
      <c r="G605" s="6" t="s">
        <v>2908</v>
      </c>
      <c r="H605" s="6" t="s">
        <v>2909</v>
      </c>
      <c r="I605" s="8"/>
      <c r="J605" s="8">
        <v>4762</v>
      </c>
      <c r="K605" s="6" t="s">
        <v>3592</v>
      </c>
      <c r="L605" s="6" t="s">
        <v>1481</v>
      </c>
      <c r="N605" s="6" t="s">
        <v>1481</v>
      </c>
      <c r="O605" s="29">
        <v>5000.1</v>
      </c>
    </row>
    <row r="606" s="1" customFormat="1" ht="16.35" hidden="1" customHeight="1" spans="1:15">
      <c r="A606" s="5"/>
      <c r="B606" s="6" t="s">
        <v>2906</v>
      </c>
      <c r="C606" s="6">
        <v>2017</v>
      </c>
      <c r="D606" s="6">
        <v>12</v>
      </c>
      <c r="E606" s="7">
        <v>74</v>
      </c>
      <c r="F606" s="6" t="s">
        <v>3593</v>
      </c>
      <c r="G606" s="6" t="s">
        <v>2908</v>
      </c>
      <c r="H606" s="6" t="s">
        <v>2909</v>
      </c>
      <c r="I606" s="8"/>
      <c r="J606" s="8">
        <v>209524</v>
      </c>
      <c r="K606" s="6" t="s">
        <v>3594</v>
      </c>
      <c r="L606" s="6" t="s">
        <v>1549</v>
      </c>
      <c r="N606" s="6" t="s">
        <v>1549</v>
      </c>
      <c r="O606" s="29">
        <v>220000.2</v>
      </c>
    </row>
    <row r="607" s="1" customFormat="1" ht="16.35" hidden="1" customHeight="1" spans="1:15">
      <c r="A607" s="5"/>
      <c r="B607" s="6" t="s">
        <v>2906</v>
      </c>
      <c r="C607" s="6">
        <v>2017</v>
      </c>
      <c r="D607" s="6">
        <v>12</v>
      </c>
      <c r="E607" s="7">
        <v>75</v>
      </c>
      <c r="F607" s="6" t="s">
        <v>3595</v>
      </c>
      <c r="G607" s="6" t="s">
        <v>2908</v>
      </c>
      <c r="H607" s="6" t="s">
        <v>2909</v>
      </c>
      <c r="I607" s="8"/>
      <c r="J607" s="8">
        <v>169865</v>
      </c>
      <c r="K607" s="6" t="s">
        <v>3596</v>
      </c>
      <c r="L607" s="6" t="s">
        <v>1499</v>
      </c>
      <c r="N607" s="6" t="s">
        <v>1499</v>
      </c>
      <c r="O607" s="29">
        <v>178358.25</v>
      </c>
    </row>
    <row r="608" s="1" customFormat="1" ht="16.35" hidden="1" customHeight="1" spans="1:15">
      <c r="A608" s="5"/>
      <c r="B608" s="6" t="s">
        <v>2906</v>
      </c>
      <c r="C608" s="6">
        <v>2017</v>
      </c>
      <c r="D608" s="6">
        <v>12</v>
      </c>
      <c r="E608" s="7">
        <v>77</v>
      </c>
      <c r="F608" s="6" t="s">
        <v>3597</v>
      </c>
      <c r="G608" s="6" t="s">
        <v>2908</v>
      </c>
      <c r="H608" s="6" t="s">
        <v>2909</v>
      </c>
      <c r="I608" s="8"/>
      <c r="J608" s="8">
        <v>190690</v>
      </c>
      <c r="K608" s="6" t="s">
        <v>3598</v>
      </c>
      <c r="L608" s="6" t="s">
        <v>1186</v>
      </c>
      <c r="N608" s="6" t="s">
        <v>1186</v>
      </c>
      <c r="O608" s="29">
        <v>200224.5</v>
      </c>
    </row>
    <row r="609" s="1" customFormat="1" ht="16.35" hidden="1" customHeight="1" spans="1:17">
      <c r="A609" s="5"/>
      <c r="B609" s="6" t="s">
        <v>2906</v>
      </c>
      <c r="C609" s="6">
        <v>2017</v>
      </c>
      <c r="D609" s="6">
        <v>12</v>
      </c>
      <c r="E609" s="7">
        <v>78</v>
      </c>
      <c r="F609" s="6" t="s">
        <v>3599</v>
      </c>
      <c r="G609" s="6" t="s">
        <v>2908</v>
      </c>
      <c r="H609" s="6" t="s">
        <v>2909</v>
      </c>
      <c r="I609" s="8"/>
      <c r="J609" s="8">
        <v>2857</v>
      </c>
      <c r="K609" s="6" t="s">
        <v>3600</v>
      </c>
      <c r="L609" s="6" t="s">
        <v>1497</v>
      </c>
      <c r="N609" s="6" t="s">
        <v>1497</v>
      </c>
      <c r="O609" s="29">
        <v>2999.85</v>
      </c>
      <c r="P609" s="1" t="s">
        <v>3601</v>
      </c>
      <c r="Q609" s="1">
        <f>O609-J609</f>
        <v>142.85</v>
      </c>
    </row>
    <row r="610" s="1" customFormat="1" ht="16.35" hidden="1" customHeight="1" spans="1:15">
      <c r="A610" s="5"/>
      <c r="B610" s="6" t="s">
        <v>2906</v>
      </c>
      <c r="C610" s="6">
        <v>2017</v>
      </c>
      <c r="D610" s="6">
        <v>12</v>
      </c>
      <c r="E610" s="7">
        <v>79</v>
      </c>
      <c r="F610" s="6" t="s">
        <v>3587</v>
      </c>
      <c r="G610" s="6" t="s">
        <v>2908</v>
      </c>
      <c r="H610" s="6" t="s">
        <v>2909</v>
      </c>
      <c r="I610" s="8"/>
      <c r="J610" s="8">
        <v>52286</v>
      </c>
      <c r="K610" s="6" t="s">
        <v>3588</v>
      </c>
      <c r="L610" s="6" t="s">
        <v>1118</v>
      </c>
      <c r="N610" s="6" t="s">
        <v>1118</v>
      </c>
      <c r="O610" s="29">
        <v>54900.3</v>
      </c>
    </row>
    <row r="611" s="1" customFormat="1" ht="16.35" hidden="1" customHeight="1" spans="1:15">
      <c r="A611" s="5"/>
      <c r="B611" s="6" t="s">
        <v>2906</v>
      </c>
      <c r="C611" s="6">
        <v>2017</v>
      </c>
      <c r="D611" s="6">
        <v>12</v>
      </c>
      <c r="E611" s="7">
        <v>80</v>
      </c>
      <c r="F611" s="6" t="s">
        <v>3602</v>
      </c>
      <c r="G611" s="6" t="s">
        <v>2908</v>
      </c>
      <c r="H611" s="6" t="s">
        <v>2909</v>
      </c>
      <c r="I611" s="8"/>
      <c r="J611" s="8">
        <v>2857</v>
      </c>
      <c r="K611" s="6" t="s">
        <v>3603</v>
      </c>
      <c r="L611" s="6" t="s">
        <v>1133</v>
      </c>
      <c r="N611" s="6" t="s">
        <v>1133</v>
      </c>
      <c r="O611" s="29">
        <v>2999.85</v>
      </c>
    </row>
    <row r="612" s="1" customFormat="1" ht="16.35" hidden="1" customHeight="1" spans="1:15">
      <c r="A612" s="5"/>
      <c r="B612" s="6" t="s">
        <v>2906</v>
      </c>
      <c r="C612" s="6">
        <v>2017</v>
      </c>
      <c r="D612" s="6">
        <v>12</v>
      </c>
      <c r="E612" s="7">
        <v>81</v>
      </c>
      <c r="F612" s="6" t="s">
        <v>3604</v>
      </c>
      <c r="G612" s="6" t="s">
        <v>2908</v>
      </c>
      <c r="H612" s="6" t="s">
        <v>2909</v>
      </c>
      <c r="I612" s="8"/>
      <c r="J612" s="8">
        <v>952</v>
      </c>
      <c r="K612" s="6" t="s">
        <v>3605</v>
      </c>
      <c r="L612" s="6" t="s">
        <v>1088</v>
      </c>
      <c r="N612" s="6" t="s">
        <v>1088</v>
      </c>
      <c r="O612" s="29">
        <v>999.6</v>
      </c>
    </row>
    <row r="613" s="1" customFormat="1" ht="16.35" hidden="1" customHeight="1" spans="1:15">
      <c r="A613" s="5"/>
      <c r="B613" s="6" t="s">
        <v>2906</v>
      </c>
      <c r="C613" s="6">
        <v>2017</v>
      </c>
      <c r="D613" s="6">
        <v>12</v>
      </c>
      <c r="E613" s="7">
        <v>82</v>
      </c>
      <c r="F613" s="6" t="s">
        <v>3606</v>
      </c>
      <c r="G613" s="6" t="s">
        <v>2908</v>
      </c>
      <c r="H613" s="6" t="s">
        <v>2909</v>
      </c>
      <c r="I613" s="8"/>
      <c r="J613" s="8">
        <v>4762</v>
      </c>
      <c r="K613" s="6" t="s">
        <v>3607</v>
      </c>
      <c r="L613" s="6" t="s">
        <v>1137</v>
      </c>
      <c r="N613" s="6" t="s">
        <v>1137</v>
      </c>
      <c r="O613" s="29">
        <v>5000.1</v>
      </c>
    </row>
    <row r="614" s="1" customFormat="1" ht="16.35" hidden="1" customHeight="1" spans="1:15">
      <c r="A614" s="5"/>
      <c r="B614" s="6" t="s">
        <v>2906</v>
      </c>
      <c r="C614" s="6">
        <v>2017</v>
      </c>
      <c r="D614" s="6">
        <v>12</v>
      </c>
      <c r="E614" s="7">
        <v>83</v>
      </c>
      <c r="F614" s="6" t="s">
        <v>3608</v>
      </c>
      <c r="G614" s="6" t="s">
        <v>2908</v>
      </c>
      <c r="H614" s="6" t="s">
        <v>2909</v>
      </c>
      <c r="I614" s="8"/>
      <c r="J614" s="8">
        <v>9524</v>
      </c>
      <c r="K614" s="6" t="s">
        <v>3609</v>
      </c>
      <c r="L614" s="6" t="s">
        <v>1160</v>
      </c>
      <c r="N614" s="6" t="s">
        <v>1160</v>
      </c>
      <c r="O614" s="29">
        <v>10000.2</v>
      </c>
    </row>
    <row r="615" s="1" customFormat="1" ht="16.35" hidden="1" customHeight="1" spans="1:17">
      <c r="A615" s="5"/>
      <c r="B615" s="6" t="s">
        <v>2906</v>
      </c>
      <c r="C615" s="6">
        <v>2017</v>
      </c>
      <c r="D615" s="6">
        <v>12</v>
      </c>
      <c r="E615" s="7">
        <v>84</v>
      </c>
      <c r="F615" s="6" t="s">
        <v>3610</v>
      </c>
      <c r="G615" s="6" t="s">
        <v>2908</v>
      </c>
      <c r="H615" s="6" t="s">
        <v>2909</v>
      </c>
      <c r="I615" s="8"/>
      <c r="J615" s="8">
        <v>2857</v>
      </c>
      <c r="K615" s="6" t="s">
        <v>3611</v>
      </c>
      <c r="L615" s="6" t="s">
        <v>1586</v>
      </c>
      <c r="N615" s="6" t="s">
        <v>1586</v>
      </c>
      <c r="O615" s="29">
        <v>2999.85</v>
      </c>
      <c r="P615" s="1" t="s">
        <v>1588</v>
      </c>
      <c r="Q615" s="1">
        <f>O615-J615</f>
        <v>142.85</v>
      </c>
    </row>
    <row r="616" s="1" customFormat="1" ht="16.35" hidden="1" customHeight="1" spans="1:15">
      <c r="A616" s="5"/>
      <c r="B616" s="6" t="s">
        <v>2906</v>
      </c>
      <c r="C616" s="6">
        <v>2017</v>
      </c>
      <c r="D616" s="6">
        <v>12</v>
      </c>
      <c r="E616" s="7">
        <v>85</v>
      </c>
      <c r="F616" s="6" t="s">
        <v>3612</v>
      </c>
      <c r="G616" s="6" t="s">
        <v>2908</v>
      </c>
      <c r="H616" s="6" t="s">
        <v>2909</v>
      </c>
      <c r="I616" s="8"/>
      <c r="J616" s="8">
        <v>952</v>
      </c>
      <c r="K616" s="6" t="s">
        <v>3613</v>
      </c>
      <c r="L616" s="6" t="s">
        <v>1123</v>
      </c>
      <c r="N616" s="6" t="s">
        <v>1123</v>
      </c>
      <c r="O616" s="29">
        <v>999.6</v>
      </c>
    </row>
    <row r="617" s="1" customFormat="1" ht="16.35" hidden="1" customHeight="1" spans="1:15">
      <c r="A617" s="5"/>
      <c r="B617" s="6" t="s">
        <v>2906</v>
      </c>
      <c r="C617" s="6">
        <v>2017</v>
      </c>
      <c r="D617" s="6">
        <v>12</v>
      </c>
      <c r="E617" s="7">
        <v>86</v>
      </c>
      <c r="F617" s="6" t="s">
        <v>3614</v>
      </c>
      <c r="G617" s="6" t="s">
        <v>2908</v>
      </c>
      <c r="H617" s="6" t="s">
        <v>2909</v>
      </c>
      <c r="I617" s="8"/>
      <c r="J617" s="8">
        <v>952</v>
      </c>
      <c r="K617" s="6" t="s">
        <v>3615</v>
      </c>
      <c r="L617" s="6" t="s">
        <v>1184</v>
      </c>
      <c r="N617" s="6" t="s">
        <v>1184</v>
      </c>
      <c r="O617" s="29">
        <v>999.6</v>
      </c>
    </row>
    <row r="618" s="1" customFormat="1" ht="16.35" hidden="1" customHeight="1" spans="1:15">
      <c r="A618" s="5"/>
      <c r="B618" s="6" t="s">
        <v>2906</v>
      </c>
      <c r="C618" s="6">
        <v>2017</v>
      </c>
      <c r="D618" s="6">
        <v>12</v>
      </c>
      <c r="E618" s="7">
        <v>87</v>
      </c>
      <c r="F618" s="6" t="s">
        <v>3616</v>
      </c>
      <c r="G618" s="6" t="s">
        <v>2908</v>
      </c>
      <c r="H618" s="6" t="s">
        <v>2909</v>
      </c>
      <c r="I618" s="8"/>
      <c r="J618" s="8">
        <v>53714</v>
      </c>
      <c r="K618" s="6" t="s">
        <v>3435</v>
      </c>
      <c r="L618" s="6" t="s">
        <v>1057</v>
      </c>
      <c r="N618" s="6" t="s">
        <v>1057</v>
      </c>
      <c r="O618" s="29">
        <v>56399.7</v>
      </c>
    </row>
    <row r="619" s="1" customFormat="1" ht="16.35" hidden="1" customHeight="1" spans="1:17">
      <c r="A619" s="5"/>
      <c r="B619" s="6" t="s">
        <v>2906</v>
      </c>
      <c r="C619" s="6">
        <v>2017</v>
      </c>
      <c r="D619" s="6">
        <v>12</v>
      </c>
      <c r="E619" s="7">
        <v>88</v>
      </c>
      <c r="F619" s="6" t="s">
        <v>3599</v>
      </c>
      <c r="G619" s="6" t="s">
        <v>2908</v>
      </c>
      <c r="H619" s="6" t="s">
        <v>2909</v>
      </c>
      <c r="I619" s="8"/>
      <c r="J619" s="8">
        <v>28571</v>
      </c>
      <c r="K619" s="6" t="s">
        <v>3600</v>
      </c>
      <c r="L619" s="6" t="s">
        <v>1497</v>
      </c>
      <c r="N619" s="6" t="s">
        <v>1497</v>
      </c>
      <c r="O619" s="29">
        <v>29999.55</v>
      </c>
      <c r="P619" s="1" t="s">
        <v>3601</v>
      </c>
      <c r="Q619" s="1">
        <f>O619-J619</f>
        <v>1428.55</v>
      </c>
    </row>
    <row r="620" s="1" customFormat="1" ht="16.35" hidden="1" customHeight="1" spans="1:15">
      <c r="A620" s="5"/>
      <c r="B620" s="6" t="s">
        <v>2906</v>
      </c>
      <c r="C620" s="6">
        <v>2017</v>
      </c>
      <c r="D620" s="6">
        <v>12</v>
      </c>
      <c r="E620" s="7">
        <v>89</v>
      </c>
      <c r="F620" s="6" t="s">
        <v>3617</v>
      </c>
      <c r="G620" s="6" t="s">
        <v>2908</v>
      </c>
      <c r="H620" s="6" t="s">
        <v>2909</v>
      </c>
      <c r="I620" s="8"/>
      <c r="J620" s="8">
        <v>5238</v>
      </c>
      <c r="K620" s="6" t="s">
        <v>3420</v>
      </c>
      <c r="L620" s="6" t="s">
        <v>1280</v>
      </c>
      <c r="N620" s="6" t="s">
        <v>1280</v>
      </c>
      <c r="O620" s="29">
        <v>5499.9</v>
      </c>
    </row>
    <row r="621" s="1" customFormat="1" ht="16.35" hidden="1" customHeight="1" spans="1:15">
      <c r="A621" s="5"/>
      <c r="B621" s="6" t="s">
        <v>2906</v>
      </c>
      <c r="C621" s="6">
        <v>2017</v>
      </c>
      <c r="D621" s="6">
        <v>12</v>
      </c>
      <c r="E621" s="7">
        <v>90</v>
      </c>
      <c r="F621" s="6" t="s">
        <v>3574</v>
      </c>
      <c r="G621" s="6" t="s">
        <v>2908</v>
      </c>
      <c r="H621" s="6" t="s">
        <v>2909</v>
      </c>
      <c r="I621" s="8"/>
      <c r="J621" s="8">
        <v>39831</v>
      </c>
      <c r="K621" s="6" t="s">
        <v>3575</v>
      </c>
      <c r="L621" s="6" t="s">
        <v>1479</v>
      </c>
      <c r="N621" s="6" t="s">
        <v>1479</v>
      </c>
      <c r="O621" s="29">
        <v>41822.55</v>
      </c>
    </row>
    <row r="622" s="1" customFormat="1" ht="16.35" hidden="1" customHeight="1" spans="1:15">
      <c r="A622" s="5"/>
      <c r="B622" s="6" t="s">
        <v>2906</v>
      </c>
      <c r="C622" s="6">
        <v>2017</v>
      </c>
      <c r="D622" s="6">
        <v>12</v>
      </c>
      <c r="E622" s="7">
        <v>91</v>
      </c>
      <c r="F622" s="6" t="s">
        <v>3597</v>
      </c>
      <c r="G622" s="6" t="s">
        <v>2908</v>
      </c>
      <c r="H622" s="6" t="s">
        <v>2909</v>
      </c>
      <c r="I622" s="8"/>
      <c r="J622" s="8">
        <v>952</v>
      </c>
      <c r="K622" s="6" t="s">
        <v>3598</v>
      </c>
      <c r="L622" s="6" t="s">
        <v>1186</v>
      </c>
      <c r="N622" s="6" t="s">
        <v>1186</v>
      </c>
      <c r="O622" s="29">
        <v>999.6</v>
      </c>
    </row>
    <row r="623" s="1" customFormat="1" ht="16.35" hidden="1" customHeight="1" spans="1:15">
      <c r="A623" s="5"/>
      <c r="B623" s="6" t="s">
        <v>2906</v>
      </c>
      <c r="C623" s="6">
        <v>2017</v>
      </c>
      <c r="D623" s="6">
        <v>12</v>
      </c>
      <c r="E623" s="7">
        <v>92</v>
      </c>
      <c r="F623" s="6" t="s">
        <v>3618</v>
      </c>
      <c r="G623" s="6" t="s">
        <v>2908</v>
      </c>
      <c r="H623" s="6" t="s">
        <v>2909</v>
      </c>
      <c r="I623" s="8"/>
      <c r="J623" s="8">
        <v>2857</v>
      </c>
      <c r="K623" s="6" t="s">
        <v>3619</v>
      </c>
      <c r="L623" s="6" t="s">
        <v>1081</v>
      </c>
      <c r="N623" s="6" t="s">
        <v>1081</v>
      </c>
      <c r="O623" s="29">
        <v>2999.85</v>
      </c>
    </row>
    <row r="624" s="1" customFormat="1" ht="16.35" hidden="1" customHeight="1" spans="1:15">
      <c r="A624" s="5"/>
      <c r="B624" s="6" t="s">
        <v>2906</v>
      </c>
      <c r="C624" s="6">
        <v>2017</v>
      </c>
      <c r="D624" s="6">
        <v>12</v>
      </c>
      <c r="E624" s="7">
        <v>93</v>
      </c>
      <c r="F624" s="6" t="s">
        <v>3568</v>
      </c>
      <c r="G624" s="6" t="s">
        <v>2908</v>
      </c>
      <c r="H624" s="6" t="s">
        <v>2909</v>
      </c>
      <c r="I624" s="8"/>
      <c r="J624" s="8">
        <v>47619</v>
      </c>
      <c r="K624" s="6" t="s">
        <v>3569</v>
      </c>
      <c r="L624" s="6" t="s">
        <v>1110</v>
      </c>
      <c r="N624" s="6" t="s">
        <v>1110</v>
      </c>
      <c r="O624" s="29">
        <v>49999.95</v>
      </c>
    </row>
    <row r="625" s="1" customFormat="1" ht="16.35" hidden="1" customHeight="1" spans="1:15">
      <c r="A625" s="5"/>
      <c r="B625" s="6" t="s">
        <v>2906</v>
      </c>
      <c r="C625" s="6">
        <v>2017</v>
      </c>
      <c r="D625" s="6">
        <v>12</v>
      </c>
      <c r="E625" s="7">
        <v>94</v>
      </c>
      <c r="F625" s="6" t="s">
        <v>3620</v>
      </c>
      <c r="G625" s="6" t="s">
        <v>2908</v>
      </c>
      <c r="H625" s="6" t="s">
        <v>2909</v>
      </c>
      <c r="I625" s="8"/>
      <c r="J625" s="8">
        <v>76190</v>
      </c>
      <c r="K625" s="6" t="s">
        <v>3621</v>
      </c>
      <c r="L625" s="6" t="s">
        <v>1595</v>
      </c>
      <c r="N625" s="6" t="s">
        <v>1595</v>
      </c>
      <c r="O625" s="29">
        <v>79999.5</v>
      </c>
    </row>
    <row r="626" s="1" customFormat="1" ht="16.35" hidden="1" customHeight="1" spans="1:15">
      <c r="A626" s="5"/>
      <c r="B626" s="6" t="s">
        <v>2906</v>
      </c>
      <c r="C626" s="6">
        <v>2017</v>
      </c>
      <c r="D626" s="6">
        <v>12</v>
      </c>
      <c r="E626" s="7">
        <v>95</v>
      </c>
      <c r="F626" s="6" t="s">
        <v>3622</v>
      </c>
      <c r="G626" s="6" t="s">
        <v>2908</v>
      </c>
      <c r="H626" s="6" t="s">
        <v>2909</v>
      </c>
      <c r="I626" s="8"/>
      <c r="J626" s="8">
        <v>46834</v>
      </c>
      <c r="K626" s="6" t="s">
        <v>3563</v>
      </c>
      <c r="L626" s="6" t="s">
        <v>1495</v>
      </c>
      <c r="N626" s="6" t="s">
        <v>1495</v>
      </c>
      <c r="O626" s="29">
        <v>49175.7</v>
      </c>
    </row>
    <row r="627" s="1" customFormat="1" ht="16.35" hidden="1" customHeight="1" spans="1:15">
      <c r="A627" s="5"/>
      <c r="B627" s="6" t="s">
        <v>2906</v>
      </c>
      <c r="C627" s="6">
        <v>2017</v>
      </c>
      <c r="D627" s="6">
        <v>12</v>
      </c>
      <c r="E627" s="7">
        <v>96</v>
      </c>
      <c r="F627" s="6" t="s">
        <v>3623</v>
      </c>
      <c r="G627" s="6" t="s">
        <v>2908</v>
      </c>
      <c r="H627" s="6" t="s">
        <v>2909</v>
      </c>
      <c r="I627" s="8"/>
      <c r="J627" s="8">
        <v>29333</v>
      </c>
      <c r="K627" s="6" t="s">
        <v>3518</v>
      </c>
      <c r="L627" s="6" t="s">
        <v>1472</v>
      </c>
      <c r="N627" s="6" t="s">
        <v>1472</v>
      </c>
      <c r="O627" s="29">
        <v>30799.65</v>
      </c>
    </row>
    <row r="628" s="1" customFormat="1" ht="16.35" hidden="1" customHeight="1" spans="1:15">
      <c r="A628" s="5"/>
      <c r="B628" s="6" t="s">
        <v>2906</v>
      </c>
      <c r="C628" s="6">
        <v>2017</v>
      </c>
      <c r="D628" s="6">
        <v>12</v>
      </c>
      <c r="E628" s="7">
        <v>97</v>
      </c>
      <c r="F628" s="6" t="s">
        <v>3620</v>
      </c>
      <c r="G628" s="6" t="s">
        <v>2908</v>
      </c>
      <c r="H628" s="6" t="s">
        <v>2909</v>
      </c>
      <c r="I628" s="8"/>
      <c r="J628" s="8">
        <v>20855</v>
      </c>
      <c r="K628" s="6" t="s">
        <v>3621</v>
      </c>
      <c r="L628" s="6" t="s">
        <v>1595</v>
      </c>
      <c r="N628" s="6" t="s">
        <v>1595</v>
      </c>
      <c r="O628" s="29">
        <v>21897.75</v>
      </c>
    </row>
    <row r="629" s="1" customFormat="1" ht="16.35" hidden="1" customHeight="1" spans="1:15">
      <c r="A629" s="5"/>
      <c r="B629" s="6" t="s">
        <v>2906</v>
      </c>
      <c r="C629" s="6">
        <v>2017</v>
      </c>
      <c r="D629" s="6">
        <v>12</v>
      </c>
      <c r="E629" s="7">
        <v>98</v>
      </c>
      <c r="F629" s="6" t="s">
        <v>3624</v>
      </c>
      <c r="G629" s="6" t="s">
        <v>2908</v>
      </c>
      <c r="H629" s="6" t="s">
        <v>2909</v>
      </c>
      <c r="I629" s="8"/>
      <c r="J629" s="8">
        <v>1905</v>
      </c>
      <c r="K629" s="6" t="s">
        <v>3625</v>
      </c>
      <c r="L629" s="6" t="s">
        <v>1349</v>
      </c>
      <c r="N629" s="6" t="s">
        <v>1349</v>
      </c>
      <c r="O629" s="29">
        <v>2000.25</v>
      </c>
    </row>
    <row r="630" s="1" customFormat="1" ht="16.35" hidden="1" customHeight="1" spans="1:15">
      <c r="A630" s="5"/>
      <c r="B630" s="6" t="s">
        <v>2906</v>
      </c>
      <c r="C630" s="6">
        <v>2017</v>
      </c>
      <c r="D630" s="6">
        <v>12</v>
      </c>
      <c r="E630" s="7">
        <v>99</v>
      </c>
      <c r="F630" s="6" t="s">
        <v>3626</v>
      </c>
      <c r="G630" s="6" t="s">
        <v>2908</v>
      </c>
      <c r="H630" s="6" t="s">
        <v>2909</v>
      </c>
      <c r="I630" s="8"/>
      <c r="J630" s="8">
        <v>2857</v>
      </c>
      <c r="K630" s="6" t="s">
        <v>3627</v>
      </c>
      <c r="L630" s="6" t="s">
        <v>1391</v>
      </c>
      <c r="N630" s="6" t="s">
        <v>1391</v>
      </c>
      <c r="O630" s="29">
        <v>2999.85</v>
      </c>
    </row>
    <row r="631" s="1" customFormat="1" ht="16.35" hidden="1" customHeight="1" spans="1:15">
      <c r="A631" s="5"/>
      <c r="B631" s="6" t="s">
        <v>2906</v>
      </c>
      <c r="C631" s="6">
        <v>2017</v>
      </c>
      <c r="D631" s="6">
        <v>12</v>
      </c>
      <c r="E631" s="7">
        <v>100</v>
      </c>
      <c r="F631" s="6" t="s">
        <v>3628</v>
      </c>
      <c r="G631" s="6" t="s">
        <v>2908</v>
      </c>
      <c r="H631" s="6" t="s">
        <v>2909</v>
      </c>
      <c r="I631" s="8"/>
      <c r="J631" s="8">
        <v>952</v>
      </c>
      <c r="K631" s="6" t="s">
        <v>3629</v>
      </c>
      <c r="L631" s="6" t="s">
        <v>1462</v>
      </c>
      <c r="N631" s="6" t="s">
        <v>1462</v>
      </c>
      <c r="O631" s="29">
        <v>999.6</v>
      </c>
    </row>
    <row r="632" s="1" customFormat="1" ht="16.35" hidden="1" customHeight="1" spans="1:15">
      <c r="A632" s="5"/>
      <c r="B632" s="6" t="s">
        <v>2906</v>
      </c>
      <c r="C632" s="6">
        <v>2017</v>
      </c>
      <c r="D632" s="6">
        <v>12</v>
      </c>
      <c r="E632" s="7">
        <v>101</v>
      </c>
      <c r="F632" s="6" t="s">
        <v>3630</v>
      </c>
      <c r="G632" s="6" t="s">
        <v>2908</v>
      </c>
      <c r="H632" s="6" t="s">
        <v>2909</v>
      </c>
      <c r="I632" s="8"/>
      <c r="J632" s="8">
        <v>4762</v>
      </c>
      <c r="K632" s="6" t="s">
        <v>3580</v>
      </c>
      <c r="L632" s="6" t="s">
        <v>1162</v>
      </c>
      <c r="N632" s="6" t="s">
        <v>1162</v>
      </c>
      <c r="O632" s="29">
        <v>5000.1</v>
      </c>
    </row>
    <row r="633" s="1" customFormat="1" ht="16.35" hidden="1" customHeight="1" spans="1:15">
      <c r="A633" s="5"/>
      <c r="B633" s="6" t="s">
        <v>2906</v>
      </c>
      <c r="C633" s="6">
        <v>2017</v>
      </c>
      <c r="D633" s="6">
        <v>12</v>
      </c>
      <c r="E633" s="7">
        <v>102</v>
      </c>
      <c r="F633" s="6" t="s">
        <v>3631</v>
      </c>
      <c r="G633" s="6" t="s">
        <v>2908</v>
      </c>
      <c r="H633" s="6" t="s">
        <v>2909</v>
      </c>
      <c r="I633" s="8"/>
      <c r="J633" s="8">
        <v>4762</v>
      </c>
      <c r="K633" s="6" t="s">
        <v>3632</v>
      </c>
      <c r="L633" s="6" t="s">
        <v>1092</v>
      </c>
      <c r="N633" s="6" t="s">
        <v>1092</v>
      </c>
      <c r="O633" s="29">
        <v>5000.1</v>
      </c>
    </row>
    <row r="634" s="1" customFormat="1" ht="16.35" hidden="1" customHeight="1" spans="1:15">
      <c r="A634" s="5"/>
      <c r="B634" s="6" t="s">
        <v>2906</v>
      </c>
      <c r="C634" s="6">
        <v>2017</v>
      </c>
      <c r="D634" s="6">
        <v>12</v>
      </c>
      <c r="E634" s="7">
        <v>103</v>
      </c>
      <c r="F634" s="6" t="s">
        <v>3633</v>
      </c>
      <c r="G634" s="6" t="s">
        <v>2908</v>
      </c>
      <c r="H634" s="6" t="s">
        <v>2909</v>
      </c>
      <c r="I634" s="8"/>
      <c r="J634" s="8">
        <v>4762</v>
      </c>
      <c r="K634" s="6" t="s">
        <v>3634</v>
      </c>
      <c r="L634" s="6" t="s">
        <v>1120</v>
      </c>
      <c r="N634" s="6" t="s">
        <v>1120</v>
      </c>
      <c r="O634" s="29">
        <v>5000.1</v>
      </c>
    </row>
    <row r="635" s="1" customFormat="1" ht="16.35" hidden="1" customHeight="1" spans="1:15">
      <c r="A635" s="5"/>
      <c r="B635" s="6" t="s">
        <v>2906</v>
      </c>
      <c r="C635" s="6">
        <v>2017</v>
      </c>
      <c r="D635" s="6">
        <v>12</v>
      </c>
      <c r="E635" s="7">
        <v>104</v>
      </c>
      <c r="F635" s="6" t="s">
        <v>3635</v>
      </c>
      <c r="G635" s="6" t="s">
        <v>2908</v>
      </c>
      <c r="H635" s="6" t="s">
        <v>2909</v>
      </c>
      <c r="I635" s="8"/>
      <c r="J635" s="8">
        <v>25714</v>
      </c>
      <c r="K635" s="6" t="s">
        <v>2980</v>
      </c>
      <c r="L635" s="6" t="s">
        <v>1842</v>
      </c>
      <c r="N635" s="6" t="s">
        <v>1842</v>
      </c>
      <c r="O635" s="29">
        <v>26999.7</v>
      </c>
    </row>
    <row r="636" s="1" customFormat="1" ht="16.35" hidden="1" customHeight="1" spans="1:15">
      <c r="A636" s="5"/>
      <c r="B636" s="6" t="s">
        <v>2906</v>
      </c>
      <c r="C636" s="6">
        <v>2017</v>
      </c>
      <c r="D636" s="6">
        <v>12</v>
      </c>
      <c r="E636" s="7">
        <v>105</v>
      </c>
      <c r="F636" s="6" t="s">
        <v>3589</v>
      </c>
      <c r="G636" s="6" t="s">
        <v>2908</v>
      </c>
      <c r="H636" s="6" t="s">
        <v>2909</v>
      </c>
      <c r="I636" s="8"/>
      <c r="J636" s="8">
        <v>9524</v>
      </c>
      <c r="K636" s="6" t="s">
        <v>3590</v>
      </c>
      <c r="L636" s="6" t="s">
        <v>1423</v>
      </c>
      <c r="N636" s="6" t="s">
        <v>1423</v>
      </c>
      <c r="O636" s="29">
        <v>10000.2</v>
      </c>
    </row>
    <row r="637" s="1" customFormat="1" ht="16.35" hidden="1" customHeight="1" spans="1:15">
      <c r="A637" s="5"/>
      <c r="B637" s="6" t="s">
        <v>2906</v>
      </c>
      <c r="C637" s="6">
        <v>2017</v>
      </c>
      <c r="D637" s="6">
        <v>12</v>
      </c>
      <c r="E637" s="7">
        <v>106</v>
      </c>
      <c r="F637" s="6" t="s">
        <v>3636</v>
      </c>
      <c r="G637" s="6" t="s">
        <v>2908</v>
      </c>
      <c r="H637" s="6" t="s">
        <v>2909</v>
      </c>
      <c r="I637" s="8"/>
      <c r="J637" s="8">
        <v>1905</v>
      </c>
      <c r="K637" s="6" t="s">
        <v>3637</v>
      </c>
      <c r="L637" s="6" t="s">
        <v>1182</v>
      </c>
      <c r="N637" s="6" t="s">
        <v>1182</v>
      </c>
      <c r="O637" s="29">
        <v>2000.25</v>
      </c>
    </row>
    <row r="638" s="1" customFormat="1" ht="16.35" hidden="1" customHeight="1" spans="1:17">
      <c r="A638" s="5"/>
      <c r="B638" s="6" t="s">
        <v>2906</v>
      </c>
      <c r="C638" s="6">
        <v>2017</v>
      </c>
      <c r="D638" s="6">
        <v>12</v>
      </c>
      <c r="E638" s="7">
        <v>107</v>
      </c>
      <c r="F638" s="6" t="s">
        <v>3599</v>
      </c>
      <c r="G638" s="6" t="s">
        <v>2908</v>
      </c>
      <c r="H638" s="6" t="s">
        <v>2909</v>
      </c>
      <c r="I638" s="8"/>
      <c r="J638" s="8">
        <v>12381</v>
      </c>
      <c r="K638" s="6" t="s">
        <v>3600</v>
      </c>
      <c r="L638" s="6" t="s">
        <v>1497</v>
      </c>
      <c r="N638" s="6" t="s">
        <v>1497</v>
      </c>
      <c r="O638" s="29">
        <v>13000.05</v>
      </c>
      <c r="P638" s="1" t="s">
        <v>3601</v>
      </c>
      <c r="Q638" s="1">
        <f>O638-J638</f>
        <v>619.049999999999</v>
      </c>
    </row>
    <row r="639" s="1" customFormat="1" ht="16.35" hidden="1" customHeight="1" spans="1:15">
      <c r="A639" s="5"/>
      <c r="B639" s="6" t="s">
        <v>2906</v>
      </c>
      <c r="C639" s="6">
        <v>2017</v>
      </c>
      <c r="D639" s="6">
        <v>12</v>
      </c>
      <c r="E639" s="7">
        <v>108</v>
      </c>
      <c r="F639" s="6" t="s">
        <v>3560</v>
      </c>
      <c r="G639" s="6" t="s">
        <v>2908</v>
      </c>
      <c r="H639" s="6" t="s">
        <v>2909</v>
      </c>
      <c r="I639" s="8"/>
      <c r="J639" s="8">
        <v>77046</v>
      </c>
      <c r="K639" s="6" t="s">
        <v>3561</v>
      </c>
      <c r="L639" s="6" t="s">
        <v>1645</v>
      </c>
      <c r="N639" s="6" t="s">
        <v>1645</v>
      </c>
      <c r="O639" s="29">
        <v>80898.3</v>
      </c>
    </row>
    <row r="640" s="1" customFormat="1" ht="16.35" hidden="1" customHeight="1" spans="1:15">
      <c r="A640" s="5"/>
      <c r="B640" s="6" t="s">
        <v>2906</v>
      </c>
      <c r="C640" s="6">
        <v>2017</v>
      </c>
      <c r="D640" s="6">
        <v>12</v>
      </c>
      <c r="E640" s="7">
        <v>109</v>
      </c>
      <c r="F640" s="6" t="s">
        <v>3638</v>
      </c>
      <c r="G640" s="6" t="s">
        <v>2908</v>
      </c>
      <c r="H640" s="6" t="s">
        <v>2909</v>
      </c>
      <c r="I640" s="8"/>
      <c r="J640" s="8">
        <v>193117</v>
      </c>
      <c r="K640" s="6" t="s">
        <v>3639</v>
      </c>
      <c r="L640" s="6" t="s">
        <v>1031</v>
      </c>
      <c r="N640" s="6" t="s">
        <v>1031</v>
      </c>
      <c r="O640" s="29">
        <v>202772.85</v>
      </c>
    </row>
    <row r="641" s="1" customFormat="1" ht="16.35" hidden="1" customHeight="1" spans="1:15">
      <c r="A641" s="5"/>
      <c r="B641" s="6" t="s">
        <v>2906</v>
      </c>
      <c r="C641" s="6">
        <v>2017</v>
      </c>
      <c r="D641" s="6">
        <v>12</v>
      </c>
      <c r="E641" s="7">
        <v>110</v>
      </c>
      <c r="F641" s="6" t="s">
        <v>3640</v>
      </c>
      <c r="G641" s="6" t="s">
        <v>2908</v>
      </c>
      <c r="H641" s="6" t="s">
        <v>2909</v>
      </c>
      <c r="I641" s="8"/>
      <c r="J641" s="8">
        <v>12381</v>
      </c>
      <c r="K641" s="6" t="s">
        <v>3496</v>
      </c>
      <c r="L641" s="6" t="s">
        <v>1476</v>
      </c>
      <c r="N641" s="6" t="s">
        <v>1476</v>
      </c>
      <c r="O641" s="29">
        <v>13000.05</v>
      </c>
    </row>
    <row r="642" s="1" customFormat="1" ht="16.35" hidden="1" customHeight="1" spans="1:15">
      <c r="A642" s="5"/>
      <c r="B642" s="6" t="s">
        <v>2906</v>
      </c>
      <c r="C642" s="6">
        <v>2017</v>
      </c>
      <c r="D642" s="6">
        <v>12</v>
      </c>
      <c r="E642" s="7">
        <v>112</v>
      </c>
      <c r="F642" s="6" t="s">
        <v>3432</v>
      </c>
      <c r="G642" s="6" t="s">
        <v>2908</v>
      </c>
      <c r="H642" s="6" t="s">
        <v>2909</v>
      </c>
      <c r="I642" s="8"/>
      <c r="J642" s="8">
        <v>90476</v>
      </c>
      <c r="K642" s="6" t="s">
        <v>3184</v>
      </c>
      <c r="L642" s="6" t="s">
        <v>1902</v>
      </c>
      <c r="N642" s="6" t="s">
        <v>1902</v>
      </c>
      <c r="O642" s="29">
        <v>94999.8</v>
      </c>
    </row>
    <row r="643" s="1" customFormat="1" ht="16.35" hidden="1" customHeight="1" spans="1:16">
      <c r="A643" s="5"/>
      <c r="B643" s="6" t="s">
        <v>2906</v>
      </c>
      <c r="C643" s="6">
        <v>2017</v>
      </c>
      <c r="D643" s="6">
        <v>12</v>
      </c>
      <c r="E643" s="7">
        <v>113</v>
      </c>
      <c r="F643" s="6" t="s">
        <v>3641</v>
      </c>
      <c r="G643" s="6" t="s">
        <v>2908</v>
      </c>
      <c r="H643" s="6" t="s">
        <v>2909</v>
      </c>
      <c r="I643" s="8"/>
      <c r="J643" s="8">
        <v>952</v>
      </c>
      <c r="K643" s="6" t="s">
        <v>3642</v>
      </c>
      <c r="L643" s="6" t="s">
        <v>1096</v>
      </c>
      <c r="N643" s="6" t="s">
        <v>1096</v>
      </c>
      <c r="O643" s="29">
        <v>999.6</v>
      </c>
      <c r="P643" s="1">
        <f>O643-J643</f>
        <v>47.6</v>
      </c>
    </row>
    <row r="644" s="1" customFormat="1" ht="16.35" hidden="1" customHeight="1" spans="1:16">
      <c r="A644" s="5"/>
      <c r="B644" s="6" t="s">
        <v>2906</v>
      </c>
      <c r="C644" s="6">
        <v>2017</v>
      </c>
      <c r="D644" s="6">
        <v>12</v>
      </c>
      <c r="E644" s="7">
        <v>114</v>
      </c>
      <c r="F644" s="6" t="s">
        <v>3643</v>
      </c>
      <c r="G644" s="6" t="s">
        <v>2908</v>
      </c>
      <c r="H644" s="6" t="s">
        <v>2909</v>
      </c>
      <c r="I644" s="8"/>
      <c r="J644" s="8">
        <v>2857</v>
      </c>
      <c r="K644" s="6" t="s">
        <v>3644</v>
      </c>
      <c r="L644" s="6" t="s">
        <v>1367</v>
      </c>
      <c r="N644" s="6" t="s">
        <v>1367</v>
      </c>
      <c r="O644" s="29">
        <v>2999.85</v>
      </c>
      <c r="P644" s="1">
        <f>O644-J644</f>
        <v>142.85</v>
      </c>
    </row>
    <row r="645" s="1" customFormat="1" ht="16.35" hidden="1" customHeight="1" spans="1:15">
      <c r="A645" s="5"/>
      <c r="B645" s="6" t="s">
        <v>2906</v>
      </c>
      <c r="C645" s="6">
        <v>2017</v>
      </c>
      <c r="D645" s="6">
        <v>12</v>
      </c>
      <c r="E645" s="7">
        <v>115</v>
      </c>
      <c r="F645" s="6" t="s">
        <v>3645</v>
      </c>
      <c r="G645" s="6" t="s">
        <v>2908</v>
      </c>
      <c r="H645" s="6" t="s">
        <v>2909</v>
      </c>
      <c r="I645" s="8"/>
      <c r="J645" s="8">
        <v>3810</v>
      </c>
      <c r="K645" s="6" t="s">
        <v>3646</v>
      </c>
      <c r="L645" s="6" t="s">
        <v>1079</v>
      </c>
      <c r="N645" s="6" t="s">
        <v>1079</v>
      </c>
      <c r="O645" s="29">
        <v>4000.5</v>
      </c>
    </row>
    <row r="646" s="1" customFormat="1" ht="16.35" hidden="1" customHeight="1" spans="1:15">
      <c r="A646" s="5"/>
      <c r="B646" s="6" t="s">
        <v>2906</v>
      </c>
      <c r="C646" s="6">
        <v>2017</v>
      </c>
      <c r="D646" s="6">
        <v>12</v>
      </c>
      <c r="E646" s="7">
        <v>117</v>
      </c>
      <c r="F646" s="6" t="s">
        <v>3647</v>
      </c>
      <c r="G646" s="6" t="s">
        <v>2908</v>
      </c>
      <c r="H646" s="6" t="s">
        <v>2909</v>
      </c>
      <c r="I646" s="8"/>
      <c r="J646" s="8">
        <v>3810</v>
      </c>
      <c r="K646" s="6" t="s">
        <v>3648</v>
      </c>
      <c r="L646" s="6" t="s">
        <v>1617</v>
      </c>
      <c r="N646" s="6" t="s">
        <v>1617</v>
      </c>
      <c r="O646" s="29">
        <v>4000.5</v>
      </c>
    </row>
    <row r="647" s="1" customFormat="1" ht="16.35" hidden="1" customHeight="1" spans="1:15">
      <c r="A647" s="5"/>
      <c r="B647" s="6" t="s">
        <v>2906</v>
      </c>
      <c r="C647" s="6">
        <v>2017</v>
      </c>
      <c r="D647" s="6">
        <v>12</v>
      </c>
      <c r="E647" s="7">
        <v>118</v>
      </c>
      <c r="F647" s="6" t="s">
        <v>3572</v>
      </c>
      <c r="G647" s="6" t="s">
        <v>2908</v>
      </c>
      <c r="H647" s="6" t="s">
        <v>2909</v>
      </c>
      <c r="I647" s="8"/>
      <c r="J647" s="8">
        <v>42857</v>
      </c>
      <c r="K647" s="6" t="s">
        <v>3573</v>
      </c>
      <c r="L647" s="6" t="s">
        <v>991</v>
      </c>
      <c r="N647" s="6" t="s">
        <v>991</v>
      </c>
      <c r="O647" s="29">
        <v>44999.85</v>
      </c>
    </row>
    <row r="648" s="1" customFormat="1" ht="16.35" hidden="1" customHeight="1" spans="1:15">
      <c r="A648" s="5"/>
      <c r="B648" s="6" t="s">
        <v>2906</v>
      </c>
      <c r="C648" s="6">
        <v>2017</v>
      </c>
      <c r="D648" s="6">
        <v>12</v>
      </c>
      <c r="E648" s="7">
        <v>119</v>
      </c>
      <c r="F648" s="6" t="s">
        <v>3583</v>
      </c>
      <c r="G648" s="6" t="s">
        <v>2908</v>
      </c>
      <c r="H648" s="6" t="s">
        <v>2909</v>
      </c>
      <c r="I648" s="8"/>
      <c r="J648" s="8">
        <v>5714</v>
      </c>
      <c r="K648" s="6" t="s">
        <v>3584</v>
      </c>
      <c r="L648" s="6" t="s">
        <v>1077</v>
      </c>
      <c r="N648" s="6" t="s">
        <v>1077</v>
      </c>
      <c r="O648" s="29">
        <v>5999.7</v>
      </c>
    </row>
    <row r="649" s="1" customFormat="1" ht="16.35" hidden="1" customHeight="1" spans="1:15">
      <c r="A649" s="5"/>
      <c r="B649" s="6" t="s">
        <v>2906</v>
      </c>
      <c r="C649" s="6">
        <v>2017</v>
      </c>
      <c r="D649" s="6">
        <v>12</v>
      </c>
      <c r="E649" s="7">
        <v>120</v>
      </c>
      <c r="F649" s="6" t="s">
        <v>3649</v>
      </c>
      <c r="G649" s="6" t="s">
        <v>2908</v>
      </c>
      <c r="H649" s="6" t="s">
        <v>2909</v>
      </c>
      <c r="I649" s="8"/>
      <c r="J649" s="8">
        <v>43010</v>
      </c>
      <c r="K649" s="6" t="s">
        <v>3650</v>
      </c>
      <c r="L649" s="6" t="s">
        <v>1517</v>
      </c>
      <c r="N649" s="6" t="s">
        <v>1517</v>
      </c>
      <c r="O649" s="29">
        <v>45160.5</v>
      </c>
    </row>
    <row r="650" s="1" customFormat="1" ht="16.35" hidden="1" customHeight="1" spans="1:15">
      <c r="A650" s="5"/>
      <c r="B650" s="6" t="s">
        <v>2906</v>
      </c>
      <c r="C650" s="6">
        <v>2018</v>
      </c>
      <c r="D650" s="6">
        <v>1</v>
      </c>
      <c r="E650" s="7">
        <v>1</v>
      </c>
      <c r="F650" s="6" t="s">
        <v>3651</v>
      </c>
      <c r="G650" s="6" t="s">
        <v>2908</v>
      </c>
      <c r="H650" s="6" t="s">
        <v>2909</v>
      </c>
      <c r="I650" s="8"/>
      <c r="J650" s="8">
        <v>977</v>
      </c>
      <c r="K650" s="6" t="s">
        <v>3652</v>
      </c>
      <c r="L650" s="6" t="s">
        <v>1127</v>
      </c>
      <c r="N650" s="6" t="s">
        <v>1127</v>
      </c>
      <c r="O650" s="29">
        <v>1025.85</v>
      </c>
    </row>
    <row r="651" s="1" customFormat="1" ht="16.35" hidden="1" customHeight="1" spans="1:15">
      <c r="A651" s="5"/>
      <c r="B651" s="6" t="s">
        <v>2906</v>
      </c>
      <c r="C651" s="6">
        <v>2018</v>
      </c>
      <c r="D651" s="6">
        <v>1</v>
      </c>
      <c r="E651" s="7">
        <v>2</v>
      </c>
      <c r="F651" s="6" t="s">
        <v>3653</v>
      </c>
      <c r="G651" s="6" t="s">
        <v>2908</v>
      </c>
      <c r="H651" s="6" t="s">
        <v>2909</v>
      </c>
      <c r="I651" s="8"/>
      <c r="J651" s="8">
        <v>145714.3</v>
      </c>
      <c r="K651" s="6" t="s">
        <v>3485</v>
      </c>
      <c r="L651" s="6" t="s">
        <v>1055</v>
      </c>
      <c r="N651" s="6" t="s">
        <v>1055</v>
      </c>
      <c r="O651" s="29">
        <v>153000.015</v>
      </c>
    </row>
    <row r="652" s="1" customFormat="1" ht="16.35" hidden="1" customHeight="1" spans="1:15">
      <c r="A652" s="5"/>
      <c r="B652" s="6" t="s">
        <v>2906</v>
      </c>
      <c r="C652" s="6">
        <v>2018</v>
      </c>
      <c r="D652" s="6">
        <v>1</v>
      </c>
      <c r="E652" s="7">
        <v>4</v>
      </c>
      <c r="F652" s="6" t="s">
        <v>3624</v>
      </c>
      <c r="G652" s="6" t="s">
        <v>2908</v>
      </c>
      <c r="H652" s="6" t="s">
        <v>2909</v>
      </c>
      <c r="I652" s="8"/>
      <c r="J652" s="8">
        <v>57853</v>
      </c>
      <c r="K652" s="6" t="s">
        <v>3625</v>
      </c>
      <c r="L652" s="6" t="s">
        <v>1349</v>
      </c>
      <c r="N652" s="6" t="s">
        <v>1349</v>
      </c>
      <c r="O652" s="29">
        <v>60745.65</v>
      </c>
    </row>
    <row r="653" s="1" customFormat="1" ht="16.35" hidden="1" customHeight="1" spans="1:15">
      <c r="A653" s="5"/>
      <c r="B653" s="6" t="s">
        <v>2906</v>
      </c>
      <c r="C653" s="6">
        <v>2018</v>
      </c>
      <c r="D653" s="6">
        <v>1</v>
      </c>
      <c r="E653" s="7">
        <v>5</v>
      </c>
      <c r="F653" s="6" t="s">
        <v>3397</v>
      </c>
      <c r="G653" s="6" t="s">
        <v>2908</v>
      </c>
      <c r="H653" s="6" t="s">
        <v>2909</v>
      </c>
      <c r="I653" s="8"/>
      <c r="J653" s="8">
        <v>9524</v>
      </c>
      <c r="K653" s="6" t="s">
        <v>3348</v>
      </c>
      <c r="L653" s="6" t="s">
        <v>1353</v>
      </c>
      <c r="N653" s="6" t="s">
        <v>1353</v>
      </c>
      <c r="O653" s="29">
        <v>10000.2</v>
      </c>
    </row>
    <row r="654" s="1" customFormat="1" ht="16.35" hidden="1" customHeight="1" spans="1:15">
      <c r="A654" s="5"/>
      <c r="B654" s="6" t="s">
        <v>2906</v>
      </c>
      <c r="C654" s="6">
        <v>2018</v>
      </c>
      <c r="D654" s="6">
        <v>1</v>
      </c>
      <c r="E654" s="7">
        <v>6</v>
      </c>
      <c r="F654" s="6" t="s">
        <v>3654</v>
      </c>
      <c r="G654" s="6" t="s">
        <v>2908</v>
      </c>
      <c r="H654" s="6" t="s">
        <v>2909</v>
      </c>
      <c r="I654" s="8"/>
      <c r="J654" s="8">
        <v>9524</v>
      </c>
      <c r="K654" s="6" t="s">
        <v>3655</v>
      </c>
      <c r="L654" s="6" t="s">
        <v>1135</v>
      </c>
      <c r="N654" s="6" t="s">
        <v>1135</v>
      </c>
      <c r="O654" s="29">
        <v>10000.2</v>
      </c>
    </row>
    <row r="655" s="1" customFormat="1" ht="16.35" hidden="1" customHeight="1" spans="1:15">
      <c r="A655" s="5"/>
      <c r="B655" s="6" t="s">
        <v>2906</v>
      </c>
      <c r="C655" s="6">
        <v>2018</v>
      </c>
      <c r="D655" s="6">
        <v>1</v>
      </c>
      <c r="E655" s="7">
        <v>7</v>
      </c>
      <c r="F655" s="6" t="s">
        <v>3656</v>
      </c>
      <c r="G655" s="6" t="s">
        <v>2908</v>
      </c>
      <c r="H655" s="6" t="s">
        <v>2909</v>
      </c>
      <c r="I655" s="8"/>
      <c r="J655" s="8">
        <v>952</v>
      </c>
      <c r="K655" s="6" t="s">
        <v>3657</v>
      </c>
      <c r="L655" s="6" t="s">
        <v>1101</v>
      </c>
      <c r="N655" s="6" t="s">
        <v>1101</v>
      </c>
      <c r="O655" s="29">
        <v>999.6</v>
      </c>
    </row>
    <row r="656" s="1" customFormat="1" ht="16.35" hidden="1" customHeight="1" spans="1:15">
      <c r="A656" s="5"/>
      <c r="B656" s="6" t="s">
        <v>2906</v>
      </c>
      <c r="C656" s="6">
        <v>2018</v>
      </c>
      <c r="D656" s="6">
        <v>1</v>
      </c>
      <c r="E656" s="7">
        <v>8</v>
      </c>
      <c r="F656" s="6" t="s">
        <v>3658</v>
      </c>
      <c r="G656" s="6" t="s">
        <v>2908</v>
      </c>
      <c r="H656" s="6" t="s">
        <v>2909</v>
      </c>
      <c r="I656" s="8"/>
      <c r="J656" s="8">
        <v>9524</v>
      </c>
      <c r="K656" s="6" t="s">
        <v>3659</v>
      </c>
      <c r="L656" s="6" t="s">
        <v>1591</v>
      </c>
      <c r="N656" s="6" t="s">
        <v>1591</v>
      </c>
      <c r="O656" s="29">
        <v>10000.2</v>
      </c>
    </row>
    <row r="657" s="1" customFormat="1" ht="16.35" hidden="1" customHeight="1" spans="1:16">
      <c r="A657" s="5"/>
      <c r="B657" s="6" t="s">
        <v>2906</v>
      </c>
      <c r="C657" s="6">
        <v>2018</v>
      </c>
      <c r="D657" s="6">
        <v>1</v>
      </c>
      <c r="E657" s="7">
        <v>9</v>
      </c>
      <c r="F657" s="6" t="s">
        <v>3660</v>
      </c>
      <c r="G657" s="6" t="s">
        <v>2908</v>
      </c>
      <c r="H657" s="6" t="s">
        <v>2909</v>
      </c>
      <c r="I657" s="8"/>
      <c r="J657" s="8">
        <v>1905</v>
      </c>
      <c r="K657" s="6" t="s">
        <v>3661</v>
      </c>
      <c r="L657" s="6" t="s">
        <v>1141</v>
      </c>
      <c r="N657" s="6" t="s">
        <v>1141</v>
      </c>
      <c r="O657" s="29">
        <v>2000</v>
      </c>
      <c r="P657" s="1">
        <f>O657-J657</f>
        <v>95</v>
      </c>
    </row>
    <row r="658" s="1" customFormat="1" ht="16.35" hidden="1" customHeight="1" spans="1:15">
      <c r="A658" s="5"/>
      <c r="B658" s="6" t="s">
        <v>2906</v>
      </c>
      <c r="C658" s="6">
        <v>2018</v>
      </c>
      <c r="D658" s="6">
        <v>1</v>
      </c>
      <c r="E658" s="7">
        <v>10</v>
      </c>
      <c r="F658" s="6" t="s">
        <v>3662</v>
      </c>
      <c r="G658" s="6" t="s">
        <v>2908</v>
      </c>
      <c r="H658" s="6" t="s">
        <v>2909</v>
      </c>
      <c r="I658" s="8"/>
      <c r="J658" s="8">
        <v>1905</v>
      </c>
      <c r="K658" s="6" t="s">
        <v>3663</v>
      </c>
      <c r="L658" s="6" t="s">
        <v>1170</v>
      </c>
      <c r="N658" s="6" t="s">
        <v>1170</v>
      </c>
      <c r="O658" s="29">
        <v>2000.25</v>
      </c>
    </row>
    <row r="659" s="1" customFormat="1" ht="16.35" hidden="1" customHeight="1" spans="1:16">
      <c r="A659" s="5"/>
      <c r="B659" s="6" t="s">
        <v>2906</v>
      </c>
      <c r="C659" s="6">
        <v>2018</v>
      </c>
      <c r="D659" s="6">
        <v>1</v>
      </c>
      <c r="E659" s="7">
        <v>11</v>
      </c>
      <c r="F659" s="6" t="s">
        <v>3664</v>
      </c>
      <c r="G659" s="6" t="s">
        <v>2908</v>
      </c>
      <c r="H659" s="6" t="s">
        <v>2909</v>
      </c>
      <c r="I659" s="8"/>
      <c r="J659" s="8">
        <v>9524</v>
      </c>
      <c r="K659" s="6" t="s">
        <v>3665</v>
      </c>
      <c r="L659" s="6" t="s">
        <v>1112</v>
      </c>
      <c r="N659" s="6" t="s">
        <v>1112</v>
      </c>
      <c r="O659" s="29">
        <v>10000.2</v>
      </c>
      <c r="P659" s="1" t="s">
        <v>3666</v>
      </c>
    </row>
    <row r="660" s="1" customFormat="1" ht="16.35" hidden="1" customHeight="1" spans="1:15">
      <c r="A660" s="5"/>
      <c r="B660" s="6" t="s">
        <v>2906</v>
      </c>
      <c r="C660" s="6">
        <v>2018</v>
      </c>
      <c r="D660" s="6">
        <v>1</v>
      </c>
      <c r="E660" s="7">
        <v>12</v>
      </c>
      <c r="F660" s="6" t="s">
        <v>3667</v>
      </c>
      <c r="G660" s="6" t="s">
        <v>2908</v>
      </c>
      <c r="H660" s="6" t="s">
        <v>2909</v>
      </c>
      <c r="I660" s="8"/>
      <c r="J660" s="8">
        <v>138095</v>
      </c>
      <c r="K660" s="6" t="s">
        <v>3507</v>
      </c>
      <c r="L660" s="6" t="s">
        <v>1432</v>
      </c>
      <c r="N660" s="6" t="s">
        <v>1432</v>
      </c>
      <c r="O660" s="29">
        <v>144999.75</v>
      </c>
    </row>
    <row r="661" s="1" customFormat="1" ht="16.35" hidden="1" customHeight="1" spans="1:15">
      <c r="A661" s="5"/>
      <c r="B661" s="6" t="s">
        <v>2906</v>
      </c>
      <c r="C661" s="6">
        <v>2018</v>
      </c>
      <c r="D661" s="6">
        <v>1</v>
      </c>
      <c r="E661" s="7">
        <v>14</v>
      </c>
      <c r="F661" s="6" t="s">
        <v>3668</v>
      </c>
      <c r="G661" s="6" t="s">
        <v>2908</v>
      </c>
      <c r="H661" s="6" t="s">
        <v>2909</v>
      </c>
      <c r="I661" s="8"/>
      <c r="J661" s="8">
        <v>133333</v>
      </c>
      <c r="K661" s="6" t="s">
        <v>3498</v>
      </c>
      <c r="L661" s="6" t="s">
        <v>1061</v>
      </c>
      <c r="N661" s="6" t="s">
        <v>1061</v>
      </c>
      <c r="O661" s="29">
        <v>139999.65</v>
      </c>
    </row>
    <row r="662" s="1" customFormat="1" ht="16.35" hidden="1" customHeight="1" spans="1:15">
      <c r="A662" s="5"/>
      <c r="B662" s="6" t="s">
        <v>2906</v>
      </c>
      <c r="C662" s="6">
        <v>2018</v>
      </c>
      <c r="D662" s="6">
        <v>1</v>
      </c>
      <c r="E662" s="7">
        <v>15</v>
      </c>
      <c r="F662" s="6" t="s">
        <v>3669</v>
      </c>
      <c r="G662" s="6" t="s">
        <v>2908</v>
      </c>
      <c r="H662" s="6" t="s">
        <v>2909</v>
      </c>
      <c r="I662" s="8"/>
      <c r="J662" s="8">
        <v>111753</v>
      </c>
      <c r="K662" s="6" t="s">
        <v>3670</v>
      </c>
      <c r="L662" s="6" t="s">
        <v>1306</v>
      </c>
      <c r="N662" s="6" t="s">
        <v>1306</v>
      </c>
      <c r="O662" s="29">
        <v>117340.65</v>
      </c>
    </row>
    <row r="663" s="1" customFormat="1" ht="16.35" hidden="1" customHeight="1" spans="1:15">
      <c r="A663" s="5"/>
      <c r="B663" s="6" t="s">
        <v>2906</v>
      </c>
      <c r="C663" s="6">
        <v>2018</v>
      </c>
      <c r="D663" s="6">
        <v>1</v>
      </c>
      <c r="E663" s="7">
        <v>16</v>
      </c>
      <c r="F663" s="6" t="s">
        <v>3628</v>
      </c>
      <c r="G663" s="6" t="s">
        <v>2908</v>
      </c>
      <c r="H663" s="6" t="s">
        <v>2909</v>
      </c>
      <c r="I663" s="8"/>
      <c r="J663" s="8">
        <v>66000</v>
      </c>
      <c r="K663" s="6" t="s">
        <v>3629</v>
      </c>
      <c r="L663" s="6" t="s">
        <v>1462</v>
      </c>
      <c r="N663" s="6" t="s">
        <v>1462</v>
      </c>
      <c r="O663" s="29">
        <v>69300</v>
      </c>
    </row>
    <row r="664" s="1" customFormat="1" ht="16.35" hidden="1" customHeight="1" spans="1:15">
      <c r="A664" s="5"/>
      <c r="B664" s="6" t="s">
        <v>2906</v>
      </c>
      <c r="C664" s="6">
        <v>2018</v>
      </c>
      <c r="D664" s="6">
        <v>1</v>
      </c>
      <c r="E664" s="7">
        <v>17</v>
      </c>
      <c r="F664" s="6" t="s">
        <v>3671</v>
      </c>
      <c r="G664" s="6" t="s">
        <v>2908</v>
      </c>
      <c r="H664" s="6" t="s">
        <v>2909</v>
      </c>
      <c r="I664" s="8"/>
      <c r="J664" s="8">
        <v>17905</v>
      </c>
      <c r="K664" s="6" t="s">
        <v>3516</v>
      </c>
      <c r="L664" s="6" t="s">
        <v>1452</v>
      </c>
      <c r="N664" s="6" t="s">
        <v>1452</v>
      </c>
      <c r="O664" s="29">
        <v>18800.25</v>
      </c>
    </row>
    <row r="665" s="1" customFormat="1" ht="16.35" hidden="1" customHeight="1" spans="1:15">
      <c r="A665" s="5"/>
      <c r="B665" s="6" t="s">
        <v>2906</v>
      </c>
      <c r="C665" s="6">
        <v>2018</v>
      </c>
      <c r="D665" s="6">
        <v>1</v>
      </c>
      <c r="E665" s="7">
        <v>18</v>
      </c>
      <c r="F665" s="6" t="s">
        <v>3672</v>
      </c>
      <c r="G665" s="6" t="s">
        <v>2908</v>
      </c>
      <c r="H665" s="6" t="s">
        <v>2909</v>
      </c>
      <c r="I665" s="8"/>
      <c r="J665" s="8">
        <v>4762</v>
      </c>
      <c r="K665" s="6" t="s">
        <v>3673</v>
      </c>
      <c r="L665" s="6" t="s">
        <v>1507</v>
      </c>
      <c r="N665" s="6" t="s">
        <v>1507</v>
      </c>
      <c r="O665" s="29">
        <v>5000.1</v>
      </c>
    </row>
    <row r="666" s="1" customFormat="1" ht="16.35" hidden="1" customHeight="1" spans="1:15">
      <c r="A666" s="5"/>
      <c r="B666" s="6" t="s">
        <v>2906</v>
      </c>
      <c r="C666" s="6">
        <v>2018</v>
      </c>
      <c r="D666" s="6">
        <v>1</v>
      </c>
      <c r="E666" s="7">
        <v>19</v>
      </c>
      <c r="F666" s="6" t="s">
        <v>3674</v>
      </c>
      <c r="G666" s="6" t="s">
        <v>2908</v>
      </c>
      <c r="H666" s="6" t="s">
        <v>2909</v>
      </c>
      <c r="I666" s="8"/>
      <c r="J666" s="8">
        <v>1905</v>
      </c>
      <c r="K666" s="6" t="s">
        <v>3675</v>
      </c>
      <c r="L666" s="6" t="s">
        <v>1501</v>
      </c>
      <c r="N666" s="6" t="s">
        <v>1501</v>
      </c>
      <c r="O666" s="29">
        <v>2000.25</v>
      </c>
    </row>
    <row r="667" s="1" customFormat="1" ht="16.35" hidden="1" customHeight="1" spans="1:15">
      <c r="A667" s="5"/>
      <c r="B667" s="6" t="s">
        <v>2906</v>
      </c>
      <c r="C667" s="6">
        <v>2018</v>
      </c>
      <c r="D667" s="6">
        <v>1</v>
      </c>
      <c r="E667" s="7">
        <v>20</v>
      </c>
      <c r="F667" s="6" t="s">
        <v>3676</v>
      </c>
      <c r="G667" s="6" t="s">
        <v>2908</v>
      </c>
      <c r="H667" s="6" t="s">
        <v>2909</v>
      </c>
      <c r="I667" s="8"/>
      <c r="J667" s="8">
        <v>17143</v>
      </c>
      <c r="K667" s="6" t="s">
        <v>3677</v>
      </c>
      <c r="L667" s="6" t="s">
        <v>1491</v>
      </c>
      <c r="N667" s="6" t="s">
        <v>1491</v>
      </c>
      <c r="O667" s="29">
        <v>18000.15</v>
      </c>
    </row>
    <row r="668" s="1" customFormat="1" ht="16.35" hidden="1" customHeight="1" spans="1:15">
      <c r="A668" s="5"/>
      <c r="B668" s="6" t="s">
        <v>2906</v>
      </c>
      <c r="C668" s="6">
        <v>2018</v>
      </c>
      <c r="D668" s="6">
        <v>1</v>
      </c>
      <c r="E668" s="7">
        <v>22</v>
      </c>
      <c r="F668" s="6" t="s">
        <v>3583</v>
      </c>
      <c r="G668" s="6" t="s">
        <v>2908</v>
      </c>
      <c r="H668" s="6" t="s">
        <v>2909</v>
      </c>
      <c r="I668" s="8"/>
      <c r="J668" s="8">
        <v>6667</v>
      </c>
      <c r="K668" s="6" t="s">
        <v>3584</v>
      </c>
      <c r="L668" s="6" t="s">
        <v>1077</v>
      </c>
      <c r="N668" s="6" t="s">
        <v>1077</v>
      </c>
      <c r="O668" s="29">
        <v>7000.35</v>
      </c>
    </row>
    <row r="669" s="1" customFormat="1" ht="16.35" hidden="1" customHeight="1" spans="1:15">
      <c r="A669" s="5"/>
      <c r="B669" s="6" t="s">
        <v>2906</v>
      </c>
      <c r="C669" s="6">
        <v>2018</v>
      </c>
      <c r="D669" s="6">
        <v>1</v>
      </c>
      <c r="E669" s="7">
        <v>23</v>
      </c>
      <c r="F669" s="6" t="s">
        <v>3651</v>
      </c>
      <c r="G669" s="6" t="s">
        <v>2908</v>
      </c>
      <c r="H669" s="6" t="s">
        <v>2909</v>
      </c>
      <c r="I669" s="8"/>
      <c r="J669" s="8">
        <v>952</v>
      </c>
      <c r="K669" s="6" t="s">
        <v>3652</v>
      </c>
      <c r="L669" s="6" t="s">
        <v>1127</v>
      </c>
      <c r="N669" s="6" t="s">
        <v>1127</v>
      </c>
      <c r="O669" s="29">
        <v>999.6</v>
      </c>
    </row>
    <row r="670" s="1" customFormat="1" ht="16.35" hidden="1" customHeight="1" spans="1:15">
      <c r="A670" s="5"/>
      <c r="B670" s="6" t="s">
        <v>2906</v>
      </c>
      <c r="C670" s="6">
        <v>2018</v>
      </c>
      <c r="D670" s="6">
        <v>1</v>
      </c>
      <c r="E670" s="7">
        <v>24</v>
      </c>
      <c r="F670" s="6" t="s">
        <v>3671</v>
      </c>
      <c r="G670" s="6" t="s">
        <v>2908</v>
      </c>
      <c r="H670" s="6" t="s">
        <v>2909</v>
      </c>
      <c r="I670" s="8"/>
      <c r="J670" s="8">
        <v>40000</v>
      </c>
      <c r="K670" s="6" t="s">
        <v>3516</v>
      </c>
      <c r="L670" s="6" t="s">
        <v>1452</v>
      </c>
      <c r="N670" s="6" t="s">
        <v>1452</v>
      </c>
      <c r="O670" s="29">
        <v>42000</v>
      </c>
    </row>
    <row r="671" s="1" customFormat="1" ht="16.35" hidden="1" customHeight="1" spans="1:15">
      <c r="A671" s="5"/>
      <c r="B671" s="6" t="s">
        <v>2906</v>
      </c>
      <c r="C671" s="6">
        <v>2018</v>
      </c>
      <c r="D671" s="6">
        <v>1</v>
      </c>
      <c r="E671" s="7">
        <v>25</v>
      </c>
      <c r="F671" s="6" t="s">
        <v>3656</v>
      </c>
      <c r="G671" s="6" t="s">
        <v>2908</v>
      </c>
      <c r="H671" s="6" t="s">
        <v>2909</v>
      </c>
      <c r="I671" s="8"/>
      <c r="J671" s="8">
        <v>44787</v>
      </c>
      <c r="K671" s="6" t="s">
        <v>3657</v>
      </c>
      <c r="L671" s="6" t="s">
        <v>1101</v>
      </c>
      <c r="N671" s="6" t="s">
        <v>1101</v>
      </c>
      <c r="O671" s="29">
        <v>47026.35</v>
      </c>
    </row>
    <row r="672" s="1" customFormat="1" ht="16.35" hidden="1" customHeight="1" spans="1:15">
      <c r="A672" s="5"/>
      <c r="B672" s="6" t="s">
        <v>2906</v>
      </c>
      <c r="C672" s="6">
        <v>2018</v>
      </c>
      <c r="D672" s="6">
        <v>1</v>
      </c>
      <c r="E672" s="7">
        <v>26</v>
      </c>
      <c r="F672" s="6" t="s">
        <v>3406</v>
      </c>
      <c r="G672" s="6" t="s">
        <v>2908</v>
      </c>
      <c r="H672" s="6" t="s">
        <v>2909</v>
      </c>
      <c r="I672" s="8"/>
      <c r="J672" s="8">
        <v>9524</v>
      </c>
      <c r="K672" s="6" t="s">
        <v>3154</v>
      </c>
      <c r="L672" s="6" t="s">
        <v>1535</v>
      </c>
      <c r="N672" s="6" t="s">
        <v>1535</v>
      </c>
      <c r="O672" s="29">
        <v>10000.2</v>
      </c>
    </row>
    <row r="673" s="1" customFormat="1" ht="16.35" hidden="1" customHeight="1" spans="1:15">
      <c r="A673" s="5"/>
      <c r="B673" s="6" t="s">
        <v>2906</v>
      </c>
      <c r="C673" s="6">
        <v>2018</v>
      </c>
      <c r="D673" s="6">
        <v>1</v>
      </c>
      <c r="E673" s="7">
        <v>28</v>
      </c>
      <c r="F673" s="6" t="s">
        <v>3678</v>
      </c>
      <c r="G673" s="6" t="s">
        <v>2908</v>
      </c>
      <c r="H673" s="6" t="s">
        <v>2909</v>
      </c>
      <c r="I673" s="8"/>
      <c r="J673" s="8">
        <v>9524</v>
      </c>
      <c r="K673" s="6" t="s">
        <v>3679</v>
      </c>
      <c r="L673" s="6" t="s">
        <v>1029</v>
      </c>
      <c r="N673" s="6" t="s">
        <v>1029</v>
      </c>
      <c r="O673" s="29">
        <v>10000.2</v>
      </c>
    </row>
    <row r="674" s="1" customFormat="1" ht="16.35" hidden="1" customHeight="1" spans="1:16">
      <c r="A674" s="5"/>
      <c r="B674" s="6" t="s">
        <v>2906</v>
      </c>
      <c r="C674" s="6">
        <v>2018</v>
      </c>
      <c r="D674" s="6">
        <v>1</v>
      </c>
      <c r="E674" s="7">
        <v>29</v>
      </c>
      <c r="F674" s="6" t="s">
        <v>3680</v>
      </c>
      <c r="G674" s="6" t="s">
        <v>2908</v>
      </c>
      <c r="H674" s="6" t="s">
        <v>2909</v>
      </c>
      <c r="I674" s="8"/>
      <c r="J674" s="8">
        <v>952</v>
      </c>
      <c r="K674" s="6" t="s">
        <v>3681</v>
      </c>
      <c r="L674" s="6" t="s">
        <v>1176</v>
      </c>
      <c r="N674" s="6" t="s">
        <v>1176</v>
      </c>
      <c r="O674" s="29">
        <v>1000</v>
      </c>
      <c r="P674" s="1">
        <f>O674-J674</f>
        <v>48</v>
      </c>
    </row>
    <row r="675" s="1" customFormat="1" ht="16.35" hidden="1" customHeight="1" spans="1:15">
      <c r="A675" s="5"/>
      <c r="B675" s="6" t="s">
        <v>2906</v>
      </c>
      <c r="C675" s="6">
        <v>2018</v>
      </c>
      <c r="D675" s="6">
        <v>1</v>
      </c>
      <c r="E675" s="7">
        <v>30</v>
      </c>
      <c r="F675" s="6" t="s">
        <v>3612</v>
      </c>
      <c r="G675" s="6" t="s">
        <v>2908</v>
      </c>
      <c r="H675" s="6" t="s">
        <v>2909</v>
      </c>
      <c r="I675" s="8"/>
      <c r="J675" s="8">
        <v>50476</v>
      </c>
      <c r="K675" s="6" t="s">
        <v>3613</v>
      </c>
      <c r="L675" s="6" t="s">
        <v>1123</v>
      </c>
      <c r="N675" s="6" t="s">
        <v>1123</v>
      </c>
      <c r="O675" s="29">
        <v>52999.8</v>
      </c>
    </row>
    <row r="676" s="1" customFormat="1" ht="16.35" hidden="1" customHeight="1" spans="1:15">
      <c r="A676" s="5"/>
      <c r="B676" s="6" t="s">
        <v>2906</v>
      </c>
      <c r="C676" s="6">
        <v>2018</v>
      </c>
      <c r="D676" s="6">
        <v>1</v>
      </c>
      <c r="E676" s="7">
        <v>31</v>
      </c>
      <c r="F676" s="6" t="s">
        <v>3682</v>
      </c>
      <c r="G676" s="6" t="s">
        <v>2908</v>
      </c>
      <c r="H676" s="6" t="s">
        <v>2909</v>
      </c>
      <c r="I676" s="8"/>
      <c r="J676" s="8">
        <v>952</v>
      </c>
      <c r="K676" s="6" t="s">
        <v>3683</v>
      </c>
      <c r="L676" s="6" t="s">
        <v>1200</v>
      </c>
      <c r="N676" s="6" t="s">
        <v>1200</v>
      </c>
      <c r="O676" s="29">
        <v>999.6</v>
      </c>
    </row>
    <row r="677" s="1" customFormat="1" ht="16.35" hidden="1" customHeight="1" spans="1:15">
      <c r="A677" s="5"/>
      <c r="B677" s="6" t="s">
        <v>2906</v>
      </c>
      <c r="C677" s="6">
        <v>2018</v>
      </c>
      <c r="D677" s="6">
        <v>1</v>
      </c>
      <c r="E677" s="7">
        <v>32</v>
      </c>
      <c r="F677" s="6" t="s">
        <v>3684</v>
      </c>
      <c r="G677" s="6" t="s">
        <v>2908</v>
      </c>
      <c r="H677" s="6" t="s">
        <v>2909</v>
      </c>
      <c r="I677" s="8"/>
      <c r="J677" s="8">
        <v>24762</v>
      </c>
      <c r="K677" s="6" t="s">
        <v>3181</v>
      </c>
      <c r="L677" s="6" t="s">
        <v>1379</v>
      </c>
      <c r="N677" s="6" t="s">
        <v>1379</v>
      </c>
      <c r="O677" s="29">
        <v>26000.1</v>
      </c>
    </row>
    <row r="678" s="1" customFormat="1" ht="16.35" hidden="1" customHeight="1" spans="1:15">
      <c r="A678" s="5"/>
      <c r="B678" s="6" t="s">
        <v>2906</v>
      </c>
      <c r="C678" s="6">
        <v>2018</v>
      </c>
      <c r="D678" s="6">
        <v>1</v>
      </c>
      <c r="E678" s="7">
        <v>33</v>
      </c>
      <c r="F678" s="6" t="s">
        <v>3685</v>
      </c>
      <c r="G678" s="6" t="s">
        <v>2908</v>
      </c>
      <c r="H678" s="6" t="s">
        <v>2909</v>
      </c>
      <c r="I678" s="8"/>
      <c r="J678" s="8">
        <v>952</v>
      </c>
      <c r="K678" s="6" t="s">
        <v>3686</v>
      </c>
      <c r="L678" s="6" t="s">
        <v>1154</v>
      </c>
      <c r="N678" s="6" t="s">
        <v>1154</v>
      </c>
      <c r="O678" s="29">
        <v>999.6</v>
      </c>
    </row>
    <row r="679" s="1" customFormat="1" ht="16.35" hidden="1" customHeight="1" spans="1:15">
      <c r="A679" s="5"/>
      <c r="B679" s="6" t="s">
        <v>2906</v>
      </c>
      <c r="C679" s="6">
        <v>2018</v>
      </c>
      <c r="D679" s="6">
        <v>1</v>
      </c>
      <c r="E679" s="7">
        <v>34</v>
      </c>
      <c r="F679" s="6" t="s">
        <v>3687</v>
      </c>
      <c r="G679" s="6" t="s">
        <v>2908</v>
      </c>
      <c r="H679" s="6" t="s">
        <v>2909</v>
      </c>
      <c r="I679" s="8"/>
      <c r="J679" s="8">
        <v>151453</v>
      </c>
      <c r="K679" s="6" t="s">
        <v>3686</v>
      </c>
      <c r="L679" s="6" t="s">
        <v>1154</v>
      </c>
      <c r="N679" s="6" t="s">
        <v>1154</v>
      </c>
      <c r="O679" s="29">
        <v>159025.65</v>
      </c>
    </row>
    <row r="680" s="1" customFormat="1" ht="16.35" hidden="1" customHeight="1" spans="1:15">
      <c r="A680" s="5"/>
      <c r="B680" s="6" t="s">
        <v>2906</v>
      </c>
      <c r="C680" s="6">
        <v>2018</v>
      </c>
      <c r="D680" s="6">
        <v>1</v>
      </c>
      <c r="E680" s="7">
        <v>35</v>
      </c>
      <c r="F680" s="6" t="s">
        <v>3688</v>
      </c>
      <c r="G680" s="6" t="s">
        <v>2908</v>
      </c>
      <c r="H680" s="6" t="s">
        <v>2909</v>
      </c>
      <c r="I680" s="8"/>
      <c r="J680" s="8">
        <v>25714</v>
      </c>
      <c r="K680" s="6" t="s">
        <v>3489</v>
      </c>
      <c r="L680" s="6" t="s">
        <v>1436</v>
      </c>
      <c r="N680" s="6" t="s">
        <v>1436</v>
      </c>
      <c r="O680" s="29">
        <v>26999.7</v>
      </c>
    </row>
    <row r="681" s="1" customFormat="1" ht="16.35" hidden="1" customHeight="1" spans="1:15">
      <c r="A681" s="5"/>
      <c r="B681" s="6" t="s">
        <v>2906</v>
      </c>
      <c r="C681" s="6">
        <v>2018</v>
      </c>
      <c r="D681" s="6">
        <v>1</v>
      </c>
      <c r="E681" s="7">
        <v>36</v>
      </c>
      <c r="F681" s="6" t="s">
        <v>3689</v>
      </c>
      <c r="G681" s="6" t="s">
        <v>2908</v>
      </c>
      <c r="H681" s="6" t="s">
        <v>2909</v>
      </c>
      <c r="I681" s="8"/>
      <c r="J681" s="8">
        <v>157143</v>
      </c>
      <c r="K681" s="6" t="s">
        <v>3491</v>
      </c>
      <c r="L681" s="6" t="s">
        <v>1551</v>
      </c>
      <c r="N681" s="6" t="s">
        <v>1551</v>
      </c>
      <c r="O681" s="29">
        <v>165000.15</v>
      </c>
    </row>
    <row r="682" s="1" customFormat="1" ht="16.35" hidden="1" customHeight="1" spans="1:15">
      <c r="A682" s="5"/>
      <c r="B682" s="6" t="s">
        <v>2906</v>
      </c>
      <c r="C682" s="6">
        <v>2018</v>
      </c>
      <c r="D682" s="6">
        <v>1</v>
      </c>
      <c r="E682" s="7">
        <v>37</v>
      </c>
      <c r="F682" s="6" t="s">
        <v>3690</v>
      </c>
      <c r="G682" s="6" t="s">
        <v>2908</v>
      </c>
      <c r="H682" s="6" t="s">
        <v>2909</v>
      </c>
      <c r="I682" s="8"/>
      <c r="J682" s="8">
        <v>104762</v>
      </c>
      <c r="K682" s="6" t="s">
        <v>2960</v>
      </c>
      <c r="L682" s="6" t="s">
        <v>1758</v>
      </c>
      <c r="N682" s="6" t="s">
        <v>1758</v>
      </c>
      <c r="O682" s="29">
        <v>110000.1</v>
      </c>
    </row>
    <row r="683" s="1" customFormat="1" ht="16.35" hidden="1" customHeight="1" spans="1:15">
      <c r="A683" s="5"/>
      <c r="B683" s="6" t="s">
        <v>2906</v>
      </c>
      <c r="C683" s="6">
        <v>2018</v>
      </c>
      <c r="D683" s="6">
        <v>1</v>
      </c>
      <c r="E683" s="7">
        <v>39</v>
      </c>
      <c r="F683" s="6" t="s">
        <v>3691</v>
      </c>
      <c r="G683" s="6" t="s">
        <v>2908</v>
      </c>
      <c r="H683" s="6" t="s">
        <v>2909</v>
      </c>
      <c r="I683" s="8"/>
      <c r="J683" s="8">
        <v>78125</v>
      </c>
      <c r="K683" s="6" t="s">
        <v>3659</v>
      </c>
      <c r="L683" s="6" t="s">
        <v>1591</v>
      </c>
      <c r="N683" s="6" t="s">
        <v>1591</v>
      </c>
      <c r="O683" s="29">
        <v>82031.25</v>
      </c>
    </row>
    <row r="684" s="1" customFormat="1" ht="16.35" hidden="1" customHeight="1" spans="1:15">
      <c r="A684" s="5"/>
      <c r="B684" s="6" t="s">
        <v>2906</v>
      </c>
      <c r="C684" s="6">
        <v>2018</v>
      </c>
      <c r="D684" s="6">
        <v>1</v>
      </c>
      <c r="E684" s="7">
        <v>40</v>
      </c>
      <c r="F684" s="6" t="s">
        <v>3678</v>
      </c>
      <c r="G684" s="6" t="s">
        <v>2908</v>
      </c>
      <c r="H684" s="6" t="s">
        <v>2909</v>
      </c>
      <c r="I684" s="8"/>
      <c r="J684" s="8">
        <v>48952</v>
      </c>
      <c r="K684" s="6" t="s">
        <v>3679</v>
      </c>
      <c r="L684" s="6" t="s">
        <v>1029</v>
      </c>
      <c r="N684" s="6" t="s">
        <v>1029</v>
      </c>
      <c r="O684" s="29">
        <v>51399.6</v>
      </c>
    </row>
    <row r="685" s="1" customFormat="1" ht="16.35" hidden="1" customHeight="1" spans="1:15">
      <c r="A685" s="5"/>
      <c r="B685" s="6" t="s">
        <v>2906</v>
      </c>
      <c r="C685" s="6">
        <v>2018</v>
      </c>
      <c r="D685" s="6">
        <v>1</v>
      </c>
      <c r="E685" s="7">
        <v>42</v>
      </c>
      <c r="F685" s="6" t="s">
        <v>3566</v>
      </c>
      <c r="G685" s="6" t="s">
        <v>2908</v>
      </c>
      <c r="H685" s="6" t="s">
        <v>2909</v>
      </c>
      <c r="I685" s="8"/>
      <c r="J685" s="8">
        <v>28571</v>
      </c>
      <c r="K685" s="6" t="s">
        <v>3567</v>
      </c>
      <c r="L685" s="6" t="s">
        <v>1039</v>
      </c>
      <c r="N685" s="6" t="s">
        <v>1039</v>
      </c>
      <c r="O685" s="29">
        <v>29999.55</v>
      </c>
    </row>
    <row r="686" s="1" customFormat="1" ht="16.35" hidden="1" customHeight="1" spans="1:15">
      <c r="A686" s="5"/>
      <c r="B686" s="6" t="s">
        <v>2906</v>
      </c>
      <c r="C686" s="6">
        <v>2018</v>
      </c>
      <c r="D686" s="6">
        <v>1</v>
      </c>
      <c r="E686" s="7">
        <v>43</v>
      </c>
      <c r="F686" s="6" t="s">
        <v>3533</v>
      </c>
      <c r="G686" s="6" t="s">
        <v>2908</v>
      </c>
      <c r="H686" s="6" t="s">
        <v>2909</v>
      </c>
      <c r="I686" s="8"/>
      <c r="J686" s="8">
        <v>130476</v>
      </c>
      <c r="K686" s="6" t="s">
        <v>3503</v>
      </c>
      <c r="L686" s="6" t="s">
        <v>1361</v>
      </c>
      <c r="N686" s="6" t="s">
        <v>1361</v>
      </c>
      <c r="O686" s="29">
        <v>136999.8</v>
      </c>
    </row>
    <row r="687" s="1" customFormat="1" ht="16.35" hidden="1" customHeight="1" spans="1:15">
      <c r="A687" s="5"/>
      <c r="B687" s="6" t="s">
        <v>2906</v>
      </c>
      <c r="C687" s="6">
        <v>2018</v>
      </c>
      <c r="D687" s="6">
        <v>1</v>
      </c>
      <c r="E687" s="7">
        <v>44</v>
      </c>
      <c r="F687" s="6" t="s">
        <v>3692</v>
      </c>
      <c r="G687" s="6" t="s">
        <v>2908</v>
      </c>
      <c r="H687" s="6" t="s">
        <v>2909</v>
      </c>
      <c r="I687" s="8"/>
      <c r="J687" s="8">
        <v>128571</v>
      </c>
      <c r="K687" s="6" t="s">
        <v>3558</v>
      </c>
      <c r="L687" s="6" t="s">
        <v>1438</v>
      </c>
      <c r="N687" s="6" t="s">
        <v>1438</v>
      </c>
      <c r="O687" s="29">
        <v>134999.55</v>
      </c>
    </row>
    <row r="688" s="1" customFormat="1" ht="16.35" hidden="1" customHeight="1" spans="1:15">
      <c r="A688" s="5"/>
      <c r="B688" s="6" t="s">
        <v>2906</v>
      </c>
      <c r="C688" s="6">
        <v>2018</v>
      </c>
      <c r="D688" s="6">
        <v>1</v>
      </c>
      <c r="E688" s="7">
        <v>45</v>
      </c>
      <c r="F688" s="6" t="s">
        <v>3693</v>
      </c>
      <c r="G688" s="6" t="s">
        <v>2908</v>
      </c>
      <c r="H688" s="6" t="s">
        <v>2909</v>
      </c>
      <c r="I688" s="8"/>
      <c r="J688" s="8">
        <v>142857</v>
      </c>
      <c r="K688" s="6" t="s">
        <v>3577</v>
      </c>
      <c r="L688" s="6" t="s">
        <v>1545</v>
      </c>
      <c r="N688" s="6" t="s">
        <v>1545</v>
      </c>
      <c r="O688" s="29">
        <v>149999.85</v>
      </c>
    </row>
    <row r="689" s="1" customFormat="1" ht="16.35" hidden="1" customHeight="1" spans="1:15">
      <c r="A689" s="5"/>
      <c r="B689" s="6" t="s">
        <v>2906</v>
      </c>
      <c r="C689" s="6">
        <v>2018</v>
      </c>
      <c r="D689" s="6">
        <v>1</v>
      </c>
      <c r="E689" s="7">
        <v>46</v>
      </c>
      <c r="F689" s="6" t="s">
        <v>3694</v>
      </c>
      <c r="G689" s="6" t="s">
        <v>2908</v>
      </c>
      <c r="H689" s="6" t="s">
        <v>2909</v>
      </c>
      <c r="I689" s="8"/>
      <c r="J689" s="8">
        <v>130476</v>
      </c>
      <c r="K689" s="6" t="s">
        <v>3588</v>
      </c>
      <c r="L689" s="6" t="s">
        <v>1118</v>
      </c>
      <c r="N689" s="6" t="s">
        <v>1118</v>
      </c>
      <c r="O689" s="29">
        <v>136999.8</v>
      </c>
    </row>
    <row r="690" s="1" customFormat="1" ht="16.35" hidden="1" customHeight="1" spans="1:16">
      <c r="A690" s="5"/>
      <c r="B690" s="6" t="s">
        <v>2906</v>
      </c>
      <c r="C690" s="6">
        <v>2018</v>
      </c>
      <c r="D690" s="6">
        <v>1</v>
      </c>
      <c r="E690" s="7">
        <v>48</v>
      </c>
      <c r="F690" s="6" t="s">
        <v>3531</v>
      </c>
      <c r="G690" s="6" t="s">
        <v>2908</v>
      </c>
      <c r="H690" s="6" t="s">
        <v>2909</v>
      </c>
      <c r="I690" s="8"/>
      <c r="J690" s="8">
        <v>26667</v>
      </c>
      <c r="K690" s="6" t="s">
        <v>3103</v>
      </c>
      <c r="L690" s="6" t="s">
        <v>1316</v>
      </c>
      <c r="N690" s="6" t="s">
        <v>1316</v>
      </c>
      <c r="O690" s="29">
        <v>28000.35</v>
      </c>
      <c r="P690" s="1">
        <f>O690-J690</f>
        <v>1333.35</v>
      </c>
    </row>
    <row r="691" s="1" customFormat="1" ht="16.35" hidden="1" customHeight="1" spans="1:15">
      <c r="A691" s="5"/>
      <c r="B691" s="6" t="s">
        <v>2906</v>
      </c>
      <c r="C691" s="6">
        <v>2018</v>
      </c>
      <c r="D691" s="6">
        <v>1</v>
      </c>
      <c r="E691" s="7">
        <v>49</v>
      </c>
      <c r="F691" s="6" t="s">
        <v>3695</v>
      </c>
      <c r="G691" s="6" t="s">
        <v>2908</v>
      </c>
      <c r="H691" s="6" t="s">
        <v>2909</v>
      </c>
      <c r="I691" s="8"/>
      <c r="J691" s="8">
        <v>9524</v>
      </c>
      <c r="K691" s="6" t="s">
        <v>3507</v>
      </c>
      <c r="L691" s="6" t="s">
        <v>1432</v>
      </c>
      <c r="N691" s="6" t="s">
        <v>1432</v>
      </c>
      <c r="O691" s="29">
        <v>10000.2</v>
      </c>
    </row>
    <row r="692" s="1" customFormat="1" ht="16.35" hidden="1" customHeight="1" spans="1:15">
      <c r="A692" s="5"/>
      <c r="B692" s="6" t="s">
        <v>2906</v>
      </c>
      <c r="C692" s="6">
        <v>2018</v>
      </c>
      <c r="D692" s="6">
        <v>1</v>
      </c>
      <c r="E692" s="7">
        <v>50</v>
      </c>
      <c r="F692" s="6" t="s">
        <v>3696</v>
      </c>
      <c r="G692" s="6" t="s">
        <v>2908</v>
      </c>
      <c r="H692" s="6" t="s">
        <v>2909</v>
      </c>
      <c r="I692" s="8"/>
      <c r="J692" s="8">
        <v>19048</v>
      </c>
      <c r="K692" s="6" t="s">
        <v>3513</v>
      </c>
      <c r="L692" s="6" t="s">
        <v>1485</v>
      </c>
      <c r="N692" s="6" t="s">
        <v>1485</v>
      </c>
      <c r="O692" s="29">
        <v>20000.4</v>
      </c>
    </row>
    <row r="693" s="1" customFormat="1" ht="16.35" hidden="1" customHeight="1" spans="1:15">
      <c r="A693" s="5"/>
      <c r="B693" s="6" t="s">
        <v>2906</v>
      </c>
      <c r="C693" s="6">
        <v>2018</v>
      </c>
      <c r="D693" s="6">
        <v>1</v>
      </c>
      <c r="E693" s="7">
        <v>52</v>
      </c>
      <c r="F693" s="6" t="s">
        <v>3697</v>
      </c>
      <c r="G693" s="6" t="s">
        <v>2908</v>
      </c>
      <c r="H693" s="6" t="s">
        <v>2909</v>
      </c>
      <c r="I693" s="8"/>
      <c r="J693" s="8">
        <v>77381</v>
      </c>
      <c r="K693" s="6" t="s">
        <v>3592</v>
      </c>
      <c r="L693" s="6" t="s">
        <v>1481</v>
      </c>
      <c r="N693" s="6" t="s">
        <v>1481</v>
      </c>
      <c r="O693" s="29">
        <v>81250.05</v>
      </c>
    </row>
    <row r="694" s="1" customFormat="1" ht="16.35" hidden="1" customHeight="1" spans="1:16">
      <c r="A694" s="5"/>
      <c r="B694" s="6" t="s">
        <v>2906</v>
      </c>
      <c r="C694" s="6">
        <v>2018</v>
      </c>
      <c r="D694" s="6">
        <v>1</v>
      </c>
      <c r="E694" s="7">
        <v>53</v>
      </c>
      <c r="F694" s="6" t="s">
        <v>3698</v>
      </c>
      <c r="G694" s="6" t="s">
        <v>2908</v>
      </c>
      <c r="H694" s="6" t="s">
        <v>2909</v>
      </c>
      <c r="I694" s="8"/>
      <c r="J694" s="8">
        <v>8571</v>
      </c>
      <c r="K694" s="6" t="s">
        <v>3642</v>
      </c>
      <c r="L694" s="6" t="s">
        <v>1096</v>
      </c>
      <c r="N694" s="6" t="s">
        <v>1096</v>
      </c>
      <c r="O694" s="29">
        <v>8999.55</v>
      </c>
      <c r="P694" s="1">
        <f>O694-J694</f>
        <v>428.549999999999</v>
      </c>
    </row>
    <row r="695" s="1" customFormat="1" ht="16.35" hidden="1" customHeight="1" spans="1:15">
      <c r="A695" s="5"/>
      <c r="B695" s="6" t="s">
        <v>2906</v>
      </c>
      <c r="C695" s="6">
        <v>2018</v>
      </c>
      <c r="D695" s="6">
        <v>1</v>
      </c>
      <c r="E695" s="7">
        <v>54</v>
      </c>
      <c r="F695" s="6" t="s">
        <v>3699</v>
      </c>
      <c r="G695" s="6" t="s">
        <v>2908</v>
      </c>
      <c r="H695" s="6" t="s">
        <v>2909</v>
      </c>
      <c r="I695" s="8"/>
      <c r="J695" s="8">
        <v>4762</v>
      </c>
      <c r="K695" s="6" t="s">
        <v>3700</v>
      </c>
      <c r="L695" s="6" t="s">
        <v>1178</v>
      </c>
      <c r="N695" s="6" t="s">
        <v>1178</v>
      </c>
      <c r="O695" s="29">
        <v>5000.1</v>
      </c>
    </row>
    <row r="696" s="1" customFormat="1" ht="16.35" hidden="1" customHeight="1" spans="1:15">
      <c r="A696" s="5"/>
      <c r="B696" s="6" t="s">
        <v>2906</v>
      </c>
      <c r="C696" s="6">
        <v>2018</v>
      </c>
      <c r="D696" s="6">
        <v>1</v>
      </c>
      <c r="E696" s="7">
        <v>57</v>
      </c>
      <c r="F696" s="6" t="s">
        <v>3701</v>
      </c>
      <c r="G696" s="6" t="s">
        <v>2908</v>
      </c>
      <c r="H696" s="6" t="s">
        <v>2909</v>
      </c>
      <c r="I696" s="8"/>
      <c r="J696" s="8">
        <v>95238</v>
      </c>
      <c r="K696" s="6" t="s">
        <v>3547</v>
      </c>
      <c r="L696" s="6" t="s">
        <v>1347</v>
      </c>
      <c r="N696" s="6" t="s">
        <v>1347</v>
      </c>
      <c r="O696" s="29">
        <v>99999.9</v>
      </c>
    </row>
    <row r="697" s="1" customFormat="1" ht="16.35" hidden="1" customHeight="1" spans="1:15">
      <c r="A697" s="5"/>
      <c r="B697" s="6" t="s">
        <v>2906</v>
      </c>
      <c r="C697" s="6">
        <v>2018</v>
      </c>
      <c r="D697" s="6">
        <v>1</v>
      </c>
      <c r="E697" s="7">
        <v>58</v>
      </c>
      <c r="F697" s="6" t="s">
        <v>3702</v>
      </c>
      <c r="G697" s="6" t="s">
        <v>2908</v>
      </c>
      <c r="H697" s="6" t="s">
        <v>2909</v>
      </c>
      <c r="I697" s="8"/>
      <c r="J697" s="8">
        <v>218159</v>
      </c>
      <c r="K697" s="6" t="s">
        <v>3703</v>
      </c>
      <c r="L697" s="6" t="s">
        <v>1561</v>
      </c>
      <c r="N697" s="6" t="s">
        <v>1561</v>
      </c>
      <c r="O697" s="29">
        <v>229066.95</v>
      </c>
    </row>
    <row r="698" s="1" customFormat="1" ht="16.35" hidden="1" customHeight="1" spans="1:15">
      <c r="A698" s="5"/>
      <c r="B698" s="6" t="s">
        <v>2906</v>
      </c>
      <c r="C698" s="6">
        <v>2018</v>
      </c>
      <c r="D698" s="6">
        <v>2</v>
      </c>
      <c r="E698" s="7">
        <v>3</v>
      </c>
      <c r="F698" s="6" t="s">
        <v>3704</v>
      </c>
      <c r="G698" s="6" t="s">
        <v>2908</v>
      </c>
      <c r="H698" s="6" t="s">
        <v>2909</v>
      </c>
      <c r="I698" s="8"/>
      <c r="J698" s="8">
        <v>72429</v>
      </c>
      <c r="K698" s="6" t="s">
        <v>3705</v>
      </c>
      <c r="L698" s="6" t="s">
        <v>1519</v>
      </c>
      <c r="N698" s="6" t="s">
        <v>1519</v>
      </c>
      <c r="O698" s="29">
        <v>76050.45</v>
      </c>
    </row>
    <row r="699" s="1" customFormat="1" ht="16.35" hidden="1" customHeight="1" spans="1:15">
      <c r="A699" s="5"/>
      <c r="B699" s="6" t="s">
        <v>2906</v>
      </c>
      <c r="C699" s="6">
        <v>2018</v>
      </c>
      <c r="D699" s="6">
        <v>2</v>
      </c>
      <c r="E699" s="7">
        <v>4</v>
      </c>
      <c r="F699" s="6" t="s">
        <v>3706</v>
      </c>
      <c r="G699" s="6" t="s">
        <v>2908</v>
      </c>
      <c r="H699" s="6" t="s">
        <v>2909</v>
      </c>
      <c r="I699" s="8"/>
      <c r="J699" s="8">
        <v>4762</v>
      </c>
      <c r="K699" s="6" t="s">
        <v>3707</v>
      </c>
      <c r="L699" s="6" t="s">
        <v>1470</v>
      </c>
      <c r="N699" s="6" t="s">
        <v>1470</v>
      </c>
      <c r="O699" s="29">
        <v>5000.1</v>
      </c>
    </row>
    <row r="700" s="1" customFormat="1" ht="16.35" hidden="1" customHeight="1" spans="1:15">
      <c r="A700" s="5"/>
      <c r="B700" s="6" t="s">
        <v>2906</v>
      </c>
      <c r="C700" s="6">
        <v>2018</v>
      </c>
      <c r="D700" s="6">
        <v>2</v>
      </c>
      <c r="E700" s="7">
        <v>5</v>
      </c>
      <c r="F700" s="6" t="s">
        <v>3708</v>
      </c>
      <c r="G700" s="6" t="s">
        <v>2908</v>
      </c>
      <c r="H700" s="6" t="s">
        <v>2909</v>
      </c>
      <c r="I700" s="8"/>
      <c r="J700" s="8">
        <v>8762</v>
      </c>
      <c r="K700" s="6" t="s">
        <v>3565</v>
      </c>
      <c r="L700" s="6" t="s">
        <v>1493</v>
      </c>
      <c r="N700" s="6" t="s">
        <v>1493</v>
      </c>
      <c r="O700" s="29">
        <v>9200.1</v>
      </c>
    </row>
    <row r="701" s="1" customFormat="1" ht="16.35" hidden="1" customHeight="1" spans="1:15">
      <c r="A701" s="5"/>
      <c r="B701" s="6" t="s">
        <v>2906</v>
      </c>
      <c r="C701" s="6">
        <v>2018</v>
      </c>
      <c r="D701" s="6">
        <v>2</v>
      </c>
      <c r="E701" s="7">
        <v>6</v>
      </c>
      <c r="F701" s="6" t="s">
        <v>3572</v>
      </c>
      <c r="G701" s="6" t="s">
        <v>2908</v>
      </c>
      <c r="H701" s="6" t="s">
        <v>2909</v>
      </c>
      <c r="I701" s="8"/>
      <c r="J701" s="8">
        <v>118476</v>
      </c>
      <c r="K701" s="6" t="s">
        <v>3573</v>
      </c>
      <c r="L701" s="6" t="s">
        <v>991</v>
      </c>
      <c r="N701" s="6" t="s">
        <v>991</v>
      </c>
      <c r="O701" s="29">
        <v>124399.8</v>
      </c>
    </row>
    <row r="702" s="1" customFormat="1" ht="16.35" hidden="1" customHeight="1" spans="1:15">
      <c r="A702" s="5"/>
      <c r="B702" s="6" t="s">
        <v>2906</v>
      </c>
      <c r="C702" s="6">
        <v>2018</v>
      </c>
      <c r="D702" s="6">
        <v>2</v>
      </c>
      <c r="E702" s="7">
        <v>7</v>
      </c>
      <c r="F702" s="6" t="s">
        <v>3653</v>
      </c>
      <c r="G702" s="6" t="s">
        <v>2908</v>
      </c>
      <c r="H702" s="6" t="s">
        <v>2909</v>
      </c>
      <c r="I702" s="8"/>
      <c r="J702" s="8">
        <v>9524</v>
      </c>
      <c r="K702" s="6" t="s">
        <v>3485</v>
      </c>
      <c r="L702" s="6" t="s">
        <v>1055</v>
      </c>
      <c r="N702" s="6" t="s">
        <v>1055</v>
      </c>
      <c r="O702" s="29">
        <v>10000.2</v>
      </c>
    </row>
    <row r="703" s="1" customFormat="1" ht="16.35" hidden="1" customHeight="1" spans="1:15">
      <c r="A703" s="5"/>
      <c r="B703" s="6" t="s">
        <v>2906</v>
      </c>
      <c r="C703" s="6">
        <v>2018</v>
      </c>
      <c r="D703" s="6">
        <v>2</v>
      </c>
      <c r="E703" s="7">
        <v>8</v>
      </c>
      <c r="F703" s="6" t="s">
        <v>3568</v>
      </c>
      <c r="G703" s="6" t="s">
        <v>2908</v>
      </c>
      <c r="H703" s="6" t="s">
        <v>2909</v>
      </c>
      <c r="I703" s="8"/>
      <c r="J703" s="8">
        <v>17143</v>
      </c>
      <c r="K703" s="6" t="s">
        <v>3569</v>
      </c>
      <c r="L703" s="6" t="s">
        <v>1110</v>
      </c>
      <c r="N703" s="6" t="s">
        <v>1110</v>
      </c>
      <c r="O703" s="29">
        <v>18000.15</v>
      </c>
    </row>
    <row r="704" s="1" customFormat="1" ht="16.35" hidden="1" customHeight="1" spans="1:15">
      <c r="A704" s="5"/>
      <c r="B704" s="6" t="s">
        <v>2906</v>
      </c>
      <c r="C704" s="6">
        <v>2018</v>
      </c>
      <c r="D704" s="6">
        <v>2</v>
      </c>
      <c r="E704" s="7">
        <v>9</v>
      </c>
      <c r="F704" s="6" t="s">
        <v>3623</v>
      </c>
      <c r="G704" s="6" t="s">
        <v>2908</v>
      </c>
      <c r="H704" s="6" t="s">
        <v>2909</v>
      </c>
      <c r="I704" s="8"/>
      <c r="J704" s="8">
        <v>8571</v>
      </c>
      <c r="K704" s="6" t="s">
        <v>3518</v>
      </c>
      <c r="L704" s="6" t="s">
        <v>1472</v>
      </c>
      <c r="N704" s="6" t="s">
        <v>1472</v>
      </c>
      <c r="O704" s="29">
        <v>8999.55</v>
      </c>
    </row>
    <row r="705" s="1" customFormat="1" ht="16.35" hidden="1" customHeight="1" spans="1:15">
      <c r="A705" s="5"/>
      <c r="B705" s="6" t="s">
        <v>2906</v>
      </c>
      <c r="C705" s="6">
        <v>2018</v>
      </c>
      <c r="D705" s="6">
        <v>2</v>
      </c>
      <c r="E705" s="7">
        <v>10</v>
      </c>
      <c r="F705" s="6" t="s">
        <v>3709</v>
      </c>
      <c r="G705" s="6" t="s">
        <v>2908</v>
      </c>
      <c r="H705" s="6" t="s">
        <v>2909</v>
      </c>
      <c r="I705" s="8"/>
      <c r="J705" s="8">
        <v>9524</v>
      </c>
      <c r="K705" s="6" t="s">
        <v>3509</v>
      </c>
      <c r="L705" s="6" t="s">
        <v>1053</v>
      </c>
      <c r="N705" s="6" t="s">
        <v>1053</v>
      </c>
      <c r="O705" s="29">
        <v>10000.2</v>
      </c>
    </row>
    <row r="706" s="1" customFormat="1" ht="16.35" hidden="1" customHeight="1" spans="1:15">
      <c r="A706" s="5"/>
      <c r="B706" s="6" t="s">
        <v>2906</v>
      </c>
      <c r="C706" s="6">
        <v>2018</v>
      </c>
      <c r="D706" s="6">
        <v>2</v>
      </c>
      <c r="E706" s="7">
        <v>11</v>
      </c>
      <c r="F706" s="6" t="s">
        <v>3710</v>
      </c>
      <c r="G706" s="6" t="s">
        <v>2908</v>
      </c>
      <c r="H706" s="6" t="s">
        <v>2909</v>
      </c>
      <c r="I706" s="8"/>
      <c r="J706" s="8">
        <v>69738</v>
      </c>
      <c r="K706" s="6" t="s">
        <v>3637</v>
      </c>
      <c r="L706" s="6" t="s">
        <v>1182</v>
      </c>
      <c r="N706" s="6" t="s">
        <v>1182</v>
      </c>
      <c r="O706" s="29">
        <v>73224.9</v>
      </c>
    </row>
    <row r="707" s="1" customFormat="1" ht="16.35" hidden="1" customHeight="1" spans="1:15">
      <c r="A707" s="5"/>
      <c r="B707" s="6" t="s">
        <v>2906</v>
      </c>
      <c r="C707" s="6">
        <v>2018</v>
      </c>
      <c r="D707" s="6">
        <v>2</v>
      </c>
      <c r="E707" s="7">
        <v>12</v>
      </c>
      <c r="F707" s="6" t="s">
        <v>3711</v>
      </c>
      <c r="G707" s="6" t="s">
        <v>2908</v>
      </c>
      <c r="H707" s="6" t="s">
        <v>2909</v>
      </c>
      <c r="I707" s="8"/>
      <c r="J707" s="8">
        <v>49918</v>
      </c>
      <c r="K707" s="6" t="s">
        <v>3712</v>
      </c>
      <c r="L707" s="6" t="s">
        <v>1099</v>
      </c>
      <c r="N707" s="6" t="s">
        <v>1099</v>
      </c>
      <c r="O707" s="29">
        <v>52413.9</v>
      </c>
    </row>
    <row r="708" s="1" customFormat="1" ht="16.35" hidden="1" customHeight="1" spans="1:15">
      <c r="A708" s="5"/>
      <c r="B708" s="6" t="s">
        <v>2906</v>
      </c>
      <c r="C708" s="6">
        <v>2018</v>
      </c>
      <c r="D708" s="6">
        <v>2</v>
      </c>
      <c r="E708" s="7">
        <v>13</v>
      </c>
      <c r="F708" s="6" t="s">
        <v>3713</v>
      </c>
      <c r="G708" s="6" t="s">
        <v>2908</v>
      </c>
      <c r="H708" s="6" t="s">
        <v>2909</v>
      </c>
      <c r="I708" s="8"/>
      <c r="J708" s="8">
        <v>105038</v>
      </c>
      <c r="K708" s="6" t="s">
        <v>3714</v>
      </c>
      <c r="L708" s="6" t="s">
        <v>1194</v>
      </c>
      <c r="N708" s="6" t="s">
        <v>1194</v>
      </c>
      <c r="O708" s="29">
        <v>110289.9</v>
      </c>
    </row>
    <row r="709" s="1" customFormat="1" ht="16.35" hidden="1" customHeight="1" spans="1:15">
      <c r="A709" s="5"/>
      <c r="B709" s="6" t="s">
        <v>2906</v>
      </c>
      <c r="C709" s="6">
        <v>2018</v>
      </c>
      <c r="D709" s="6">
        <v>2</v>
      </c>
      <c r="E709" s="7">
        <v>14</v>
      </c>
      <c r="F709" s="6" t="s">
        <v>3715</v>
      </c>
      <c r="G709" s="6" t="s">
        <v>2908</v>
      </c>
      <c r="H709" s="6" t="s">
        <v>2909</v>
      </c>
      <c r="I709" s="8"/>
      <c r="J709" s="8">
        <v>13333</v>
      </c>
      <c r="K709" s="6" t="s">
        <v>3637</v>
      </c>
      <c r="L709" s="6" t="s">
        <v>1182</v>
      </c>
      <c r="N709" s="6" t="s">
        <v>1182</v>
      </c>
      <c r="O709" s="29">
        <v>13999.65</v>
      </c>
    </row>
    <row r="710" s="1" customFormat="1" ht="16.35" hidden="1" customHeight="1" spans="1:15">
      <c r="A710" s="5"/>
      <c r="B710" s="6" t="s">
        <v>2906</v>
      </c>
      <c r="C710" s="6">
        <v>2018</v>
      </c>
      <c r="D710" s="6">
        <v>2</v>
      </c>
      <c r="E710" s="7">
        <v>15</v>
      </c>
      <c r="F710" s="6" t="s">
        <v>3716</v>
      </c>
      <c r="G710" s="6" t="s">
        <v>2908</v>
      </c>
      <c r="H710" s="6" t="s">
        <v>2909</v>
      </c>
      <c r="I710" s="8"/>
      <c r="J710" s="8">
        <v>44787</v>
      </c>
      <c r="K710" s="6" t="s">
        <v>3683</v>
      </c>
      <c r="L710" s="6" t="s">
        <v>1200</v>
      </c>
      <c r="N710" s="6" t="s">
        <v>1200</v>
      </c>
      <c r="O710" s="29">
        <v>47026.35</v>
      </c>
    </row>
    <row r="711" s="1" customFormat="1" ht="16.35" hidden="1" customHeight="1" spans="1:15">
      <c r="A711" s="5"/>
      <c r="B711" s="6" t="s">
        <v>2906</v>
      </c>
      <c r="C711" s="6">
        <v>2018</v>
      </c>
      <c r="D711" s="6">
        <v>2</v>
      </c>
      <c r="E711" s="7">
        <v>16</v>
      </c>
      <c r="F711" s="6" t="s">
        <v>3717</v>
      </c>
      <c r="G711" s="6" t="s">
        <v>2908</v>
      </c>
      <c r="H711" s="6" t="s">
        <v>2909</v>
      </c>
      <c r="I711" s="8"/>
      <c r="J711" s="8">
        <v>125714</v>
      </c>
      <c r="K711" s="6" t="s">
        <v>3518</v>
      </c>
      <c r="L711" s="6" t="s">
        <v>1472</v>
      </c>
      <c r="N711" s="6" t="s">
        <v>1472</v>
      </c>
      <c r="O711" s="29">
        <v>131999.7</v>
      </c>
    </row>
    <row r="712" s="1" customFormat="1" ht="16.35" hidden="1" customHeight="1" spans="1:15">
      <c r="A712" s="5"/>
      <c r="B712" s="6" t="s">
        <v>2906</v>
      </c>
      <c r="C712" s="6">
        <v>2018</v>
      </c>
      <c r="D712" s="6">
        <v>2</v>
      </c>
      <c r="E712" s="7">
        <v>17</v>
      </c>
      <c r="F712" s="6" t="s">
        <v>3521</v>
      </c>
      <c r="G712" s="6" t="s">
        <v>2908</v>
      </c>
      <c r="H712" s="6" t="s">
        <v>2909</v>
      </c>
      <c r="I712" s="8"/>
      <c r="J712" s="8">
        <v>168571</v>
      </c>
      <c r="K712" s="6" t="s">
        <v>3522</v>
      </c>
      <c r="L712" s="6" t="s">
        <v>1621</v>
      </c>
      <c r="N712" s="6" t="s">
        <v>1621</v>
      </c>
      <c r="O712" s="29">
        <v>176999.55</v>
      </c>
    </row>
    <row r="713" s="1" customFormat="1" ht="16.35" hidden="1" customHeight="1" spans="1:15">
      <c r="A713" s="5"/>
      <c r="B713" s="6" t="s">
        <v>2906</v>
      </c>
      <c r="C713" s="6">
        <v>2018</v>
      </c>
      <c r="D713" s="6">
        <v>2</v>
      </c>
      <c r="E713" s="7">
        <v>18</v>
      </c>
      <c r="F713" s="6" t="s">
        <v>3560</v>
      </c>
      <c r="G713" s="6" t="s">
        <v>2908</v>
      </c>
      <c r="H713" s="6" t="s">
        <v>2909</v>
      </c>
      <c r="I713" s="8"/>
      <c r="J713" s="8">
        <v>180952</v>
      </c>
      <c r="K713" s="6" t="s">
        <v>3561</v>
      </c>
      <c r="L713" s="6" t="s">
        <v>1645</v>
      </c>
      <c r="N713" s="6" t="s">
        <v>1645</v>
      </c>
      <c r="O713" s="29">
        <v>189999.6</v>
      </c>
    </row>
    <row r="714" s="1" customFormat="1" ht="16.35" hidden="1" customHeight="1" spans="1:15">
      <c r="A714" s="5"/>
      <c r="B714" s="6" t="s">
        <v>2906</v>
      </c>
      <c r="C714" s="6">
        <v>2018</v>
      </c>
      <c r="D714" s="6">
        <v>2</v>
      </c>
      <c r="E714" s="7">
        <v>21</v>
      </c>
      <c r="F714" s="6" t="s">
        <v>3718</v>
      </c>
      <c r="G714" s="6" t="s">
        <v>2908</v>
      </c>
      <c r="H714" s="6" t="s">
        <v>2909</v>
      </c>
      <c r="I714" s="8"/>
      <c r="J714" s="8">
        <v>136190</v>
      </c>
      <c r="K714" s="6" t="s">
        <v>3556</v>
      </c>
      <c r="L714" s="6" t="s">
        <v>989</v>
      </c>
      <c r="N714" s="6" t="s">
        <v>989</v>
      </c>
      <c r="O714" s="29">
        <v>142999.5</v>
      </c>
    </row>
    <row r="715" s="1" customFormat="1" ht="16.35" hidden="1" customHeight="1" spans="1:15">
      <c r="A715" s="5"/>
      <c r="B715" s="6" t="s">
        <v>2906</v>
      </c>
      <c r="C715" s="6">
        <v>2018</v>
      </c>
      <c r="D715" s="6">
        <v>2</v>
      </c>
      <c r="E715" s="7">
        <v>22</v>
      </c>
      <c r="F715" s="6" t="s">
        <v>3719</v>
      </c>
      <c r="G715" s="6" t="s">
        <v>2908</v>
      </c>
      <c r="H715" s="6" t="s">
        <v>2909</v>
      </c>
      <c r="I715" s="8"/>
      <c r="J715" s="8">
        <v>128571</v>
      </c>
      <c r="K715" s="6" t="s">
        <v>3650</v>
      </c>
      <c r="L715" s="6" t="s">
        <v>1517</v>
      </c>
      <c r="N715" s="6" t="s">
        <v>1517</v>
      </c>
      <c r="O715" s="29">
        <v>134999.55</v>
      </c>
    </row>
    <row r="716" s="1" customFormat="1" ht="16.35" hidden="1" customHeight="1" spans="1:15">
      <c r="A716" s="5"/>
      <c r="B716" s="6" t="s">
        <v>2906</v>
      </c>
      <c r="C716" s="6">
        <v>2018</v>
      </c>
      <c r="D716" s="6">
        <v>2</v>
      </c>
      <c r="E716" s="7">
        <v>24</v>
      </c>
      <c r="F716" s="6" t="s">
        <v>3720</v>
      </c>
      <c r="G716" s="6" t="s">
        <v>2908</v>
      </c>
      <c r="H716" s="6" t="s">
        <v>2909</v>
      </c>
      <c r="I716" s="8"/>
      <c r="J716" s="8">
        <v>-210459</v>
      </c>
      <c r="K716" s="6" t="s">
        <v>3577</v>
      </c>
      <c r="L716" s="6" t="s">
        <v>1545</v>
      </c>
      <c r="N716" s="6" t="s">
        <v>1545</v>
      </c>
      <c r="O716" s="29">
        <v>-220981.95</v>
      </c>
    </row>
    <row r="717" s="1" customFormat="1" ht="16.35" hidden="1" customHeight="1" spans="1:15">
      <c r="A717" s="5"/>
      <c r="B717" s="6" t="s">
        <v>2906</v>
      </c>
      <c r="C717" s="6">
        <v>2018</v>
      </c>
      <c r="D717" s="6">
        <v>2</v>
      </c>
      <c r="E717" s="7">
        <v>25</v>
      </c>
      <c r="F717" s="6" t="s">
        <v>3721</v>
      </c>
      <c r="G717" s="6" t="s">
        <v>2908</v>
      </c>
      <c r="H717" s="6" t="s">
        <v>2909</v>
      </c>
      <c r="I717" s="8"/>
      <c r="J717" s="8">
        <v>165714</v>
      </c>
      <c r="K717" s="6" t="s">
        <v>3584</v>
      </c>
      <c r="L717" s="6" t="s">
        <v>1077</v>
      </c>
      <c r="N717" s="6" t="s">
        <v>1077</v>
      </c>
      <c r="O717" s="29">
        <v>173999.7</v>
      </c>
    </row>
    <row r="718" s="1" customFormat="1" ht="16.35" hidden="1" customHeight="1" spans="1:15">
      <c r="A718" s="5"/>
      <c r="B718" s="6" t="s">
        <v>2906</v>
      </c>
      <c r="C718" s="6">
        <v>2018</v>
      </c>
      <c r="D718" s="6">
        <v>2</v>
      </c>
      <c r="E718" s="7">
        <v>26</v>
      </c>
      <c r="F718" s="6" t="s">
        <v>3579</v>
      </c>
      <c r="G718" s="6" t="s">
        <v>2908</v>
      </c>
      <c r="H718" s="6" t="s">
        <v>2909</v>
      </c>
      <c r="I718" s="8"/>
      <c r="J718" s="8">
        <v>148571</v>
      </c>
      <c r="K718" s="6" t="s">
        <v>3580</v>
      </c>
      <c r="L718" s="6" t="s">
        <v>1162</v>
      </c>
      <c r="N718" s="6" t="s">
        <v>1162</v>
      </c>
      <c r="O718" s="29">
        <v>155999.55</v>
      </c>
    </row>
    <row r="719" s="1" customFormat="1" ht="16.35" hidden="1" customHeight="1" spans="1:15">
      <c r="A719" s="5"/>
      <c r="B719" s="6" t="s">
        <v>2906</v>
      </c>
      <c r="C719" s="6">
        <v>2018</v>
      </c>
      <c r="D719" s="6">
        <v>2</v>
      </c>
      <c r="E719" s="7">
        <v>27</v>
      </c>
      <c r="F719" s="6" t="s">
        <v>3722</v>
      </c>
      <c r="G719" s="6" t="s">
        <v>2908</v>
      </c>
      <c r="H719" s="6" t="s">
        <v>2909</v>
      </c>
      <c r="I719" s="8"/>
      <c r="J719" s="8">
        <v>9524</v>
      </c>
      <c r="K719" s="6" t="s">
        <v>3058</v>
      </c>
      <c r="L719" s="6" t="s">
        <v>1565</v>
      </c>
      <c r="N719" s="6" t="s">
        <v>1565</v>
      </c>
      <c r="O719" s="29">
        <v>10000.2</v>
      </c>
    </row>
    <row r="720" s="1" customFormat="1" ht="16.35" hidden="1" customHeight="1" spans="1:15">
      <c r="A720" s="5"/>
      <c r="B720" s="6" t="s">
        <v>2906</v>
      </c>
      <c r="C720" s="6">
        <v>2018</v>
      </c>
      <c r="D720" s="6">
        <v>2</v>
      </c>
      <c r="E720" s="7">
        <v>28</v>
      </c>
      <c r="F720" s="6" t="s">
        <v>3723</v>
      </c>
      <c r="G720" s="6" t="s">
        <v>2908</v>
      </c>
      <c r="H720" s="6" t="s">
        <v>2909</v>
      </c>
      <c r="I720" s="8"/>
      <c r="J720" s="8">
        <v>150476</v>
      </c>
      <c r="K720" s="6" t="s">
        <v>3494</v>
      </c>
      <c r="L720" s="6" t="s">
        <v>1269</v>
      </c>
      <c r="N720" s="6" t="s">
        <v>1269</v>
      </c>
      <c r="O720" s="29">
        <v>157999.8</v>
      </c>
    </row>
    <row r="721" s="1" customFormat="1" ht="16.35" hidden="1" customHeight="1" spans="1:15">
      <c r="A721" s="5"/>
      <c r="B721" s="6" t="s">
        <v>2906</v>
      </c>
      <c r="C721" s="6">
        <v>2018</v>
      </c>
      <c r="D721" s="6">
        <v>2</v>
      </c>
      <c r="E721" s="7">
        <v>29</v>
      </c>
      <c r="F721" s="6" t="s">
        <v>3724</v>
      </c>
      <c r="G721" s="6" t="s">
        <v>2908</v>
      </c>
      <c r="H721" s="6" t="s">
        <v>2909</v>
      </c>
      <c r="I721" s="8"/>
      <c r="J721" s="8">
        <v>145714</v>
      </c>
      <c r="K721" s="6" t="s">
        <v>3460</v>
      </c>
      <c r="L721" s="6" t="s">
        <v>1009</v>
      </c>
      <c r="N721" s="6" t="s">
        <v>1009</v>
      </c>
      <c r="O721" s="29">
        <v>152999.7</v>
      </c>
    </row>
    <row r="722" s="1" customFormat="1" ht="16.35" hidden="1" customHeight="1" spans="1:15">
      <c r="A722" s="5"/>
      <c r="B722" s="6" t="s">
        <v>2906</v>
      </c>
      <c r="C722" s="6">
        <v>2018</v>
      </c>
      <c r="D722" s="6">
        <v>2</v>
      </c>
      <c r="E722" s="7">
        <v>30</v>
      </c>
      <c r="F722" s="6" t="s">
        <v>3562</v>
      </c>
      <c r="G722" s="6" t="s">
        <v>2908</v>
      </c>
      <c r="H722" s="6" t="s">
        <v>2909</v>
      </c>
      <c r="I722" s="8"/>
      <c r="J722" s="8">
        <v>131429</v>
      </c>
      <c r="K722" s="6" t="s">
        <v>3563</v>
      </c>
      <c r="L722" s="6" t="s">
        <v>1495</v>
      </c>
      <c r="N722" s="6" t="s">
        <v>1495</v>
      </c>
      <c r="O722" s="29">
        <v>138000.45</v>
      </c>
    </row>
    <row r="723" s="1" customFormat="1" ht="16.35" hidden="1" customHeight="1" spans="1:15">
      <c r="A723" s="5"/>
      <c r="B723" s="6" t="s">
        <v>2906</v>
      </c>
      <c r="C723" s="6">
        <v>2018</v>
      </c>
      <c r="D723" s="6">
        <v>2</v>
      </c>
      <c r="E723" s="7">
        <v>31</v>
      </c>
      <c r="F723" s="6" t="s">
        <v>3709</v>
      </c>
      <c r="G723" s="6" t="s">
        <v>2908</v>
      </c>
      <c r="H723" s="6" t="s">
        <v>2909</v>
      </c>
      <c r="I723" s="8"/>
      <c r="J723" s="8">
        <v>145714</v>
      </c>
      <c r="K723" s="6" t="s">
        <v>3509</v>
      </c>
      <c r="L723" s="6" t="s">
        <v>1053</v>
      </c>
      <c r="N723" s="6" t="s">
        <v>1053</v>
      </c>
      <c r="O723" s="29">
        <v>152999.7</v>
      </c>
    </row>
    <row r="724" s="1" customFormat="1" ht="16.35" hidden="1" customHeight="1" spans="1:15">
      <c r="A724" s="5"/>
      <c r="B724" s="6" t="s">
        <v>2906</v>
      </c>
      <c r="C724" s="6">
        <v>2018</v>
      </c>
      <c r="D724" s="6">
        <v>2</v>
      </c>
      <c r="E724" s="7">
        <v>32</v>
      </c>
      <c r="F724" s="6" t="s">
        <v>3725</v>
      </c>
      <c r="G724" s="6" t="s">
        <v>2908</v>
      </c>
      <c r="H724" s="6" t="s">
        <v>2909</v>
      </c>
      <c r="I724" s="8"/>
      <c r="J724" s="8">
        <v>43787</v>
      </c>
      <c r="K724" s="6" t="s">
        <v>3700</v>
      </c>
      <c r="L724" s="6" t="s">
        <v>1178</v>
      </c>
      <c r="N724" s="6" t="s">
        <v>1178</v>
      </c>
      <c r="O724" s="29">
        <v>45976.35</v>
      </c>
    </row>
    <row r="725" s="1" customFormat="1" ht="16.35" hidden="1" customHeight="1" spans="1:15">
      <c r="A725" s="5"/>
      <c r="B725" s="6" t="s">
        <v>2906</v>
      </c>
      <c r="C725" s="6">
        <v>2018</v>
      </c>
      <c r="D725" s="6">
        <v>2</v>
      </c>
      <c r="E725" s="7">
        <v>33</v>
      </c>
      <c r="F725" s="6" t="s">
        <v>3726</v>
      </c>
      <c r="G725" s="6" t="s">
        <v>2908</v>
      </c>
      <c r="H725" s="6" t="s">
        <v>2909</v>
      </c>
      <c r="I725" s="8"/>
      <c r="J725" s="8">
        <v>95370</v>
      </c>
      <c r="K725" s="6" t="s">
        <v>3203</v>
      </c>
      <c r="L725" s="6" t="s">
        <v>1563</v>
      </c>
      <c r="N725" s="6" t="s">
        <v>1563</v>
      </c>
      <c r="O725" s="29">
        <v>100138.5</v>
      </c>
    </row>
    <row r="726" s="1" customFormat="1" ht="16.35" hidden="1" customHeight="1" spans="1:16">
      <c r="A726" s="5"/>
      <c r="B726" s="6" t="s">
        <v>2906</v>
      </c>
      <c r="C726" s="6">
        <v>2018</v>
      </c>
      <c r="D726" s="6">
        <v>2</v>
      </c>
      <c r="E726" s="7">
        <v>34</v>
      </c>
      <c r="F726" s="6" t="s">
        <v>3698</v>
      </c>
      <c r="G726" s="6" t="s">
        <v>2908</v>
      </c>
      <c r="H726" s="6" t="s">
        <v>2909</v>
      </c>
      <c r="I726" s="8"/>
      <c r="J726" s="8">
        <v>85714</v>
      </c>
      <c r="K726" s="6" t="s">
        <v>3642</v>
      </c>
      <c r="L726" s="6" t="s">
        <v>1096</v>
      </c>
      <c r="N726" s="6" t="s">
        <v>1096</v>
      </c>
      <c r="O726" s="29">
        <v>89999.7</v>
      </c>
      <c r="P726" s="1">
        <f>O726-J726</f>
        <v>4285.7</v>
      </c>
    </row>
    <row r="727" s="1" customFormat="1" ht="16.35" hidden="1" customHeight="1" spans="1:15">
      <c r="A727" s="5"/>
      <c r="B727" s="6" t="s">
        <v>2906</v>
      </c>
      <c r="C727" s="6">
        <v>2018</v>
      </c>
      <c r="D727" s="6">
        <v>2</v>
      </c>
      <c r="E727" s="7">
        <v>35</v>
      </c>
      <c r="F727" s="6" t="s">
        <v>3727</v>
      </c>
      <c r="G727" s="6" t="s">
        <v>2908</v>
      </c>
      <c r="H727" s="6" t="s">
        <v>2909</v>
      </c>
      <c r="I727" s="8"/>
      <c r="J727" s="8">
        <v>9524</v>
      </c>
      <c r="K727" s="6" t="s">
        <v>3728</v>
      </c>
      <c r="L727" s="6" t="s">
        <v>1365</v>
      </c>
      <c r="N727" s="6" t="s">
        <v>1365</v>
      </c>
      <c r="O727" s="29">
        <v>10000.2</v>
      </c>
    </row>
    <row r="728" s="1" customFormat="1" ht="16.35" hidden="1" customHeight="1" spans="1:15">
      <c r="A728" s="5"/>
      <c r="B728" s="6" t="s">
        <v>2906</v>
      </c>
      <c r="C728" s="6">
        <v>2018</v>
      </c>
      <c r="D728" s="6">
        <v>2</v>
      </c>
      <c r="E728" s="7">
        <v>36</v>
      </c>
      <c r="F728" s="6" t="s">
        <v>3727</v>
      </c>
      <c r="G728" s="6" t="s">
        <v>2908</v>
      </c>
      <c r="H728" s="6" t="s">
        <v>2909</v>
      </c>
      <c r="I728" s="8"/>
      <c r="J728" s="8">
        <v>47619</v>
      </c>
      <c r="K728" s="6" t="s">
        <v>3728</v>
      </c>
      <c r="L728" s="6" t="s">
        <v>1365</v>
      </c>
      <c r="N728" s="6" t="s">
        <v>1365</v>
      </c>
      <c r="O728" s="29">
        <v>49999.95</v>
      </c>
    </row>
    <row r="729" s="1" customFormat="1" ht="16.35" hidden="1" customHeight="1" spans="1:15">
      <c r="A729" s="5"/>
      <c r="B729" s="6" t="s">
        <v>2906</v>
      </c>
      <c r="C729" s="6">
        <v>2018</v>
      </c>
      <c r="D729" s="6">
        <v>2</v>
      </c>
      <c r="E729" s="7">
        <v>37</v>
      </c>
      <c r="F729" s="6" t="s">
        <v>3578</v>
      </c>
      <c r="G729" s="6" t="s">
        <v>2908</v>
      </c>
      <c r="H729" s="6" t="s">
        <v>2909</v>
      </c>
      <c r="I729" s="8"/>
      <c r="J729" s="8">
        <v>47619</v>
      </c>
      <c r="K729" s="6" t="s">
        <v>3096</v>
      </c>
      <c r="L729" s="6" t="s">
        <v>1589</v>
      </c>
      <c r="N729" s="6" t="s">
        <v>1589</v>
      </c>
      <c r="O729" s="29">
        <v>49999.95</v>
      </c>
    </row>
    <row r="730" s="1" customFormat="1" ht="16.35" hidden="1" customHeight="1" spans="1:15">
      <c r="A730" s="5"/>
      <c r="B730" s="6" t="s">
        <v>2906</v>
      </c>
      <c r="C730" s="6">
        <v>2018</v>
      </c>
      <c r="D730" s="6">
        <v>2</v>
      </c>
      <c r="E730" s="7">
        <v>39</v>
      </c>
      <c r="F730" s="6" t="s">
        <v>3729</v>
      </c>
      <c r="G730" s="6" t="s">
        <v>2908</v>
      </c>
      <c r="H730" s="6" t="s">
        <v>2909</v>
      </c>
      <c r="I730" s="8"/>
      <c r="J730" s="8">
        <v>125714</v>
      </c>
      <c r="K730" s="6" t="s">
        <v>3505</v>
      </c>
      <c r="L730" s="6" t="s">
        <v>1454</v>
      </c>
      <c r="N730" s="6" t="s">
        <v>1454</v>
      </c>
      <c r="O730" s="29">
        <v>131999.7</v>
      </c>
    </row>
    <row r="731" s="1" customFormat="1" ht="16.35" hidden="1" customHeight="1" spans="1:15">
      <c r="A731" s="5"/>
      <c r="B731" s="6" t="s">
        <v>2906</v>
      </c>
      <c r="C731" s="6">
        <v>2018</v>
      </c>
      <c r="D731" s="6">
        <v>2</v>
      </c>
      <c r="E731" s="7">
        <v>40</v>
      </c>
      <c r="F731" s="6" t="s">
        <v>3730</v>
      </c>
      <c r="G731" s="6" t="s">
        <v>2908</v>
      </c>
      <c r="H731" s="6" t="s">
        <v>2909</v>
      </c>
      <c r="I731" s="8"/>
      <c r="J731" s="8">
        <v>152381</v>
      </c>
      <c r="K731" s="6" t="s">
        <v>3629</v>
      </c>
      <c r="L731" s="6" t="s">
        <v>1462</v>
      </c>
      <c r="N731" s="6" t="s">
        <v>1462</v>
      </c>
      <c r="O731" s="29">
        <v>160000.05</v>
      </c>
    </row>
    <row r="732" s="1" customFormat="1" ht="16.35" hidden="1" customHeight="1" spans="1:15">
      <c r="A732" s="5"/>
      <c r="B732" s="6" t="s">
        <v>2906</v>
      </c>
      <c r="C732" s="6">
        <v>2018</v>
      </c>
      <c r="D732" s="6">
        <v>2</v>
      </c>
      <c r="E732" s="7">
        <v>41</v>
      </c>
      <c r="F732" s="6" t="s">
        <v>3731</v>
      </c>
      <c r="G732" s="6" t="s">
        <v>2908</v>
      </c>
      <c r="H732" s="6" t="s">
        <v>2909</v>
      </c>
      <c r="I732" s="8"/>
      <c r="J732" s="8">
        <v>120952</v>
      </c>
      <c r="K732" s="6" t="s">
        <v>3323</v>
      </c>
      <c r="L732" s="6" t="s">
        <v>1607</v>
      </c>
      <c r="N732" s="6" t="s">
        <v>1607</v>
      </c>
      <c r="O732" s="29">
        <v>126999.6</v>
      </c>
    </row>
    <row r="733" s="1" customFormat="1" ht="16.35" hidden="1" customHeight="1" spans="1:15">
      <c r="A733" s="5"/>
      <c r="B733" s="6" t="s">
        <v>2906</v>
      </c>
      <c r="C733" s="6">
        <v>2018</v>
      </c>
      <c r="D733" s="6">
        <v>2</v>
      </c>
      <c r="E733" s="7">
        <v>42</v>
      </c>
      <c r="F733" s="6" t="s">
        <v>3732</v>
      </c>
      <c r="G733" s="6" t="s">
        <v>2908</v>
      </c>
      <c r="H733" s="6" t="s">
        <v>2909</v>
      </c>
      <c r="I733" s="8"/>
      <c r="J733" s="8">
        <v>103810</v>
      </c>
      <c r="K733" s="6" t="s">
        <v>3582</v>
      </c>
      <c r="L733" s="6" t="s">
        <v>1090</v>
      </c>
      <c r="N733" s="6" t="s">
        <v>1090</v>
      </c>
      <c r="O733" s="29">
        <v>109000.5</v>
      </c>
    </row>
    <row r="734" s="1" customFormat="1" ht="16.35" hidden="1" customHeight="1" spans="1:15">
      <c r="A734" s="5"/>
      <c r="B734" s="6" t="s">
        <v>2906</v>
      </c>
      <c r="C734" s="6">
        <v>2018</v>
      </c>
      <c r="D734" s="6">
        <v>2</v>
      </c>
      <c r="E734" s="7">
        <v>43</v>
      </c>
      <c r="F734" s="6" t="s">
        <v>3733</v>
      </c>
      <c r="G734" s="6" t="s">
        <v>2908</v>
      </c>
      <c r="H734" s="6" t="s">
        <v>2909</v>
      </c>
      <c r="I734" s="8"/>
      <c r="J734" s="8">
        <v>93333</v>
      </c>
      <c r="K734" s="6" t="s">
        <v>3540</v>
      </c>
      <c r="L734" s="6" t="s">
        <v>1513</v>
      </c>
      <c r="N734" s="6" t="s">
        <v>1513</v>
      </c>
      <c r="O734" s="29">
        <v>97999.65</v>
      </c>
    </row>
    <row r="735" s="1" customFormat="1" ht="16.35" hidden="1" customHeight="1" spans="1:15">
      <c r="A735" s="5"/>
      <c r="B735" s="6" t="s">
        <v>2906</v>
      </c>
      <c r="C735" s="6">
        <v>2018</v>
      </c>
      <c r="D735" s="6">
        <v>2</v>
      </c>
      <c r="E735" s="7">
        <v>44</v>
      </c>
      <c r="F735" s="6" t="s">
        <v>3734</v>
      </c>
      <c r="G735" s="6" t="s">
        <v>2908</v>
      </c>
      <c r="H735" s="6" t="s">
        <v>2909</v>
      </c>
      <c r="I735" s="8"/>
      <c r="J735" s="8">
        <v>94286</v>
      </c>
      <c r="K735" s="6" t="s">
        <v>3537</v>
      </c>
      <c r="L735" s="6" t="s">
        <v>1515</v>
      </c>
      <c r="N735" s="6" t="s">
        <v>1515</v>
      </c>
      <c r="O735" s="29">
        <v>99000.3</v>
      </c>
    </row>
    <row r="736" s="1" customFormat="1" ht="16.35" hidden="1" customHeight="1" spans="1:15">
      <c r="A736" s="5"/>
      <c r="B736" s="6" t="s">
        <v>2906</v>
      </c>
      <c r="C736" s="6">
        <v>2018</v>
      </c>
      <c r="D736" s="6">
        <v>2</v>
      </c>
      <c r="E736" s="7">
        <v>45</v>
      </c>
      <c r="F736" s="6" t="s">
        <v>3735</v>
      </c>
      <c r="G736" s="6" t="s">
        <v>2908</v>
      </c>
      <c r="H736" s="6" t="s">
        <v>2909</v>
      </c>
      <c r="I736" s="8"/>
      <c r="J736" s="8">
        <v>160952</v>
      </c>
      <c r="K736" s="6" t="s">
        <v>3513</v>
      </c>
      <c r="L736" s="6" t="s">
        <v>1485</v>
      </c>
      <c r="N736" s="6" t="s">
        <v>1485</v>
      </c>
      <c r="O736" s="29">
        <v>168999.6</v>
      </c>
    </row>
    <row r="737" s="1" customFormat="1" ht="16.35" hidden="1" customHeight="1" spans="1:15">
      <c r="A737" s="5"/>
      <c r="B737" s="6" t="s">
        <v>2906</v>
      </c>
      <c r="C737" s="6">
        <v>2018</v>
      </c>
      <c r="D737" s="6">
        <v>2</v>
      </c>
      <c r="E737" s="7">
        <v>46</v>
      </c>
      <c r="F737" s="6" t="s">
        <v>3736</v>
      </c>
      <c r="G737" s="6" t="s">
        <v>2908</v>
      </c>
      <c r="H737" s="6" t="s">
        <v>2909</v>
      </c>
      <c r="I737" s="8"/>
      <c r="J737" s="8">
        <v>157143</v>
      </c>
      <c r="K737" s="6" t="s">
        <v>3501</v>
      </c>
      <c r="L737" s="6" t="s">
        <v>1425</v>
      </c>
      <c r="N737" s="6" t="s">
        <v>1425</v>
      </c>
      <c r="O737" s="29">
        <v>165000.15</v>
      </c>
    </row>
    <row r="738" s="1" customFormat="1" ht="16.35" hidden="1" customHeight="1" spans="1:15">
      <c r="A738" s="5"/>
      <c r="B738" s="6" t="s">
        <v>2906</v>
      </c>
      <c r="C738" s="6">
        <v>2018</v>
      </c>
      <c r="D738" s="6">
        <v>2</v>
      </c>
      <c r="E738" s="7">
        <v>47</v>
      </c>
      <c r="F738" s="6" t="s">
        <v>3651</v>
      </c>
      <c r="G738" s="6" t="s">
        <v>2908</v>
      </c>
      <c r="H738" s="6" t="s">
        <v>2909</v>
      </c>
      <c r="I738" s="8"/>
      <c r="J738" s="8">
        <v>43810</v>
      </c>
      <c r="K738" s="6" t="s">
        <v>3652</v>
      </c>
      <c r="L738" s="6" t="s">
        <v>1127</v>
      </c>
      <c r="N738" s="6" t="s">
        <v>1127</v>
      </c>
      <c r="O738" s="29">
        <v>46000.5</v>
      </c>
    </row>
    <row r="739" s="1" customFormat="1" ht="16.35" hidden="1" customHeight="1" spans="1:15">
      <c r="A739" s="5"/>
      <c r="B739" s="6" t="s">
        <v>2906</v>
      </c>
      <c r="C739" s="6">
        <v>2018</v>
      </c>
      <c r="D739" s="6">
        <v>2</v>
      </c>
      <c r="E739" s="7">
        <v>48</v>
      </c>
      <c r="F739" s="6" t="s">
        <v>3737</v>
      </c>
      <c r="G739" s="6" t="s">
        <v>2908</v>
      </c>
      <c r="H739" s="6" t="s">
        <v>2909</v>
      </c>
      <c r="I739" s="8"/>
      <c r="J739" s="8">
        <v>104762</v>
      </c>
      <c r="K739" s="6" t="s">
        <v>3468</v>
      </c>
      <c r="L739" s="6" t="s">
        <v>1458</v>
      </c>
      <c r="N739" s="6" t="s">
        <v>1458</v>
      </c>
      <c r="O739" s="29">
        <v>110000.1</v>
      </c>
    </row>
    <row r="740" s="1" customFormat="1" ht="16.35" hidden="1" customHeight="1" spans="1:15">
      <c r="A740" s="5"/>
      <c r="B740" s="6" t="s">
        <v>2906</v>
      </c>
      <c r="C740" s="6">
        <v>2018</v>
      </c>
      <c r="D740" s="6">
        <v>3</v>
      </c>
      <c r="E740" s="7">
        <v>1</v>
      </c>
      <c r="F740" s="6" t="s">
        <v>3574</v>
      </c>
      <c r="G740" s="6" t="s">
        <v>2908</v>
      </c>
      <c r="H740" s="6" t="s">
        <v>2909</v>
      </c>
      <c r="I740" s="8"/>
      <c r="J740" s="8">
        <v>120000</v>
      </c>
      <c r="K740" s="6" t="s">
        <v>3575</v>
      </c>
      <c r="L740" s="6" t="s">
        <v>1479</v>
      </c>
      <c r="N740" s="6" t="s">
        <v>1479</v>
      </c>
      <c r="O740" s="29">
        <v>126000</v>
      </c>
    </row>
    <row r="741" s="1" customFormat="1" ht="16.35" hidden="1" customHeight="1" spans="1:15">
      <c r="A741" s="5"/>
      <c r="B741" s="6" t="s">
        <v>2906</v>
      </c>
      <c r="C741" s="6">
        <v>2018</v>
      </c>
      <c r="D741" s="6">
        <v>3</v>
      </c>
      <c r="E741" s="7">
        <v>2</v>
      </c>
      <c r="F741" s="6" t="s">
        <v>3738</v>
      </c>
      <c r="G741" s="6" t="s">
        <v>2908</v>
      </c>
      <c r="H741" s="6" t="s">
        <v>2909</v>
      </c>
      <c r="I741" s="8"/>
      <c r="J741" s="8">
        <v>146667</v>
      </c>
      <c r="K741" s="6" t="s">
        <v>3357</v>
      </c>
      <c r="L741" s="6" t="s">
        <v>1351</v>
      </c>
      <c r="N741" s="6" t="s">
        <v>1351</v>
      </c>
      <c r="O741" s="29">
        <v>154000.35</v>
      </c>
    </row>
    <row r="742" s="1" customFormat="1" ht="16.35" hidden="1" customHeight="1" spans="1:15">
      <c r="A742" s="5"/>
      <c r="B742" s="6" t="s">
        <v>2906</v>
      </c>
      <c r="C742" s="6">
        <v>2018</v>
      </c>
      <c r="D742" s="6">
        <v>3</v>
      </c>
      <c r="E742" s="7">
        <v>3</v>
      </c>
      <c r="F742" s="6" t="s">
        <v>3739</v>
      </c>
      <c r="G742" s="6" t="s">
        <v>2908</v>
      </c>
      <c r="H742" s="6" t="s">
        <v>2909</v>
      </c>
      <c r="I742" s="8"/>
      <c r="J742" s="8">
        <v>138095</v>
      </c>
      <c r="K742" s="6" t="s">
        <v>3625</v>
      </c>
      <c r="L742" s="6" t="s">
        <v>1349</v>
      </c>
      <c r="N742" s="6" t="s">
        <v>1349</v>
      </c>
      <c r="O742" s="29">
        <v>144999.75</v>
      </c>
    </row>
    <row r="743" s="1" customFormat="1" ht="16.35" hidden="1" customHeight="1" spans="1:15">
      <c r="A743" s="5"/>
      <c r="B743" s="6" t="s">
        <v>2906</v>
      </c>
      <c r="C743" s="6">
        <v>2018</v>
      </c>
      <c r="D743" s="6">
        <v>3</v>
      </c>
      <c r="E743" s="7">
        <v>4</v>
      </c>
      <c r="F743" s="6" t="s">
        <v>3740</v>
      </c>
      <c r="G743" s="6" t="s">
        <v>2908</v>
      </c>
      <c r="H743" s="6" t="s">
        <v>2909</v>
      </c>
      <c r="I743" s="8"/>
      <c r="J743" s="8">
        <v>952</v>
      </c>
      <c r="K743" s="6" t="s">
        <v>3652</v>
      </c>
      <c r="L743" s="6" t="s">
        <v>1127</v>
      </c>
      <c r="N743" s="6" t="s">
        <v>1127</v>
      </c>
      <c r="O743" s="29">
        <v>999.6</v>
      </c>
    </row>
    <row r="744" s="1" customFormat="1" ht="16.35" hidden="1" customHeight="1" spans="1:15">
      <c r="A744" s="5"/>
      <c r="B744" s="6" t="s">
        <v>2906</v>
      </c>
      <c r="C744" s="6">
        <v>2018</v>
      </c>
      <c r="D744" s="6">
        <v>3</v>
      </c>
      <c r="E744" s="7">
        <v>5</v>
      </c>
      <c r="F744" s="6" t="s">
        <v>3741</v>
      </c>
      <c r="G744" s="6" t="s">
        <v>2908</v>
      </c>
      <c r="H744" s="6" t="s">
        <v>2909</v>
      </c>
      <c r="I744" s="8"/>
      <c r="J744" s="8">
        <v>4762</v>
      </c>
      <c r="K744" s="6" t="s">
        <v>3742</v>
      </c>
      <c r="L744" s="6" t="s">
        <v>1468</v>
      </c>
      <c r="N744" s="6" t="s">
        <v>1468</v>
      </c>
      <c r="O744" s="29">
        <v>5000.1</v>
      </c>
    </row>
    <row r="745" s="1" customFormat="1" ht="16.35" hidden="1" customHeight="1" spans="1:15">
      <c r="A745" s="5"/>
      <c r="B745" s="6" t="s">
        <v>2906</v>
      </c>
      <c r="C745" s="6">
        <v>2018</v>
      </c>
      <c r="D745" s="6">
        <v>3</v>
      </c>
      <c r="E745" s="7">
        <v>6</v>
      </c>
      <c r="F745" s="6" t="s">
        <v>3617</v>
      </c>
      <c r="G745" s="6" t="s">
        <v>2908</v>
      </c>
      <c r="H745" s="6" t="s">
        <v>2909</v>
      </c>
      <c r="I745" s="8"/>
      <c r="J745" s="8">
        <v>46171</v>
      </c>
      <c r="K745" s="6" t="s">
        <v>3420</v>
      </c>
      <c r="L745" s="6" t="s">
        <v>1280</v>
      </c>
      <c r="N745" s="6" t="s">
        <v>1280</v>
      </c>
      <c r="O745" s="29">
        <v>48479.55</v>
      </c>
    </row>
    <row r="746" s="1" customFormat="1" ht="16.35" hidden="1" customHeight="1" spans="1:15">
      <c r="A746" s="5"/>
      <c r="B746" s="6" t="s">
        <v>2906</v>
      </c>
      <c r="C746" s="6">
        <v>2018</v>
      </c>
      <c r="D746" s="6">
        <v>3</v>
      </c>
      <c r="E746" s="7">
        <v>7</v>
      </c>
      <c r="F746" s="6" t="s">
        <v>3743</v>
      </c>
      <c r="G746" s="6" t="s">
        <v>2908</v>
      </c>
      <c r="H746" s="6" t="s">
        <v>2909</v>
      </c>
      <c r="I746" s="8"/>
      <c r="J746" s="8">
        <v>2857</v>
      </c>
      <c r="K746" s="6" t="s">
        <v>3744</v>
      </c>
      <c r="L746" s="6" t="s">
        <v>1146</v>
      </c>
      <c r="N746" s="6" t="s">
        <v>1146</v>
      </c>
      <c r="O746" s="29">
        <v>2999.85</v>
      </c>
    </row>
    <row r="747" s="1" customFormat="1" ht="16.35" hidden="1" customHeight="1" spans="1:15">
      <c r="A747" s="5"/>
      <c r="B747" s="6" t="s">
        <v>2906</v>
      </c>
      <c r="C747" s="6">
        <v>2018</v>
      </c>
      <c r="D747" s="6">
        <v>3</v>
      </c>
      <c r="E747" s="7">
        <v>8</v>
      </c>
      <c r="F747" s="6" t="s">
        <v>3745</v>
      </c>
      <c r="G747" s="6" t="s">
        <v>2908</v>
      </c>
      <c r="H747" s="6" t="s">
        <v>2909</v>
      </c>
      <c r="I747" s="8"/>
      <c r="J747" s="8">
        <v>136190</v>
      </c>
      <c r="K747" s="6" t="s">
        <v>3679</v>
      </c>
      <c r="L747" s="6" t="s">
        <v>1029</v>
      </c>
      <c r="N747" s="6" t="s">
        <v>1029</v>
      </c>
      <c r="O747" s="29">
        <v>142999.5</v>
      </c>
    </row>
    <row r="748" s="1" customFormat="1" ht="16.35" hidden="1" customHeight="1" spans="1:15">
      <c r="A748" s="5"/>
      <c r="B748" s="6" t="s">
        <v>2906</v>
      </c>
      <c r="C748" s="6">
        <v>2018</v>
      </c>
      <c r="D748" s="6">
        <v>3</v>
      </c>
      <c r="E748" s="7">
        <v>9</v>
      </c>
      <c r="F748" s="6" t="s">
        <v>3746</v>
      </c>
      <c r="G748" s="6" t="s">
        <v>2908</v>
      </c>
      <c r="H748" s="6" t="s">
        <v>2909</v>
      </c>
      <c r="I748" s="8"/>
      <c r="J748" s="8">
        <v>108571</v>
      </c>
      <c r="K748" s="6" t="s">
        <v>3516</v>
      </c>
      <c r="L748" s="6" t="s">
        <v>1452</v>
      </c>
      <c r="N748" s="6" t="s">
        <v>1452</v>
      </c>
      <c r="O748" s="29">
        <v>113999.55</v>
      </c>
    </row>
    <row r="749" s="1" customFormat="1" ht="16.35" hidden="1" customHeight="1" spans="1:15">
      <c r="A749" s="5"/>
      <c r="B749" s="6" t="s">
        <v>2906</v>
      </c>
      <c r="C749" s="6">
        <v>2018</v>
      </c>
      <c r="D749" s="6">
        <v>3</v>
      </c>
      <c r="E749" s="7">
        <v>10</v>
      </c>
      <c r="F749" s="6" t="s">
        <v>3747</v>
      </c>
      <c r="G749" s="6" t="s">
        <v>2908</v>
      </c>
      <c r="H749" s="6" t="s">
        <v>2909</v>
      </c>
      <c r="I749" s="8"/>
      <c r="J749" s="8">
        <v>136190</v>
      </c>
      <c r="K749" s="6" t="s">
        <v>3435</v>
      </c>
      <c r="L749" s="6" t="s">
        <v>1057</v>
      </c>
      <c r="N749" s="6" t="s">
        <v>1057</v>
      </c>
      <c r="O749" s="29">
        <v>142999.5</v>
      </c>
    </row>
    <row r="750" s="1" customFormat="1" ht="16.35" hidden="1" customHeight="1" spans="1:15">
      <c r="A750" s="5"/>
      <c r="B750" s="6" t="s">
        <v>2906</v>
      </c>
      <c r="C750" s="6">
        <v>2018</v>
      </c>
      <c r="D750" s="6">
        <v>3</v>
      </c>
      <c r="E750" s="7">
        <v>11</v>
      </c>
      <c r="F750" s="6" t="s">
        <v>3748</v>
      </c>
      <c r="G750" s="6" t="s">
        <v>2908</v>
      </c>
      <c r="H750" s="6" t="s">
        <v>2909</v>
      </c>
      <c r="I750" s="8"/>
      <c r="J750" s="8">
        <v>193333</v>
      </c>
      <c r="K750" s="6" t="s">
        <v>3520</v>
      </c>
      <c r="L750" s="6" t="s">
        <v>1633</v>
      </c>
      <c r="N750" s="6" t="s">
        <v>1633</v>
      </c>
      <c r="O750" s="29">
        <v>202999.65</v>
      </c>
    </row>
    <row r="751" s="1" customFormat="1" ht="16.35" hidden="1" customHeight="1" spans="1:15">
      <c r="A751" s="5"/>
      <c r="B751" s="6" t="s">
        <v>2906</v>
      </c>
      <c r="C751" s="6">
        <v>2018</v>
      </c>
      <c r="D751" s="6">
        <v>3</v>
      </c>
      <c r="E751" s="7">
        <v>12</v>
      </c>
      <c r="F751" s="6" t="s">
        <v>3749</v>
      </c>
      <c r="G751" s="6" t="s">
        <v>2908</v>
      </c>
      <c r="H751" s="6" t="s">
        <v>2909</v>
      </c>
      <c r="I751" s="8"/>
      <c r="J751" s="8">
        <v>133333</v>
      </c>
      <c r="K751" s="6" t="s">
        <v>3473</v>
      </c>
      <c r="L751" s="6" t="s">
        <v>987</v>
      </c>
      <c r="N751" s="6" t="s">
        <v>987</v>
      </c>
      <c r="O751" s="29">
        <v>139999.65</v>
      </c>
    </row>
    <row r="752" s="1" customFormat="1" ht="16.35" hidden="1" customHeight="1" spans="1:15">
      <c r="A752" s="5"/>
      <c r="B752" s="6" t="s">
        <v>2906</v>
      </c>
      <c r="C752" s="6">
        <v>2018</v>
      </c>
      <c r="D752" s="6">
        <v>3</v>
      </c>
      <c r="E752" s="7">
        <v>13</v>
      </c>
      <c r="F752" s="6" t="s">
        <v>3726</v>
      </c>
      <c r="G752" s="6" t="s">
        <v>2908</v>
      </c>
      <c r="H752" s="6" t="s">
        <v>2909</v>
      </c>
      <c r="I752" s="8"/>
      <c r="J752" s="8">
        <v>123810</v>
      </c>
      <c r="K752" s="6" t="s">
        <v>3203</v>
      </c>
      <c r="L752" s="6" t="s">
        <v>1563</v>
      </c>
      <c r="N752" s="6" t="s">
        <v>1563</v>
      </c>
      <c r="O752" s="29">
        <v>130000.5</v>
      </c>
    </row>
    <row r="753" s="1" customFormat="1" ht="16.35" hidden="1" customHeight="1" spans="1:15">
      <c r="A753" s="5"/>
      <c r="B753" s="6" t="s">
        <v>2906</v>
      </c>
      <c r="C753" s="6">
        <v>2018</v>
      </c>
      <c r="D753" s="6">
        <v>3</v>
      </c>
      <c r="E753" s="7">
        <v>14</v>
      </c>
      <c r="F753" s="6" t="s">
        <v>3750</v>
      </c>
      <c r="G753" s="6" t="s">
        <v>2908</v>
      </c>
      <c r="H753" s="6" t="s">
        <v>2909</v>
      </c>
      <c r="I753" s="8"/>
      <c r="J753" s="8">
        <v>17143</v>
      </c>
      <c r="K753" s="6" t="s">
        <v>3473</v>
      </c>
      <c r="L753" s="6" t="s">
        <v>987</v>
      </c>
      <c r="N753" s="6" t="s">
        <v>987</v>
      </c>
      <c r="O753" s="29">
        <v>18000.15</v>
      </c>
    </row>
    <row r="754" s="1" customFormat="1" ht="16.35" hidden="1" customHeight="1" spans="1:15">
      <c r="A754" s="5"/>
      <c r="B754" s="6" t="s">
        <v>2906</v>
      </c>
      <c r="C754" s="6">
        <v>2018</v>
      </c>
      <c r="D754" s="6">
        <v>3</v>
      </c>
      <c r="E754" s="7">
        <v>15</v>
      </c>
      <c r="F754" s="6" t="s">
        <v>3751</v>
      </c>
      <c r="G754" s="6" t="s">
        <v>2908</v>
      </c>
      <c r="H754" s="6" t="s">
        <v>2909</v>
      </c>
      <c r="I754" s="8"/>
      <c r="J754" s="8">
        <v>95238</v>
      </c>
      <c r="K754" s="6" t="s">
        <v>3530</v>
      </c>
      <c r="L754" s="6" t="s">
        <v>1381</v>
      </c>
      <c r="N754" s="6" t="s">
        <v>1381</v>
      </c>
      <c r="O754" s="29">
        <v>99999.9</v>
      </c>
    </row>
    <row r="755" s="1" customFormat="1" ht="16.35" hidden="1" customHeight="1" spans="1:15">
      <c r="A755" s="5"/>
      <c r="B755" s="6" t="s">
        <v>2906</v>
      </c>
      <c r="C755" s="6">
        <v>2018</v>
      </c>
      <c r="D755" s="6">
        <v>3</v>
      </c>
      <c r="E755" s="7">
        <v>16</v>
      </c>
      <c r="F755" s="6" t="s">
        <v>3752</v>
      </c>
      <c r="G755" s="6" t="s">
        <v>2908</v>
      </c>
      <c r="H755" s="6" t="s">
        <v>2909</v>
      </c>
      <c r="I755" s="8"/>
      <c r="J755" s="8">
        <v>53390</v>
      </c>
      <c r="K755" s="6" t="s">
        <v>3496</v>
      </c>
      <c r="L755" s="6" t="s">
        <v>1476</v>
      </c>
      <c r="N755" s="6" t="s">
        <v>1476</v>
      </c>
      <c r="O755" s="29">
        <v>56059.5</v>
      </c>
    </row>
    <row r="756" s="1" customFormat="1" ht="16.35" hidden="1" customHeight="1" spans="1:15">
      <c r="A756" s="5"/>
      <c r="B756" s="6" t="s">
        <v>2906</v>
      </c>
      <c r="C756" s="6">
        <v>2018</v>
      </c>
      <c r="D756" s="6">
        <v>3</v>
      </c>
      <c r="E756" s="7">
        <v>19</v>
      </c>
      <c r="F756" s="6" t="s">
        <v>3645</v>
      </c>
      <c r="G756" s="6" t="s">
        <v>2908</v>
      </c>
      <c r="H756" s="6" t="s">
        <v>2909</v>
      </c>
      <c r="I756" s="8"/>
      <c r="J756" s="8">
        <v>5714</v>
      </c>
      <c r="K756" s="6" t="s">
        <v>3646</v>
      </c>
      <c r="L756" s="6" t="s">
        <v>1079</v>
      </c>
      <c r="N756" s="6" t="s">
        <v>1079</v>
      </c>
      <c r="O756" s="29">
        <v>5999.7</v>
      </c>
    </row>
    <row r="757" s="1" customFormat="1" ht="16.35" hidden="1" customHeight="1" spans="1:16">
      <c r="A757" s="5"/>
      <c r="B757" s="6" t="s">
        <v>2906</v>
      </c>
      <c r="C757" s="6">
        <v>2018</v>
      </c>
      <c r="D757" s="6">
        <v>3</v>
      </c>
      <c r="E757" s="7">
        <v>20</v>
      </c>
      <c r="F757" s="6" t="s">
        <v>3643</v>
      </c>
      <c r="G757" s="6" t="s">
        <v>2908</v>
      </c>
      <c r="H757" s="6" t="s">
        <v>2909</v>
      </c>
      <c r="I757" s="8"/>
      <c r="J757" s="8">
        <v>6667</v>
      </c>
      <c r="K757" s="6" t="s">
        <v>3644</v>
      </c>
      <c r="L757" s="6" t="s">
        <v>1367</v>
      </c>
      <c r="N757" s="6" t="s">
        <v>1367</v>
      </c>
      <c r="O757" s="29">
        <v>7000.35</v>
      </c>
      <c r="P757" s="1">
        <f>O757-J757</f>
        <v>333.35</v>
      </c>
    </row>
    <row r="758" s="1" customFormat="1" ht="16.35" hidden="1" customHeight="1" spans="1:15">
      <c r="A758" s="5"/>
      <c r="B758" s="6" t="s">
        <v>2906</v>
      </c>
      <c r="C758" s="6">
        <v>2018</v>
      </c>
      <c r="D758" s="6">
        <v>3</v>
      </c>
      <c r="E758" s="7">
        <v>21</v>
      </c>
      <c r="F758" s="6" t="s">
        <v>3753</v>
      </c>
      <c r="G758" s="6" t="s">
        <v>2908</v>
      </c>
      <c r="H758" s="6" t="s">
        <v>2909</v>
      </c>
      <c r="I758" s="8"/>
      <c r="J758" s="8">
        <v>1905</v>
      </c>
      <c r="K758" s="6" t="s">
        <v>3473</v>
      </c>
      <c r="L758" s="6" t="s">
        <v>987</v>
      </c>
      <c r="N758" s="6" t="s">
        <v>987</v>
      </c>
      <c r="O758" s="29">
        <v>2000.25</v>
      </c>
    </row>
    <row r="759" s="1" customFormat="1" ht="16.35" hidden="1" customHeight="1" spans="1:15">
      <c r="A759" s="5"/>
      <c r="B759" s="6" t="s">
        <v>2906</v>
      </c>
      <c r="C759" s="6">
        <v>2018</v>
      </c>
      <c r="D759" s="6">
        <v>3</v>
      </c>
      <c r="E759" s="7">
        <v>22</v>
      </c>
      <c r="F759" s="6" t="s">
        <v>3754</v>
      </c>
      <c r="G759" s="6" t="s">
        <v>2908</v>
      </c>
      <c r="H759" s="6" t="s">
        <v>2909</v>
      </c>
      <c r="I759" s="8"/>
      <c r="J759" s="8">
        <v>127619</v>
      </c>
      <c r="K759" s="6" t="s">
        <v>3140</v>
      </c>
      <c r="L759" s="6" t="s">
        <v>1806</v>
      </c>
      <c r="N759" s="6" t="s">
        <v>1806</v>
      </c>
      <c r="O759" s="29">
        <v>133999.95</v>
      </c>
    </row>
    <row r="760" s="1" customFormat="1" ht="16.35" hidden="1" customHeight="1" spans="1:15">
      <c r="A760" s="5"/>
      <c r="B760" s="6" t="s">
        <v>2906</v>
      </c>
      <c r="C760" s="6">
        <v>2018</v>
      </c>
      <c r="D760" s="6">
        <v>3</v>
      </c>
      <c r="E760" s="7">
        <v>23</v>
      </c>
      <c r="F760" s="6" t="s">
        <v>3755</v>
      </c>
      <c r="G760" s="6" t="s">
        <v>2908</v>
      </c>
      <c r="H760" s="6" t="s">
        <v>2909</v>
      </c>
      <c r="I760" s="8"/>
      <c r="J760" s="8">
        <v>119048</v>
      </c>
      <c r="K760" s="6" t="s">
        <v>3427</v>
      </c>
      <c r="L760" s="6" t="s">
        <v>1043</v>
      </c>
      <c r="N760" s="6" t="s">
        <v>1043</v>
      </c>
      <c r="O760" s="29">
        <v>125000.4</v>
      </c>
    </row>
    <row r="761" s="1" customFormat="1" ht="16.35" hidden="1" customHeight="1" spans="1:15">
      <c r="A761" s="5"/>
      <c r="B761" s="6" t="s">
        <v>2906</v>
      </c>
      <c r="C761" s="6">
        <v>2018</v>
      </c>
      <c r="D761" s="6">
        <v>3</v>
      </c>
      <c r="E761" s="7">
        <v>24</v>
      </c>
      <c r="F761" s="6" t="s">
        <v>3756</v>
      </c>
      <c r="G761" s="6" t="s">
        <v>2908</v>
      </c>
      <c r="H761" s="6" t="s">
        <v>2909</v>
      </c>
      <c r="I761" s="8"/>
      <c r="J761" s="8">
        <v>9524</v>
      </c>
      <c r="K761" s="6" t="s">
        <v>3505</v>
      </c>
      <c r="L761" s="6" t="s">
        <v>1454</v>
      </c>
      <c r="N761" s="6" t="s">
        <v>1454</v>
      </c>
      <c r="O761" s="29">
        <v>10000.2</v>
      </c>
    </row>
    <row r="762" s="1" customFormat="1" ht="16.35" hidden="1" customHeight="1" spans="1:15">
      <c r="A762" s="5"/>
      <c r="B762" s="6" t="s">
        <v>2906</v>
      </c>
      <c r="C762" s="6">
        <v>2018</v>
      </c>
      <c r="D762" s="6">
        <v>3</v>
      </c>
      <c r="E762" s="7">
        <v>25</v>
      </c>
      <c r="F762" s="6" t="s">
        <v>3708</v>
      </c>
      <c r="G762" s="6" t="s">
        <v>2908</v>
      </c>
      <c r="H762" s="6" t="s">
        <v>2909</v>
      </c>
      <c r="I762" s="8"/>
      <c r="J762" s="8">
        <v>47714</v>
      </c>
      <c r="K762" s="6" t="s">
        <v>3565</v>
      </c>
      <c r="L762" s="6" t="s">
        <v>1493</v>
      </c>
      <c r="N762" s="6" t="s">
        <v>1493</v>
      </c>
      <c r="O762" s="29">
        <v>50099.7</v>
      </c>
    </row>
    <row r="763" s="1" customFormat="1" ht="16.35" hidden="1" customHeight="1" spans="1:15">
      <c r="A763" s="5"/>
      <c r="B763" s="6" t="s">
        <v>2906</v>
      </c>
      <c r="C763" s="6">
        <v>2018</v>
      </c>
      <c r="D763" s="6">
        <v>3</v>
      </c>
      <c r="E763" s="7">
        <v>26</v>
      </c>
      <c r="F763" s="6" t="s">
        <v>3740</v>
      </c>
      <c r="G763" s="6" t="s">
        <v>2908</v>
      </c>
      <c r="H763" s="6" t="s">
        <v>2909</v>
      </c>
      <c r="I763" s="8"/>
      <c r="J763" s="8">
        <v>94333</v>
      </c>
      <c r="K763" s="6" t="s">
        <v>3652</v>
      </c>
      <c r="L763" s="6" t="s">
        <v>1127</v>
      </c>
      <c r="N763" s="6" t="s">
        <v>1127</v>
      </c>
      <c r="O763" s="29">
        <v>99049.65</v>
      </c>
    </row>
    <row r="764" s="1" customFormat="1" ht="16.35" hidden="1" customHeight="1" spans="1:15">
      <c r="A764" s="5"/>
      <c r="B764" s="6" t="s">
        <v>2906</v>
      </c>
      <c r="C764" s="6">
        <v>2018</v>
      </c>
      <c r="D764" s="6">
        <v>3</v>
      </c>
      <c r="E764" s="7">
        <v>27</v>
      </c>
      <c r="F764" s="6" t="s">
        <v>3757</v>
      </c>
      <c r="G764" s="6" t="s">
        <v>2908</v>
      </c>
      <c r="H764" s="6" t="s">
        <v>2909</v>
      </c>
      <c r="I764" s="8"/>
      <c r="J764" s="8">
        <v>9524</v>
      </c>
      <c r="K764" s="6" t="s">
        <v>3758</v>
      </c>
      <c r="L764" s="6" t="s">
        <v>1094</v>
      </c>
      <c r="N764" s="6" t="s">
        <v>1094</v>
      </c>
      <c r="O764" s="29">
        <v>10000.2</v>
      </c>
    </row>
    <row r="765" s="1" customFormat="1" ht="16.35" hidden="1" customHeight="1" spans="1:15">
      <c r="A765" s="5"/>
      <c r="B765" s="6" t="s">
        <v>2906</v>
      </c>
      <c r="C765" s="6">
        <v>2018</v>
      </c>
      <c r="D765" s="6">
        <v>3</v>
      </c>
      <c r="E765" s="7">
        <v>29</v>
      </c>
      <c r="F765" s="6" t="s">
        <v>3759</v>
      </c>
      <c r="G765" s="6" t="s">
        <v>2908</v>
      </c>
      <c r="H765" s="6" t="s">
        <v>2909</v>
      </c>
      <c r="I765" s="8"/>
      <c r="J765" s="8">
        <v>75</v>
      </c>
      <c r="K765" s="6" t="s">
        <v>3110</v>
      </c>
      <c r="L765" s="6" t="s">
        <v>1559</v>
      </c>
      <c r="N765" s="6" t="s">
        <v>1559</v>
      </c>
      <c r="O765" s="29">
        <v>78.75</v>
      </c>
    </row>
    <row r="766" s="1" customFormat="1" ht="16.35" hidden="1" customHeight="1" spans="1:15">
      <c r="A766" s="5"/>
      <c r="B766" s="6" t="s">
        <v>2906</v>
      </c>
      <c r="C766" s="6">
        <v>2018</v>
      </c>
      <c r="D766" s="6">
        <v>3</v>
      </c>
      <c r="E766" s="7">
        <v>30</v>
      </c>
      <c r="F766" s="6" t="s">
        <v>3760</v>
      </c>
      <c r="G766" s="6" t="s">
        <v>2908</v>
      </c>
      <c r="H766" s="6" t="s">
        <v>2909</v>
      </c>
      <c r="I766" s="8"/>
      <c r="J766" s="8">
        <v>17143</v>
      </c>
      <c r="K766" s="6" t="s">
        <v>3468</v>
      </c>
      <c r="L766" s="6" t="s">
        <v>1458</v>
      </c>
      <c r="N766" s="6" t="s">
        <v>1458</v>
      </c>
      <c r="O766" s="29">
        <v>18000.15</v>
      </c>
    </row>
    <row r="767" s="1" customFormat="1" ht="16.35" hidden="1" customHeight="1" spans="1:15">
      <c r="A767" s="5"/>
      <c r="B767" s="6" t="s">
        <v>2906</v>
      </c>
      <c r="C767" s="6">
        <v>2018</v>
      </c>
      <c r="D767" s="6">
        <v>3</v>
      </c>
      <c r="E767" s="7">
        <v>31</v>
      </c>
      <c r="F767" s="6" t="s">
        <v>3761</v>
      </c>
      <c r="G767" s="6" t="s">
        <v>2908</v>
      </c>
      <c r="H767" s="6" t="s">
        <v>2909</v>
      </c>
      <c r="I767" s="8"/>
      <c r="J767" s="8">
        <v>55190</v>
      </c>
      <c r="K767" s="6" t="s">
        <v>3762</v>
      </c>
      <c r="L767" s="6" t="s">
        <v>1150</v>
      </c>
      <c r="N767" s="6" t="s">
        <v>1150</v>
      </c>
      <c r="O767" s="29">
        <v>57949.5</v>
      </c>
    </row>
    <row r="768" s="1" customFormat="1" ht="16.35" hidden="1" customHeight="1" spans="1:15">
      <c r="A768" s="5"/>
      <c r="B768" s="6" t="s">
        <v>2906</v>
      </c>
      <c r="C768" s="6">
        <v>2018</v>
      </c>
      <c r="D768" s="6">
        <v>3</v>
      </c>
      <c r="E768" s="7">
        <v>32</v>
      </c>
      <c r="F768" s="6" t="s">
        <v>3763</v>
      </c>
      <c r="G768" s="6" t="s">
        <v>2908</v>
      </c>
      <c r="H768" s="6" t="s">
        <v>2909</v>
      </c>
      <c r="I768" s="8"/>
      <c r="J768" s="8">
        <v>5714</v>
      </c>
      <c r="K768" s="6" t="s">
        <v>3567</v>
      </c>
      <c r="L768" s="6" t="s">
        <v>1039</v>
      </c>
      <c r="N768" s="6" t="s">
        <v>1039</v>
      </c>
      <c r="O768" s="29">
        <v>5999.7</v>
      </c>
    </row>
    <row r="769" s="1" customFormat="1" ht="16.35" hidden="1" customHeight="1" spans="1:15">
      <c r="A769" s="5"/>
      <c r="B769" s="6" t="s">
        <v>2906</v>
      </c>
      <c r="C769" s="6">
        <v>2018</v>
      </c>
      <c r="D769" s="6">
        <v>3</v>
      </c>
      <c r="E769" s="7">
        <v>33</v>
      </c>
      <c r="F769" s="6" t="s">
        <v>3764</v>
      </c>
      <c r="G769" s="6" t="s">
        <v>2908</v>
      </c>
      <c r="H769" s="6" t="s">
        <v>2909</v>
      </c>
      <c r="I769" s="8"/>
      <c r="J769" s="8">
        <v>848</v>
      </c>
      <c r="K769" s="6" t="s">
        <v>3420</v>
      </c>
      <c r="L769" s="6" t="s">
        <v>1280</v>
      </c>
      <c r="N769" s="6" t="s">
        <v>1280</v>
      </c>
      <c r="O769" s="29">
        <v>890.4</v>
      </c>
    </row>
    <row r="770" s="1" customFormat="1" ht="16.35" hidden="1" customHeight="1" spans="1:15">
      <c r="A770" s="5"/>
      <c r="B770" s="6" t="s">
        <v>2906</v>
      </c>
      <c r="C770" s="6">
        <v>2018</v>
      </c>
      <c r="D770" s="6">
        <v>3</v>
      </c>
      <c r="E770" s="7">
        <v>36</v>
      </c>
      <c r="F770" s="6" t="s">
        <v>3765</v>
      </c>
      <c r="G770" s="6" t="s">
        <v>2908</v>
      </c>
      <c r="H770" s="6" t="s">
        <v>2909</v>
      </c>
      <c r="I770" s="8"/>
      <c r="J770" s="8">
        <v>9524</v>
      </c>
      <c r="K770" s="6" t="s">
        <v>3766</v>
      </c>
      <c r="L770" s="6" t="s">
        <v>1275</v>
      </c>
      <c r="N770" s="6" t="s">
        <v>1275</v>
      </c>
      <c r="O770" s="29">
        <v>10000.2</v>
      </c>
    </row>
    <row r="771" s="1" customFormat="1" ht="16.35" hidden="1" customHeight="1" spans="1:15">
      <c r="A771" s="5"/>
      <c r="B771" s="6" t="s">
        <v>2906</v>
      </c>
      <c r="C771" s="6">
        <v>2018</v>
      </c>
      <c r="D771" s="6">
        <v>3</v>
      </c>
      <c r="E771" s="7">
        <v>37</v>
      </c>
      <c r="F771" s="6" t="s">
        <v>3767</v>
      </c>
      <c r="G771" s="6" t="s">
        <v>2908</v>
      </c>
      <c r="H771" s="6" t="s">
        <v>2909</v>
      </c>
      <c r="I771" s="8"/>
      <c r="J771" s="8">
        <v>4762</v>
      </c>
      <c r="K771" s="6" t="s">
        <v>3768</v>
      </c>
      <c r="L771" s="6" t="s">
        <v>1174</v>
      </c>
      <c r="N771" s="6" t="s">
        <v>1174</v>
      </c>
      <c r="O771" s="29">
        <v>5000.1</v>
      </c>
    </row>
    <row r="772" s="1" customFormat="1" ht="16.35" hidden="1" customHeight="1" spans="1:16">
      <c r="A772" s="5"/>
      <c r="B772" s="6" t="s">
        <v>2906</v>
      </c>
      <c r="C772" s="6">
        <v>2018</v>
      </c>
      <c r="D772" s="6">
        <v>3</v>
      </c>
      <c r="E772" s="7">
        <v>41</v>
      </c>
      <c r="F772" s="6" t="s">
        <v>3769</v>
      </c>
      <c r="G772" s="6" t="s">
        <v>2908</v>
      </c>
      <c r="H772" s="6" t="s">
        <v>2909</v>
      </c>
      <c r="I772" s="8"/>
      <c r="J772" s="8">
        <v>952</v>
      </c>
      <c r="K772" s="6" t="s">
        <v>3681</v>
      </c>
      <c r="L772" s="6" t="s">
        <v>1176</v>
      </c>
      <c r="N772" s="6" t="s">
        <v>1176</v>
      </c>
      <c r="O772" s="29">
        <v>1000</v>
      </c>
      <c r="P772" s="1">
        <f>O772-J772</f>
        <v>48</v>
      </c>
    </row>
    <row r="773" s="1" customFormat="1" ht="16.35" hidden="1" customHeight="1" spans="1:15">
      <c r="A773" s="5"/>
      <c r="B773" s="6" t="s">
        <v>2906</v>
      </c>
      <c r="C773" s="6">
        <v>2018</v>
      </c>
      <c r="D773" s="6">
        <v>3</v>
      </c>
      <c r="E773" s="7">
        <v>44</v>
      </c>
      <c r="F773" s="6" t="s">
        <v>3770</v>
      </c>
      <c r="G773" s="6" t="s">
        <v>2908</v>
      </c>
      <c r="H773" s="6" t="s">
        <v>2909</v>
      </c>
      <c r="I773" s="8"/>
      <c r="J773" s="8">
        <v>54238</v>
      </c>
      <c r="K773" s="6" t="s">
        <v>3771</v>
      </c>
      <c r="L773" s="6" t="s">
        <v>1172</v>
      </c>
      <c r="N773" s="6" t="s">
        <v>1172</v>
      </c>
      <c r="O773" s="29">
        <v>56949.9</v>
      </c>
    </row>
    <row r="774" s="1" customFormat="1" ht="16.35" hidden="1" customHeight="1" spans="1:15">
      <c r="A774" s="5"/>
      <c r="B774" s="6" t="s">
        <v>2906</v>
      </c>
      <c r="C774" s="6">
        <v>2018</v>
      </c>
      <c r="D774" s="6">
        <v>3</v>
      </c>
      <c r="E774" s="7">
        <v>45</v>
      </c>
      <c r="F774" s="6" t="s">
        <v>3772</v>
      </c>
      <c r="G774" s="6" t="s">
        <v>2908</v>
      </c>
      <c r="H774" s="6" t="s">
        <v>2909</v>
      </c>
      <c r="I774" s="8"/>
      <c r="J774" s="8">
        <v>4762</v>
      </c>
      <c r="K774" s="6" t="s">
        <v>3773</v>
      </c>
      <c r="L774" s="6" t="s">
        <v>1086</v>
      </c>
      <c r="N774" s="6" t="s">
        <v>1086</v>
      </c>
      <c r="O774" s="29">
        <v>5000.1</v>
      </c>
    </row>
    <row r="775" s="1" customFormat="1" ht="16.35" hidden="1" customHeight="1" spans="1:16">
      <c r="A775" s="5"/>
      <c r="B775" s="6" t="s">
        <v>2906</v>
      </c>
      <c r="C775" s="6">
        <v>2018</v>
      </c>
      <c r="D775" s="6">
        <v>3</v>
      </c>
      <c r="E775" s="7">
        <v>46</v>
      </c>
      <c r="F775" s="6" t="s">
        <v>3769</v>
      </c>
      <c r="G775" s="6" t="s">
        <v>2908</v>
      </c>
      <c r="H775" s="6" t="s">
        <v>2909</v>
      </c>
      <c r="I775" s="8"/>
      <c r="J775" s="8">
        <v>32529</v>
      </c>
      <c r="K775" s="6" t="s">
        <v>3681</v>
      </c>
      <c r="L775" s="6" t="s">
        <v>1176</v>
      </c>
      <c r="N775" s="6" t="s">
        <v>1176</v>
      </c>
      <c r="O775" s="29">
        <v>34156</v>
      </c>
      <c r="P775" s="1">
        <f>O775-J775</f>
        <v>1627</v>
      </c>
    </row>
    <row r="776" s="1" customFormat="1" ht="16.35" hidden="1" customHeight="1" spans="1:15">
      <c r="A776" s="5"/>
      <c r="B776" s="6" t="s">
        <v>2906</v>
      </c>
      <c r="C776" s="6">
        <v>2018</v>
      </c>
      <c r="D776" s="6">
        <v>3</v>
      </c>
      <c r="E776" s="7">
        <v>47</v>
      </c>
      <c r="F776" s="6" t="s">
        <v>3770</v>
      </c>
      <c r="G776" s="6" t="s">
        <v>2908</v>
      </c>
      <c r="H776" s="6" t="s">
        <v>2909</v>
      </c>
      <c r="I776" s="8"/>
      <c r="J776" s="8">
        <v>952</v>
      </c>
      <c r="K776" s="6" t="s">
        <v>3771</v>
      </c>
      <c r="L776" s="6" t="s">
        <v>1172</v>
      </c>
      <c r="N776" s="6" t="s">
        <v>1172</v>
      </c>
      <c r="O776" s="29">
        <v>999.6</v>
      </c>
    </row>
    <row r="777" s="1" customFormat="1" ht="16.35" hidden="1" customHeight="1" spans="1:15">
      <c r="A777" s="5"/>
      <c r="B777" s="6" t="s">
        <v>2906</v>
      </c>
      <c r="C777" s="6">
        <v>2018</v>
      </c>
      <c r="D777" s="6">
        <v>3</v>
      </c>
      <c r="E777" s="7">
        <v>48</v>
      </c>
      <c r="F777" s="6" t="s">
        <v>3774</v>
      </c>
      <c r="G777" s="6" t="s">
        <v>2908</v>
      </c>
      <c r="H777" s="6" t="s">
        <v>2909</v>
      </c>
      <c r="I777" s="8"/>
      <c r="J777" s="8">
        <v>95238</v>
      </c>
      <c r="K777" s="6" t="s">
        <v>3607</v>
      </c>
      <c r="L777" s="6" t="s">
        <v>1137</v>
      </c>
      <c r="N777" s="6" t="s">
        <v>1137</v>
      </c>
      <c r="O777" s="29">
        <v>99999.9</v>
      </c>
    </row>
    <row r="778" s="1" customFormat="1" ht="16.35" hidden="1" customHeight="1" spans="1:15">
      <c r="A778" s="5"/>
      <c r="B778" s="6" t="s">
        <v>2906</v>
      </c>
      <c r="C778" s="6">
        <v>2018</v>
      </c>
      <c r="D778" s="6">
        <v>3</v>
      </c>
      <c r="E778" s="7">
        <v>49</v>
      </c>
      <c r="F778" s="6" t="s">
        <v>3775</v>
      </c>
      <c r="G778" s="6" t="s">
        <v>2908</v>
      </c>
      <c r="H778" s="6" t="s">
        <v>2909</v>
      </c>
      <c r="I778" s="8"/>
      <c r="J778" s="8">
        <v>4762</v>
      </c>
      <c r="K778" s="6" t="s">
        <v>3776</v>
      </c>
      <c r="L778" s="6" t="s">
        <v>1196</v>
      </c>
      <c r="N778" s="6" t="s">
        <v>1196</v>
      </c>
      <c r="O778" s="29">
        <v>5000.1</v>
      </c>
    </row>
    <row r="779" s="1" customFormat="1" ht="16.35" hidden="1" customHeight="1" spans="1:15">
      <c r="A779" s="5"/>
      <c r="B779" s="6" t="s">
        <v>2906</v>
      </c>
      <c r="C779" s="6">
        <v>2018</v>
      </c>
      <c r="D779" s="6">
        <v>3</v>
      </c>
      <c r="E779" s="7">
        <v>50</v>
      </c>
      <c r="F779" s="6" t="s">
        <v>3774</v>
      </c>
      <c r="G779" s="6" t="s">
        <v>2908</v>
      </c>
      <c r="H779" s="6" t="s">
        <v>2909</v>
      </c>
      <c r="I779" s="8"/>
      <c r="J779" s="8">
        <v>113095</v>
      </c>
      <c r="K779" s="6" t="s">
        <v>3607</v>
      </c>
      <c r="L779" s="6" t="s">
        <v>1137</v>
      </c>
      <c r="N779" s="6" t="s">
        <v>1137</v>
      </c>
      <c r="O779" s="29">
        <v>118749.75</v>
      </c>
    </row>
    <row r="780" s="1" customFormat="1" ht="16.35" hidden="1" customHeight="1" spans="1:15">
      <c r="A780" s="5"/>
      <c r="B780" s="6" t="s">
        <v>2906</v>
      </c>
      <c r="C780" s="6">
        <v>2018</v>
      </c>
      <c r="D780" s="6">
        <v>3</v>
      </c>
      <c r="E780" s="7">
        <v>51</v>
      </c>
      <c r="F780" s="6" t="s">
        <v>3777</v>
      </c>
      <c r="G780" s="6" t="s">
        <v>2908</v>
      </c>
      <c r="H780" s="6" t="s">
        <v>2909</v>
      </c>
      <c r="I780" s="8"/>
      <c r="J780" s="8">
        <v>19048</v>
      </c>
      <c r="K780" s="6" t="s">
        <v>3778</v>
      </c>
      <c r="L780" s="6" t="s">
        <v>1188</v>
      </c>
      <c r="N780" s="6" t="s">
        <v>1188</v>
      </c>
      <c r="O780" s="29">
        <v>20000.4</v>
      </c>
    </row>
    <row r="781" s="1" customFormat="1" ht="16.35" hidden="1" customHeight="1" spans="1:15">
      <c r="A781" s="5"/>
      <c r="B781" s="6" t="s">
        <v>2906</v>
      </c>
      <c r="C781" s="6">
        <v>2018</v>
      </c>
      <c r="D781" s="6">
        <v>3</v>
      </c>
      <c r="E781" s="7">
        <v>52</v>
      </c>
      <c r="F781" s="6" t="s">
        <v>3779</v>
      </c>
      <c r="G781" s="6" t="s">
        <v>2908</v>
      </c>
      <c r="H781" s="6" t="s">
        <v>2909</v>
      </c>
      <c r="I781" s="8"/>
      <c r="J781" s="8">
        <v>6667</v>
      </c>
      <c r="K781" s="6" t="s">
        <v>3728</v>
      </c>
      <c r="L781" s="6" t="s">
        <v>1365</v>
      </c>
      <c r="N781" s="6" t="s">
        <v>1365</v>
      </c>
      <c r="O781" s="29">
        <v>7000.35</v>
      </c>
    </row>
    <row r="782" s="1" customFormat="1" ht="16.35" hidden="1" customHeight="1" spans="1:15">
      <c r="A782" s="5"/>
      <c r="B782" s="6" t="s">
        <v>2906</v>
      </c>
      <c r="C782" s="6">
        <v>2018</v>
      </c>
      <c r="D782" s="6">
        <v>3</v>
      </c>
      <c r="E782" s="7">
        <v>53</v>
      </c>
      <c r="F782" s="6" t="s">
        <v>3780</v>
      </c>
      <c r="G782" s="6" t="s">
        <v>2908</v>
      </c>
      <c r="H782" s="6" t="s">
        <v>2909</v>
      </c>
      <c r="I782" s="8"/>
      <c r="J782" s="8">
        <v>34971</v>
      </c>
      <c r="K782" s="6" t="s">
        <v>3431</v>
      </c>
      <c r="L782" s="6" t="s">
        <v>1282</v>
      </c>
      <c r="N782" s="6" t="s">
        <v>1282</v>
      </c>
      <c r="O782" s="29">
        <v>36719.55</v>
      </c>
    </row>
    <row r="783" s="1" customFormat="1" ht="16.35" hidden="1" customHeight="1" spans="1:15">
      <c r="A783" s="5"/>
      <c r="B783" s="6" t="s">
        <v>2906</v>
      </c>
      <c r="C783" s="6">
        <v>2018</v>
      </c>
      <c r="D783" s="6">
        <v>3</v>
      </c>
      <c r="E783" s="7">
        <v>54</v>
      </c>
      <c r="F783" s="6" t="s">
        <v>3781</v>
      </c>
      <c r="G783" s="6" t="s">
        <v>2908</v>
      </c>
      <c r="H783" s="6" t="s">
        <v>2909</v>
      </c>
      <c r="I783" s="8"/>
      <c r="J783" s="8">
        <v>56867</v>
      </c>
      <c r="K783" s="6" t="s">
        <v>3766</v>
      </c>
      <c r="L783" s="6" t="s">
        <v>1275</v>
      </c>
      <c r="N783" s="6" t="s">
        <v>1275</v>
      </c>
      <c r="O783" s="29">
        <v>59710.35</v>
      </c>
    </row>
    <row r="784" s="1" customFormat="1" ht="16.35" hidden="1" customHeight="1" spans="1:15">
      <c r="A784" s="5"/>
      <c r="B784" s="6" t="s">
        <v>2906</v>
      </c>
      <c r="C784" s="6">
        <v>2018</v>
      </c>
      <c r="D784" s="6">
        <v>3</v>
      </c>
      <c r="E784" s="7">
        <v>55</v>
      </c>
      <c r="F784" s="6" t="s">
        <v>3782</v>
      </c>
      <c r="G784" s="6" t="s">
        <v>2908</v>
      </c>
      <c r="H784" s="6" t="s">
        <v>2909</v>
      </c>
      <c r="I784" s="8"/>
      <c r="J784" s="8">
        <v>57301</v>
      </c>
      <c r="K784" s="6" t="s">
        <v>3707</v>
      </c>
      <c r="L784" s="6" t="s">
        <v>1470</v>
      </c>
      <c r="N784" s="6" t="s">
        <v>1470</v>
      </c>
      <c r="O784" s="29">
        <v>60166.05</v>
      </c>
    </row>
    <row r="785" s="1" customFormat="1" ht="16.35" hidden="1" customHeight="1" spans="1:15">
      <c r="A785" s="5"/>
      <c r="B785" s="6" t="s">
        <v>2906</v>
      </c>
      <c r="C785" s="6">
        <v>2018</v>
      </c>
      <c r="D785" s="6">
        <v>3</v>
      </c>
      <c r="E785" s="7">
        <v>56</v>
      </c>
      <c r="F785" s="6" t="s">
        <v>3780</v>
      </c>
      <c r="G785" s="6" t="s">
        <v>2908</v>
      </c>
      <c r="H785" s="6" t="s">
        <v>2909</v>
      </c>
      <c r="I785" s="8"/>
      <c r="J785" s="8">
        <v>9524</v>
      </c>
      <c r="K785" s="6" t="s">
        <v>3431</v>
      </c>
      <c r="L785" s="6" t="s">
        <v>1282</v>
      </c>
      <c r="N785" s="6" t="s">
        <v>1282</v>
      </c>
      <c r="O785" s="29">
        <v>10000.2</v>
      </c>
    </row>
    <row r="786" s="1" customFormat="1" ht="16.35" hidden="1" customHeight="1" spans="1:15">
      <c r="A786" s="5"/>
      <c r="B786" s="6" t="s">
        <v>2906</v>
      </c>
      <c r="C786" s="6">
        <v>2018</v>
      </c>
      <c r="D786" s="6">
        <v>3</v>
      </c>
      <c r="E786" s="7">
        <v>57</v>
      </c>
      <c r="F786" s="6" t="s">
        <v>3777</v>
      </c>
      <c r="G786" s="6" t="s">
        <v>2908</v>
      </c>
      <c r="H786" s="6" t="s">
        <v>2909</v>
      </c>
      <c r="I786" s="8"/>
      <c r="J786" s="8">
        <v>25629</v>
      </c>
      <c r="K786" s="6" t="s">
        <v>3778</v>
      </c>
      <c r="L786" s="6" t="s">
        <v>1188</v>
      </c>
      <c r="N786" s="6" t="s">
        <v>1188</v>
      </c>
      <c r="O786" s="29">
        <v>26910.45</v>
      </c>
    </row>
    <row r="787" s="30" customFormat="1" ht="16.35" hidden="1" customHeight="1" spans="1:16">
      <c r="A787" s="41"/>
      <c r="B787" s="42" t="s">
        <v>2906</v>
      </c>
      <c r="C787" s="42">
        <v>2018</v>
      </c>
      <c r="D787" s="42">
        <v>3</v>
      </c>
      <c r="E787" s="43">
        <v>58</v>
      </c>
      <c r="F787" s="42" t="s">
        <v>3783</v>
      </c>
      <c r="G787" s="42" t="s">
        <v>2908</v>
      </c>
      <c r="H787" s="42" t="s">
        <v>2909</v>
      </c>
      <c r="I787" s="44"/>
      <c r="J787" s="44">
        <v>9524</v>
      </c>
      <c r="K787" s="42" t="s">
        <v>3784</v>
      </c>
      <c r="L787" s="42" t="s">
        <v>1487</v>
      </c>
      <c r="N787" s="42" t="s">
        <v>1487</v>
      </c>
      <c r="O787" s="31">
        <v>10000.2</v>
      </c>
      <c r="P787" s="30" t="s">
        <v>3785</v>
      </c>
    </row>
    <row r="788" s="1" customFormat="1" ht="16.35" hidden="1" customHeight="1" spans="1:15">
      <c r="A788" s="5"/>
      <c r="B788" s="6" t="s">
        <v>2906</v>
      </c>
      <c r="C788" s="6">
        <v>2018</v>
      </c>
      <c r="D788" s="6">
        <v>3</v>
      </c>
      <c r="E788" s="7">
        <v>59</v>
      </c>
      <c r="F788" s="6" t="s">
        <v>3786</v>
      </c>
      <c r="G788" s="6" t="s">
        <v>2908</v>
      </c>
      <c r="H788" s="6" t="s">
        <v>2909</v>
      </c>
      <c r="I788" s="8"/>
      <c r="J788" s="8">
        <v>4762</v>
      </c>
      <c r="K788" s="6" t="s">
        <v>3787</v>
      </c>
      <c r="L788" s="6" t="s">
        <v>1511</v>
      </c>
      <c r="N788" s="6" t="s">
        <v>1511</v>
      </c>
      <c r="O788" s="29">
        <v>5000.1</v>
      </c>
    </row>
    <row r="789" s="30" customFormat="1" ht="16.35" hidden="1" customHeight="1" spans="1:16">
      <c r="A789" s="41"/>
      <c r="B789" s="42" t="s">
        <v>2906</v>
      </c>
      <c r="C789" s="42">
        <v>2018</v>
      </c>
      <c r="D789" s="42">
        <v>3</v>
      </c>
      <c r="E789" s="43">
        <v>60</v>
      </c>
      <c r="F789" s="42" t="s">
        <v>3788</v>
      </c>
      <c r="G789" s="42" t="s">
        <v>2908</v>
      </c>
      <c r="H789" s="42" t="s">
        <v>2909</v>
      </c>
      <c r="I789" s="44"/>
      <c r="J789" s="44">
        <v>1905</v>
      </c>
      <c r="K789" s="42" t="s">
        <v>3789</v>
      </c>
      <c r="L789" s="42" t="s">
        <v>1489</v>
      </c>
      <c r="N789" s="42" t="s">
        <v>1489</v>
      </c>
      <c r="O789" s="31">
        <v>2000.25</v>
      </c>
      <c r="P789" s="30" t="s">
        <v>3785</v>
      </c>
    </row>
    <row r="790" s="1" customFormat="1" ht="16.35" hidden="1" customHeight="1" spans="1:15">
      <c r="A790" s="5"/>
      <c r="B790" s="6" t="s">
        <v>2906</v>
      </c>
      <c r="C790" s="6">
        <v>2018</v>
      </c>
      <c r="D790" s="6">
        <v>3</v>
      </c>
      <c r="E790" s="7">
        <v>61</v>
      </c>
      <c r="F790" s="6" t="s">
        <v>3790</v>
      </c>
      <c r="G790" s="6" t="s">
        <v>2908</v>
      </c>
      <c r="H790" s="6" t="s">
        <v>2909</v>
      </c>
      <c r="I790" s="8"/>
      <c r="J790" s="8">
        <v>95238</v>
      </c>
      <c r="K790" s="6" t="s">
        <v>3791</v>
      </c>
      <c r="L790" s="6" t="s">
        <v>3792</v>
      </c>
      <c r="N790" s="6" t="s">
        <v>3792</v>
      </c>
      <c r="O790" s="29">
        <v>99999.9</v>
      </c>
    </row>
    <row r="791" s="1" customFormat="1" ht="16.35" hidden="1" customHeight="1" spans="1:15">
      <c r="A791" s="5"/>
      <c r="B791" s="6" t="s">
        <v>2906</v>
      </c>
      <c r="C791" s="6">
        <v>2018</v>
      </c>
      <c r="D791" s="6">
        <v>3</v>
      </c>
      <c r="E791" s="7">
        <v>63</v>
      </c>
      <c r="F791" s="6" t="s">
        <v>3793</v>
      </c>
      <c r="G791" s="6" t="s">
        <v>2908</v>
      </c>
      <c r="H791" s="6" t="s">
        <v>2909</v>
      </c>
      <c r="I791" s="8"/>
      <c r="J791" s="8">
        <v>119048</v>
      </c>
      <c r="K791" s="6" t="s">
        <v>3613</v>
      </c>
      <c r="L791" s="6" t="s">
        <v>1123</v>
      </c>
      <c r="N791" s="6" t="s">
        <v>1123</v>
      </c>
      <c r="O791" s="29">
        <v>125000.4</v>
      </c>
    </row>
    <row r="792" s="1" customFormat="1" ht="16.35" hidden="1" customHeight="1" spans="1:15">
      <c r="A792" s="5"/>
      <c r="B792" s="6" t="s">
        <v>2906</v>
      </c>
      <c r="C792" s="6">
        <v>2018</v>
      </c>
      <c r="D792" s="6">
        <v>3</v>
      </c>
      <c r="E792" s="7">
        <v>66</v>
      </c>
      <c r="F792" s="6" t="s">
        <v>3794</v>
      </c>
      <c r="G792" s="6" t="s">
        <v>2908</v>
      </c>
      <c r="H792" s="6" t="s">
        <v>2909</v>
      </c>
      <c r="I792" s="8"/>
      <c r="J792" s="8">
        <v>95238</v>
      </c>
      <c r="K792" s="6" t="s">
        <v>3700</v>
      </c>
      <c r="L792" s="6" t="s">
        <v>1178</v>
      </c>
      <c r="N792" s="6" t="s">
        <v>1178</v>
      </c>
      <c r="O792" s="29">
        <v>99999.9</v>
      </c>
    </row>
    <row r="793" s="1" customFormat="1" ht="16.35" hidden="1" customHeight="1" spans="1:15">
      <c r="A793" s="5"/>
      <c r="B793" s="6" t="s">
        <v>2906</v>
      </c>
      <c r="C793" s="6">
        <v>2018</v>
      </c>
      <c r="D793" s="6">
        <v>3</v>
      </c>
      <c r="E793" s="7">
        <v>67</v>
      </c>
      <c r="F793" s="6" t="s">
        <v>3795</v>
      </c>
      <c r="G793" s="6" t="s">
        <v>2908</v>
      </c>
      <c r="H793" s="6" t="s">
        <v>2909</v>
      </c>
      <c r="I793" s="8"/>
      <c r="J793" s="8">
        <v>133333</v>
      </c>
      <c r="K793" s="6" t="s">
        <v>3592</v>
      </c>
      <c r="L793" s="6" t="s">
        <v>1481</v>
      </c>
      <c r="N793" s="6" t="s">
        <v>1481</v>
      </c>
      <c r="O793" s="29">
        <v>139999.65</v>
      </c>
    </row>
    <row r="794" s="1" customFormat="1" ht="16.35" hidden="1" customHeight="1" spans="1:15">
      <c r="A794" s="5"/>
      <c r="B794" s="6" t="s">
        <v>2906</v>
      </c>
      <c r="C794" s="6">
        <v>2018</v>
      </c>
      <c r="D794" s="6">
        <v>3</v>
      </c>
      <c r="E794" s="7">
        <v>68</v>
      </c>
      <c r="F794" s="6" t="s">
        <v>3796</v>
      </c>
      <c r="G794" s="6" t="s">
        <v>2908</v>
      </c>
      <c r="H794" s="6" t="s">
        <v>2909</v>
      </c>
      <c r="I794" s="8"/>
      <c r="J794" s="8">
        <v>60896</v>
      </c>
      <c r="K794" s="6" t="s">
        <v>3797</v>
      </c>
      <c r="L794" s="6" t="s">
        <v>1005</v>
      </c>
      <c r="N794" s="6" t="s">
        <v>1005</v>
      </c>
      <c r="O794" s="29">
        <v>63940.8</v>
      </c>
    </row>
    <row r="795" s="1" customFormat="1" ht="16.35" hidden="1" customHeight="1" spans="1:15">
      <c r="A795" s="5"/>
      <c r="B795" s="6" t="s">
        <v>2906</v>
      </c>
      <c r="C795" s="6">
        <v>2018</v>
      </c>
      <c r="D795" s="6">
        <v>3</v>
      </c>
      <c r="E795" s="7">
        <v>70</v>
      </c>
      <c r="F795" s="6" t="s">
        <v>3798</v>
      </c>
      <c r="G795" s="6" t="s">
        <v>2908</v>
      </c>
      <c r="H795" s="6" t="s">
        <v>2909</v>
      </c>
      <c r="I795" s="8"/>
      <c r="J795" s="8">
        <v>34798</v>
      </c>
      <c r="K795" s="6" t="s">
        <v>3799</v>
      </c>
      <c r="L795" s="6" t="s">
        <v>980</v>
      </c>
      <c r="N795" s="6" t="s">
        <v>980</v>
      </c>
      <c r="O795" s="29">
        <v>36537.9</v>
      </c>
    </row>
    <row r="796" s="1" customFormat="1" ht="16.35" hidden="1" customHeight="1" spans="1:15">
      <c r="A796" s="5"/>
      <c r="B796" s="6" t="s">
        <v>2906</v>
      </c>
      <c r="C796" s="6">
        <v>2018</v>
      </c>
      <c r="D796" s="6">
        <v>3</v>
      </c>
      <c r="E796" s="7">
        <v>72</v>
      </c>
      <c r="F796" s="6" t="s">
        <v>3800</v>
      </c>
      <c r="G796" s="6" t="s">
        <v>2908</v>
      </c>
      <c r="H796" s="6" t="s">
        <v>2909</v>
      </c>
      <c r="I796" s="8"/>
      <c r="J796" s="8">
        <v>9524</v>
      </c>
      <c r="K796" s="6" t="s">
        <v>3563</v>
      </c>
      <c r="L796" s="6" t="s">
        <v>1495</v>
      </c>
      <c r="N796" s="6" t="s">
        <v>1495</v>
      </c>
      <c r="O796" s="29">
        <v>10000.2</v>
      </c>
    </row>
    <row r="797" s="1" customFormat="1" ht="16.35" hidden="1" customHeight="1" spans="1:15">
      <c r="A797" s="5"/>
      <c r="B797" s="6" t="s">
        <v>2906</v>
      </c>
      <c r="C797" s="6">
        <v>2018</v>
      </c>
      <c r="D797" s="6">
        <v>3</v>
      </c>
      <c r="E797" s="7">
        <v>73</v>
      </c>
      <c r="F797" s="6" t="s">
        <v>3801</v>
      </c>
      <c r="G797" s="6" t="s">
        <v>2908</v>
      </c>
      <c r="H797" s="6" t="s">
        <v>2909</v>
      </c>
      <c r="I797" s="8"/>
      <c r="J797" s="8">
        <v>79000</v>
      </c>
      <c r="K797" s="6" t="s">
        <v>3776</v>
      </c>
      <c r="L797" s="6" t="s">
        <v>1196</v>
      </c>
      <c r="N797" s="6" t="s">
        <v>1196</v>
      </c>
      <c r="O797" s="29">
        <v>82950</v>
      </c>
    </row>
    <row r="798" s="1" customFormat="1" ht="16.35" hidden="1" customHeight="1" spans="1:15">
      <c r="A798" s="5"/>
      <c r="B798" s="6" t="s">
        <v>2906</v>
      </c>
      <c r="C798" s="6">
        <v>2018</v>
      </c>
      <c r="D798" s="6">
        <v>3</v>
      </c>
      <c r="E798" s="7">
        <v>75</v>
      </c>
      <c r="F798" s="6" t="s">
        <v>3802</v>
      </c>
      <c r="G798" s="6" t="s">
        <v>2908</v>
      </c>
      <c r="H798" s="6" t="s">
        <v>2909</v>
      </c>
      <c r="I798" s="8"/>
      <c r="J798" s="8">
        <v>210459.05</v>
      </c>
      <c r="K798" s="6" t="s">
        <v>3577</v>
      </c>
      <c r="L798" s="6" t="s">
        <v>1545</v>
      </c>
      <c r="N798" s="6" t="s">
        <v>1545</v>
      </c>
      <c r="O798" s="29">
        <v>220982.0025</v>
      </c>
    </row>
    <row r="799" s="1" customFormat="1" ht="16.35" hidden="1" customHeight="1" spans="1:15">
      <c r="A799" s="5"/>
      <c r="B799" s="6" t="s">
        <v>2906</v>
      </c>
      <c r="C799" s="6">
        <v>2018</v>
      </c>
      <c r="D799" s="6">
        <v>3</v>
      </c>
      <c r="E799" s="7">
        <v>76</v>
      </c>
      <c r="F799" s="6" t="s">
        <v>3803</v>
      </c>
      <c r="G799" s="6" t="s">
        <v>2908</v>
      </c>
      <c r="H799" s="6" t="s">
        <v>2909</v>
      </c>
      <c r="I799" s="8"/>
      <c r="J799" s="8">
        <v>99048</v>
      </c>
      <c r="K799" s="6" t="s">
        <v>3181</v>
      </c>
      <c r="L799" s="6" t="s">
        <v>1379</v>
      </c>
      <c r="N799" s="6" t="s">
        <v>1379</v>
      </c>
      <c r="O799" s="29">
        <v>104000.4</v>
      </c>
    </row>
    <row r="800" s="1" customFormat="1" ht="16.35" hidden="1" customHeight="1" spans="1:15">
      <c r="A800" s="5"/>
      <c r="B800" s="6" t="s">
        <v>2906</v>
      </c>
      <c r="C800" s="6">
        <v>2018</v>
      </c>
      <c r="D800" s="6">
        <v>4</v>
      </c>
      <c r="E800" s="7">
        <v>1</v>
      </c>
      <c r="F800" s="6" t="s">
        <v>3804</v>
      </c>
      <c r="G800" s="6" t="s">
        <v>2908</v>
      </c>
      <c r="H800" s="6" t="s">
        <v>2909</v>
      </c>
      <c r="I800" s="8"/>
      <c r="J800" s="8">
        <v>99048</v>
      </c>
      <c r="K800" s="6" t="s">
        <v>3705</v>
      </c>
      <c r="L800" s="6" t="s">
        <v>1519</v>
      </c>
      <c r="N800" s="6" t="s">
        <v>1519</v>
      </c>
      <c r="O800" s="29">
        <v>104000.4</v>
      </c>
    </row>
    <row r="801" s="1" customFormat="1" ht="16.35" hidden="1" customHeight="1" spans="1:15">
      <c r="A801" s="5"/>
      <c r="B801" s="6" t="s">
        <v>2906</v>
      </c>
      <c r="C801" s="6">
        <v>2018</v>
      </c>
      <c r="D801" s="6">
        <v>4</v>
      </c>
      <c r="E801" s="7">
        <v>2</v>
      </c>
      <c r="F801" s="6" t="s">
        <v>3716</v>
      </c>
      <c r="G801" s="6" t="s">
        <v>2908</v>
      </c>
      <c r="H801" s="6" t="s">
        <v>2909</v>
      </c>
      <c r="I801" s="8"/>
      <c r="J801" s="8">
        <v>106667</v>
      </c>
      <c r="K801" s="6" t="s">
        <v>3683</v>
      </c>
      <c r="L801" s="6" t="s">
        <v>1200</v>
      </c>
      <c r="N801" s="6" t="s">
        <v>1200</v>
      </c>
      <c r="O801" s="29">
        <v>112000.35</v>
      </c>
    </row>
    <row r="802" s="1" customFormat="1" ht="16.35" hidden="1" customHeight="1" spans="1:15">
      <c r="A802" s="5"/>
      <c r="B802" s="6" t="s">
        <v>2906</v>
      </c>
      <c r="C802" s="6">
        <v>2018</v>
      </c>
      <c r="D802" s="6">
        <v>4</v>
      </c>
      <c r="E802" s="7">
        <v>7</v>
      </c>
      <c r="F802" s="6" t="s">
        <v>3805</v>
      </c>
      <c r="G802" s="6" t="s">
        <v>2908</v>
      </c>
      <c r="H802" s="6" t="s">
        <v>2909</v>
      </c>
      <c r="I802" s="8"/>
      <c r="J802" s="8">
        <v>102346.7</v>
      </c>
      <c r="K802" s="6" t="s">
        <v>3547</v>
      </c>
      <c r="L802" s="6" t="s">
        <v>1347</v>
      </c>
      <c r="N802" s="6" t="s">
        <v>1347</v>
      </c>
      <c r="O802" s="29">
        <v>107464.035</v>
      </c>
    </row>
    <row r="803" s="1" customFormat="1" ht="16.35" hidden="1" customHeight="1" spans="1:15">
      <c r="A803" s="5"/>
      <c r="B803" s="6" t="s">
        <v>2906</v>
      </c>
      <c r="C803" s="6">
        <v>2018</v>
      </c>
      <c r="D803" s="6">
        <v>4</v>
      </c>
      <c r="E803" s="7">
        <v>8</v>
      </c>
      <c r="F803" s="6" t="s">
        <v>3806</v>
      </c>
      <c r="G803" s="6" t="s">
        <v>2908</v>
      </c>
      <c r="H803" s="6" t="s">
        <v>2909</v>
      </c>
      <c r="I803" s="8"/>
      <c r="J803" s="8">
        <v>33333.34</v>
      </c>
      <c r="K803" s="6" t="s">
        <v>3768</v>
      </c>
      <c r="L803" s="6" t="s">
        <v>1174</v>
      </c>
      <c r="N803" s="6" t="s">
        <v>1174</v>
      </c>
      <c r="O803" s="29">
        <v>35000.007</v>
      </c>
    </row>
    <row r="804" s="1" customFormat="1" ht="16.35" hidden="1" customHeight="1" spans="1:15">
      <c r="A804" s="5"/>
      <c r="B804" s="6" t="s">
        <v>2906</v>
      </c>
      <c r="C804" s="6">
        <v>2018</v>
      </c>
      <c r="D804" s="6">
        <v>4</v>
      </c>
      <c r="E804" s="7">
        <v>15</v>
      </c>
      <c r="F804" s="6" t="s">
        <v>3807</v>
      </c>
      <c r="G804" s="6" t="s">
        <v>2908</v>
      </c>
      <c r="H804" s="6" t="s">
        <v>2909</v>
      </c>
      <c r="I804" s="8"/>
      <c r="J804" s="8">
        <v>-45739</v>
      </c>
      <c r="K804" s="6" t="s">
        <v>3652</v>
      </c>
      <c r="L804" s="6" t="s">
        <v>1127</v>
      </c>
      <c r="N804" s="6" t="s">
        <v>1127</v>
      </c>
      <c r="O804" s="29">
        <v>-48025.95</v>
      </c>
    </row>
    <row r="805" s="1" customFormat="1" ht="16.35" hidden="1" customHeight="1" spans="1:15">
      <c r="A805" s="5"/>
      <c r="B805" s="6" t="s">
        <v>2906</v>
      </c>
      <c r="C805" s="6">
        <v>2018</v>
      </c>
      <c r="D805" s="6">
        <v>4</v>
      </c>
      <c r="E805" s="7">
        <v>16</v>
      </c>
      <c r="F805" s="6" t="s">
        <v>3808</v>
      </c>
      <c r="G805" s="6" t="s">
        <v>2908</v>
      </c>
      <c r="H805" s="6" t="s">
        <v>2909</v>
      </c>
      <c r="I805" s="8"/>
      <c r="J805" s="8">
        <v>152381</v>
      </c>
      <c r="K805" s="6" t="s">
        <v>3637</v>
      </c>
      <c r="L805" s="6" t="s">
        <v>1182</v>
      </c>
      <c r="N805" s="6" t="s">
        <v>1182</v>
      </c>
      <c r="O805" s="29">
        <v>160000.05</v>
      </c>
    </row>
    <row r="806" s="1" customFormat="1" ht="16.35" hidden="1" customHeight="1" spans="1:15">
      <c r="A806" s="5"/>
      <c r="B806" s="6" t="s">
        <v>2906</v>
      </c>
      <c r="C806" s="6">
        <v>2018</v>
      </c>
      <c r="D806" s="6">
        <v>4</v>
      </c>
      <c r="E806" s="7">
        <v>17</v>
      </c>
      <c r="F806" s="6" t="s">
        <v>3809</v>
      </c>
      <c r="G806" s="6" t="s">
        <v>2908</v>
      </c>
      <c r="H806" s="6" t="s">
        <v>2909</v>
      </c>
      <c r="I806" s="8"/>
      <c r="J806" s="8">
        <v>952</v>
      </c>
      <c r="K806" s="6" t="s">
        <v>3810</v>
      </c>
      <c r="L806" s="6" t="s">
        <v>1168</v>
      </c>
      <c r="N806" s="6" t="s">
        <v>1168</v>
      </c>
      <c r="O806" s="29">
        <v>999.6</v>
      </c>
    </row>
    <row r="807" s="1" customFormat="1" ht="16.35" hidden="1" customHeight="1" spans="1:15">
      <c r="A807" s="5"/>
      <c r="B807" s="6" t="s">
        <v>2906</v>
      </c>
      <c r="C807" s="6">
        <v>2018</v>
      </c>
      <c r="D807" s="6">
        <v>4</v>
      </c>
      <c r="E807" s="7">
        <v>18</v>
      </c>
      <c r="F807" s="6" t="s">
        <v>3811</v>
      </c>
      <c r="G807" s="6" t="s">
        <v>2908</v>
      </c>
      <c r="H807" s="6" t="s">
        <v>2909</v>
      </c>
      <c r="I807" s="8"/>
      <c r="J807" s="8">
        <v>952</v>
      </c>
      <c r="K807" s="6" t="s">
        <v>3812</v>
      </c>
      <c r="L807" s="6" t="s">
        <v>1192</v>
      </c>
      <c r="N807" s="6" t="s">
        <v>1192</v>
      </c>
      <c r="O807" s="29">
        <v>999.6</v>
      </c>
    </row>
    <row r="808" s="1" customFormat="1" ht="16.35" hidden="1" customHeight="1" spans="1:15">
      <c r="A808" s="5"/>
      <c r="B808" s="6" t="s">
        <v>2906</v>
      </c>
      <c r="C808" s="6">
        <v>2018</v>
      </c>
      <c r="D808" s="6">
        <v>4</v>
      </c>
      <c r="E808" s="7">
        <v>19</v>
      </c>
      <c r="F808" s="6" t="s">
        <v>3813</v>
      </c>
      <c r="G808" s="6" t="s">
        <v>2908</v>
      </c>
      <c r="H808" s="6" t="s">
        <v>2909</v>
      </c>
      <c r="I808" s="8"/>
      <c r="J808" s="8">
        <v>112381</v>
      </c>
      <c r="K808" s="6" t="s">
        <v>3714</v>
      </c>
      <c r="L808" s="6" t="s">
        <v>1194</v>
      </c>
      <c r="N808" s="6" t="s">
        <v>1194</v>
      </c>
      <c r="O808" s="29">
        <v>118000.05</v>
      </c>
    </row>
    <row r="809" s="1" customFormat="1" ht="16.35" hidden="1" customHeight="1" spans="1:15">
      <c r="A809" s="5"/>
      <c r="B809" s="6" t="s">
        <v>2906</v>
      </c>
      <c r="C809" s="6">
        <v>2018</v>
      </c>
      <c r="D809" s="6">
        <v>4</v>
      </c>
      <c r="E809" s="7">
        <v>20</v>
      </c>
      <c r="F809" s="6" t="s">
        <v>3814</v>
      </c>
      <c r="G809" s="6" t="s">
        <v>2908</v>
      </c>
      <c r="H809" s="6" t="s">
        <v>2909</v>
      </c>
      <c r="I809" s="8"/>
      <c r="J809" s="8">
        <v>124762</v>
      </c>
      <c r="K809" s="6" t="s">
        <v>3712</v>
      </c>
      <c r="L809" s="6" t="s">
        <v>1099</v>
      </c>
      <c r="N809" s="6" t="s">
        <v>1099</v>
      </c>
      <c r="O809" s="29">
        <v>131000.1</v>
      </c>
    </row>
    <row r="810" s="1" customFormat="1" ht="16.35" hidden="1" customHeight="1" spans="1:15">
      <c r="A810" s="5"/>
      <c r="B810" s="6" t="s">
        <v>2906</v>
      </c>
      <c r="C810" s="6">
        <v>2018</v>
      </c>
      <c r="D810" s="6">
        <v>4</v>
      </c>
      <c r="E810" s="7">
        <v>22</v>
      </c>
      <c r="F810" s="6" t="s">
        <v>3815</v>
      </c>
      <c r="G810" s="6" t="s">
        <v>2908</v>
      </c>
      <c r="H810" s="6" t="s">
        <v>2909</v>
      </c>
      <c r="I810" s="8"/>
      <c r="J810" s="8">
        <v>9524</v>
      </c>
      <c r="K810" s="6" t="s">
        <v>3816</v>
      </c>
      <c r="L810" s="6" t="s">
        <v>1446</v>
      </c>
      <c r="N810" s="6" t="s">
        <v>1446</v>
      </c>
      <c r="O810" s="29">
        <v>10000.2</v>
      </c>
    </row>
    <row r="811" s="1" customFormat="1" ht="16.35" hidden="1" customHeight="1" spans="1:15">
      <c r="A811" s="5"/>
      <c r="B811" s="6" t="s">
        <v>2906</v>
      </c>
      <c r="C811" s="6">
        <v>2018</v>
      </c>
      <c r="D811" s="6">
        <v>4</v>
      </c>
      <c r="E811" s="7">
        <v>23</v>
      </c>
      <c r="F811" s="6" t="s">
        <v>3817</v>
      </c>
      <c r="G811" s="6" t="s">
        <v>2908</v>
      </c>
      <c r="H811" s="6" t="s">
        <v>2909</v>
      </c>
      <c r="I811" s="8"/>
      <c r="J811" s="8">
        <v>76880</v>
      </c>
      <c r="K811" s="6" t="s">
        <v>3816</v>
      </c>
      <c r="L811" s="6" t="s">
        <v>1446</v>
      </c>
      <c r="N811" s="6" t="s">
        <v>1446</v>
      </c>
      <c r="O811" s="29">
        <v>80724</v>
      </c>
    </row>
    <row r="812" s="1" customFormat="1" ht="16.35" hidden="1" customHeight="1" spans="1:15">
      <c r="A812" s="5"/>
      <c r="B812" s="6" t="s">
        <v>2906</v>
      </c>
      <c r="C812" s="6">
        <v>2018</v>
      </c>
      <c r="D812" s="6">
        <v>4</v>
      </c>
      <c r="E812" s="7">
        <v>24</v>
      </c>
      <c r="F812" s="6" t="s">
        <v>3818</v>
      </c>
      <c r="G812" s="6" t="s">
        <v>2908</v>
      </c>
      <c r="H812" s="6" t="s">
        <v>2909</v>
      </c>
      <c r="I812" s="8"/>
      <c r="J812" s="8">
        <v>63052</v>
      </c>
      <c r="K812" s="6" t="s">
        <v>3787</v>
      </c>
      <c r="L812" s="6" t="s">
        <v>1511</v>
      </c>
      <c r="N812" s="6" t="s">
        <v>1511</v>
      </c>
      <c r="O812" s="29">
        <v>66204.6</v>
      </c>
    </row>
    <row r="813" s="1" customFormat="1" ht="16.35" hidden="1" customHeight="1" spans="1:15">
      <c r="A813" s="5"/>
      <c r="B813" s="6" t="s">
        <v>2906</v>
      </c>
      <c r="C813" s="6">
        <v>2018</v>
      </c>
      <c r="D813" s="6">
        <v>4</v>
      </c>
      <c r="E813" s="7">
        <v>25</v>
      </c>
      <c r="F813" s="6" t="s">
        <v>3819</v>
      </c>
      <c r="G813" s="6" t="s">
        <v>2908</v>
      </c>
      <c r="H813" s="6" t="s">
        <v>2909</v>
      </c>
      <c r="I813" s="8"/>
      <c r="J813" s="8">
        <v>9524</v>
      </c>
      <c r="K813" s="6" t="s">
        <v>3705</v>
      </c>
      <c r="L813" s="6" t="s">
        <v>1519</v>
      </c>
      <c r="N813" s="6" t="s">
        <v>1519</v>
      </c>
      <c r="O813" s="29">
        <v>10000.2</v>
      </c>
    </row>
    <row r="814" s="1" customFormat="1" ht="16.35" hidden="1" customHeight="1" spans="1:15">
      <c r="A814" s="5"/>
      <c r="B814" s="6" t="s">
        <v>2906</v>
      </c>
      <c r="C814" s="6">
        <v>2018</v>
      </c>
      <c r="D814" s="6">
        <v>4</v>
      </c>
      <c r="E814" s="7">
        <v>26</v>
      </c>
      <c r="F814" s="6" t="s">
        <v>3820</v>
      </c>
      <c r="G814" s="6" t="s">
        <v>2908</v>
      </c>
      <c r="H814" s="6" t="s">
        <v>2909</v>
      </c>
      <c r="I814" s="8"/>
      <c r="J814" s="8">
        <v>1531</v>
      </c>
      <c r="K814" s="6" t="s">
        <v>3821</v>
      </c>
      <c r="L814" s="6" t="s">
        <v>1445</v>
      </c>
      <c r="N814" s="6" t="s">
        <v>1445</v>
      </c>
      <c r="O814" s="29">
        <v>1607.55</v>
      </c>
    </row>
    <row r="815" s="1" customFormat="1" ht="16.35" hidden="1" customHeight="1" spans="1:15">
      <c r="A815" s="5"/>
      <c r="B815" s="6" t="s">
        <v>2906</v>
      </c>
      <c r="C815" s="6">
        <v>2018</v>
      </c>
      <c r="D815" s="6">
        <v>4</v>
      </c>
      <c r="E815" s="7">
        <v>27</v>
      </c>
      <c r="F815" s="6" t="s">
        <v>3820</v>
      </c>
      <c r="G815" s="6" t="s">
        <v>2908</v>
      </c>
      <c r="H815" s="6" t="s">
        <v>2909</v>
      </c>
      <c r="I815" s="8"/>
      <c r="J815" s="8">
        <v>19048</v>
      </c>
      <c r="K815" s="6" t="s">
        <v>3821</v>
      </c>
      <c r="L815" s="6" t="s">
        <v>1445</v>
      </c>
      <c r="N815" s="6" t="s">
        <v>1445</v>
      </c>
      <c r="O815" s="29">
        <v>20000.4</v>
      </c>
    </row>
    <row r="816" s="1" customFormat="1" ht="16.35" hidden="1" customHeight="1" spans="1:15">
      <c r="A816" s="5"/>
      <c r="B816" s="6" t="s">
        <v>2906</v>
      </c>
      <c r="C816" s="6">
        <v>2018</v>
      </c>
      <c r="D816" s="6">
        <v>4</v>
      </c>
      <c r="E816" s="7">
        <v>28</v>
      </c>
      <c r="F816" s="6" t="s">
        <v>3820</v>
      </c>
      <c r="G816" s="6" t="s">
        <v>2908</v>
      </c>
      <c r="H816" s="6" t="s">
        <v>2909</v>
      </c>
      <c r="I816" s="8"/>
      <c r="J816" s="8">
        <v>45714</v>
      </c>
      <c r="K816" s="6" t="s">
        <v>3821</v>
      </c>
      <c r="L816" s="6" t="s">
        <v>1445</v>
      </c>
      <c r="N816" s="6" t="s">
        <v>1445</v>
      </c>
      <c r="O816" s="29">
        <v>47999.7</v>
      </c>
    </row>
    <row r="817" s="1" customFormat="1" ht="16.35" hidden="1" customHeight="1" spans="1:15">
      <c r="A817" s="5"/>
      <c r="B817" s="6" t="s">
        <v>2906</v>
      </c>
      <c r="C817" s="6">
        <v>2018</v>
      </c>
      <c r="D817" s="6">
        <v>4</v>
      </c>
      <c r="E817" s="7">
        <v>29</v>
      </c>
      <c r="F817" s="6" t="s">
        <v>3822</v>
      </c>
      <c r="G817" s="6" t="s">
        <v>2908</v>
      </c>
      <c r="H817" s="6" t="s">
        <v>2909</v>
      </c>
      <c r="I817" s="8"/>
      <c r="J817" s="8">
        <v>146667</v>
      </c>
      <c r="K817" s="6" t="s">
        <v>3728</v>
      </c>
      <c r="L817" s="6" t="s">
        <v>1365</v>
      </c>
      <c r="N817" s="6" t="s">
        <v>1365</v>
      </c>
      <c r="O817" s="29">
        <v>154000.35</v>
      </c>
    </row>
    <row r="818" s="1" customFormat="1" ht="16.35" hidden="1" customHeight="1" spans="1:15">
      <c r="A818" s="5"/>
      <c r="B818" s="6" t="s">
        <v>2906</v>
      </c>
      <c r="C818" s="6">
        <v>2018</v>
      </c>
      <c r="D818" s="6">
        <v>4</v>
      </c>
      <c r="E818" s="7">
        <v>30</v>
      </c>
      <c r="F818" s="6" t="s">
        <v>3823</v>
      </c>
      <c r="G818" s="6" t="s">
        <v>2908</v>
      </c>
      <c r="H818" s="6" t="s">
        <v>2909</v>
      </c>
      <c r="I818" s="8"/>
      <c r="J818" s="8">
        <v>76048</v>
      </c>
      <c r="K818" s="6" t="s">
        <v>3810</v>
      </c>
      <c r="L818" s="6" t="s">
        <v>1168</v>
      </c>
      <c r="N818" s="6" t="s">
        <v>1168</v>
      </c>
      <c r="O818" s="29">
        <v>79850.4</v>
      </c>
    </row>
    <row r="819" s="1" customFormat="1" ht="16.35" hidden="1" customHeight="1" spans="1:15">
      <c r="A819" s="5"/>
      <c r="B819" s="6" t="s">
        <v>2906</v>
      </c>
      <c r="C819" s="6">
        <v>2018</v>
      </c>
      <c r="D819" s="6">
        <v>4</v>
      </c>
      <c r="E819" s="7">
        <v>31</v>
      </c>
      <c r="F819" s="6" t="s">
        <v>3824</v>
      </c>
      <c r="G819" s="6" t="s">
        <v>2908</v>
      </c>
      <c r="H819" s="6" t="s">
        <v>2909</v>
      </c>
      <c r="I819" s="8"/>
      <c r="J819" s="8">
        <v>76048</v>
      </c>
      <c r="K819" s="6" t="s">
        <v>3812</v>
      </c>
      <c r="L819" s="6" t="s">
        <v>1192</v>
      </c>
      <c r="N819" s="6" t="s">
        <v>1192</v>
      </c>
      <c r="O819" s="29">
        <v>79850.4</v>
      </c>
    </row>
    <row r="820" s="1" customFormat="1" ht="16.35" hidden="1" customHeight="1" spans="1:15">
      <c r="A820" s="5"/>
      <c r="B820" s="6" t="s">
        <v>2906</v>
      </c>
      <c r="C820" s="6">
        <v>2018</v>
      </c>
      <c r="D820" s="6">
        <v>4</v>
      </c>
      <c r="E820" s="7">
        <v>33</v>
      </c>
      <c r="F820" s="6" t="s">
        <v>3825</v>
      </c>
      <c r="G820" s="6" t="s">
        <v>2908</v>
      </c>
      <c r="H820" s="6" t="s">
        <v>2909</v>
      </c>
      <c r="I820" s="8"/>
      <c r="J820" s="8">
        <v>137363</v>
      </c>
      <c r="K820" s="6" t="s">
        <v>3619</v>
      </c>
      <c r="L820" s="6" t="s">
        <v>1081</v>
      </c>
      <c r="N820" s="6" t="s">
        <v>1081</v>
      </c>
      <c r="O820" s="29">
        <v>144231.15</v>
      </c>
    </row>
    <row r="821" s="1" customFormat="1" ht="16.35" hidden="1" customHeight="1" spans="1:15">
      <c r="A821" s="5"/>
      <c r="B821" s="6" t="s">
        <v>2906</v>
      </c>
      <c r="C821" s="6">
        <v>2018</v>
      </c>
      <c r="D821" s="6">
        <v>4</v>
      </c>
      <c r="E821" s="7">
        <v>35</v>
      </c>
      <c r="F821" s="6" t="s">
        <v>3826</v>
      </c>
      <c r="G821" s="6" t="s">
        <v>2908</v>
      </c>
      <c r="H821" s="6" t="s">
        <v>2909</v>
      </c>
      <c r="I821" s="8"/>
      <c r="J821" s="8">
        <v>152381</v>
      </c>
      <c r="K821" s="6" t="s">
        <v>3766</v>
      </c>
      <c r="L821" s="6" t="s">
        <v>1275</v>
      </c>
      <c r="N821" s="6" t="s">
        <v>1275</v>
      </c>
      <c r="O821" s="29">
        <v>160000.05</v>
      </c>
    </row>
    <row r="822" s="1" customFormat="1" ht="16.35" hidden="1" customHeight="1" spans="1:15">
      <c r="A822" s="5"/>
      <c r="B822" s="6" t="s">
        <v>2906</v>
      </c>
      <c r="C822" s="6">
        <v>2018</v>
      </c>
      <c r="D822" s="6">
        <v>4</v>
      </c>
      <c r="E822" s="7">
        <v>36</v>
      </c>
      <c r="F822" s="6" t="s">
        <v>3827</v>
      </c>
      <c r="G822" s="6" t="s">
        <v>2908</v>
      </c>
      <c r="H822" s="6" t="s">
        <v>2909</v>
      </c>
      <c r="I822" s="8"/>
      <c r="J822" s="8">
        <v>1857</v>
      </c>
      <c r="K822" s="6" t="s">
        <v>3768</v>
      </c>
      <c r="L822" s="6" t="s">
        <v>1174</v>
      </c>
      <c r="N822" s="6" t="s">
        <v>1174</v>
      </c>
      <c r="O822" s="29">
        <v>1949.85</v>
      </c>
    </row>
    <row r="823" s="1" customFormat="1" ht="16.35" hidden="1" customHeight="1" spans="1:15">
      <c r="A823" s="5"/>
      <c r="B823" s="6" t="s">
        <v>2906</v>
      </c>
      <c r="C823" s="6">
        <v>2018</v>
      </c>
      <c r="D823" s="6">
        <v>4</v>
      </c>
      <c r="E823" s="7">
        <v>40</v>
      </c>
      <c r="F823" s="6" t="s">
        <v>3828</v>
      </c>
      <c r="G823" s="6" t="s">
        <v>2908</v>
      </c>
      <c r="H823" s="6" t="s">
        <v>2909</v>
      </c>
      <c r="I823" s="8"/>
      <c r="J823" s="8">
        <v>4762</v>
      </c>
      <c r="K823" s="6" t="s">
        <v>3829</v>
      </c>
      <c r="L823" s="6" t="s">
        <v>1190</v>
      </c>
      <c r="N823" s="6" t="s">
        <v>1190</v>
      </c>
      <c r="O823" s="29">
        <v>5000.1</v>
      </c>
    </row>
    <row r="824" s="1" customFormat="1" ht="16.35" hidden="1" customHeight="1" spans="1:15">
      <c r="A824" s="5"/>
      <c r="B824" s="6" t="s">
        <v>2906</v>
      </c>
      <c r="C824" s="6">
        <v>2018</v>
      </c>
      <c r="D824" s="6">
        <v>5</v>
      </c>
      <c r="E824" s="7">
        <v>1</v>
      </c>
      <c r="F824" s="6" t="s">
        <v>3828</v>
      </c>
      <c r="G824" s="6" t="s">
        <v>2908</v>
      </c>
      <c r="H824" s="6" t="s">
        <v>2909</v>
      </c>
      <c r="I824" s="8"/>
      <c r="J824" s="8">
        <v>12560</v>
      </c>
      <c r="K824" s="6" t="s">
        <v>3829</v>
      </c>
      <c r="L824" s="6" t="s">
        <v>1190</v>
      </c>
      <c r="N824" s="6" t="s">
        <v>1190</v>
      </c>
      <c r="O824" s="29">
        <v>13188</v>
      </c>
    </row>
    <row r="825" s="1" customFormat="1" ht="16.35" hidden="1" customHeight="1" spans="1:16">
      <c r="A825" s="5"/>
      <c r="B825" s="6" t="s">
        <v>2906</v>
      </c>
      <c r="C825" s="6">
        <v>2018</v>
      </c>
      <c r="D825" s="6">
        <v>5</v>
      </c>
      <c r="E825" s="7">
        <v>2</v>
      </c>
      <c r="F825" s="6" t="s">
        <v>3830</v>
      </c>
      <c r="G825" s="6" t="s">
        <v>2908</v>
      </c>
      <c r="H825" s="6" t="s">
        <v>2909</v>
      </c>
      <c r="I825" s="8"/>
      <c r="J825" s="8">
        <v>952</v>
      </c>
      <c r="K825" s="6" t="s">
        <v>3831</v>
      </c>
      <c r="L825" s="6" t="s">
        <v>1429</v>
      </c>
      <c r="N825" s="6" t="s">
        <v>1429</v>
      </c>
      <c r="O825" s="29">
        <v>999.6</v>
      </c>
      <c r="P825" s="1">
        <f>O825-J825</f>
        <v>47.6</v>
      </c>
    </row>
    <row r="826" s="1" customFormat="1" ht="16.35" hidden="1" customHeight="1" spans="1:16">
      <c r="A826" s="5"/>
      <c r="B826" s="6" t="s">
        <v>2906</v>
      </c>
      <c r="C826" s="6">
        <v>2018</v>
      </c>
      <c r="D826" s="6">
        <v>5</v>
      </c>
      <c r="E826" s="7">
        <v>3</v>
      </c>
      <c r="F826" s="6" t="s">
        <v>3830</v>
      </c>
      <c r="G826" s="6" t="s">
        <v>2908</v>
      </c>
      <c r="H826" s="6" t="s">
        <v>2909</v>
      </c>
      <c r="I826" s="8"/>
      <c r="J826" s="8">
        <v>952</v>
      </c>
      <c r="K826" s="6" t="s">
        <v>3831</v>
      </c>
      <c r="L826" s="6" t="s">
        <v>1429</v>
      </c>
      <c r="N826" s="6" t="s">
        <v>1429</v>
      </c>
      <c r="O826" s="29">
        <v>999.6</v>
      </c>
      <c r="P826" s="1">
        <f>O826-J826</f>
        <v>47.6</v>
      </c>
    </row>
    <row r="827" s="1" customFormat="1" ht="16.35" hidden="1" customHeight="1" spans="1:16">
      <c r="A827" s="5"/>
      <c r="B827" s="6" t="s">
        <v>2906</v>
      </c>
      <c r="C827" s="6">
        <v>2018</v>
      </c>
      <c r="D827" s="6">
        <v>5</v>
      </c>
      <c r="E827" s="7">
        <v>4</v>
      </c>
      <c r="F827" s="6" t="s">
        <v>3830</v>
      </c>
      <c r="G827" s="6" t="s">
        <v>2908</v>
      </c>
      <c r="H827" s="6" t="s">
        <v>2909</v>
      </c>
      <c r="I827" s="8"/>
      <c r="J827" s="8">
        <v>65451</v>
      </c>
      <c r="K827" s="6" t="s">
        <v>3831</v>
      </c>
      <c r="L827" s="6" t="s">
        <v>1429</v>
      </c>
      <c r="N827" s="6" t="s">
        <v>1429</v>
      </c>
      <c r="O827" s="29">
        <v>68723.55</v>
      </c>
      <c r="P827" s="1">
        <f>O827-J827</f>
        <v>3272.55</v>
      </c>
    </row>
    <row r="828" s="1" customFormat="1" ht="16.35" hidden="1" customHeight="1" spans="1:16">
      <c r="A828" s="5"/>
      <c r="B828" s="6" t="s">
        <v>2906</v>
      </c>
      <c r="C828" s="6">
        <v>2018</v>
      </c>
      <c r="D828" s="6">
        <v>5</v>
      </c>
      <c r="E828" s="7">
        <v>5</v>
      </c>
      <c r="F828" s="6" t="s">
        <v>3832</v>
      </c>
      <c r="G828" s="6" t="s">
        <v>2908</v>
      </c>
      <c r="H828" s="6" t="s">
        <v>2909</v>
      </c>
      <c r="I828" s="8"/>
      <c r="J828" s="8">
        <v>88802</v>
      </c>
      <c r="K828" s="6" t="s">
        <v>3411</v>
      </c>
      <c r="L828" s="6" t="s">
        <v>1389</v>
      </c>
      <c r="N828" s="6" t="s">
        <v>1389</v>
      </c>
      <c r="O828" s="29">
        <v>93242.1</v>
      </c>
      <c r="P828" s="1">
        <f>O828-J828</f>
        <v>4440.10000000001</v>
      </c>
    </row>
    <row r="829" s="1" customFormat="1" ht="16.35" hidden="1" customHeight="1" spans="1:15">
      <c r="A829" s="5"/>
      <c r="B829" s="6" t="s">
        <v>2906</v>
      </c>
      <c r="C829" s="6">
        <v>2018</v>
      </c>
      <c r="D829" s="6">
        <v>5</v>
      </c>
      <c r="E829" s="7">
        <v>6</v>
      </c>
      <c r="F829" s="6" t="s">
        <v>3833</v>
      </c>
      <c r="G829" s="6" t="s">
        <v>2908</v>
      </c>
      <c r="H829" s="6" t="s">
        <v>2909</v>
      </c>
      <c r="I829" s="8"/>
      <c r="J829" s="8">
        <v>4762</v>
      </c>
      <c r="K829" s="6" t="s">
        <v>3834</v>
      </c>
      <c r="L829" s="6" t="s">
        <v>1198</v>
      </c>
      <c r="N829" s="6" t="s">
        <v>1198</v>
      </c>
      <c r="O829" s="29">
        <v>5000.1</v>
      </c>
    </row>
    <row r="830" s="1" customFormat="1" ht="16.35" hidden="1" customHeight="1" spans="1:15">
      <c r="A830" s="5"/>
      <c r="B830" s="6" t="s">
        <v>2906</v>
      </c>
      <c r="C830" s="6">
        <v>2018</v>
      </c>
      <c r="D830" s="6">
        <v>5</v>
      </c>
      <c r="E830" s="7">
        <v>7</v>
      </c>
      <c r="F830" s="6" t="s">
        <v>3835</v>
      </c>
      <c r="G830" s="6" t="s">
        <v>2908</v>
      </c>
      <c r="H830" s="6" t="s">
        <v>2909</v>
      </c>
      <c r="I830" s="8"/>
      <c r="J830" s="8">
        <v>4323</v>
      </c>
      <c r="K830" s="6" t="s">
        <v>3836</v>
      </c>
      <c r="L830" s="6" t="s">
        <v>1649</v>
      </c>
      <c r="N830" s="6" t="s">
        <v>1649</v>
      </c>
      <c r="O830" s="29">
        <v>4539.15</v>
      </c>
    </row>
    <row r="831" s="1" customFormat="1" ht="16.35" hidden="1" customHeight="1" spans="1:15">
      <c r="A831" s="5"/>
      <c r="B831" s="6" t="s">
        <v>2906</v>
      </c>
      <c r="C831" s="6">
        <v>2018</v>
      </c>
      <c r="D831" s="6">
        <v>5</v>
      </c>
      <c r="E831" s="7">
        <v>10</v>
      </c>
      <c r="F831" s="6" t="s">
        <v>3837</v>
      </c>
      <c r="G831" s="6" t="s">
        <v>2908</v>
      </c>
      <c r="H831" s="6" t="s">
        <v>2909</v>
      </c>
      <c r="I831" s="8"/>
      <c r="J831" s="8">
        <v>132381</v>
      </c>
      <c r="K831" s="6" t="s">
        <v>3565</v>
      </c>
      <c r="L831" s="6" t="s">
        <v>1493</v>
      </c>
      <c r="N831" s="6" t="s">
        <v>1493</v>
      </c>
      <c r="O831" s="29">
        <v>139000.05</v>
      </c>
    </row>
    <row r="832" s="1" customFormat="1" ht="16.35" hidden="1" customHeight="1" spans="1:15">
      <c r="A832" s="5"/>
      <c r="B832" s="6" t="s">
        <v>2906</v>
      </c>
      <c r="C832" s="6">
        <v>2018</v>
      </c>
      <c r="D832" s="6">
        <v>5</v>
      </c>
      <c r="E832" s="7">
        <v>11</v>
      </c>
      <c r="F832" s="6" t="s">
        <v>3838</v>
      </c>
      <c r="G832" s="6" t="s">
        <v>2908</v>
      </c>
      <c r="H832" s="6" t="s">
        <v>2909</v>
      </c>
      <c r="I832" s="8"/>
      <c r="J832" s="8">
        <v>1905</v>
      </c>
      <c r="K832" s="6" t="s">
        <v>3839</v>
      </c>
      <c r="L832" s="6" t="s">
        <v>1613</v>
      </c>
      <c r="N832" s="6" t="s">
        <v>1613</v>
      </c>
      <c r="O832" s="29">
        <v>2000.25</v>
      </c>
    </row>
    <row r="833" s="1" customFormat="1" ht="16.35" hidden="1" customHeight="1" spans="1:15">
      <c r="A833" s="5"/>
      <c r="B833" s="6" t="s">
        <v>2906</v>
      </c>
      <c r="C833" s="6">
        <v>2018</v>
      </c>
      <c r="D833" s="6">
        <v>5</v>
      </c>
      <c r="E833" s="7">
        <v>12</v>
      </c>
      <c r="F833" s="6" t="s">
        <v>3835</v>
      </c>
      <c r="G833" s="6" t="s">
        <v>2908</v>
      </c>
      <c r="H833" s="6" t="s">
        <v>2909</v>
      </c>
      <c r="I833" s="8"/>
      <c r="J833" s="8">
        <v>47619</v>
      </c>
      <c r="K833" s="6" t="s">
        <v>3836</v>
      </c>
      <c r="L833" s="6" t="s">
        <v>1649</v>
      </c>
      <c r="N833" s="6" t="s">
        <v>1649</v>
      </c>
      <c r="O833" s="29">
        <v>49999.95</v>
      </c>
    </row>
    <row r="834" s="1" customFormat="1" ht="16.35" hidden="1" customHeight="1" spans="1:15">
      <c r="A834" s="5"/>
      <c r="B834" s="6" t="s">
        <v>2906</v>
      </c>
      <c r="C834" s="6">
        <v>2018</v>
      </c>
      <c r="D834" s="6">
        <v>5</v>
      </c>
      <c r="E834" s="7">
        <v>13</v>
      </c>
      <c r="F834" s="6" t="s">
        <v>3840</v>
      </c>
      <c r="G834" s="6" t="s">
        <v>2908</v>
      </c>
      <c r="H834" s="6" t="s">
        <v>2909</v>
      </c>
      <c r="I834" s="8"/>
      <c r="J834" s="8">
        <v>66667</v>
      </c>
      <c r="K834" s="6" t="s">
        <v>3670</v>
      </c>
      <c r="L834" s="6" t="s">
        <v>1306</v>
      </c>
      <c r="N834" s="6" t="s">
        <v>1306</v>
      </c>
      <c r="O834" s="29">
        <v>70000.35</v>
      </c>
    </row>
    <row r="835" s="1" customFormat="1" ht="16.35" hidden="1" customHeight="1" spans="1:15">
      <c r="A835" s="5"/>
      <c r="B835" s="6" t="s">
        <v>2906</v>
      </c>
      <c r="C835" s="6">
        <v>2018</v>
      </c>
      <c r="D835" s="6">
        <v>5</v>
      </c>
      <c r="E835" s="7">
        <v>17</v>
      </c>
      <c r="F835" s="6" t="s">
        <v>3841</v>
      </c>
      <c r="G835" s="6" t="s">
        <v>2908</v>
      </c>
      <c r="H835" s="6" t="s">
        <v>2909</v>
      </c>
      <c r="I835" s="8"/>
      <c r="J835" s="8">
        <v>86150</v>
      </c>
      <c r="K835" s="6" t="s">
        <v>3839</v>
      </c>
      <c r="L835" s="6" t="s">
        <v>1613</v>
      </c>
      <c r="N835" s="6" t="s">
        <v>1613</v>
      </c>
      <c r="O835" s="29">
        <v>90457.5</v>
      </c>
    </row>
    <row r="836" s="1" customFormat="1" ht="16.35" hidden="1" customHeight="1" spans="1:15">
      <c r="A836" s="5"/>
      <c r="B836" s="6" t="s">
        <v>2906</v>
      </c>
      <c r="C836" s="6">
        <v>2018</v>
      </c>
      <c r="D836" s="6">
        <v>5</v>
      </c>
      <c r="E836" s="7">
        <v>18</v>
      </c>
      <c r="F836" s="6" t="s">
        <v>3842</v>
      </c>
      <c r="G836" s="6" t="s">
        <v>2908</v>
      </c>
      <c r="H836" s="6" t="s">
        <v>2909</v>
      </c>
      <c r="I836" s="8"/>
      <c r="J836" s="8">
        <v>45714</v>
      </c>
      <c r="K836" s="6" t="s">
        <v>3598</v>
      </c>
      <c r="L836" s="6" t="s">
        <v>1186</v>
      </c>
      <c r="N836" s="6" t="s">
        <v>1186</v>
      </c>
      <c r="O836" s="29">
        <v>47999.7</v>
      </c>
    </row>
    <row r="837" s="1" customFormat="1" ht="16.35" hidden="1" customHeight="1" spans="1:15">
      <c r="A837" s="5"/>
      <c r="B837" s="6" t="s">
        <v>2906</v>
      </c>
      <c r="C837" s="6">
        <v>2018</v>
      </c>
      <c r="D837" s="6">
        <v>5</v>
      </c>
      <c r="E837" s="7">
        <v>19</v>
      </c>
      <c r="F837" s="6" t="s">
        <v>3843</v>
      </c>
      <c r="G837" s="6" t="s">
        <v>2908</v>
      </c>
      <c r="H837" s="6" t="s">
        <v>2909</v>
      </c>
      <c r="I837" s="8"/>
      <c r="J837" s="8">
        <v>4762</v>
      </c>
      <c r="K837" s="6" t="s">
        <v>3844</v>
      </c>
      <c r="L837" s="6" t="s">
        <v>1443</v>
      </c>
      <c r="N837" s="6" t="s">
        <v>1443</v>
      </c>
      <c r="O837" s="29">
        <v>5000.1</v>
      </c>
    </row>
    <row r="838" s="1" customFormat="1" ht="16.35" hidden="1" customHeight="1" spans="1:15">
      <c r="A838" s="5"/>
      <c r="B838" s="6" t="s">
        <v>2906</v>
      </c>
      <c r="C838" s="6">
        <v>2018</v>
      </c>
      <c r="D838" s="6">
        <v>5</v>
      </c>
      <c r="E838" s="7">
        <v>20</v>
      </c>
      <c r="F838" s="6" t="s">
        <v>3828</v>
      </c>
      <c r="G838" s="6" t="s">
        <v>2908</v>
      </c>
      <c r="H838" s="6" t="s">
        <v>2909</v>
      </c>
      <c r="I838" s="8"/>
      <c r="J838" s="8">
        <v>58095</v>
      </c>
      <c r="K838" s="6" t="s">
        <v>3829</v>
      </c>
      <c r="L838" s="6" t="s">
        <v>1190</v>
      </c>
      <c r="N838" s="6" t="s">
        <v>1190</v>
      </c>
      <c r="O838" s="29">
        <v>60999.75</v>
      </c>
    </row>
    <row r="839" s="1" customFormat="1" ht="16.35" hidden="1" customHeight="1" spans="1:15">
      <c r="A839" s="5"/>
      <c r="B839" s="6" t="s">
        <v>2906</v>
      </c>
      <c r="C839" s="6">
        <v>2018</v>
      </c>
      <c r="D839" s="6">
        <v>5</v>
      </c>
      <c r="E839" s="7">
        <v>23</v>
      </c>
      <c r="F839" s="6" t="s">
        <v>3845</v>
      </c>
      <c r="G839" s="6" t="s">
        <v>2908</v>
      </c>
      <c r="H839" s="6" t="s">
        <v>2909</v>
      </c>
      <c r="I839" s="8"/>
      <c r="J839" s="8">
        <v>154286</v>
      </c>
      <c r="K839" s="6" t="s">
        <v>3821</v>
      </c>
      <c r="L839" s="6" t="s">
        <v>1445</v>
      </c>
      <c r="N839" s="6" t="s">
        <v>1445</v>
      </c>
      <c r="O839" s="29">
        <v>162000.3</v>
      </c>
    </row>
    <row r="840" s="1" customFormat="1" ht="16.35" hidden="1" customHeight="1" spans="1:16">
      <c r="A840" s="5"/>
      <c r="B840" s="6" t="s">
        <v>2906</v>
      </c>
      <c r="C840" s="6">
        <v>2018</v>
      </c>
      <c r="D840" s="6">
        <v>5</v>
      </c>
      <c r="E840" s="7">
        <v>24</v>
      </c>
      <c r="F840" s="6" t="s">
        <v>3846</v>
      </c>
      <c r="G840" s="6" t="s">
        <v>2908</v>
      </c>
      <c r="H840" s="6" t="s">
        <v>2909</v>
      </c>
      <c r="I840" s="8"/>
      <c r="J840" s="8">
        <v>152381</v>
      </c>
      <c r="K840" s="6" t="s">
        <v>3831</v>
      </c>
      <c r="L840" s="6" t="s">
        <v>1429</v>
      </c>
      <c r="N840" s="6" t="s">
        <v>1429</v>
      </c>
      <c r="O840" s="29">
        <v>160000.05</v>
      </c>
      <c r="P840" s="1">
        <f>O840-J840</f>
        <v>7619.04999999999</v>
      </c>
    </row>
    <row r="841" s="1" customFormat="1" ht="16.35" hidden="1" customHeight="1" spans="1:15">
      <c r="A841" s="5"/>
      <c r="B841" s="6" t="s">
        <v>2906</v>
      </c>
      <c r="C841" s="6">
        <v>2018</v>
      </c>
      <c r="D841" s="6">
        <v>5</v>
      </c>
      <c r="E841" s="7">
        <v>25</v>
      </c>
      <c r="F841" s="6" t="s">
        <v>3847</v>
      </c>
      <c r="G841" s="6" t="s">
        <v>2908</v>
      </c>
      <c r="H841" s="6" t="s">
        <v>2909</v>
      </c>
      <c r="I841" s="8"/>
      <c r="J841" s="8">
        <v>157143</v>
      </c>
      <c r="K841" s="6" t="s">
        <v>3787</v>
      </c>
      <c r="L841" s="6" t="s">
        <v>1511</v>
      </c>
      <c r="N841" s="6" t="s">
        <v>1511</v>
      </c>
      <c r="O841" s="29">
        <v>165000.15</v>
      </c>
    </row>
    <row r="842" s="1" customFormat="1" ht="16.35" hidden="1" customHeight="1" spans="1:15">
      <c r="A842" s="5"/>
      <c r="B842" s="6" t="s">
        <v>2906</v>
      </c>
      <c r="C842" s="6">
        <v>2018</v>
      </c>
      <c r="D842" s="6">
        <v>5</v>
      </c>
      <c r="E842" s="7">
        <v>26</v>
      </c>
      <c r="F842" s="6" t="s">
        <v>3848</v>
      </c>
      <c r="G842" s="6" t="s">
        <v>2908</v>
      </c>
      <c r="H842" s="6" t="s">
        <v>2909</v>
      </c>
      <c r="I842" s="8"/>
      <c r="J842" s="8">
        <v>67476</v>
      </c>
      <c r="K842" s="6" t="s">
        <v>3663</v>
      </c>
      <c r="L842" s="6" t="s">
        <v>1170</v>
      </c>
      <c r="N842" s="6" t="s">
        <v>1170</v>
      </c>
      <c r="O842" s="29">
        <v>70849.8</v>
      </c>
    </row>
    <row r="843" s="1" customFormat="1" ht="16.35" hidden="1" customHeight="1" spans="1:15">
      <c r="A843" s="5"/>
      <c r="B843" s="6" t="s">
        <v>2906</v>
      </c>
      <c r="C843" s="6">
        <v>2018</v>
      </c>
      <c r="D843" s="6">
        <v>5</v>
      </c>
      <c r="E843" s="7">
        <v>27</v>
      </c>
      <c r="F843" s="6" t="s">
        <v>3796</v>
      </c>
      <c r="G843" s="6" t="s">
        <v>2908</v>
      </c>
      <c r="H843" s="6" t="s">
        <v>2909</v>
      </c>
      <c r="I843" s="8"/>
      <c r="J843" s="8">
        <v>16190</v>
      </c>
      <c r="K843" s="6" t="s">
        <v>3797</v>
      </c>
      <c r="L843" s="6" t="s">
        <v>1005</v>
      </c>
      <c r="N843" s="6" t="s">
        <v>1005</v>
      </c>
      <c r="O843" s="29">
        <v>16999.5</v>
      </c>
    </row>
    <row r="844" s="1" customFormat="1" ht="16.35" hidden="1" customHeight="1" spans="1:15">
      <c r="A844" s="5"/>
      <c r="B844" s="6" t="s">
        <v>2906</v>
      </c>
      <c r="C844" s="6">
        <v>2018</v>
      </c>
      <c r="D844" s="6">
        <v>5</v>
      </c>
      <c r="E844" s="7">
        <v>28</v>
      </c>
      <c r="F844" s="6" t="s">
        <v>3849</v>
      </c>
      <c r="G844" s="6" t="s">
        <v>2908</v>
      </c>
      <c r="H844" s="6" t="s">
        <v>2909</v>
      </c>
      <c r="I844" s="8"/>
      <c r="J844" s="8">
        <v>4762</v>
      </c>
      <c r="K844" s="6" t="s">
        <v>3742</v>
      </c>
      <c r="L844" s="6" t="s">
        <v>1468</v>
      </c>
      <c r="N844" s="6" t="s">
        <v>1468</v>
      </c>
      <c r="O844" s="29">
        <v>5000.1</v>
      </c>
    </row>
    <row r="845" s="1" customFormat="1" ht="16.35" hidden="1" customHeight="1" spans="1:15">
      <c r="A845" s="5"/>
      <c r="B845" s="6" t="s">
        <v>2906</v>
      </c>
      <c r="C845" s="6">
        <v>2018</v>
      </c>
      <c r="D845" s="6">
        <v>5</v>
      </c>
      <c r="E845" s="7">
        <v>30</v>
      </c>
      <c r="F845" s="6" t="s">
        <v>3850</v>
      </c>
      <c r="G845" s="6" t="s">
        <v>2908</v>
      </c>
      <c r="H845" s="6" t="s">
        <v>2909</v>
      </c>
      <c r="I845" s="8"/>
      <c r="J845" s="8">
        <v>161905</v>
      </c>
      <c r="K845" s="6" t="s">
        <v>3799</v>
      </c>
      <c r="L845" s="6" t="s">
        <v>980</v>
      </c>
      <c r="N845" s="6" t="s">
        <v>980</v>
      </c>
      <c r="O845" s="29">
        <v>170000.25</v>
      </c>
    </row>
    <row r="846" s="1" customFormat="1" ht="16.35" hidden="1" customHeight="1" spans="1:16">
      <c r="A846" s="5"/>
      <c r="B846" s="6" t="s">
        <v>2906</v>
      </c>
      <c r="C846" s="6">
        <v>2018</v>
      </c>
      <c r="D846" s="6">
        <v>5</v>
      </c>
      <c r="E846" s="7">
        <v>31</v>
      </c>
      <c r="F846" s="6" t="s">
        <v>3851</v>
      </c>
      <c r="G846" s="6" t="s">
        <v>2908</v>
      </c>
      <c r="H846" s="6" t="s">
        <v>2909</v>
      </c>
      <c r="I846" s="8"/>
      <c r="J846" s="8">
        <v>127619</v>
      </c>
      <c r="K846" s="6" t="s">
        <v>3681</v>
      </c>
      <c r="L846" s="6" t="s">
        <v>1176</v>
      </c>
      <c r="N846" s="6" t="s">
        <v>1176</v>
      </c>
      <c r="O846" s="29">
        <v>134000</v>
      </c>
      <c r="P846" s="1">
        <f>O846-J846</f>
        <v>6381</v>
      </c>
    </row>
    <row r="847" s="1" customFormat="1" ht="16.35" hidden="1" customHeight="1" spans="1:15">
      <c r="A847" s="5"/>
      <c r="B847" s="6" t="s">
        <v>2906</v>
      </c>
      <c r="C847" s="6">
        <v>2018</v>
      </c>
      <c r="D847" s="6">
        <v>5</v>
      </c>
      <c r="E847" s="7">
        <v>32</v>
      </c>
      <c r="F847" s="6" t="s">
        <v>3852</v>
      </c>
      <c r="G847" s="6" t="s">
        <v>2908</v>
      </c>
      <c r="H847" s="6" t="s">
        <v>2909</v>
      </c>
      <c r="I847" s="8"/>
      <c r="J847" s="8">
        <v>66667</v>
      </c>
      <c r="K847" s="6" t="s">
        <v>3652</v>
      </c>
      <c r="L847" s="6" t="s">
        <v>1127</v>
      </c>
      <c r="N847" s="6" t="s">
        <v>1127</v>
      </c>
      <c r="O847" s="29">
        <v>70000.35</v>
      </c>
    </row>
    <row r="848" s="1" customFormat="1" ht="16.35" hidden="1" customHeight="1" spans="1:15">
      <c r="A848" s="5"/>
      <c r="B848" s="6" t="s">
        <v>2906</v>
      </c>
      <c r="C848" s="6">
        <v>2018</v>
      </c>
      <c r="D848" s="6">
        <v>5</v>
      </c>
      <c r="E848" s="7">
        <v>33</v>
      </c>
      <c r="F848" s="6" t="s">
        <v>3853</v>
      </c>
      <c r="G848" s="6" t="s">
        <v>2908</v>
      </c>
      <c r="H848" s="6" t="s">
        <v>2909</v>
      </c>
      <c r="I848" s="8"/>
      <c r="J848" s="8">
        <v>144762</v>
      </c>
      <c r="K848" s="6" t="s">
        <v>3707</v>
      </c>
      <c r="L848" s="6" t="s">
        <v>1470</v>
      </c>
      <c r="N848" s="6" t="s">
        <v>1470</v>
      </c>
      <c r="O848" s="29">
        <v>152000.1</v>
      </c>
    </row>
    <row r="849" s="1" customFormat="1" ht="16.35" hidden="1" customHeight="1" spans="1:15">
      <c r="A849" s="5"/>
      <c r="B849" s="6" t="s">
        <v>2906</v>
      </c>
      <c r="C849" s="6">
        <v>2018</v>
      </c>
      <c r="D849" s="6">
        <v>5</v>
      </c>
      <c r="E849" s="7">
        <v>34</v>
      </c>
      <c r="F849" s="6" t="s">
        <v>3854</v>
      </c>
      <c r="G849" s="6" t="s">
        <v>2908</v>
      </c>
      <c r="H849" s="6" t="s">
        <v>2909</v>
      </c>
      <c r="I849" s="8"/>
      <c r="J849" s="8">
        <v>175238</v>
      </c>
      <c r="K849" s="6" t="s">
        <v>3778</v>
      </c>
      <c r="L849" s="6" t="s">
        <v>1188</v>
      </c>
      <c r="N849" s="6" t="s">
        <v>1188</v>
      </c>
      <c r="O849" s="29">
        <v>183999.9</v>
      </c>
    </row>
    <row r="850" s="1" customFormat="1" ht="16.35" hidden="1" customHeight="1" spans="1:15">
      <c r="A850" s="5"/>
      <c r="B850" s="6" t="s">
        <v>2906</v>
      </c>
      <c r="C850" s="6">
        <v>2018</v>
      </c>
      <c r="D850" s="6">
        <v>5</v>
      </c>
      <c r="E850" s="7">
        <v>35</v>
      </c>
      <c r="F850" s="6" t="s">
        <v>3855</v>
      </c>
      <c r="G850" s="6" t="s">
        <v>2908</v>
      </c>
      <c r="H850" s="6" t="s">
        <v>2909</v>
      </c>
      <c r="I850" s="8"/>
      <c r="J850" s="8">
        <v>133333</v>
      </c>
      <c r="K850" s="6" t="s">
        <v>3431</v>
      </c>
      <c r="L850" s="6" t="s">
        <v>1282</v>
      </c>
      <c r="N850" s="6" t="s">
        <v>1282</v>
      </c>
      <c r="O850" s="29">
        <v>139999.65</v>
      </c>
    </row>
    <row r="851" s="1" customFormat="1" ht="16.35" hidden="1" customHeight="1" spans="1:15">
      <c r="A851" s="5"/>
      <c r="B851" s="6" t="s">
        <v>2906</v>
      </c>
      <c r="C851" s="6">
        <v>2018</v>
      </c>
      <c r="D851" s="6">
        <v>6</v>
      </c>
      <c r="E851" s="7">
        <v>1</v>
      </c>
      <c r="F851" s="6" t="s">
        <v>3849</v>
      </c>
      <c r="G851" s="6" t="s">
        <v>2908</v>
      </c>
      <c r="H851" s="6" t="s">
        <v>2909</v>
      </c>
      <c r="I851" s="8"/>
      <c r="J851" s="8">
        <v>33638</v>
      </c>
      <c r="K851" s="6" t="s">
        <v>3742</v>
      </c>
      <c r="L851" s="6" t="s">
        <v>1468</v>
      </c>
      <c r="N851" s="6" t="s">
        <v>1468</v>
      </c>
      <c r="O851" s="29">
        <v>35319.9</v>
      </c>
    </row>
    <row r="852" s="1" customFormat="1" ht="16.35" hidden="1" customHeight="1" spans="1:15">
      <c r="A852" s="5"/>
      <c r="B852" s="6" t="s">
        <v>2906</v>
      </c>
      <c r="C852" s="6">
        <v>2018</v>
      </c>
      <c r="D852" s="6">
        <v>6</v>
      </c>
      <c r="E852" s="7">
        <v>2</v>
      </c>
      <c r="F852" s="6" t="s">
        <v>3770</v>
      </c>
      <c r="G852" s="6" t="s">
        <v>2908</v>
      </c>
      <c r="H852" s="6" t="s">
        <v>2909</v>
      </c>
      <c r="I852" s="8"/>
      <c r="J852" s="8">
        <v>123810</v>
      </c>
      <c r="K852" s="6" t="s">
        <v>3771</v>
      </c>
      <c r="L852" s="6" t="s">
        <v>1172</v>
      </c>
      <c r="N852" s="6" t="s">
        <v>1172</v>
      </c>
      <c r="O852" s="29">
        <v>130000.5</v>
      </c>
    </row>
    <row r="853" s="1" customFormat="1" ht="16.35" hidden="1" customHeight="1" spans="1:15">
      <c r="A853" s="5"/>
      <c r="B853" s="6" t="s">
        <v>2906</v>
      </c>
      <c r="C853" s="6">
        <v>2018</v>
      </c>
      <c r="D853" s="6">
        <v>6</v>
      </c>
      <c r="E853" s="7">
        <v>3</v>
      </c>
      <c r="F853" s="6" t="s">
        <v>3856</v>
      </c>
      <c r="G853" s="6" t="s">
        <v>2908</v>
      </c>
      <c r="H853" s="6" t="s">
        <v>2909</v>
      </c>
      <c r="I853" s="8"/>
      <c r="J853" s="8">
        <v>67633</v>
      </c>
      <c r="K853" s="6" t="s">
        <v>3225</v>
      </c>
      <c r="L853" s="6" t="s">
        <v>1571</v>
      </c>
      <c r="N853" s="6" t="s">
        <v>1571</v>
      </c>
      <c r="O853" s="29">
        <v>71014.65</v>
      </c>
    </row>
    <row r="854" s="1" customFormat="1" ht="16.35" hidden="1" customHeight="1" spans="1:15">
      <c r="A854" s="5"/>
      <c r="B854" s="6" t="s">
        <v>2906</v>
      </c>
      <c r="C854" s="6">
        <v>2018</v>
      </c>
      <c r="D854" s="6">
        <v>6</v>
      </c>
      <c r="E854" s="7">
        <v>10</v>
      </c>
      <c r="F854" s="6" t="s">
        <v>3843</v>
      </c>
      <c r="G854" s="6" t="s">
        <v>2908</v>
      </c>
      <c r="H854" s="6" t="s">
        <v>2909</v>
      </c>
      <c r="I854" s="8"/>
      <c r="J854" s="8">
        <v>49966</v>
      </c>
      <c r="K854" s="6" t="s">
        <v>3844</v>
      </c>
      <c r="L854" s="6" t="s">
        <v>1443</v>
      </c>
      <c r="N854" s="6" t="s">
        <v>1443</v>
      </c>
      <c r="O854" s="29">
        <v>52464.3</v>
      </c>
    </row>
    <row r="855" s="1" customFormat="1" ht="16.35" hidden="1" customHeight="1" spans="1:15">
      <c r="A855" s="5"/>
      <c r="B855" s="6" t="s">
        <v>2906</v>
      </c>
      <c r="C855" s="6">
        <v>2018</v>
      </c>
      <c r="D855" s="6">
        <v>6</v>
      </c>
      <c r="E855" s="7">
        <v>11</v>
      </c>
      <c r="F855" s="6" t="s">
        <v>3857</v>
      </c>
      <c r="G855" s="6" t="s">
        <v>2908</v>
      </c>
      <c r="H855" s="6" t="s">
        <v>2909</v>
      </c>
      <c r="I855" s="8"/>
      <c r="J855" s="8">
        <v>12381</v>
      </c>
      <c r="K855" s="6" t="s">
        <v>3700</v>
      </c>
      <c r="L855" s="6" t="s">
        <v>1178</v>
      </c>
      <c r="N855" s="6" t="s">
        <v>1178</v>
      </c>
      <c r="O855" s="29">
        <v>13000.05</v>
      </c>
    </row>
    <row r="856" s="1" customFormat="1" ht="16.35" hidden="1" customHeight="1" spans="1:15">
      <c r="A856" s="5"/>
      <c r="B856" s="6" t="s">
        <v>2906</v>
      </c>
      <c r="C856" s="6">
        <v>2018</v>
      </c>
      <c r="D856" s="6">
        <v>6</v>
      </c>
      <c r="E856" s="7">
        <v>16</v>
      </c>
      <c r="F856" s="6" t="s">
        <v>3858</v>
      </c>
      <c r="G856" s="6" t="s">
        <v>2908</v>
      </c>
      <c r="H856" s="6" t="s">
        <v>2909</v>
      </c>
      <c r="I856" s="8"/>
      <c r="J856" s="8">
        <v>123810</v>
      </c>
      <c r="K856" s="6" t="s">
        <v>3762</v>
      </c>
      <c r="L856" s="6" t="s">
        <v>1150</v>
      </c>
      <c r="N856" s="6" t="s">
        <v>1150</v>
      </c>
      <c r="O856" s="29">
        <v>130000.5</v>
      </c>
    </row>
    <row r="857" s="1" customFormat="1" ht="16.35" hidden="1" customHeight="1" spans="1:15">
      <c r="A857" s="5"/>
      <c r="B857" s="6" t="s">
        <v>2906</v>
      </c>
      <c r="C857" s="6">
        <v>2018</v>
      </c>
      <c r="D857" s="6">
        <v>6</v>
      </c>
      <c r="E857" s="7">
        <v>17</v>
      </c>
      <c r="F857" s="6" t="s">
        <v>3859</v>
      </c>
      <c r="G857" s="6" t="s">
        <v>2908</v>
      </c>
      <c r="H857" s="6" t="s">
        <v>2909</v>
      </c>
      <c r="I857" s="8"/>
      <c r="J857" s="8">
        <v>133333</v>
      </c>
      <c r="K857" s="6" t="s">
        <v>3816</v>
      </c>
      <c r="L857" s="6" t="s">
        <v>1446</v>
      </c>
      <c r="N857" s="6" t="s">
        <v>1446</v>
      </c>
      <c r="O857" s="29">
        <v>139999.65</v>
      </c>
    </row>
    <row r="858" s="1" customFormat="1" ht="16.35" hidden="1" customHeight="1" spans="1:15">
      <c r="A858" s="5"/>
      <c r="B858" s="6" t="s">
        <v>2906</v>
      </c>
      <c r="C858" s="6">
        <v>2018</v>
      </c>
      <c r="D858" s="6">
        <v>6</v>
      </c>
      <c r="E858" s="7">
        <v>18</v>
      </c>
      <c r="F858" s="6" t="s">
        <v>3860</v>
      </c>
      <c r="G858" s="6" t="s">
        <v>2908</v>
      </c>
      <c r="H858" s="6" t="s">
        <v>2909</v>
      </c>
      <c r="I858" s="8"/>
      <c r="J858" s="8">
        <v>28571</v>
      </c>
      <c r="K858" s="6" t="s">
        <v>3573</v>
      </c>
      <c r="L858" s="6" t="s">
        <v>991</v>
      </c>
      <c r="N858" s="6" t="s">
        <v>991</v>
      </c>
      <c r="O858" s="29">
        <v>29999.55</v>
      </c>
    </row>
    <row r="859" s="1" customFormat="1" ht="16.35" hidden="1" customHeight="1" spans="1:15">
      <c r="A859" s="5"/>
      <c r="B859" s="6" t="s">
        <v>2906</v>
      </c>
      <c r="C859" s="6">
        <v>2018</v>
      </c>
      <c r="D859" s="6">
        <v>6</v>
      </c>
      <c r="E859" s="7">
        <v>19</v>
      </c>
      <c r="F859" s="6" t="s">
        <v>3861</v>
      </c>
      <c r="G859" s="6" t="s">
        <v>2908</v>
      </c>
      <c r="H859" s="6" t="s">
        <v>2909</v>
      </c>
      <c r="I859" s="8"/>
      <c r="J859" s="8">
        <v>2802</v>
      </c>
      <c r="K859" s="6" t="s">
        <v>3862</v>
      </c>
      <c r="L859" s="6" t="s">
        <v>1131</v>
      </c>
      <c r="N859" s="6" t="s">
        <v>1131</v>
      </c>
      <c r="O859" s="29">
        <v>2942.1</v>
      </c>
    </row>
    <row r="860" s="1" customFormat="1" ht="16.35" hidden="1" customHeight="1" spans="1:15">
      <c r="A860" s="5"/>
      <c r="B860" s="6" t="s">
        <v>2906</v>
      </c>
      <c r="C860" s="6">
        <v>2018</v>
      </c>
      <c r="D860" s="6">
        <v>6</v>
      </c>
      <c r="E860" s="7">
        <v>20</v>
      </c>
      <c r="F860" s="6" t="s">
        <v>3863</v>
      </c>
      <c r="G860" s="6" t="s">
        <v>2908</v>
      </c>
      <c r="H860" s="6" t="s">
        <v>2909</v>
      </c>
      <c r="I860" s="8"/>
      <c r="J860" s="8">
        <v>62481</v>
      </c>
      <c r="K860" s="6" t="s">
        <v>3864</v>
      </c>
      <c r="L860" s="6" t="s">
        <v>1505</v>
      </c>
      <c r="N860" s="6" t="s">
        <v>1505</v>
      </c>
      <c r="O860" s="29">
        <v>65605.05</v>
      </c>
    </row>
    <row r="861" s="1" customFormat="1" ht="16.35" hidden="1" customHeight="1" spans="1:15">
      <c r="A861" s="5"/>
      <c r="B861" s="6" t="s">
        <v>2906</v>
      </c>
      <c r="C861" s="6">
        <v>2018</v>
      </c>
      <c r="D861" s="6">
        <v>6</v>
      </c>
      <c r="E861" s="7">
        <v>21</v>
      </c>
      <c r="F861" s="6" t="s">
        <v>3865</v>
      </c>
      <c r="G861" s="6" t="s">
        <v>2908</v>
      </c>
      <c r="H861" s="6" t="s">
        <v>2909</v>
      </c>
      <c r="I861" s="8"/>
      <c r="J861" s="8">
        <v>9524</v>
      </c>
      <c r="K861" s="6" t="s">
        <v>3866</v>
      </c>
      <c r="L861" s="6" t="s">
        <v>1104</v>
      </c>
      <c r="N861" s="6" t="s">
        <v>1104</v>
      </c>
      <c r="O861" s="29">
        <v>10000.2</v>
      </c>
    </row>
    <row r="862" s="1" customFormat="1" ht="16.35" hidden="1" customHeight="1" spans="1:15">
      <c r="A862" s="5"/>
      <c r="B862" s="6" t="s">
        <v>2906</v>
      </c>
      <c r="C862" s="6">
        <v>2018</v>
      </c>
      <c r="D862" s="6">
        <v>6</v>
      </c>
      <c r="E862" s="7">
        <v>24</v>
      </c>
      <c r="F862" s="6" t="s">
        <v>3867</v>
      </c>
      <c r="G862" s="6" t="s">
        <v>2908</v>
      </c>
      <c r="H862" s="6" t="s">
        <v>2909</v>
      </c>
      <c r="I862" s="8"/>
      <c r="J862" s="8">
        <v>95238</v>
      </c>
      <c r="K862" s="6" t="s">
        <v>3776</v>
      </c>
      <c r="L862" s="6" t="s">
        <v>1196</v>
      </c>
      <c r="N862" s="6" t="s">
        <v>1196</v>
      </c>
      <c r="O862" s="29">
        <v>99999.9</v>
      </c>
    </row>
    <row r="863" s="1" customFormat="1" ht="16.35" hidden="1" customHeight="1" spans="1:15">
      <c r="A863" s="5"/>
      <c r="B863" s="6" t="s">
        <v>2906</v>
      </c>
      <c r="C863" s="6">
        <v>2018</v>
      </c>
      <c r="D863" s="6">
        <v>6</v>
      </c>
      <c r="E863" s="7">
        <v>31</v>
      </c>
      <c r="F863" s="6" t="s">
        <v>3868</v>
      </c>
      <c r="G863" s="6" t="s">
        <v>2908</v>
      </c>
      <c r="H863" s="6" t="s">
        <v>2909</v>
      </c>
      <c r="I863" s="8"/>
      <c r="J863" s="8">
        <v>24572</v>
      </c>
      <c r="K863" s="6" t="s">
        <v>3834</v>
      </c>
      <c r="L863" s="6" t="s">
        <v>1198</v>
      </c>
      <c r="N863" s="6" t="s">
        <v>1198</v>
      </c>
      <c r="O863" s="29">
        <v>25800.6</v>
      </c>
    </row>
    <row r="864" s="1" customFormat="1" ht="16.35" hidden="1" customHeight="1" spans="1:15">
      <c r="A864" s="5"/>
      <c r="B864" s="6" t="s">
        <v>2906</v>
      </c>
      <c r="C864" s="6">
        <v>2018</v>
      </c>
      <c r="D864" s="6">
        <v>6</v>
      </c>
      <c r="E864" s="7">
        <v>32</v>
      </c>
      <c r="F864" s="6" t="s">
        <v>3868</v>
      </c>
      <c r="G864" s="6" t="s">
        <v>2908</v>
      </c>
      <c r="H864" s="6" t="s">
        <v>2909</v>
      </c>
      <c r="I864" s="8"/>
      <c r="J864" s="8">
        <v>7619</v>
      </c>
      <c r="K864" s="6" t="s">
        <v>3834</v>
      </c>
      <c r="L864" s="6" t="s">
        <v>1198</v>
      </c>
      <c r="N864" s="6" t="s">
        <v>1198</v>
      </c>
      <c r="O864" s="29">
        <v>7999.95</v>
      </c>
    </row>
    <row r="865" s="1" customFormat="1" ht="16.35" hidden="1" customHeight="1" spans="1:15">
      <c r="A865" s="5"/>
      <c r="B865" s="6" t="s">
        <v>2906</v>
      </c>
      <c r="C865" s="6">
        <v>2018</v>
      </c>
      <c r="D865" s="6">
        <v>6</v>
      </c>
      <c r="E865" s="7">
        <v>33</v>
      </c>
      <c r="F865" s="6" t="s">
        <v>3869</v>
      </c>
      <c r="G865" s="6" t="s">
        <v>2908</v>
      </c>
      <c r="H865" s="6" t="s">
        <v>2909</v>
      </c>
      <c r="I865" s="8"/>
      <c r="J865" s="8">
        <v>16712</v>
      </c>
      <c r="K865" s="6" t="s">
        <v>3834</v>
      </c>
      <c r="L865" s="6" t="s">
        <v>1198</v>
      </c>
      <c r="N865" s="6" t="s">
        <v>1198</v>
      </c>
      <c r="O865" s="29">
        <v>17547.6</v>
      </c>
    </row>
    <row r="866" s="1" customFormat="1" ht="16.35" hidden="1" customHeight="1" spans="1:15">
      <c r="A866" s="5"/>
      <c r="B866" s="6" t="s">
        <v>2906</v>
      </c>
      <c r="C866" s="6">
        <v>2018</v>
      </c>
      <c r="D866" s="6">
        <v>6</v>
      </c>
      <c r="E866" s="7">
        <v>37</v>
      </c>
      <c r="F866" s="6" t="s">
        <v>3798</v>
      </c>
      <c r="G866" s="6" t="s">
        <v>2908</v>
      </c>
      <c r="H866" s="6" t="s">
        <v>2909</v>
      </c>
      <c r="I866" s="8"/>
      <c r="J866" s="8">
        <v>6667</v>
      </c>
      <c r="K866" s="6" t="s">
        <v>3799</v>
      </c>
      <c r="L866" s="6" t="s">
        <v>980</v>
      </c>
      <c r="N866" s="6" t="s">
        <v>980</v>
      </c>
      <c r="O866" s="29">
        <v>7000.35</v>
      </c>
    </row>
    <row r="867" s="1" customFormat="1" ht="16.35" hidden="1" customHeight="1" spans="1:15">
      <c r="A867" s="5"/>
      <c r="B867" s="6" t="s">
        <v>2906</v>
      </c>
      <c r="C867" s="6">
        <v>2018</v>
      </c>
      <c r="D867" s="6">
        <v>6</v>
      </c>
      <c r="E867" s="7">
        <v>39</v>
      </c>
      <c r="F867" s="6" t="s">
        <v>3870</v>
      </c>
      <c r="G867" s="6" t="s">
        <v>2908</v>
      </c>
      <c r="H867" s="6" t="s">
        <v>2909</v>
      </c>
      <c r="I867" s="8"/>
      <c r="J867" s="8">
        <v>46781</v>
      </c>
      <c r="K867" s="6" t="s">
        <v>3871</v>
      </c>
      <c r="L867" s="6" t="s">
        <v>1164</v>
      </c>
      <c r="N867" s="6" t="s">
        <v>1164</v>
      </c>
      <c r="O867" s="29">
        <v>49120.05</v>
      </c>
    </row>
    <row r="868" s="1" customFormat="1" ht="16.35" hidden="1" customHeight="1" spans="1:15">
      <c r="A868" s="5"/>
      <c r="B868" s="6" t="s">
        <v>2906</v>
      </c>
      <c r="C868" s="6">
        <v>2018</v>
      </c>
      <c r="D868" s="6">
        <v>6</v>
      </c>
      <c r="E868" s="7">
        <v>40</v>
      </c>
      <c r="F868" s="6" t="s">
        <v>3872</v>
      </c>
      <c r="G868" s="6" t="s">
        <v>2908</v>
      </c>
      <c r="H868" s="6" t="s">
        <v>2909</v>
      </c>
      <c r="I868" s="8"/>
      <c r="J868" s="8">
        <v>952</v>
      </c>
      <c r="K868" s="6" t="s">
        <v>3873</v>
      </c>
      <c r="L868" s="6" t="s">
        <v>1166</v>
      </c>
      <c r="N868" s="6" t="s">
        <v>1166</v>
      </c>
      <c r="O868" s="29">
        <v>999.6</v>
      </c>
    </row>
    <row r="869" s="1" customFormat="1" ht="16.35" hidden="1" customHeight="1" spans="1:15">
      <c r="A869" s="5"/>
      <c r="B869" s="6" t="s">
        <v>2906</v>
      </c>
      <c r="C869" s="6">
        <v>2018</v>
      </c>
      <c r="D869" s="6">
        <v>7</v>
      </c>
      <c r="E869" s="7">
        <v>1</v>
      </c>
      <c r="F869" s="6" t="s">
        <v>3824</v>
      </c>
      <c r="G869" s="6" t="s">
        <v>2908</v>
      </c>
      <c r="H869" s="6" t="s">
        <v>2909</v>
      </c>
      <c r="I869" s="8"/>
      <c r="J869" s="8">
        <v>119048</v>
      </c>
      <c r="K869" s="6" t="s">
        <v>3812</v>
      </c>
      <c r="L869" s="6" t="s">
        <v>1192</v>
      </c>
      <c r="N869" s="6" t="s">
        <v>1192</v>
      </c>
      <c r="O869" s="29">
        <v>125000.4</v>
      </c>
    </row>
    <row r="870" s="1" customFormat="1" ht="16.35" hidden="1" customHeight="1" spans="1:15">
      <c r="A870" s="5"/>
      <c r="B870" s="6" t="s">
        <v>2906</v>
      </c>
      <c r="C870" s="6">
        <v>2018</v>
      </c>
      <c r="D870" s="6">
        <v>7</v>
      </c>
      <c r="E870" s="7">
        <v>2</v>
      </c>
      <c r="F870" s="6" t="s">
        <v>3809</v>
      </c>
      <c r="G870" s="6" t="s">
        <v>2908</v>
      </c>
      <c r="H870" s="6" t="s">
        <v>2909</v>
      </c>
      <c r="I870" s="8"/>
      <c r="J870" s="8">
        <v>119048</v>
      </c>
      <c r="K870" s="6" t="s">
        <v>3810</v>
      </c>
      <c r="L870" s="6" t="s">
        <v>1168</v>
      </c>
      <c r="N870" s="6" t="s">
        <v>1168</v>
      </c>
      <c r="O870" s="29">
        <v>125000.4</v>
      </c>
    </row>
    <row r="871" s="1" customFormat="1" ht="16.35" hidden="1" customHeight="1" spans="1:15">
      <c r="A871" s="5"/>
      <c r="B871" s="6" t="s">
        <v>2906</v>
      </c>
      <c r="C871" s="6">
        <v>2018</v>
      </c>
      <c r="D871" s="6">
        <v>7</v>
      </c>
      <c r="E871" s="7">
        <v>3</v>
      </c>
      <c r="F871" s="6" t="s">
        <v>3796</v>
      </c>
      <c r="G871" s="6" t="s">
        <v>2908</v>
      </c>
      <c r="H871" s="6" t="s">
        <v>2909</v>
      </c>
      <c r="I871" s="8"/>
      <c r="J871" s="8">
        <v>123810</v>
      </c>
      <c r="K871" s="6" t="s">
        <v>3797</v>
      </c>
      <c r="L871" s="6" t="s">
        <v>1005</v>
      </c>
      <c r="N871" s="6" t="s">
        <v>1005</v>
      </c>
      <c r="O871" s="29">
        <v>130000.5</v>
      </c>
    </row>
    <row r="872" s="1" customFormat="1" ht="16.35" hidden="1" customHeight="1" spans="1:15">
      <c r="A872" s="5"/>
      <c r="B872" s="6" t="s">
        <v>2906</v>
      </c>
      <c r="C872" s="6">
        <v>2018</v>
      </c>
      <c r="D872" s="6">
        <v>7</v>
      </c>
      <c r="E872" s="7">
        <v>4</v>
      </c>
      <c r="F872" s="6" t="s">
        <v>3874</v>
      </c>
      <c r="G872" s="6" t="s">
        <v>2908</v>
      </c>
      <c r="H872" s="6" t="s">
        <v>2909</v>
      </c>
      <c r="I872" s="8"/>
      <c r="J872" s="8">
        <v>4762</v>
      </c>
      <c r="K872" s="6" t="s">
        <v>3875</v>
      </c>
      <c r="L872" s="6" t="s">
        <v>1114</v>
      </c>
      <c r="N872" s="6" t="s">
        <v>1114</v>
      </c>
      <c r="O872" s="29">
        <v>5000.1</v>
      </c>
    </row>
    <row r="873" s="1" customFormat="1" ht="16.35" hidden="1" customHeight="1" spans="1:15">
      <c r="A873" s="5"/>
      <c r="B873" s="6" t="s">
        <v>2906</v>
      </c>
      <c r="C873" s="6">
        <v>2018</v>
      </c>
      <c r="D873" s="6">
        <v>7</v>
      </c>
      <c r="E873" s="7">
        <v>5</v>
      </c>
      <c r="F873" s="6" t="s">
        <v>3876</v>
      </c>
      <c r="G873" s="6" t="s">
        <v>2908</v>
      </c>
      <c r="H873" s="6" t="s">
        <v>2909</v>
      </c>
      <c r="I873" s="8"/>
      <c r="J873" s="8">
        <v>47619</v>
      </c>
      <c r="K873" s="6" t="s">
        <v>3862</v>
      </c>
      <c r="L873" s="6" t="s">
        <v>1131</v>
      </c>
      <c r="N873" s="6" t="s">
        <v>1131</v>
      </c>
      <c r="O873" s="29">
        <v>49999.95</v>
      </c>
    </row>
    <row r="874" s="1" customFormat="1" ht="16.35" hidden="1" customHeight="1" spans="1:15">
      <c r="A874" s="5"/>
      <c r="B874" s="6" t="s">
        <v>2906</v>
      </c>
      <c r="C874" s="6">
        <v>2018</v>
      </c>
      <c r="D874" s="6">
        <v>7</v>
      </c>
      <c r="E874" s="7">
        <v>6</v>
      </c>
      <c r="F874" s="6" t="s">
        <v>3877</v>
      </c>
      <c r="G874" s="6" t="s">
        <v>2908</v>
      </c>
      <c r="H874" s="6" t="s">
        <v>2909</v>
      </c>
      <c r="I874" s="8"/>
      <c r="J874" s="8">
        <v>190476</v>
      </c>
      <c r="K874" s="6" t="s">
        <v>3429</v>
      </c>
      <c r="L874" s="6" t="s">
        <v>1271</v>
      </c>
      <c r="N874" s="6" t="s">
        <v>1271</v>
      </c>
      <c r="O874" s="29">
        <v>199999.8</v>
      </c>
    </row>
    <row r="875" s="1" customFormat="1" ht="16.35" hidden="1" customHeight="1" spans="1:15">
      <c r="A875" s="5"/>
      <c r="B875" s="6" t="s">
        <v>2906</v>
      </c>
      <c r="C875" s="6">
        <v>2018</v>
      </c>
      <c r="D875" s="6">
        <v>7</v>
      </c>
      <c r="E875" s="7">
        <v>12</v>
      </c>
      <c r="F875" s="6" t="s">
        <v>3878</v>
      </c>
      <c r="G875" s="6" t="s">
        <v>2908</v>
      </c>
      <c r="H875" s="6" t="s">
        <v>2909</v>
      </c>
      <c r="I875" s="8"/>
      <c r="J875" s="8">
        <v>46524</v>
      </c>
      <c r="K875" s="6" t="s">
        <v>3744</v>
      </c>
      <c r="L875" s="6" t="s">
        <v>1146</v>
      </c>
      <c r="N875" s="6" t="s">
        <v>1146</v>
      </c>
      <c r="O875" s="29">
        <v>48850.2</v>
      </c>
    </row>
    <row r="876" s="1" customFormat="1" ht="16.35" hidden="1" customHeight="1" spans="1:15">
      <c r="A876" s="5"/>
      <c r="B876" s="6" t="s">
        <v>2906</v>
      </c>
      <c r="C876" s="6">
        <v>2018</v>
      </c>
      <c r="D876" s="6">
        <v>7</v>
      </c>
      <c r="E876" s="7">
        <v>14</v>
      </c>
      <c r="F876" s="6" t="s">
        <v>3879</v>
      </c>
      <c r="G876" s="6" t="s">
        <v>2908</v>
      </c>
      <c r="H876" s="6" t="s">
        <v>2909</v>
      </c>
      <c r="I876" s="8"/>
      <c r="J876" s="8">
        <v>57143</v>
      </c>
      <c r="K876" s="6" t="s">
        <v>3085</v>
      </c>
      <c r="L876" s="6" t="s">
        <v>1754</v>
      </c>
      <c r="N876" s="6" t="s">
        <v>1754</v>
      </c>
      <c r="O876" s="29">
        <v>60000.15</v>
      </c>
    </row>
    <row r="877" s="1" customFormat="1" ht="16.35" hidden="1" customHeight="1" spans="1:15">
      <c r="A877" s="5"/>
      <c r="B877" s="6" t="s">
        <v>2906</v>
      </c>
      <c r="C877" s="6">
        <v>2018</v>
      </c>
      <c r="D877" s="6">
        <v>7</v>
      </c>
      <c r="E877" s="7">
        <v>15</v>
      </c>
      <c r="F877" s="6" t="s">
        <v>3880</v>
      </c>
      <c r="G877" s="6" t="s">
        <v>2908</v>
      </c>
      <c r="H877" s="6" t="s">
        <v>2909</v>
      </c>
      <c r="I877" s="8"/>
      <c r="J877" s="8">
        <v>112586</v>
      </c>
      <c r="K877" s="6" t="s">
        <v>3881</v>
      </c>
      <c r="L877" s="6" t="s">
        <v>1202</v>
      </c>
      <c r="N877" s="6" t="s">
        <v>1202</v>
      </c>
      <c r="O877" s="29">
        <v>118215.3</v>
      </c>
    </row>
    <row r="878" s="1" customFormat="1" ht="16.35" hidden="1" customHeight="1" spans="1:15">
      <c r="A878" s="5"/>
      <c r="B878" s="6" t="s">
        <v>2906</v>
      </c>
      <c r="C878" s="6">
        <v>2018</v>
      </c>
      <c r="D878" s="6">
        <v>7</v>
      </c>
      <c r="E878" s="7">
        <v>16</v>
      </c>
      <c r="F878" s="6" t="s">
        <v>3828</v>
      </c>
      <c r="G878" s="6" t="s">
        <v>2908</v>
      </c>
      <c r="H878" s="6" t="s">
        <v>2909</v>
      </c>
      <c r="I878" s="8"/>
      <c r="J878" s="8">
        <v>173333</v>
      </c>
      <c r="K878" s="6" t="s">
        <v>3829</v>
      </c>
      <c r="L878" s="6" t="s">
        <v>1190</v>
      </c>
      <c r="N878" s="6" t="s">
        <v>1190</v>
      </c>
      <c r="O878" s="29">
        <v>181999.65</v>
      </c>
    </row>
    <row r="879" s="1" customFormat="1" ht="16.35" hidden="1" customHeight="1" spans="1:15">
      <c r="A879" s="5"/>
      <c r="B879" s="6" t="s">
        <v>2906</v>
      </c>
      <c r="C879" s="6">
        <v>2018</v>
      </c>
      <c r="D879" s="6">
        <v>7</v>
      </c>
      <c r="E879" s="7">
        <v>19</v>
      </c>
      <c r="F879" s="6" t="s">
        <v>3882</v>
      </c>
      <c r="G879" s="6" t="s">
        <v>2908</v>
      </c>
      <c r="H879" s="6" t="s">
        <v>2909</v>
      </c>
      <c r="I879" s="8"/>
      <c r="J879" s="8">
        <v>124762</v>
      </c>
      <c r="K879" s="6" t="s">
        <v>3768</v>
      </c>
      <c r="L879" s="6" t="s">
        <v>1174</v>
      </c>
      <c r="N879" s="6" t="s">
        <v>1174</v>
      </c>
      <c r="O879" s="29">
        <v>131000.1</v>
      </c>
    </row>
    <row r="880" s="1" customFormat="1" ht="16.35" hidden="1" customHeight="1" spans="1:15">
      <c r="A880" s="5"/>
      <c r="B880" s="6" t="s">
        <v>2906</v>
      </c>
      <c r="C880" s="6">
        <v>2018</v>
      </c>
      <c r="D880" s="6">
        <v>7</v>
      </c>
      <c r="E880" s="7">
        <v>20</v>
      </c>
      <c r="F880" s="6" t="s">
        <v>3883</v>
      </c>
      <c r="G880" s="6" t="s">
        <v>2908</v>
      </c>
      <c r="H880" s="6" t="s">
        <v>2909</v>
      </c>
      <c r="I880" s="8"/>
      <c r="J880" s="8">
        <v>152381</v>
      </c>
      <c r="K880" s="6" t="s">
        <v>3844</v>
      </c>
      <c r="L880" s="6" t="s">
        <v>1443</v>
      </c>
      <c r="N880" s="6" t="s">
        <v>1443</v>
      </c>
      <c r="O880" s="29">
        <v>160000.05</v>
      </c>
    </row>
    <row r="881" s="1" customFormat="1" ht="16.35" hidden="1" customHeight="1" spans="1:15">
      <c r="A881" s="5"/>
      <c r="B881" s="6" t="s">
        <v>2906</v>
      </c>
      <c r="C881" s="6">
        <v>2018</v>
      </c>
      <c r="D881" s="6">
        <v>7</v>
      </c>
      <c r="E881" s="7">
        <v>21</v>
      </c>
      <c r="F881" s="6" t="s">
        <v>3884</v>
      </c>
      <c r="G881" s="6" t="s">
        <v>2908</v>
      </c>
      <c r="H881" s="6" t="s">
        <v>2909</v>
      </c>
      <c r="I881" s="8"/>
      <c r="J881" s="8">
        <v>197143</v>
      </c>
      <c r="K881" s="6" t="s">
        <v>3862</v>
      </c>
      <c r="L881" s="6" t="s">
        <v>1131</v>
      </c>
      <c r="N881" s="6" t="s">
        <v>1131</v>
      </c>
      <c r="O881" s="29">
        <v>207000.15</v>
      </c>
    </row>
    <row r="882" s="1" customFormat="1" ht="16.35" hidden="1" customHeight="1" spans="1:15">
      <c r="A882" s="5"/>
      <c r="B882" s="6" t="s">
        <v>2906</v>
      </c>
      <c r="C882" s="6">
        <v>2018</v>
      </c>
      <c r="D882" s="6">
        <v>7</v>
      </c>
      <c r="E882" s="7">
        <v>22</v>
      </c>
      <c r="F882" s="6" t="s">
        <v>3885</v>
      </c>
      <c r="G882" s="6" t="s">
        <v>2908</v>
      </c>
      <c r="H882" s="6" t="s">
        <v>2909</v>
      </c>
      <c r="I882" s="8"/>
      <c r="J882" s="8">
        <v>195238</v>
      </c>
      <c r="K882" s="6" t="s">
        <v>3836</v>
      </c>
      <c r="L882" s="6" t="s">
        <v>1649</v>
      </c>
      <c r="N882" s="6" t="s">
        <v>1649</v>
      </c>
      <c r="O882" s="29">
        <v>204999.9</v>
      </c>
    </row>
    <row r="883" s="1" customFormat="1" ht="16.35" hidden="1" customHeight="1" spans="1:15">
      <c r="A883" s="5"/>
      <c r="B883" s="6" t="s">
        <v>2906</v>
      </c>
      <c r="C883" s="6">
        <v>2018</v>
      </c>
      <c r="D883" s="6">
        <v>7</v>
      </c>
      <c r="E883" s="7">
        <v>24</v>
      </c>
      <c r="F883" s="6" t="s">
        <v>3886</v>
      </c>
      <c r="G883" s="6" t="s">
        <v>2908</v>
      </c>
      <c r="H883" s="6" t="s">
        <v>2909</v>
      </c>
      <c r="I883" s="8"/>
      <c r="J883" s="8">
        <v>145714</v>
      </c>
      <c r="K883" s="6" t="s">
        <v>3834</v>
      </c>
      <c r="L883" s="6" t="s">
        <v>1198</v>
      </c>
      <c r="N883" s="6" t="s">
        <v>1198</v>
      </c>
      <c r="O883" s="29">
        <v>152999.7</v>
      </c>
    </row>
    <row r="884" s="1" customFormat="1" ht="16.35" hidden="1" customHeight="1" spans="1:15">
      <c r="A884" s="5"/>
      <c r="B884" s="6" t="s">
        <v>2906</v>
      </c>
      <c r="C884" s="6">
        <v>2018</v>
      </c>
      <c r="D884" s="6">
        <v>7</v>
      </c>
      <c r="E884" s="7">
        <v>28</v>
      </c>
      <c r="F884" s="6" t="s">
        <v>3887</v>
      </c>
      <c r="G884" s="6" t="s">
        <v>2908</v>
      </c>
      <c r="H884" s="6" t="s">
        <v>2909</v>
      </c>
      <c r="I884" s="8"/>
      <c r="J884" s="8">
        <v>4762</v>
      </c>
      <c r="K884" s="6" t="s">
        <v>3496</v>
      </c>
      <c r="L884" s="6" t="s">
        <v>1476</v>
      </c>
      <c r="N884" s="6" t="s">
        <v>1476</v>
      </c>
      <c r="O884" s="29">
        <v>5000.1</v>
      </c>
    </row>
    <row r="885" s="1" customFormat="1" ht="16.35" hidden="1" customHeight="1" spans="1:15">
      <c r="A885" s="5"/>
      <c r="B885" s="6" t="s">
        <v>2906</v>
      </c>
      <c r="C885" s="6">
        <v>2018</v>
      </c>
      <c r="D885" s="6">
        <v>7</v>
      </c>
      <c r="E885" s="7">
        <v>29</v>
      </c>
      <c r="F885" s="6" t="s">
        <v>3888</v>
      </c>
      <c r="G885" s="6" t="s">
        <v>2908</v>
      </c>
      <c r="H885" s="6" t="s">
        <v>2909</v>
      </c>
      <c r="I885" s="8"/>
      <c r="J885" s="8">
        <v>41937</v>
      </c>
      <c r="K885" s="6" t="s">
        <v>3889</v>
      </c>
      <c r="L885" s="6" t="s">
        <v>1148</v>
      </c>
      <c r="N885" s="6" t="s">
        <v>1148</v>
      </c>
      <c r="O885" s="29">
        <v>44033.85</v>
      </c>
    </row>
    <row r="886" s="1" customFormat="1" ht="16.35" hidden="1" customHeight="1" spans="1:15">
      <c r="A886" s="5"/>
      <c r="B886" s="6" t="s">
        <v>2906</v>
      </c>
      <c r="C886" s="6">
        <v>2018</v>
      </c>
      <c r="D886" s="6">
        <v>7</v>
      </c>
      <c r="E886" s="7">
        <v>32</v>
      </c>
      <c r="F886" s="6" t="s">
        <v>3890</v>
      </c>
      <c r="G886" s="6" t="s">
        <v>2908</v>
      </c>
      <c r="H886" s="6" t="s">
        <v>2909</v>
      </c>
      <c r="I886" s="8"/>
      <c r="J886" s="8">
        <v>762</v>
      </c>
      <c r="K886" s="6" t="s">
        <v>3496</v>
      </c>
      <c r="L886" s="6" t="s">
        <v>1476</v>
      </c>
      <c r="N886" s="6" t="s">
        <v>1476</v>
      </c>
      <c r="O886" s="29">
        <v>800.1</v>
      </c>
    </row>
    <row r="887" s="1" customFormat="1" ht="16.35" hidden="1" customHeight="1" spans="1:15">
      <c r="A887" s="5"/>
      <c r="B887" s="6" t="s">
        <v>2906</v>
      </c>
      <c r="C887" s="6">
        <v>2018</v>
      </c>
      <c r="D887" s="6">
        <v>7</v>
      </c>
      <c r="E887" s="7">
        <v>34</v>
      </c>
      <c r="F887" s="6" t="s">
        <v>3891</v>
      </c>
      <c r="G887" s="6" t="s">
        <v>2908</v>
      </c>
      <c r="H887" s="6" t="s">
        <v>2909</v>
      </c>
      <c r="I887" s="8"/>
      <c r="J887" s="8">
        <v>14286</v>
      </c>
      <c r="K887" s="6" t="s">
        <v>3768</v>
      </c>
      <c r="L887" s="6" t="s">
        <v>1174</v>
      </c>
      <c r="N887" s="6" t="s">
        <v>1174</v>
      </c>
      <c r="O887" s="29">
        <v>15000.3</v>
      </c>
    </row>
    <row r="888" s="1" customFormat="1" ht="16.35" hidden="1" customHeight="1" spans="1:15">
      <c r="A888" s="5"/>
      <c r="B888" s="6" t="s">
        <v>2906</v>
      </c>
      <c r="C888" s="6">
        <v>2018</v>
      </c>
      <c r="D888" s="6">
        <v>8</v>
      </c>
      <c r="E888" s="7">
        <v>1</v>
      </c>
      <c r="F888" s="6" t="s">
        <v>3892</v>
      </c>
      <c r="G888" s="6" t="s">
        <v>2908</v>
      </c>
      <c r="H888" s="6" t="s">
        <v>2909</v>
      </c>
      <c r="I888" s="8"/>
      <c r="J888" s="8">
        <v>49792</v>
      </c>
      <c r="K888" s="6" t="s">
        <v>3893</v>
      </c>
      <c r="L888" s="6" t="s">
        <v>1474</v>
      </c>
      <c r="N888" s="6" t="s">
        <v>1474</v>
      </c>
      <c r="O888" s="29">
        <v>52281.6</v>
      </c>
    </row>
    <row r="889" s="1" customFormat="1" ht="16.35" hidden="1" customHeight="1" spans="1:15">
      <c r="A889" s="5"/>
      <c r="B889" s="6" t="s">
        <v>2906</v>
      </c>
      <c r="C889" s="6">
        <v>2018</v>
      </c>
      <c r="D889" s="6">
        <v>8</v>
      </c>
      <c r="E889" s="7">
        <v>2</v>
      </c>
      <c r="F889" s="6" t="s">
        <v>3890</v>
      </c>
      <c r="G889" s="6" t="s">
        <v>2908</v>
      </c>
      <c r="H889" s="6" t="s">
        <v>2909</v>
      </c>
      <c r="I889" s="8"/>
      <c r="J889" s="8">
        <v>102857</v>
      </c>
      <c r="K889" s="6" t="s">
        <v>3496</v>
      </c>
      <c r="L889" s="6" t="s">
        <v>1476</v>
      </c>
      <c r="N889" s="6" t="s">
        <v>1476</v>
      </c>
      <c r="O889" s="29">
        <v>107999.85</v>
      </c>
    </row>
    <row r="890" s="1" customFormat="1" ht="16.35" hidden="1" customHeight="1" spans="1:15">
      <c r="A890" s="5"/>
      <c r="B890" s="6" t="s">
        <v>2906</v>
      </c>
      <c r="C890" s="6">
        <v>2018</v>
      </c>
      <c r="D890" s="6">
        <v>8</v>
      </c>
      <c r="E890" s="7">
        <v>4</v>
      </c>
      <c r="F890" s="6" t="s">
        <v>3894</v>
      </c>
      <c r="G890" s="6" t="s">
        <v>2908</v>
      </c>
      <c r="H890" s="6" t="s">
        <v>2909</v>
      </c>
      <c r="I890" s="8"/>
      <c r="J890" s="8">
        <v>286</v>
      </c>
      <c r="K890" s="6" t="s">
        <v>3895</v>
      </c>
      <c r="L890" s="6" t="s">
        <v>1007</v>
      </c>
      <c r="N890" s="6" t="s">
        <v>1007</v>
      </c>
      <c r="O890" s="29">
        <v>300.3</v>
      </c>
    </row>
    <row r="891" s="1" customFormat="1" ht="16.35" hidden="1" customHeight="1" spans="1:15">
      <c r="A891" s="5"/>
      <c r="B891" s="6" t="s">
        <v>2906</v>
      </c>
      <c r="C891" s="6">
        <v>2018</v>
      </c>
      <c r="D891" s="6">
        <v>8</v>
      </c>
      <c r="E891" s="7">
        <v>5</v>
      </c>
      <c r="F891" s="6" t="s">
        <v>3896</v>
      </c>
      <c r="G891" s="6" t="s">
        <v>2908</v>
      </c>
      <c r="H891" s="6" t="s">
        <v>2909</v>
      </c>
      <c r="I891" s="8"/>
      <c r="J891" s="8">
        <v>128571</v>
      </c>
      <c r="K891" s="6" t="s">
        <v>3663</v>
      </c>
      <c r="L891" s="6" t="s">
        <v>1170</v>
      </c>
      <c r="N891" s="6" t="s">
        <v>1170</v>
      </c>
      <c r="O891" s="29">
        <v>134999.55</v>
      </c>
    </row>
    <row r="892" s="1" customFormat="1" ht="16.35" hidden="1" customHeight="1" spans="1:15">
      <c r="A892" s="5"/>
      <c r="B892" s="6" t="s">
        <v>2906</v>
      </c>
      <c r="C892" s="6">
        <v>2018</v>
      </c>
      <c r="D892" s="6">
        <v>8</v>
      </c>
      <c r="E892" s="7">
        <v>6</v>
      </c>
      <c r="F892" s="6" t="s">
        <v>3872</v>
      </c>
      <c r="G892" s="6" t="s">
        <v>2908</v>
      </c>
      <c r="H892" s="6" t="s">
        <v>2909</v>
      </c>
      <c r="I892" s="8"/>
      <c r="J892" s="8">
        <v>38210</v>
      </c>
      <c r="K892" s="6" t="s">
        <v>3873</v>
      </c>
      <c r="L892" s="6" t="s">
        <v>1166</v>
      </c>
      <c r="N892" s="6" t="s">
        <v>1166</v>
      </c>
      <c r="O892" s="29">
        <v>40120.5</v>
      </c>
    </row>
    <row r="893" s="1" customFormat="1" ht="16.35" hidden="1" customHeight="1" spans="1:16">
      <c r="A893" s="5"/>
      <c r="B893" s="6" t="s">
        <v>2906</v>
      </c>
      <c r="C893" s="6">
        <v>2018</v>
      </c>
      <c r="D893" s="6">
        <v>8</v>
      </c>
      <c r="E893" s="7">
        <v>10</v>
      </c>
      <c r="F893" s="6" t="s">
        <v>3897</v>
      </c>
      <c r="G893" s="6" t="s">
        <v>2908</v>
      </c>
      <c r="H893" s="6" t="s">
        <v>2909</v>
      </c>
      <c r="I893" s="8"/>
      <c r="J893" s="8">
        <v>9524</v>
      </c>
      <c r="K893" s="6" t="s">
        <v>3644</v>
      </c>
      <c r="L893" s="6" t="s">
        <v>1367</v>
      </c>
      <c r="N893" s="6" t="s">
        <v>1367</v>
      </c>
      <c r="O893" s="29">
        <v>10000.2</v>
      </c>
      <c r="P893" s="1">
        <f>O893-J893</f>
        <v>476.200000000001</v>
      </c>
    </row>
    <row r="894" s="1" customFormat="1" ht="16.35" hidden="1" customHeight="1" spans="1:15">
      <c r="A894" s="5"/>
      <c r="B894" s="6" t="s">
        <v>2906</v>
      </c>
      <c r="C894" s="6">
        <v>2018</v>
      </c>
      <c r="D894" s="6">
        <v>8</v>
      </c>
      <c r="E894" s="7">
        <v>11</v>
      </c>
      <c r="F894" s="6" t="s">
        <v>3898</v>
      </c>
      <c r="G894" s="6" t="s">
        <v>2908</v>
      </c>
      <c r="H894" s="6" t="s">
        <v>2909</v>
      </c>
      <c r="I894" s="8"/>
      <c r="J894" s="8">
        <v>9524</v>
      </c>
      <c r="K894" s="6" t="s">
        <v>3646</v>
      </c>
      <c r="L894" s="6" t="s">
        <v>1079</v>
      </c>
      <c r="N894" s="6" t="s">
        <v>1079</v>
      </c>
      <c r="O894" s="29">
        <v>10000.2</v>
      </c>
    </row>
    <row r="895" s="1" customFormat="1" ht="25" hidden="1" customHeight="1" spans="1:15">
      <c r="A895" s="5"/>
      <c r="B895" s="6" t="s">
        <v>2906</v>
      </c>
      <c r="C895" s="6">
        <v>2018</v>
      </c>
      <c r="D895" s="6">
        <v>8</v>
      </c>
      <c r="E895" s="7">
        <v>15</v>
      </c>
      <c r="F895" s="6" t="s">
        <v>3899</v>
      </c>
      <c r="G895" s="6" t="s">
        <v>2908</v>
      </c>
      <c r="H895" s="6" t="s">
        <v>2909</v>
      </c>
      <c r="I895" s="8"/>
      <c r="J895" s="8">
        <v>12143</v>
      </c>
      <c r="K895" s="6" t="s">
        <v>3615</v>
      </c>
      <c r="L895" s="6" t="s">
        <v>1184</v>
      </c>
      <c r="N895" s="6" t="s">
        <v>1184</v>
      </c>
      <c r="O895" s="29">
        <v>12750.15</v>
      </c>
    </row>
    <row r="896" s="1" customFormat="1" ht="16.35" hidden="1" customHeight="1" spans="1:15">
      <c r="A896" s="5"/>
      <c r="B896" s="6" t="s">
        <v>2906</v>
      </c>
      <c r="C896" s="6">
        <v>2018</v>
      </c>
      <c r="D896" s="6">
        <v>8</v>
      </c>
      <c r="E896" s="7">
        <v>25</v>
      </c>
      <c r="F896" s="6" t="s">
        <v>3900</v>
      </c>
      <c r="G896" s="6" t="s">
        <v>2908</v>
      </c>
      <c r="H896" s="6" t="s">
        <v>2909</v>
      </c>
      <c r="I896" s="8"/>
      <c r="J896" s="8">
        <v>141905</v>
      </c>
      <c r="K896" s="6" t="s">
        <v>3889</v>
      </c>
      <c r="L896" s="6" t="s">
        <v>1148</v>
      </c>
      <c r="N896" s="6" t="s">
        <v>1148</v>
      </c>
      <c r="O896" s="29">
        <v>149000.25</v>
      </c>
    </row>
    <row r="897" s="1" customFormat="1" ht="16.35" hidden="1" customHeight="1" spans="1:15">
      <c r="A897" s="5"/>
      <c r="B897" s="6" t="s">
        <v>2906</v>
      </c>
      <c r="C897" s="6">
        <v>2018</v>
      </c>
      <c r="D897" s="6">
        <v>8</v>
      </c>
      <c r="E897" s="7">
        <v>26</v>
      </c>
      <c r="F897" s="6" t="s">
        <v>3901</v>
      </c>
      <c r="G897" s="6" t="s">
        <v>2908</v>
      </c>
      <c r="H897" s="6" t="s">
        <v>2909</v>
      </c>
      <c r="I897" s="8"/>
      <c r="J897" s="8">
        <v>146667</v>
      </c>
      <c r="K897" s="6" t="s">
        <v>3744</v>
      </c>
      <c r="L897" s="6" t="s">
        <v>1146</v>
      </c>
      <c r="N897" s="6" t="s">
        <v>1146</v>
      </c>
      <c r="O897" s="29">
        <v>154000.35</v>
      </c>
    </row>
    <row r="898" s="1" customFormat="1" ht="16.35" hidden="1" customHeight="1" spans="1:15">
      <c r="A898" s="5"/>
      <c r="B898" s="6" t="s">
        <v>2906</v>
      </c>
      <c r="C898" s="6">
        <v>2018</v>
      </c>
      <c r="D898" s="6">
        <v>8</v>
      </c>
      <c r="E898" s="7">
        <v>27</v>
      </c>
      <c r="F898" s="6" t="s">
        <v>3902</v>
      </c>
      <c r="G898" s="6" t="s">
        <v>2908</v>
      </c>
      <c r="H898" s="6" t="s">
        <v>2909</v>
      </c>
      <c r="I898" s="8"/>
      <c r="J898" s="8">
        <v>161905</v>
      </c>
      <c r="K898" s="6" t="s">
        <v>3871</v>
      </c>
      <c r="L898" s="6" t="s">
        <v>1164</v>
      </c>
      <c r="N898" s="6" t="s">
        <v>1164</v>
      </c>
      <c r="O898" s="29">
        <v>170000.25</v>
      </c>
    </row>
    <row r="899" s="1" customFormat="1" ht="16.35" hidden="1" customHeight="1" spans="1:15">
      <c r="A899" s="5"/>
      <c r="B899" s="6" t="s">
        <v>2906</v>
      </c>
      <c r="C899" s="6">
        <v>2018</v>
      </c>
      <c r="D899" s="6">
        <v>8</v>
      </c>
      <c r="E899" s="7">
        <v>28</v>
      </c>
      <c r="F899" s="6" t="s">
        <v>1039</v>
      </c>
      <c r="G899" s="6" t="s">
        <v>2908</v>
      </c>
      <c r="H899" s="6" t="s">
        <v>2909</v>
      </c>
      <c r="I899" s="8"/>
      <c r="J899" s="8">
        <v>155238.1</v>
      </c>
      <c r="K899" s="6" t="s">
        <v>3567</v>
      </c>
      <c r="L899" s="6" t="s">
        <v>1039</v>
      </c>
      <c r="N899" s="6" t="s">
        <v>1039</v>
      </c>
      <c r="O899" s="29">
        <v>163000.005</v>
      </c>
    </row>
    <row r="900" s="1" customFormat="1" ht="16.35" hidden="1" customHeight="1" spans="1:15">
      <c r="A900" s="5"/>
      <c r="B900" s="6" t="s">
        <v>2906</v>
      </c>
      <c r="C900" s="6">
        <v>2018</v>
      </c>
      <c r="D900" s="6">
        <v>9</v>
      </c>
      <c r="E900" s="7">
        <v>3</v>
      </c>
      <c r="F900" s="6" t="s">
        <v>3903</v>
      </c>
      <c r="G900" s="6" t="s">
        <v>2908</v>
      </c>
      <c r="H900" s="6" t="s">
        <v>2909</v>
      </c>
      <c r="I900" s="8"/>
      <c r="J900" s="8">
        <v>2857</v>
      </c>
      <c r="K900" s="6" t="s">
        <v>3501</v>
      </c>
      <c r="L900" s="6" t="s">
        <v>1425</v>
      </c>
      <c r="N900" s="6" t="s">
        <v>1425</v>
      </c>
      <c r="O900" s="29">
        <v>2999.85</v>
      </c>
    </row>
    <row r="901" s="1" customFormat="1" ht="16.35" hidden="1" customHeight="1" spans="1:15">
      <c r="A901" s="5"/>
      <c r="B901" s="6" t="s">
        <v>2906</v>
      </c>
      <c r="C901" s="6">
        <v>2018</v>
      </c>
      <c r="D901" s="6">
        <v>9</v>
      </c>
      <c r="E901" s="7">
        <v>4</v>
      </c>
      <c r="F901" s="6" t="s">
        <v>3904</v>
      </c>
      <c r="G901" s="6" t="s">
        <v>2908</v>
      </c>
      <c r="H901" s="6" t="s">
        <v>2909</v>
      </c>
      <c r="I901" s="8"/>
      <c r="J901" s="8">
        <v>3333</v>
      </c>
      <c r="K901" s="6" t="s">
        <v>3712</v>
      </c>
      <c r="L901" s="6" t="s">
        <v>1099</v>
      </c>
      <c r="N901" s="6" t="s">
        <v>1099</v>
      </c>
      <c r="O901" s="29">
        <v>3499.65</v>
      </c>
    </row>
    <row r="902" s="1" customFormat="1" ht="16.35" hidden="1" customHeight="1" spans="1:15">
      <c r="A902" s="5"/>
      <c r="B902" s="6" t="s">
        <v>2906</v>
      </c>
      <c r="C902" s="6">
        <v>2018</v>
      </c>
      <c r="D902" s="6">
        <v>9</v>
      </c>
      <c r="E902" s="7">
        <v>5</v>
      </c>
      <c r="F902" s="6" t="s">
        <v>3905</v>
      </c>
      <c r="G902" s="6" t="s">
        <v>2908</v>
      </c>
      <c r="H902" s="6" t="s">
        <v>2909</v>
      </c>
      <c r="I902" s="8"/>
      <c r="J902" s="8">
        <v>99048</v>
      </c>
      <c r="K902" s="6" t="s">
        <v>3085</v>
      </c>
      <c r="L902" s="6" t="s">
        <v>1754</v>
      </c>
      <c r="N902" s="6" t="s">
        <v>1754</v>
      </c>
      <c r="O902" s="29">
        <v>104000.4</v>
      </c>
    </row>
    <row r="903" s="1" customFormat="1" ht="16.35" hidden="1" customHeight="1" spans="1:15">
      <c r="A903" s="5"/>
      <c r="B903" s="6" t="s">
        <v>2906</v>
      </c>
      <c r="C903" s="6">
        <v>2018</v>
      </c>
      <c r="D903" s="6">
        <v>9</v>
      </c>
      <c r="E903" s="7">
        <v>7</v>
      </c>
      <c r="F903" s="6" t="s">
        <v>3906</v>
      </c>
      <c r="G903" s="6" t="s">
        <v>2908</v>
      </c>
      <c r="H903" s="6" t="s">
        <v>2909</v>
      </c>
      <c r="I903" s="8"/>
      <c r="J903" s="8">
        <v>4762</v>
      </c>
      <c r="K903" s="6" t="s">
        <v>3700</v>
      </c>
      <c r="L903" s="6" t="s">
        <v>1178</v>
      </c>
      <c r="N903" s="6" t="s">
        <v>1178</v>
      </c>
      <c r="O903" s="29">
        <v>5000.1</v>
      </c>
    </row>
    <row r="904" s="1" customFormat="1" ht="16.35" hidden="1" customHeight="1" spans="1:15">
      <c r="A904" s="5"/>
      <c r="B904" s="6" t="s">
        <v>2906</v>
      </c>
      <c r="C904" s="6">
        <v>2018</v>
      </c>
      <c r="D904" s="6">
        <v>9</v>
      </c>
      <c r="E904" s="7">
        <v>8</v>
      </c>
      <c r="F904" s="6" t="s">
        <v>3907</v>
      </c>
      <c r="G904" s="6" t="s">
        <v>2908</v>
      </c>
      <c r="H904" s="6" t="s">
        <v>2909</v>
      </c>
      <c r="I904" s="8"/>
      <c r="J904" s="8">
        <v>142857</v>
      </c>
      <c r="K904" s="6" t="s">
        <v>3225</v>
      </c>
      <c r="L904" s="6" t="s">
        <v>1571</v>
      </c>
      <c r="N904" s="6" t="s">
        <v>1571</v>
      </c>
      <c r="O904" s="29">
        <v>149999.85</v>
      </c>
    </row>
    <row r="905" s="1" customFormat="1" ht="16.35" hidden="1" customHeight="1" spans="1:15">
      <c r="A905" s="5"/>
      <c r="B905" s="6" t="s">
        <v>2906</v>
      </c>
      <c r="C905" s="6">
        <v>2018</v>
      </c>
      <c r="D905" s="6">
        <v>9</v>
      </c>
      <c r="E905" s="7">
        <v>9</v>
      </c>
      <c r="F905" s="6" t="s">
        <v>3908</v>
      </c>
      <c r="G905" s="6" t="s">
        <v>2908</v>
      </c>
      <c r="H905" s="6" t="s">
        <v>2909</v>
      </c>
      <c r="I905" s="8"/>
      <c r="J905" s="8">
        <v>78095</v>
      </c>
      <c r="K905" s="6" t="s">
        <v>3909</v>
      </c>
      <c r="L905" s="6" t="s">
        <v>1464</v>
      </c>
      <c r="N905" s="6" t="s">
        <v>1464</v>
      </c>
      <c r="O905" s="29">
        <v>81999.75</v>
      </c>
    </row>
    <row r="906" s="1" customFormat="1" ht="16.35" hidden="1" customHeight="1" spans="1:15">
      <c r="A906" s="5"/>
      <c r="B906" s="6" t="s">
        <v>2906</v>
      </c>
      <c r="C906" s="6">
        <v>2018</v>
      </c>
      <c r="D906" s="6">
        <v>9</v>
      </c>
      <c r="E906" s="7">
        <v>12</v>
      </c>
      <c r="F906" s="6" t="s">
        <v>3910</v>
      </c>
      <c r="G906" s="6" t="s">
        <v>2908</v>
      </c>
      <c r="H906" s="6" t="s">
        <v>2909</v>
      </c>
      <c r="I906" s="8"/>
      <c r="J906" s="8">
        <v>15238</v>
      </c>
      <c r="K906" s="6" t="s">
        <v>3648</v>
      </c>
      <c r="L906" s="6" t="s">
        <v>1617</v>
      </c>
      <c r="N906" s="6" t="s">
        <v>1617</v>
      </c>
      <c r="O906" s="29">
        <v>15999.9</v>
      </c>
    </row>
    <row r="907" s="1" customFormat="1" ht="16.35" hidden="1" customHeight="1" spans="1:15">
      <c r="A907" s="5"/>
      <c r="B907" s="6" t="s">
        <v>2906</v>
      </c>
      <c r="C907" s="6">
        <v>2018</v>
      </c>
      <c r="D907" s="6">
        <v>9</v>
      </c>
      <c r="E907" s="7">
        <v>13</v>
      </c>
      <c r="F907" s="6" t="s">
        <v>3908</v>
      </c>
      <c r="G907" s="6" t="s">
        <v>2908</v>
      </c>
      <c r="H907" s="6" t="s">
        <v>2909</v>
      </c>
      <c r="I907" s="8"/>
      <c r="J907" s="8">
        <v>290</v>
      </c>
      <c r="K907" s="6" t="s">
        <v>3909</v>
      </c>
      <c r="L907" s="6" t="s">
        <v>1464</v>
      </c>
      <c r="N907" s="6" t="s">
        <v>1464</v>
      </c>
      <c r="O907" s="29">
        <v>304.5</v>
      </c>
    </row>
    <row r="908" s="1" customFormat="1" ht="16.35" hidden="1" customHeight="1" spans="1:15">
      <c r="A908" s="5"/>
      <c r="B908" s="6" t="s">
        <v>2906</v>
      </c>
      <c r="C908" s="6">
        <v>2018</v>
      </c>
      <c r="D908" s="6">
        <v>9</v>
      </c>
      <c r="E908" s="7">
        <v>14</v>
      </c>
      <c r="F908" s="6" t="s">
        <v>3911</v>
      </c>
      <c r="G908" s="6" t="s">
        <v>2908</v>
      </c>
      <c r="H908" s="6" t="s">
        <v>2909</v>
      </c>
      <c r="I908" s="8"/>
      <c r="J908" s="8">
        <v>94618</v>
      </c>
      <c r="K908" s="6" t="s">
        <v>3758</v>
      </c>
      <c r="L908" s="6" t="s">
        <v>1094</v>
      </c>
      <c r="N908" s="6" t="s">
        <v>1094</v>
      </c>
      <c r="O908" s="29">
        <v>99348.9</v>
      </c>
    </row>
    <row r="909" s="1" customFormat="1" ht="16.35" hidden="1" customHeight="1" spans="1:15">
      <c r="A909" s="5"/>
      <c r="B909" s="6" t="s">
        <v>2906</v>
      </c>
      <c r="C909" s="6">
        <v>2018</v>
      </c>
      <c r="D909" s="6">
        <v>9</v>
      </c>
      <c r="E909" s="7">
        <v>20</v>
      </c>
      <c r="F909" s="6" t="s">
        <v>3912</v>
      </c>
      <c r="G909" s="6" t="s">
        <v>2908</v>
      </c>
      <c r="H909" s="6" t="s">
        <v>2909</v>
      </c>
      <c r="I909" s="8"/>
      <c r="J909" s="8">
        <v>169524</v>
      </c>
      <c r="K909" s="6" t="s">
        <v>3873</v>
      </c>
      <c r="L909" s="6" t="s">
        <v>1166</v>
      </c>
      <c r="N909" s="6" t="s">
        <v>1166</v>
      </c>
      <c r="O909" s="29">
        <v>178000.2</v>
      </c>
    </row>
    <row r="910" s="1" customFormat="1" ht="16.35" hidden="1" customHeight="1" spans="1:15">
      <c r="A910" s="5"/>
      <c r="B910" s="6" t="s">
        <v>2906</v>
      </c>
      <c r="C910" s="6">
        <v>2018</v>
      </c>
      <c r="D910" s="6">
        <v>9</v>
      </c>
      <c r="E910" s="7">
        <v>21</v>
      </c>
      <c r="F910" s="6" t="s">
        <v>3913</v>
      </c>
      <c r="G910" s="6" t="s">
        <v>2908</v>
      </c>
      <c r="H910" s="6" t="s">
        <v>2909</v>
      </c>
      <c r="I910" s="8"/>
      <c r="J910" s="8">
        <v>139048</v>
      </c>
      <c r="K910" s="6" t="s">
        <v>3893</v>
      </c>
      <c r="L910" s="6" t="s">
        <v>1474</v>
      </c>
      <c r="N910" s="6" t="s">
        <v>1474</v>
      </c>
      <c r="O910" s="29">
        <v>146000.4</v>
      </c>
    </row>
    <row r="911" s="1" customFormat="1" ht="16.35" hidden="1" customHeight="1" spans="1:15">
      <c r="A911" s="5"/>
      <c r="B911" s="6" t="s">
        <v>2906</v>
      </c>
      <c r="C911" s="6">
        <v>2018</v>
      </c>
      <c r="D911" s="6">
        <v>9</v>
      </c>
      <c r="E911" s="7">
        <v>24</v>
      </c>
      <c r="F911" s="6" t="s">
        <v>3870</v>
      </c>
      <c r="G911" s="6" t="s">
        <v>2908</v>
      </c>
      <c r="H911" s="6" t="s">
        <v>2909</v>
      </c>
      <c r="I911" s="8"/>
      <c r="J911" s="8">
        <v>4762</v>
      </c>
      <c r="K911" s="6" t="s">
        <v>3871</v>
      </c>
      <c r="L911" s="6" t="s">
        <v>1164</v>
      </c>
      <c r="N911" s="6" t="s">
        <v>1164</v>
      </c>
      <c r="O911" s="29">
        <v>5000.1</v>
      </c>
    </row>
    <row r="912" s="1" customFormat="1" ht="16.35" hidden="1" customHeight="1" spans="1:15">
      <c r="A912" s="5"/>
      <c r="B912" s="6" t="s">
        <v>2906</v>
      </c>
      <c r="C912" s="6">
        <v>2018</v>
      </c>
      <c r="D912" s="6">
        <v>9</v>
      </c>
      <c r="E912" s="7">
        <v>25</v>
      </c>
      <c r="F912" s="6" t="s">
        <v>3914</v>
      </c>
      <c r="G912" s="6" t="s">
        <v>2908</v>
      </c>
      <c r="H912" s="6" t="s">
        <v>2909</v>
      </c>
      <c r="I912" s="8"/>
      <c r="J912" s="8">
        <v>66667</v>
      </c>
      <c r="K912" s="6" t="s">
        <v>3881</v>
      </c>
      <c r="L912" s="6" t="s">
        <v>1202</v>
      </c>
      <c r="N912" s="6" t="s">
        <v>1202</v>
      </c>
      <c r="O912" s="29">
        <v>70000.35</v>
      </c>
    </row>
    <row r="913" s="1" customFormat="1" ht="16.35" hidden="1" customHeight="1" spans="1:15">
      <c r="A913" s="5"/>
      <c r="B913" s="6" t="s">
        <v>2906</v>
      </c>
      <c r="C913" s="6">
        <v>2018</v>
      </c>
      <c r="D913" s="6">
        <v>10</v>
      </c>
      <c r="E913" s="7">
        <v>1</v>
      </c>
      <c r="F913" s="6" t="s">
        <v>3915</v>
      </c>
      <c r="G913" s="6" t="s">
        <v>2908</v>
      </c>
      <c r="H913" s="6" t="s">
        <v>2909</v>
      </c>
      <c r="I913" s="8"/>
      <c r="J913" s="8">
        <v>4762</v>
      </c>
      <c r="K913" s="6" t="s">
        <v>3773</v>
      </c>
      <c r="L913" s="6" t="s">
        <v>1086</v>
      </c>
      <c r="N913" s="6" t="s">
        <v>1086</v>
      </c>
      <c r="O913" s="29">
        <v>5000.1</v>
      </c>
    </row>
    <row r="914" s="1" customFormat="1" ht="16.35" hidden="1" customHeight="1" spans="1:15">
      <c r="A914" s="5"/>
      <c r="B914" s="6" t="s">
        <v>2906</v>
      </c>
      <c r="C914" s="6">
        <v>2018</v>
      </c>
      <c r="D914" s="6">
        <v>10</v>
      </c>
      <c r="E914" s="7">
        <v>2</v>
      </c>
      <c r="F914" s="6" t="s">
        <v>3877</v>
      </c>
      <c r="G914" s="6" t="s">
        <v>2908</v>
      </c>
      <c r="H914" s="6" t="s">
        <v>2909</v>
      </c>
      <c r="I914" s="8"/>
      <c r="J914" s="8">
        <v>15563</v>
      </c>
      <c r="K914" s="6" t="s">
        <v>3429</v>
      </c>
      <c r="L914" s="6" t="s">
        <v>1271</v>
      </c>
      <c r="N914" s="6" t="s">
        <v>1271</v>
      </c>
      <c r="O914" s="29">
        <v>16341.15</v>
      </c>
    </row>
    <row r="915" s="1" customFormat="1" ht="16.35" hidden="1" customHeight="1" spans="1:15">
      <c r="A915" s="5"/>
      <c r="B915" s="6" t="s">
        <v>2906</v>
      </c>
      <c r="C915" s="6">
        <v>2018</v>
      </c>
      <c r="D915" s="6">
        <v>10</v>
      </c>
      <c r="E915" s="7">
        <v>3</v>
      </c>
      <c r="F915" s="6" t="s">
        <v>3916</v>
      </c>
      <c r="G915" s="6" t="s">
        <v>2908</v>
      </c>
      <c r="H915" s="6" t="s">
        <v>2909</v>
      </c>
      <c r="I915" s="8"/>
      <c r="J915" s="8">
        <v>60000</v>
      </c>
      <c r="K915" s="6" t="s">
        <v>3496</v>
      </c>
      <c r="L915" s="6" t="s">
        <v>1476</v>
      </c>
      <c r="N915" s="6" t="s">
        <v>1476</v>
      </c>
      <c r="O915" s="29">
        <v>63000</v>
      </c>
    </row>
    <row r="916" s="1" customFormat="1" ht="16.35" hidden="1" customHeight="1" spans="1:15">
      <c r="A916" s="5"/>
      <c r="B916" s="6" t="s">
        <v>2906</v>
      </c>
      <c r="C916" s="6">
        <v>2018</v>
      </c>
      <c r="D916" s="6">
        <v>10</v>
      </c>
      <c r="E916" s="7">
        <v>4</v>
      </c>
      <c r="F916" s="6" t="s">
        <v>3917</v>
      </c>
      <c r="G916" s="6" t="s">
        <v>2908</v>
      </c>
      <c r="H916" s="6" t="s">
        <v>2909</v>
      </c>
      <c r="I916" s="8"/>
      <c r="J916" s="8">
        <v>120000</v>
      </c>
      <c r="K916" s="6" t="s">
        <v>3909</v>
      </c>
      <c r="L916" s="6" t="s">
        <v>1464</v>
      </c>
      <c r="N916" s="6" t="s">
        <v>1464</v>
      </c>
      <c r="O916" s="29">
        <v>126000</v>
      </c>
    </row>
    <row r="917" s="1" customFormat="1" ht="16.35" hidden="1" customHeight="1" spans="1:16">
      <c r="A917" s="5"/>
      <c r="B917" s="6" t="s">
        <v>2906</v>
      </c>
      <c r="C917" s="6">
        <v>2018</v>
      </c>
      <c r="D917" s="6">
        <v>10</v>
      </c>
      <c r="E917" s="7">
        <v>5</v>
      </c>
      <c r="F917" s="6" t="s">
        <v>3918</v>
      </c>
      <c r="G917" s="6" t="s">
        <v>2908</v>
      </c>
      <c r="H917" s="6" t="s">
        <v>2909</v>
      </c>
      <c r="I917" s="8"/>
      <c r="J917" s="8">
        <v>2857</v>
      </c>
      <c r="K917" s="6" t="s">
        <v>3082</v>
      </c>
      <c r="L917" s="6" t="s">
        <v>1625</v>
      </c>
      <c r="N917" s="6" t="s">
        <v>1625</v>
      </c>
      <c r="O917" s="29">
        <v>2999.85</v>
      </c>
      <c r="P917" s="1">
        <f>O917-J917</f>
        <v>142.85</v>
      </c>
    </row>
    <row r="918" s="1" customFormat="1" ht="16.35" hidden="1" customHeight="1" spans="1:15">
      <c r="A918" s="5"/>
      <c r="B918" s="6" t="s">
        <v>2906</v>
      </c>
      <c r="C918" s="6">
        <v>2018</v>
      </c>
      <c r="D918" s="6">
        <v>10</v>
      </c>
      <c r="E918" s="7">
        <v>6</v>
      </c>
      <c r="F918" s="6" t="s">
        <v>3919</v>
      </c>
      <c r="G918" s="6" t="s">
        <v>2908</v>
      </c>
      <c r="H918" s="6" t="s">
        <v>2909</v>
      </c>
      <c r="I918" s="8"/>
      <c r="J918" s="8">
        <v>952</v>
      </c>
      <c r="K918" s="6" t="s">
        <v>3920</v>
      </c>
      <c r="L918" s="6" t="s">
        <v>1125</v>
      </c>
      <c r="N918" s="6" t="s">
        <v>1125</v>
      </c>
      <c r="O918" s="29">
        <v>999.6</v>
      </c>
    </row>
    <row r="919" s="1" customFormat="1" ht="16.35" hidden="1" customHeight="1" spans="1:15">
      <c r="A919" s="5"/>
      <c r="B919" s="6" t="s">
        <v>2906</v>
      </c>
      <c r="C919" s="6">
        <v>2018</v>
      </c>
      <c r="D919" s="6">
        <v>10</v>
      </c>
      <c r="E919" s="7">
        <v>8</v>
      </c>
      <c r="F919" s="6" t="s">
        <v>3500</v>
      </c>
      <c r="G919" s="6" t="s">
        <v>2908</v>
      </c>
      <c r="H919" s="6" t="s">
        <v>2909</v>
      </c>
      <c r="I919" s="8"/>
      <c r="J919" s="8">
        <v>2381</v>
      </c>
      <c r="K919" s="6" t="s">
        <v>3501</v>
      </c>
      <c r="L919" s="6" t="s">
        <v>1425</v>
      </c>
      <c r="N919" s="6" t="s">
        <v>1425</v>
      </c>
      <c r="O919" s="29">
        <v>2500.05</v>
      </c>
    </row>
    <row r="920" s="1" customFormat="1" ht="16.35" hidden="1" customHeight="1" spans="1:15">
      <c r="A920" s="5"/>
      <c r="B920" s="6" t="s">
        <v>2906</v>
      </c>
      <c r="C920" s="6">
        <v>2018</v>
      </c>
      <c r="D920" s="6">
        <v>11</v>
      </c>
      <c r="E920" s="7">
        <v>1</v>
      </c>
      <c r="F920" s="6" t="s">
        <v>3921</v>
      </c>
      <c r="G920" s="6" t="s">
        <v>2908</v>
      </c>
      <c r="H920" s="6" t="s">
        <v>2909</v>
      </c>
      <c r="I920" s="8"/>
      <c r="J920" s="8">
        <v>29088</v>
      </c>
      <c r="K920" s="6" t="s">
        <v>3922</v>
      </c>
      <c r="L920" s="6" t="s">
        <v>1290</v>
      </c>
      <c r="N920" s="6" t="s">
        <v>1290</v>
      </c>
      <c r="O920" s="29">
        <v>30542.4</v>
      </c>
    </row>
    <row r="921" s="1" customFormat="1" ht="16.35" hidden="1" customHeight="1" spans="1:15">
      <c r="A921" s="5"/>
      <c r="B921" s="6" t="s">
        <v>2906</v>
      </c>
      <c r="C921" s="6">
        <v>2018</v>
      </c>
      <c r="D921" s="6">
        <v>11</v>
      </c>
      <c r="E921" s="7">
        <v>2</v>
      </c>
      <c r="F921" s="6" t="s">
        <v>3923</v>
      </c>
      <c r="G921" s="6" t="s">
        <v>2908</v>
      </c>
      <c r="H921" s="6" t="s">
        <v>2909</v>
      </c>
      <c r="I921" s="8"/>
      <c r="J921" s="8">
        <v>38095</v>
      </c>
      <c r="K921" s="6" t="s">
        <v>3615</v>
      </c>
      <c r="L921" s="6" t="s">
        <v>1184</v>
      </c>
      <c r="N921" s="6" t="s">
        <v>1184</v>
      </c>
      <c r="O921" s="29">
        <v>39999.75</v>
      </c>
    </row>
    <row r="922" s="1" customFormat="1" ht="16.35" hidden="1" customHeight="1" spans="1:15">
      <c r="A922" s="5"/>
      <c r="B922" s="6" t="s">
        <v>2906</v>
      </c>
      <c r="C922" s="6">
        <v>2018</v>
      </c>
      <c r="D922" s="6">
        <v>11</v>
      </c>
      <c r="E922" s="7">
        <v>3</v>
      </c>
      <c r="F922" s="6" t="s">
        <v>3838</v>
      </c>
      <c r="G922" s="6" t="s">
        <v>2908</v>
      </c>
      <c r="H922" s="6" t="s">
        <v>2909</v>
      </c>
      <c r="I922" s="8"/>
      <c r="J922" s="8">
        <v>33333</v>
      </c>
      <c r="K922" s="6" t="s">
        <v>3839</v>
      </c>
      <c r="L922" s="6" t="s">
        <v>1613</v>
      </c>
      <c r="N922" s="6" t="s">
        <v>1613</v>
      </c>
      <c r="O922" s="29">
        <v>34999.65</v>
      </c>
    </row>
    <row r="923" s="1" customFormat="1" ht="16.35" hidden="1" customHeight="1" spans="1:15">
      <c r="A923" s="5"/>
      <c r="B923" s="6" t="s">
        <v>2906</v>
      </c>
      <c r="C923" s="6">
        <v>2018</v>
      </c>
      <c r="D923" s="6">
        <v>11</v>
      </c>
      <c r="E923" s="7">
        <v>4</v>
      </c>
      <c r="F923" s="6" t="s">
        <v>3924</v>
      </c>
      <c r="G923" s="6" t="s">
        <v>2908</v>
      </c>
      <c r="H923" s="6" t="s">
        <v>2909</v>
      </c>
      <c r="I923" s="8"/>
      <c r="J923" s="8">
        <v>95238</v>
      </c>
      <c r="K923" s="6" t="s">
        <v>3758</v>
      </c>
      <c r="L923" s="6" t="s">
        <v>1094</v>
      </c>
      <c r="N923" s="6" t="s">
        <v>1094</v>
      </c>
      <c r="O923" s="29">
        <v>99999.9</v>
      </c>
    </row>
    <row r="924" s="1" customFormat="1" ht="16.35" hidden="1" customHeight="1" spans="1:15">
      <c r="A924" s="5"/>
      <c r="B924" s="6" t="s">
        <v>2906</v>
      </c>
      <c r="C924" s="6">
        <v>2018</v>
      </c>
      <c r="D924" s="6">
        <v>11</v>
      </c>
      <c r="E924" s="7">
        <v>5</v>
      </c>
      <c r="F924" s="6" t="s">
        <v>3925</v>
      </c>
      <c r="G924" s="6" t="s">
        <v>2908</v>
      </c>
      <c r="H924" s="6" t="s">
        <v>2909</v>
      </c>
      <c r="I924" s="8"/>
      <c r="J924" s="8">
        <v>115243</v>
      </c>
      <c r="K924" s="6" t="s">
        <v>3926</v>
      </c>
      <c r="L924" s="6" t="s">
        <v>979</v>
      </c>
      <c r="N924" s="6" t="s">
        <v>979</v>
      </c>
      <c r="O924" s="29">
        <v>121005.15</v>
      </c>
    </row>
    <row r="925" s="1" customFormat="1" ht="16.35" hidden="1" customHeight="1" spans="1:15">
      <c r="A925" s="5"/>
      <c r="B925" s="6" t="s">
        <v>2906</v>
      </c>
      <c r="C925" s="6">
        <v>2018</v>
      </c>
      <c r="D925" s="6">
        <v>11</v>
      </c>
      <c r="E925" s="7">
        <v>6</v>
      </c>
      <c r="F925" s="6" t="s">
        <v>3927</v>
      </c>
      <c r="G925" s="6" t="s">
        <v>2908</v>
      </c>
      <c r="H925" s="6" t="s">
        <v>2909</v>
      </c>
      <c r="I925" s="8"/>
      <c r="J925" s="8">
        <v>4762</v>
      </c>
      <c r="K925" s="6" t="s">
        <v>3871</v>
      </c>
      <c r="L925" s="6" t="s">
        <v>1164</v>
      </c>
      <c r="N925" s="6" t="s">
        <v>1164</v>
      </c>
      <c r="O925" s="29">
        <v>5000.1</v>
      </c>
    </row>
    <row r="926" s="1" customFormat="1" ht="16.35" hidden="1" customHeight="1" spans="1:15">
      <c r="A926" s="5"/>
      <c r="B926" s="6" t="s">
        <v>2906</v>
      </c>
      <c r="C926" s="6">
        <v>2018</v>
      </c>
      <c r="D926" s="6">
        <v>11</v>
      </c>
      <c r="E926" s="7">
        <v>7</v>
      </c>
      <c r="F926" s="6" t="s">
        <v>3921</v>
      </c>
      <c r="G926" s="6" t="s">
        <v>2908</v>
      </c>
      <c r="H926" s="6" t="s">
        <v>2909</v>
      </c>
      <c r="I926" s="8"/>
      <c r="J926" s="8">
        <v>12381</v>
      </c>
      <c r="K926" s="6" t="s">
        <v>3922</v>
      </c>
      <c r="L926" s="6" t="s">
        <v>1290</v>
      </c>
      <c r="N926" s="6" t="s">
        <v>1290</v>
      </c>
      <c r="O926" s="29">
        <v>13000.05</v>
      </c>
    </row>
    <row r="927" s="1" customFormat="1" ht="16.35" hidden="1" customHeight="1" spans="1:15">
      <c r="A927" s="5"/>
      <c r="B927" s="6" t="s">
        <v>2906</v>
      </c>
      <c r="C927" s="6">
        <v>2018</v>
      </c>
      <c r="D927" s="6">
        <v>11</v>
      </c>
      <c r="E927" s="7">
        <v>8</v>
      </c>
      <c r="F927" s="6" t="s">
        <v>3923</v>
      </c>
      <c r="G927" s="6" t="s">
        <v>2908</v>
      </c>
      <c r="H927" s="6" t="s">
        <v>2909</v>
      </c>
      <c r="I927" s="8"/>
      <c r="J927" s="8">
        <v>14286</v>
      </c>
      <c r="K927" s="6" t="s">
        <v>3615</v>
      </c>
      <c r="L927" s="6" t="s">
        <v>1184</v>
      </c>
      <c r="N927" s="6" t="s">
        <v>1184</v>
      </c>
      <c r="O927" s="29">
        <v>15000.3</v>
      </c>
    </row>
    <row r="928" s="1" customFormat="1" ht="16.35" hidden="1" customHeight="1" spans="1:16">
      <c r="A928" s="5"/>
      <c r="B928" s="6" t="s">
        <v>2906</v>
      </c>
      <c r="C928" s="6">
        <v>2018</v>
      </c>
      <c r="D928" s="6">
        <v>12</v>
      </c>
      <c r="E928" s="7">
        <v>1</v>
      </c>
      <c r="F928" s="6" t="s">
        <v>3928</v>
      </c>
      <c r="G928" s="6" t="s">
        <v>2908</v>
      </c>
      <c r="H928" s="6" t="s">
        <v>2909</v>
      </c>
      <c r="I928" s="8"/>
      <c r="J928" s="8">
        <v>81143</v>
      </c>
      <c r="K928" s="6" t="s">
        <v>3929</v>
      </c>
      <c r="L928" s="6" t="s">
        <v>1483</v>
      </c>
      <c r="N928" s="6" t="s">
        <v>1483</v>
      </c>
      <c r="O928" s="29">
        <v>85200.15</v>
      </c>
      <c r="P928" s="1">
        <f>O928-J928</f>
        <v>4057.14999999999</v>
      </c>
    </row>
    <row r="929" s="1" customFormat="1" ht="16.35" hidden="1" customHeight="1" spans="1:16">
      <c r="A929" s="5"/>
      <c r="B929" s="6" t="s">
        <v>2906</v>
      </c>
      <c r="C929" s="6">
        <v>2018</v>
      </c>
      <c r="D929" s="6">
        <v>12</v>
      </c>
      <c r="E929" s="7">
        <v>2</v>
      </c>
      <c r="F929" s="6" t="s">
        <v>3930</v>
      </c>
      <c r="G929" s="6" t="s">
        <v>2908</v>
      </c>
      <c r="H929" s="6" t="s">
        <v>2909</v>
      </c>
      <c r="I929" s="8"/>
      <c r="J929" s="8">
        <v>952</v>
      </c>
      <c r="K929" s="6" t="s">
        <v>3931</v>
      </c>
      <c r="L929" s="6" t="s">
        <v>1523</v>
      </c>
      <c r="N929" s="6" t="s">
        <v>1523</v>
      </c>
      <c r="O929" s="29">
        <v>999.6</v>
      </c>
      <c r="P929" s="1">
        <f>O929-J929</f>
        <v>47.6</v>
      </c>
    </row>
    <row r="930" s="1" customFormat="1" ht="16.35" hidden="1" customHeight="1" spans="1:15">
      <c r="A930" s="5"/>
      <c r="B930" s="6" t="s">
        <v>2906</v>
      </c>
      <c r="C930" s="6">
        <v>2018</v>
      </c>
      <c r="D930" s="6">
        <v>12</v>
      </c>
      <c r="E930" s="7">
        <v>3</v>
      </c>
      <c r="F930" s="6" t="s">
        <v>3932</v>
      </c>
      <c r="G930" s="6" t="s">
        <v>2908</v>
      </c>
      <c r="H930" s="6" t="s">
        <v>2909</v>
      </c>
      <c r="I930" s="8"/>
      <c r="J930" s="8">
        <v>76190</v>
      </c>
      <c r="K930" s="6" t="s">
        <v>3933</v>
      </c>
      <c r="L930" s="6" t="s">
        <v>1385</v>
      </c>
      <c r="N930" s="6" t="s">
        <v>1385</v>
      </c>
      <c r="O930" s="29">
        <v>79999.5</v>
      </c>
    </row>
    <row r="931" s="1" customFormat="1" ht="16.35" hidden="1" customHeight="1" spans="1:15">
      <c r="A931" s="5"/>
      <c r="B931" s="6" t="s">
        <v>2906</v>
      </c>
      <c r="C931" s="6">
        <v>2018</v>
      </c>
      <c r="D931" s="6">
        <v>12</v>
      </c>
      <c r="E931" s="7">
        <v>4</v>
      </c>
      <c r="F931" s="6" t="s">
        <v>3934</v>
      </c>
      <c r="G931" s="6" t="s">
        <v>2908</v>
      </c>
      <c r="H931" s="6" t="s">
        <v>2909</v>
      </c>
      <c r="I931" s="8"/>
      <c r="J931" s="8">
        <v>28571</v>
      </c>
      <c r="K931" s="6" t="s">
        <v>3670</v>
      </c>
      <c r="L931" s="6" t="s">
        <v>1306</v>
      </c>
      <c r="N931" s="6" t="s">
        <v>1306</v>
      </c>
      <c r="O931" s="29">
        <v>29999.55</v>
      </c>
    </row>
    <row r="932" s="1" customFormat="1" ht="16.35" hidden="1" customHeight="1" spans="1:15">
      <c r="A932" s="5"/>
      <c r="B932" s="6" t="s">
        <v>2906</v>
      </c>
      <c r="C932" s="6">
        <v>2018</v>
      </c>
      <c r="D932" s="6">
        <v>12</v>
      </c>
      <c r="E932" s="7">
        <v>5</v>
      </c>
      <c r="F932" s="6" t="s">
        <v>3932</v>
      </c>
      <c r="G932" s="6" t="s">
        <v>2908</v>
      </c>
      <c r="H932" s="6" t="s">
        <v>2909</v>
      </c>
      <c r="I932" s="8"/>
      <c r="J932" s="8">
        <v>1905</v>
      </c>
      <c r="K932" s="6" t="s">
        <v>3933</v>
      </c>
      <c r="L932" s="6" t="s">
        <v>1385</v>
      </c>
      <c r="N932" s="6" t="s">
        <v>1385</v>
      </c>
      <c r="O932" s="29">
        <v>2000.25</v>
      </c>
    </row>
    <row r="933" s="1" customFormat="1" ht="16.35" hidden="1" customHeight="1" spans="1:16">
      <c r="A933" s="5"/>
      <c r="B933" s="6" t="s">
        <v>2906</v>
      </c>
      <c r="C933" s="6">
        <v>2018</v>
      </c>
      <c r="D933" s="6">
        <v>12</v>
      </c>
      <c r="E933" s="7">
        <v>6</v>
      </c>
      <c r="F933" s="6" t="s">
        <v>3935</v>
      </c>
      <c r="G933" s="6" t="s">
        <v>2908</v>
      </c>
      <c r="H933" s="6" t="s">
        <v>2909</v>
      </c>
      <c r="I933" s="8"/>
      <c r="J933" s="8">
        <v>24762</v>
      </c>
      <c r="K933" s="6" t="s">
        <v>3936</v>
      </c>
      <c r="L933" s="6" t="s">
        <v>1152</v>
      </c>
      <c r="N933" s="6" t="s">
        <v>1152</v>
      </c>
      <c r="O933" s="29">
        <v>26000.1</v>
      </c>
      <c r="P933" s="1">
        <f>O933-J933</f>
        <v>1238.1</v>
      </c>
    </row>
    <row r="934" s="1" customFormat="1" ht="16.35" hidden="1" customHeight="1" spans="1:16">
      <c r="A934" s="5"/>
      <c r="B934" s="6" t="s">
        <v>2906</v>
      </c>
      <c r="C934" s="6">
        <v>2018</v>
      </c>
      <c r="D934" s="6">
        <v>12</v>
      </c>
      <c r="E934" s="7">
        <v>7</v>
      </c>
      <c r="F934" s="6" t="s">
        <v>3937</v>
      </c>
      <c r="G934" s="6" t="s">
        <v>2908</v>
      </c>
      <c r="H934" s="6" t="s">
        <v>2909</v>
      </c>
      <c r="I934" s="8"/>
      <c r="J934" s="8">
        <v>33315</v>
      </c>
      <c r="K934" s="6" t="s">
        <v>3938</v>
      </c>
      <c r="L934" s="6" t="s">
        <v>1129</v>
      </c>
      <c r="N934" s="6" t="s">
        <v>1129</v>
      </c>
      <c r="O934" s="29">
        <v>34980.75</v>
      </c>
      <c r="P934" s="1">
        <f>O934-J934</f>
        <v>1665.75</v>
      </c>
    </row>
    <row r="935" s="1" customFormat="1" ht="16.35" hidden="1" customHeight="1" spans="1:15">
      <c r="A935" s="5"/>
      <c r="B935" s="6" t="s">
        <v>2906</v>
      </c>
      <c r="C935" s="6">
        <v>2018</v>
      </c>
      <c r="D935" s="6">
        <v>12</v>
      </c>
      <c r="E935" s="7">
        <v>8</v>
      </c>
      <c r="F935" s="6" t="s">
        <v>3939</v>
      </c>
      <c r="G935" s="6" t="s">
        <v>2908</v>
      </c>
      <c r="H935" s="6" t="s">
        <v>2909</v>
      </c>
      <c r="I935" s="8"/>
      <c r="J935" s="8">
        <v>61067</v>
      </c>
      <c r="K935" s="6" t="s">
        <v>3875</v>
      </c>
      <c r="L935" s="6" t="s">
        <v>1114</v>
      </c>
      <c r="N935" s="6" t="s">
        <v>1114</v>
      </c>
      <c r="O935" s="29">
        <v>64120.35</v>
      </c>
    </row>
    <row r="936" s="1" customFormat="1" ht="16.35" hidden="1" customHeight="1" spans="1:15">
      <c r="A936" s="5"/>
      <c r="B936" s="6" t="s">
        <v>2906</v>
      </c>
      <c r="C936" s="6">
        <v>2018</v>
      </c>
      <c r="D936" s="6">
        <v>12</v>
      </c>
      <c r="E936" s="7">
        <v>9</v>
      </c>
      <c r="F936" s="6" t="s">
        <v>3923</v>
      </c>
      <c r="G936" s="6" t="s">
        <v>2908</v>
      </c>
      <c r="H936" s="6" t="s">
        <v>2909</v>
      </c>
      <c r="I936" s="8"/>
      <c r="J936" s="8">
        <v>952</v>
      </c>
      <c r="K936" s="6" t="s">
        <v>3615</v>
      </c>
      <c r="L936" s="6" t="s">
        <v>1184</v>
      </c>
      <c r="N936" s="6" t="s">
        <v>1184</v>
      </c>
      <c r="O936" s="29">
        <v>999.6</v>
      </c>
    </row>
    <row r="937" s="1" customFormat="1" ht="16.35" hidden="1" customHeight="1" spans="1:15">
      <c r="A937" s="5"/>
      <c r="B937" s="6" t="s">
        <v>2906</v>
      </c>
      <c r="C937" s="6">
        <v>2018</v>
      </c>
      <c r="D937" s="6">
        <v>12</v>
      </c>
      <c r="E937" s="7">
        <v>10</v>
      </c>
      <c r="F937" s="6" t="s">
        <v>3940</v>
      </c>
      <c r="G937" s="6" t="s">
        <v>2908</v>
      </c>
      <c r="H937" s="6" t="s">
        <v>2909</v>
      </c>
      <c r="I937" s="8"/>
      <c r="J937" s="8">
        <v>952</v>
      </c>
      <c r="K937" s="6" t="s">
        <v>3941</v>
      </c>
      <c r="L937" s="6" t="s">
        <v>1509</v>
      </c>
      <c r="N937" s="6" t="s">
        <v>1509</v>
      </c>
      <c r="O937" s="29">
        <v>999.6</v>
      </c>
    </row>
    <row r="938" s="1" customFormat="1" ht="16.35" hidden="1" customHeight="1" spans="1:15">
      <c r="A938" s="5"/>
      <c r="B938" s="6" t="s">
        <v>2906</v>
      </c>
      <c r="C938" s="6">
        <v>2018</v>
      </c>
      <c r="D938" s="6">
        <v>12</v>
      </c>
      <c r="E938" s="7">
        <v>11</v>
      </c>
      <c r="F938" s="6" t="s">
        <v>3915</v>
      </c>
      <c r="G938" s="6" t="s">
        <v>2908</v>
      </c>
      <c r="H938" s="6" t="s">
        <v>2909</v>
      </c>
      <c r="I938" s="8"/>
      <c r="J938" s="8">
        <v>64000</v>
      </c>
      <c r="K938" s="6" t="s">
        <v>3773</v>
      </c>
      <c r="L938" s="6" t="s">
        <v>1086</v>
      </c>
      <c r="N938" s="6" t="s">
        <v>1086</v>
      </c>
      <c r="O938" s="29">
        <v>67200</v>
      </c>
    </row>
    <row r="939" s="1" customFormat="1" ht="16.35" hidden="1" customHeight="1" spans="1:15">
      <c r="A939" s="5"/>
      <c r="B939" s="6" t="s">
        <v>2906</v>
      </c>
      <c r="C939" s="6">
        <v>2018</v>
      </c>
      <c r="D939" s="6">
        <v>12</v>
      </c>
      <c r="E939" s="7">
        <v>12</v>
      </c>
      <c r="F939" s="6" t="s">
        <v>3942</v>
      </c>
      <c r="G939" s="6" t="s">
        <v>2908</v>
      </c>
      <c r="H939" s="6" t="s">
        <v>2909</v>
      </c>
      <c r="I939" s="8"/>
      <c r="J939" s="8">
        <v>19048</v>
      </c>
      <c r="K939" s="6" t="s">
        <v>3889</v>
      </c>
      <c r="L939" s="6" t="s">
        <v>1148</v>
      </c>
      <c r="N939" s="6" t="s">
        <v>1148</v>
      </c>
      <c r="O939" s="29">
        <v>20000.4</v>
      </c>
    </row>
    <row r="940" s="1" customFormat="1" ht="16.35" hidden="1" customHeight="1" spans="1:15">
      <c r="A940" s="5"/>
      <c r="B940" s="6" t="s">
        <v>2906</v>
      </c>
      <c r="C940" s="6">
        <v>2018</v>
      </c>
      <c r="D940" s="6">
        <v>12</v>
      </c>
      <c r="E940" s="7">
        <v>27</v>
      </c>
      <c r="F940" s="6" t="s">
        <v>3932</v>
      </c>
      <c r="G940" s="6" t="s">
        <v>2908</v>
      </c>
      <c r="H940" s="6" t="s">
        <v>2909</v>
      </c>
      <c r="I940" s="8"/>
      <c r="J940" s="8">
        <v>39931</v>
      </c>
      <c r="K940" s="6" t="s">
        <v>3933</v>
      </c>
      <c r="L940" s="6" t="s">
        <v>1385</v>
      </c>
      <c r="N940" s="6" t="s">
        <v>1385</v>
      </c>
      <c r="O940" s="29">
        <v>41927.55</v>
      </c>
    </row>
    <row r="941" s="1" customFormat="1" ht="16.35" hidden="1" customHeight="1" spans="1:15">
      <c r="A941" s="5"/>
      <c r="B941" s="6" t="s">
        <v>2906</v>
      </c>
      <c r="C941" s="6">
        <v>2019</v>
      </c>
      <c r="D941" s="6">
        <v>1</v>
      </c>
      <c r="E941" s="7">
        <v>1</v>
      </c>
      <c r="F941" s="6" t="s">
        <v>3943</v>
      </c>
      <c r="G941" s="6" t="s">
        <v>2908</v>
      </c>
      <c r="H941" s="6" t="s">
        <v>2909</v>
      </c>
      <c r="I941" s="8"/>
      <c r="J941" s="8">
        <v>171429</v>
      </c>
      <c r="K941" s="6" t="s">
        <v>3839</v>
      </c>
      <c r="L941" s="6" t="s">
        <v>1613</v>
      </c>
      <c r="N941" s="6" t="s">
        <v>1613</v>
      </c>
      <c r="O941" s="29">
        <v>180000.45</v>
      </c>
    </row>
    <row r="942" s="1" customFormat="1" ht="16.35" hidden="1" customHeight="1" spans="1:15">
      <c r="A942" s="5"/>
      <c r="B942" s="6" t="s">
        <v>2906</v>
      </c>
      <c r="C942" s="6">
        <v>2019</v>
      </c>
      <c r="D942" s="6">
        <v>1</v>
      </c>
      <c r="E942" s="7">
        <v>2</v>
      </c>
      <c r="F942" s="6" t="s">
        <v>3908</v>
      </c>
      <c r="G942" s="6" t="s">
        <v>2908</v>
      </c>
      <c r="H942" s="6" t="s">
        <v>2909</v>
      </c>
      <c r="I942" s="8"/>
      <c r="J942" s="8">
        <v>7619</v>
      </c>
      <c r="K942" s="6" t="s">
        <v>3909</v>
      </c>
      <c r="L942" s="6" t="s">
        <v>1464</v>
      </c>
      <c r="N942" s="6" t="s">
        <v>1464</v>
      </c>
      <c r="O942" s="29">
        <v>7999.95</v>
      </c>
    </row>
    <row r="943" s="1" customFormat="1" ht="16.35" hidden="1" customHeight="1" spans="1:15">
      <c r="A943" s="5"/>
      <c r="B943" s="6" t="s">
        <v>2906</v>
      </c>
      <c r="C943" s="6">
        <v>2019</v>
      </c>
      <c r="D943" s="6">
        <v>1</v>
      </c>
      <c r="E943" s="7">
        <v>3</v>
      </c>
      <c r="F943" s="6" t="s">
        <v>3944</v>
      </c>
      <c r="G943" s="6" t="s">
        <v>2908</v>
      </c>
      <c r="H943" s="6" t="s">
        <v>2909</v>
      </c>
      <c r="I943" s="8"/>
      <c r="J943" s="8">
        <v>3810</v>
      </c>
      <c r="K943" s="6" t="s">
        <v>3864</v>
      </c>
      <c r="L943" s="6" t="s">
        <v>1505</v>
      </c>
      <c r="N943" s="6" t="s">
        <v>1505</v>
      </c>
      <c r="O943" s="29">
        <v>4000.5</v>
      </c>
    </row>
    <row r="944" s="1" customFormat="1" ht="16.35" hidden="1" customHeight="1" spans="1:15">
      <c r="A944" s="5"/>
      <c r="B944" s="6" t="s">
        <v>2906</v>
      </c>
      <c r="C944" s="6">
        <v>2019</v>
      </c>
      <c r="D944" s="6">
        <v>1</v>
      </c>
      <c r="E944" s="7">
        <v>4</v>
      </c>
      <c r="F944" s="6" t="s">
        <v>3945</v>
      </c>
      <c r="G944" s="6" t="s">
        <v>2908</v>
      </c>
      <c r="H944" s="6" t="s">
        <v>2909</v>
      </c>
      <c r="I944" s="8"/>
      <c r="J944" s="8">
        <v>187524</v>
      </c>
      <c r="K944" s="6" t="s">
        <v>3632</v>
      </c>
      <c r="L944" s="6" t="s">
        <v>1092</v>
      </c>
      <c r="N944" s="6" t="s">
        <v>1092</v>
      </c>
      <c r="O944" s="29">
        <v>196900.2</v>
      </c>
    </row>
    <row r="945" s="1" customFormat="1" ht="16.35" hidden="1" customHeight="1" spans="1:15">
      <c r="A945" s="5"/>
      <c r="B945" s="6" t="s">
        <v>2906</v>
      </c>
      <c r="C945" s="6">
        <v>2019</v>
      </c>
      <c r="D945" s="6">
        <v>1</v>
      </c>
      <c r="E945" s="7">
        <v>5</v>
      </c>
      <c r="F945" s="6" t="s">
        <v>3946</v>
      </c>
      <c r="G945" s="6" t="s">
        <v>2908</v>
      </c>
      <c r="H945" s="6" t="s">
        <v>2909</v>
      </c>
      <c r="I945" s="8"/>
      <c r="J945" s="8">
        <v>4762</v>
      </c>
      <c r="K945" s="6" t="s">
        <v>3947</v>
      </c>
      <c r="L945" s="6" t="s">
        <v>1156</v>
      </c>
      <c r="N945" s="6" t="s">
        <v>1156</v>
      </c>
      <c r="O945" s="29">
        <v>5000.1</v>
      </c>
    </row>
    <row r="946" s="1" customFormat="1" ht="16.35" hidden="1" customHeight="1" spans="1:15">
      <c r="A946" s="5"/>
      <c r="B946" s="6" t="s">
        <v>2906</v>
      </c>
      <c r="C946" s="6">
        <v>2019</v>
      </c>
      <c r="D946" s="6">
        <v>2</v>
      </c>
      <c r="E946" s="7">
        <v>1</v>
      </c>
      <c r="F946" s="6" t="s">
        <v>3948</v>
      </c>
      <c r="G946" s="6" t="s">
        <v>2908</v>
      </c>
      <c r="H946" s="6" t="s">
        <v>2909</v>
      </c>
      <c r="I946" s="8"/>
      <c r="J946" s="8">
        <v>213095</v>
      </c>
      <c r="K946" s="6" t="s">
        <v>3605</v>
      </c>
      <c r="L946" s="6" t="s">
        <v>1088</v>
      </c>
      <c r="N946" s="6" t="s">
        <v>1088</v>
      </c>
      <c r="O946" s="29">
        <v>223749.75</v>
      </c>
    </row>
    <row r="947" s="1" customFormat="1" ht="16.35" hidden="1" customHeight="1" spans="1:15">
      <c r="A947" s="5"/>
      <c r="B947" s="6" t="s">
        <v>2906</v>
      </c>
      <c r="C947" s="6">
        <v>2019</v>
      </c>
      <c r="D947" s="6">
        <v>2</v>
      </c>
      <c r="E947" s="7">
        <v>2</v>
      </c>
      <c r="F947" s="6" t="s">
        <v>3949</v>
      </c>
      <c r="G947" s="6" t="s">
        <v>2908</v>
      </c>
      <c r="H947" s="6" t="s">
        <v>2909</v>
      </c>
      <c r="I947" s="8"/>
      <c r="J947" s="8">
        <v>97427</v>
      </c>
      <c r="K947" s="6" t="s">
        <v>3550</v>
      </c>
      <c r="L947" s="6" t="s">
        <v>1345</v>
      </c>
      <c r="N947" s="6" t="s">
        <v>1345</v>
      </c>
      <c r="O947" s="29">
        <v>102298.35</v>
      </c>
    </row>
    <row r="948" s="1" customFormat="1" ht="16.35" hidden="1" customHeight="1" spans="1:15">
      <c r="A948" s="5"/>
      <c r="B948" s="6" t="s">
        <v>2906</v>
      </c>
      <c r="C948" s="6">
        <v>2019</v>
      </c>
      <c r="D948" s="6">
        <v>2</v>
      </c>
      <c r="E948" s="7">
        <v>3</v>
      </c>
      <c r="F948" s="6" t="s">
        <v>3950</v>
      </c>
      <c r="G948" s="6" t="s">
        <v>2908</v>
      </c>
      <c r="H948" s="6" t="s">
        <v>2909</v>
      </c>
      <c r="I948" s="8"/>
      <c r="J948" s="8">
        <v>52381</v>
      </c>
      <c r="K948" s="6" t="s">
        <v>3951</v>
      </c>
      <c r="L948" s="6" t="s">
        <v>1180</v>
      </c>
      <c r="N948" s="6" t="s">
        <v>1180</v>
      </c>
      <c r="O948" s="29">
        <v>55000.05</v>
      </c>
    </row>
    <row r="949" s="1" customFormat="1" ht="16.35" hidden="1" customHeight="1" spans="1:15">
      <c r="A949" s="5"/>
      <c r="B949" s="6" t="s">
        <v>2906</v>
      </c>
      <c r="C949" s="6">
        <v>2019</v>
      </c>
      <c r="D949" s="6">
        <v>2</v>
      </c>
      <c r="E949" s="7">
        <v>4</v>
      </c>
      <c r="F949" s="6" t="s">
        <v>3952</v>
      </c>
      <c r="G949" s="6" t="s">
        <v>2908</v>
      </c>
      <c r="H949" s="6" t="s">
        <v>2909</v>
      </c>
      <c r="I949" s="8"/>
      <c r="J949" s="8">
        <v>4762</v>
      </c>
      <c r="K949" s="6" t="s">
        <v>3953</v>
      </c>
      <c r="L949" s="6" t="s">
        <v>1308</v>
      </c>
      <c r="N949" s="6" t="s">
        <v>1308</v>
      </c>
      <c r="O949" s="29">
        <v>5000.1</v>
      </c>
    </row>
    <row r="950" s="1" customFormat="1" ht="16.35" hidden="1" customHeight="1" spans="1:15">
      <c r="A950" s="5"/>
      <c r="B950" s="6" t="s">
        <v>2906</v>
      </c>
      <c r="C950" s="6">
        <v>2019</v>
      </c>
      <c r="D950" s="6">
        <v>2</v>
      </c>
      <c r="E950" s="7">
        <v>5</v>
      </c>
      <c r="F950" s="6" t="s">
        <v>3954</v>
      </c>
      <c r="G950" s="6" t="s">
        <v>2908</v>
      </c>
      <c r="H950" s="6" t="s">
        <v>2909</v>
      </c>
      <c r="I950" s="8"/>
      <c r="J950" s="8">
        <v>114286</v>
      </c>
      <c r="K950" s="6" t="s">
        <v>3080</v>
      </c>
      <c r="L950" s="6" t="s">
        <v>1377</v>
      </c>
      <c r="N950" s="6" t="s">
        <v>1377</v>
      </c>
      <c r="O950" s="29">
        <v>120000.3</v>
      </c>
    </row>
    <row r="951" s="1" customFormat="1" ht="16.35" hidden="1" customHeight="1" spans="1:16">
      <c r="A951" s="5"/>
      <c r="B951" s="6" t="s">
        <v>2906</v>
      </c>
      <c r="C951" s="6">
        <v>2019</v>
      </c>
      <c r="D951" s="6">
        <v>2</v>
      </c>
      <c r="E951" s="7">
        <v>6</v>
      </c>
      <c r="F951" s="6" t="s">
        <v>3955</v>
      </c>
      <c r="G951" s="6" t="s">
        <v>2908</v>
      </c>
      <c r="H951" s="6" t="s">
        <v>2909</v>
      </c>
      <c r="I951" s="8"/>
      <c r="J951" s="8">
        <v>28333</v>
      </c>
      <c r="K951" s="6" t="s">
        <v>3571</v>
      </c>
      <c r="L951" s="6" t="s">
        <v>1083</v>
      </c>
      <c r="N951" s="6" t="s">
        <v>1083</v>
      </c>
      <c r="O951" s="29">
        <v>29749.65</v>
      </c>
      <c r="P951" s="30">
        <f>O951-J951</f>
        <v>1416.65</v>
      </c>
    </row>
    <row r="952" s="1" customFormat="1" ht="16.35" hidden="1" customHeight="1" spans="1:15">
      <c r="A952" s="5"/>
      <c r="B952" s="6" t="s">
        <v>2906</v>
      </c>
      <c r="C952" s="6">
        <v>2019</v>
      </c>
      <c r="D952" s="6">
        <v>2</v>
      </c>
      <c r="E952" s="7">
        <v>7</v>
      </c>
      <c r="F952" s="6" t="s">
        <v>3956</v>
      </c>
      <c r="G952" s="6" t="s">
        <v>2908</v>
      </c>
      <c r="H952" s="6" t="s">
        <v>2909</v>
      </c>
      <c r="I952" s="8"/>
      <c r="J952" s="8">
        <v>4762</v>
      </c>
      <c r="K952" s="6" t="s">
        <v>3951</v>
      </c>
      <c r="L952" s="6" t="s">
        <v>1180</v>
      </c>
      <c r="N952" s="6" t="s">
        <v>1180</v>
      </c>
      <c r="O952" s="29">
        <v>5000.1</v>
      </c>
    </row>
    <row r="953" s="1" customFormat="1" ht="16.35" hidden="1" customHeight="1" spans="1:16">
      <c r="A953" s="5"/>
      <c r="B953" s="6" t="s">
        <v>2906</v>
      </c>
      <c r="C953" s="6">
        <v>2019</v>
      </c>
      <c r="D953" s="6">
        <v>2</v>
      </c>
      <c r="E953" s="7">
        <v>8</v>
      </c>
      <c r="F953" s="6" t="s">
        <v>3928</v>
      </c>
      <c r="G953" s="6" t="s">
        <v>2908</v>
      </c>
      <c r="H953" s="6" t="s">
        <v>2909</v>
      </c>
      <c r="I953" s="8"/>
      <c r="J953" s="8">
        <v>114286</v>
      </c>
      <c r="K953" s="6" t="s">
        <v>3929</v>
      </c>
      <c r="L953" s="6" t="s">
        <v>1483</v>
      </c>
      <c r="N953" s="6" t="s">
        <v>1483</v>
      </c>
      <c r="O953" s="29">
        <v>120000.3</v>
      </c>
      <c r="P953" s="1">
        <f>O953-J953</f>
        <v>5714.3</v>
      </c>
    </row>
    <row r="954" s="1" customFormat="1" ht="16.35" hidden="1" customHeight="1" spans="1:15">
      <c r="A954" s="5"/>
      <c r="B954" s="6" t="s">
        <v>2906</v>
      </c>
      <c r="C954" s="6">
        <v>2019</v>
      </c>
      <c r="D954" s="6">
        <v>2</v>
      </c>
      <c r="E954" s="7">
        <v>9</v>
      </c>
      <c r="F954" s="6" t="s">
        <v>3957</v>
      </c>
      <c r="G954" s="6" t="s">
        <v>2908</v>
      </c>
      <c r="H954" s="6" t="s">
        <v>2909</v>
      </c>
      <c r="I954" s="8"/>
      <c r="J954" s="8">
        <v>85714</v>
      </c>
      <c r="K954" s="6" t="s">
        <v>3933</v>
      </c>
      <c r="L954" s="6" t="s">
        <v>1385</v>
      </c>
      <c r="N954" s="6" t="s">
        <v>1385</v>
      </c>
      <c r="O954" s="29">
        <v>89999.7</v>
      </c>
    </row>
    <row r="955" s="1" customFormat="1" ht="16.35" hidden="1" customHeight="1" spans="1:15">
      <c r="A955" s="5"/>
      <c r="B955" s="6" t="s">
        <v>2906</v>
      </c>
      <c r="C955" s="6">
        <v>2019</v>
      </c>
      <c r="D955" s="6">
        <v>2</v>
      </c>
      <c r="E955" s="7">
        <v>10</v>
      </c>
      <c r="F955" s="6" t="s">
        <v>3954</v>
      </c>
      <c r="G955" s="6" t="s">
        <v>2908</v>
      </c>
      <c r="H955" s="6" t="s">
        <v>2909</v>
      </c>
      <c r="I955" s="8"/>
      <c r="J955" s="8">
        <v>16210</v>
      </c>
      <c r="K955" s="6" t="s">
        <v>3080</v>
      </c>
      <c r="L955" s="6" t="s">
        <v>1377</v>
      </c>
      <c r="N955" s="6" t="s">
        <v>1377</v>
      </c>
      <c r="O955" s="29">
        <v>17020.5</v>
      </c>
    </row>
    <row r="956" s="1" customFormat="1" ht="16.35" hidden="1" customHeight="1" spans="1:16">
      <c r="A956" s="5"/>
      <c r="B956" s="6" t="s">
        <v>2906</v>
      </c>
      <c r="C956" s="6">
        <v>2019</v>
      </c>
      <c r="D956" s="6">
        <v>2</v>
      </c>
      <c r="E956" s="7">
        <v>11</v>
      </c>
      <c r="F956" s="6" t="s">
        <v>3955</v>
      </c>
      <c r="G956" s="6" t="s">
        <v>2908</v>
      </c>
      <c r="H956" s="6" t="s">
        <v>2909</v>
      </c>
      <c r="I956" s="8"/>
      <c r="J956" s="8">
        <v>38095</v>
      </c>
      <c r="K956" s="6" t="s">
        <v>3571</v>
      </c>
      <c r="L956" s="6" t="s">
        <v>1083</v>
      </c>
      <c r="N956" s="6" t="s">
        <v>1083</v>
      </c>
      <c r="O956" s="29">
        <v>39999.75</v>
      </c>
      <c r="P956" s="30">
        <f>O956-J956</f>
        <v>1904.75</v>
      </c>
    </row>
    <row r="957" s="1" customFormat="1" ht="16.35" hidden="1" customHeight="1" spans="1:15">
      <c r="A957" s="5"/>
      <c r="B957" s="6" t="s">
        <v>2906</v>
      </c>
      <c r="C957" s="6">
        <v>2019</v>
      </c>
      <c r="D957" s="6">
        <v>2</v>
      </c>
      <c r="E957" s="7">
        <v>12</v>
      </c>
      <c r="F957" s="6" t="s">
        <v>3958</v>
      </c>
      <c r="G957" s="6" t="s">
        <v>2908</v>
      </c>
      <c r="H957" s="6" t="s">
        <v>2909</v>
      </c>
      <c r="I957" s="8"/>
      <c r="J957" s="8">
        <v>952</v>
      </c>
      <c r="K957" s="6" t="s">
        <v>3959</v>
      </c>
      <c r="L957" s="6" t="s">
        <v>1139</v>
      </c>
      <c r="N957" s="6" t="s">
        <v>1139</v>
      </c>
      <c r="O957" s="29">
        <v>999.6</v>
      </c>
    </row>
    <row r="958" s="1" customFormat="1" ht="16.35" hidden="1" customHeight="1" spans="1:15">
      <c r="A958" s="5"/>
      <c r="B958" s="6" t="s">
        <v>2906</v>
      </c>
      <c r="C958" s="6">
        <v>2019</v>
      </c>
      <c r="D958" s="6">
        <v>2</v>
      </c>
      <c r="E958" s="7">
        <v>13</v>
      </c>
      <c r="F958" s="6" t="s">
        <v>3960</v>
      </c>
      <c r="G958" s="6" t="s">
        <v>2908</v>
      </c>
      <c r="H958" s="6" t="s">
        <v>2909</v>
      </c>
      <c r="I958" s="8"/>
      <c r="J958" s="8">
        <v>104762</v>
      </c>
      <c r="K958" s="6" t="s">
        <v>2964</v>
      </c>
      <c r="L958" s="6" t="s">
        <v>1765</v>
      </c>
      <c r="N958" s="6" t="s">
        <v>1765</v>
      </c>
      <c r="O958" s="29">
        <v>110000.1</v>
      </c>
    </row>
    <row r="959" s="1" customFormat="1" ht="16.35" hidden="1" customHeight="1" spans="1:15">
      <c r="A959" s="5"/>
      <c r="B959" s="6" t="s">
        <v>2906</v>
      </c>
      <c r="C959" s="6">
        <v>2019</v>
      </c>
      <c r="D959" s="6">
        <v>3</v>
      </c>
      <c r="E959" s="7">
        <v>1</v>
      </c>
      <c r="F959" s="6" t="s">
        <v>3961</v>
      </c>
      <c r="G959" s="6" t="s">
        <v>2908</v>
      </c>
      <c r="H959" s="6" t="s">
        <v>2909</v>
      </c>
      <c r="I959" s="8"/>
      <c r="J959" s="8">
        <v>9524</v>
      </c>
      <c r="K959" s="6" t="s">
        <v>3962</v>
      </c>
      <c r="L959" s="6" t="s">
        <v>1158</v>
      </c>
      <c r="N959" s="6" t="s">
        <v>1158</v>
      </c>
      <c r="O959" s="29">
        <v>10000.2</v>
      </c>
    </row>
    <row r="960" s="1" customFormat="1" ht="16.35" hidden="1" customHeight="1" spans="1:15">
      <c r="A960" s="5"/>
      <c r="B960" s="6" t="s">
        <v>2906</v>
      </c>
      <c r="C960" s="6">
        <v>2019</v>
      </c>
      <c r="D960" s="6">
        <v>3</v>
      </c>
      <c r="E960" s="7">
        <v>2</v>
      </c>
      <c r="F960" s="6" t="s">
        <v>3946</v>
      </c>
      <c r="G960" s="6" t="s">
        <v>2908</v>
      </c>
      <c r="H960" s="6" t="s">
        <v>2909</v>
      </c>
      <c r="I960" s="8"/>
      <c r="J960" s="8">
        <v>60714</v>
      </c>
      <c r="K960" s="6" t="s">
        <v>3947</v>
      </c>
      <c r="L960" s="6" t="s">
        <v>1156</v>
      </c>
      <c r="N960" s="6" t="s">
        <v>1156</v>
      </c>
      <c r="O960" s="29">
        <v>63749.7</v>
      </c>
    </row>
    <row r="961" s="1" customFormat="1" ht="16.35" hidden="1" customHeight="1" spans="1:16">
      <c r="A961" s="5"/>
      <c r="B961" s="6" t="s">
        <v>2906</v>
      </c>
      <c r="C961" s="6">
        <v>2019</v>
      </c>
      <c r="D961" s="6">
        <v>3</v>
      </c>
      <c r="E961" s="7">
        <v>3</v>
      </c>
      <c r="F961" s="6" t="s">
        <v>3963</v>
      </c>
      <c r="G961" s="6" t="s">
        <v>2908</v>
      </c>
      <c r="H961" s="6" t="s">
        <v>2909</v>
      </c>
      <c r="I961" s="8"/>
      <c r="J961" s="8">
        <v>2857</v>
      </c>
      <c r="K961" s="6" t="s">
        <v>3327</v>
      </c>
      <c r="L961" s="6" t="s">
        <v>1898</v>
      </c>
      <c r="N961" s="6" t="s">
        <v>1898</v>
      </c>
      <c r="O961" s="29">
        <v>2999.85</v>
      </c>
      <c r="P961" s="1">
        <f>O961-J961</f>
        <v>142.85</v>
      </c>
    </row>
    <row r="962" s="1" customFormat="1" ht="16.35" hidden="1" customHeight="1" spans="1:16">
      <c r="A962" s="5"/>
      <c r="B962" s="6" t="s">
        <v>2906</v>
      </c>
      <c r="C962" s="6">
        <v>2019</v>
      </c>
      <c r="D962" s="6">
        <v>3</v>
      </c>
      <c r="E962" s="7">
        <v>4</v>
      </c>
      <c r="F962" s="6" t="s">
        <v>3963</v>
      </c>
      <c r="G962" s="6" t="s">
        <v>2908</v>
      </c>
      <c r="H962" s="6" t="s">
        <v>2909</v>
      </c>
      <c r="I962" s="8"/>
      <c r="J962" s="8">
        <v>49394</v>
      </c>
      <c r="K962" s="6" t="s">
        <v>3327</v>
      </c>
      <c r="L962" s="6" t="s">
        <v>1898</v>
      </c>
      <c r="N962" s="6" t="s">
        <v>1898</v>
      </c>
      <c r="O962" s="29">
        <v>51863.7</v>
      </c>
      <c r="P962" s="1">
        <f>O962-J962</f>
        <v>2469.7</v>
      </c>
    </row>
    <row r="963" s="1" customFormat="1" ht="16.35" hidden="1" customHeight="1" spans="1:16">
      <c r="A963" s="5"/>
      <c r="B963" s="6" t="s">
        <v>2906</v>
      </c>
      <c r="C963" s="6">
        <v>2019</v>
      </c>
      <c r="D963" s="6">
        <v>3</v>
      </c>
      <c r="E963" s="7">
        <v>5</v>
      </c>
      <c r="F963" s="6" t="s">
        <v>3935</v>
      </c>
      <c r="G963" s="6" t="s">
        <v>2908</v>
      </c>
      <c r="H963" s="6" t="s">
        <v>2909</v>
      </c>
      <c r="I963" s="8"/>
      <c r="J963" s="8">
        <v>9146</v>
      </c>
      <c r="K963" s="6" t="s">
        <v>3936</v>
      </c>
      <c r="L963" s="6" t="s">
        <v>1152</v>
      </c>
      <c r="N963" s="6" t="s">
        <v>1152</v>
      </c>
      <c r="O963" s="29">
        <v>9603.3</v>
      </c>
      <c r="P963" s="1">
        <f>O963-J963</f>
        <v>457.299999999999</v>
      </c>
    </row>
    <row r="964" s="1" customFormat="1" ht="16.35" hidden="1" customHeight="1" spans="1:15">
      <c r="A964" s="5"/>
      <c r="B964" s="6" t="s">
        <v>2906</v>
      </c>
      <c r="C964" s="6">
        <v>2019</v>
      </c>
      <c r="D964" s="6">
        <v>3</v>
      </c>
      <c r="E964" s="7">
        <v>6</v>
      </c>
      <c r="F964" s="6" t="s">
        <v>3952</v>
      </c>
      <c r="G964" s="6" t="s">
        <v>2908</v>
      </c>
      <c r="H964" s="6" t="s">
        <v>2909</v>
      </c>
      <c r="I964" s="8"/>
      <c r="J964" s="8">
        <v>14286</v>
      </c>
      <c r="K964" s="6" t="s">
        <v>3953</v>
      </c>
      <c r="L964" s="6" t="s">
        <v>1308</v>
      </c>
      <c r="N964" s="6" t="s">
        <v>1308</v>
      </c>
      <c r="O964" s="29">
        <v>15000.3</v>
      </c>
    </row>
    <row r="965" s="1" customFormat="1" ht="16.35" hidden="1" customHeight="1" spans="1:16">
      <c r="A965" s="5"/>
      <c r="B965" s="6" t="s">
        <v>2906</v>
      </c>
      <c r="C965" s="6">
        <v>2019</v>
      </c>
      <c r="D965" s="6">
        <v>3</v>
      </c>
      <c r="E965" s="7">
        <v>7</v>
      </c>
      <c r="F965" s="6" t="s">
        <v>3937</v>
      </c>
      <c r="G965" s="6" t="s">
        <v>2908</v>
      </c>
      <c r="H965" s="6" t="s">
        <v>2909</v>
      </c>
      <c r="I965" s="8"/>
      <c r="J965" s="8">
        <v>592</v>
      </c>
      <c r="K965" s="6" t="s">
        <v>3938</v>
      </c>
      <c r="L965" s="6" t="s">
        <v>1129</v>
      </c>
      <c r="N965" s="6" t="s">
        <v>1129</v>
      </c>
      <c r="O965" s="29">
        <v>621.6</v>
      </c>
      <c r="P965" s="1">
        <f>O965-J965</f>
        <v>29.6</v>
      </c>
    </row>
    <row r="966" s="1" customFormat="1" ht="16.35" hidden="1" customHeight="1" spans="1:15">
      <c r="A966" s="5"/>
      <c r="B966" s="6" t="s">
        <v>2906</v>
      </c>
      <c r="C966" s="6">
        <v>2019</v>
      </c>
      <c r="D966" s="6">
        <v>3</v>
      </c>
      <c r="E966" s="7">
        <v>8</v>
      </c>
      <c r="F966" s="6" t="s">
        <v>3961</v>
      </c>
      <c r="G966" s="6" t="s">
        <v>2908</v>
      </c>
      <c r="H966" s="6" t="s">
        <v>2909</v>
      </c>
      <c r="I966" s="8"/>
      <c r="J966" s="8">
        <v>85024</v>
      </c>
      <c r="K966" s="6" t="s">
        <v>3962</v>
      </c>
      <c r="L966" s="6" t="s">
        <v>1158</v>
      </c>
      <c r="N966" s="6" t="s">
        <v>1158</v>
      </c>
      <c r="O966" s="29">
        <v>89275.2</v>
      </c>
    </row>
    <row r="967" s="1" customFormat="1" ht="16.35" hidden="1" customHeight="1" spans="1:15">
      <c r="A967" s="5"/>
      <c r="B967" s="6" t="s">
        <v>2906</v>
      </c>
      <c r="C967" s="6">
        <v>2019</v>
      </c>
      <c r="D967" s="6">
        <v>3</v>
      </c>
      <c r="E967" s="7">
        <v>9</v>
      </c>
      <c r="F967" s="6" t="s">
        <v>3956</v>
      </c>
      <c r="G967" s="6" t="s">
        <v>2908</v>
      </c>
      <c r="H967" s="6" t="s">
        <v>2909</v>
      </c>
      <c r="I967" s="8"/>
      <c r="J967" s="8">
        <v>5935</v>
      </c>
      <c r="K967" s="6" t="s">
        <v>3951</v>
      </c>
      <c r="L967" s="6" t="s">
        <v>1180</v>
      </c>
      <c r="N967" s="6" t="s">
        <v>1180</v>
      </c>
      <c r="O967" s="29">
        <v>6231.75</v>
      </c>
    </row>
    <row r="968" s="1" customFormat="1" ht="16.35" hidden="1" customHeight="1" spans="1:15">
      <c r="A968" s="5"/>
      <c r="B968" s="6" t="s">
        <v>2906</v>
      </c>
      <c r="C968" s="6">
        <v>2019</v>
      </c>
      <c r="D968" s="6">
        <v>3</v>
      </c>
      <c r="E968" s="7">
        <v>10</v>
      </c>
      <c r="F968" s="6" t="s">
        <v>3952</v>
      </c>
      <c r="G968" s="6" t="s">
        <v>2908</v>
      </c>
      <c r="H968" s="6" t="s">
        <v>2909</v>
      </c>
      <c r="I968" s="8"/>
      <c r="J968" s="8">
        <v>786</v>
      </c>
      <c r="K968" s="6" t="s">
        <v>3953</v>
      </c>
      <c r="L968" s="6" t="s">
        <v>1308</v>
      </c>
      <c r="N968" s="6" t="s">
        <v>1308</v>
      </c>
      <c r="O968" s="29">
        <v>825.3</v>
      </c>
    </row>
    <row r="969" s="1" customFormat="1" ht="16.35" hidden="1" customHeight="1" spans="1:15">
      <c r="A969" s="5"/>
      <c r="B969" s="6" t="s">
        <v>2906</v>
      </c>
      <c r="C969" s="6">
        <v>2019</v>
      </c>
      <c r="D969" s="6">
        <v>3</v>
      </c>
      <c r="E969" s="7">
        <v>11</v>
      </c>
      <c r="F969" s="6" t="s">
        <v>3952</v>
      </c>
      <c r="G969" s="6" t="s">
        <v>2908</v>
      </c>
      <c r="H969" s="6" t="s">
        <v>2909</v>
      </c>
      <c r="I969" s="8"/>
      <c r="J969" s="8">
        <v>67690</v>
      </c>
      <c r="K969" s="6" t="s">
        <v>3953</v>
      </c>
      <c r="L969" s="6" t="s">
        <v>1308</v>
      </c>
      <c r="N969" s="6" t="s">
        <v>1308</v>
      </c>
      <c r="O969" s="29">
        <v>71074.5</v>
      </c>
    </row>
    <row r="970" s="1" customFormat="1" ht="16.35" hidden="1" customHeight="1" spans="1:15">
      <c r="A970" s="5"/>
      <c r="B970" s="6" t="s">
        <v>2906</v>
      </c>
      <c r="C970" s="6">
        <v>2019</v>
      </c>
      <c r="D970" s="6">
        <v>3</v>
      </c>
      <c r="E970" s="7">
        <v>12</v>
      </c>
      <c r="F970" s="6" t="s">
        <v>3964</v>
      </c>
      <c r="G970" s="6" t="s">
        <v>2908</v>
      </c>
      <c r="H970" s="6" t="s">
        <v>2909</v>
      </c>
      <c r="I970" s="8"/>
      <c r="J970" s="8">
        <v>44762</v>
      </c>
      <c r="K970" s="6" t="s">
        <v>2978</v>
      </c>
      <c r="L970" s="6" t="s">
        <v>1768</v>
      </c>
      <c r="N970" s="6" t="s">
        <v>1768</v>
      </c>
      <c r="O970" s="29">
        <v>47000.1</v>
      </c>
    </row>
    <row r="971" s="1" customFormat="1" ht="16.35" hidden="1" customHeight="1" spans="1:15">
      <c r="A971" s="5"/>
      <c r="B971" s="6" t="s">
        <v>2906</v>
      </c>
      <c r="C971" s="6">
        <v>2019</v>
      </c>
      <c r="D971" s="6">
        <v>3</v>
      </c>
      <c r="E971" s="7">
        <v>13</v>
      </c>
      <c r="F971" s="6" t="s">
        <v>3965</v>
      </c>
      <c r="G971" s="6" t="s">
        <v>2908</v>
      </c>
      <c r="H971" s="6" t="s">
        <v>2909</v>
      </c>
      <c r="I971" s="8"/>
      <c r="J971" s="8">
        <v>-50571</v>
      </c>
      <c r="K971" s="6" t="s">
        <v>3332</v>
      </c>
      <c r="L971" s="6" t="s">
        <v>1631</v>
      </c>
      <c r="N971" s="6" t="s">
        <v>1631</v>
      </c>
      <c r="O971" s="29">
        <v>-53099.55</v>
      </c>
    </row>
    <row r="972" s="1" customFormat="1" ht="16.35" hidden="1" customHeight="1" spans="1:15">
      <c r="A972" s="5"/>
      <c r="B972" s="6" t="s">
        <v>2906</v>
      </c>
      <c r="C972" s="6">
        <v>2019</v>
      </c>
      <c r="D972" s="6">
        <v>3</v>
      </c>
      <c r="E972" s="7">
        <v>14</v>
      </c>
      <c r="F972" s="6" t="s">
        <v>3923</v>
      </c>
      <c r="G972" s="6" t="s">
        <v>2908</v>
      </c>
      <c r="H972" s="6" t="s">
        <v>2909</v>
      </c>
      <c r="I972" s="8"/>
      <c r="J972" s="8">
        <v>127619</v>
      </c>
      <c r="K972" s="6" t="s">
        <v>3615</v>
      </c>
      <c r="L972" s="6" t="s">
        <v>1184</v>
      </c>
      <c r="N972" s="6" t="s">
        <v>1184</v>
      </c>
      <c r="O972" s="29">
        <v>133999.95</v>
      </c>
    </row>
    <row r="973" s="1" customFormat="1" ht="16.35" hidden="1" customHeight="1" spans="1:15">
      <c r="A973" s="5"/>
      <c r="B973" s="6" t="s">
        <v>2906</v>
      </c>
      <c r="C973" s="6">
        <v>2019</v>
      </c>
      <c r="D973" s="6">
        <v>3</v>
      </c>
      <c r="E973" s="7">
        <v>15</v>
      </c>
      <c r="F973" s="6" t="s">
        <v>3939</v>
      </c>
      <c r="G973" s="6" t="s">
        <v>2908</v>
      </c>
      <c r="H973" s="6" t="s">
        <v>2909</v>
      </c>
      <c r="I973" s="8"/>
      <c r="J973" s="8">
        <v>9524</v>
      </c>
      <c r="K973" s="6" t="s">
        <v>3875</v>
      </c>
      <c r="L973" s="6" t="s">
        <v>1114</v>
      </c>
      <c r="N973" s="6" t="s">
        <v>1114</v>
      </c>
      <c r="O973" s="29">
        <v>10000.2</v>
      </c>
    </row>
    <row r="974" s="1" customFormat="1" ht="16.35" hidden="1" customHeight="1" spans="1:15">
      <c r="A974" s="5"/>
      <c r="B974" s="6" t="s">
        <v>2906</v>
      </c>
      <c r="C974" s="6">
        <v>2019</v>
      </c>
      <c r="D974" s="6">
        <v>3</v>
      </c>
      <c r="E974" s="7">
        <v>26</v>
      </c>
      <c r="F974" s="6" t="s">
        <v>3966</v>
      </c>
      <c r="G974" s="6" t="s">
        <v>2908</v>
      </c>
      <c r="H974" s="6" t="s">
        <v>2909</v>
      </c>
      <c r="I974" s="8"/>
      <c r="J974" s="8">
        <v>161905</v>
      </c>
      <c r="K974" s="6" t="s">
        <v>3922</v>
      </c>
      <c r="L974" s="6" t="s">
        <v>1290</v>
      </c>
      <c r="N974" s="6" t="s">
        <v>1290</v>
      </c>
      <c r="O974" s="29">
        <v>170000.25</v>
      </c>
    </row>
    <row r="975" s="1" customFormat="1" ht="16.35" hidden="1" customHeight="1" spans="1:16">
      <c r="A975" s="5"/>
      <c r="B975" s="6" t="s">
        <v>2906</v>
      </c>
      <c r="C975" s="6">
        <v>2019</v>
      </c>
      <c r="D975" s="6">
        <v>4</v>
      </c>
      <c r="E975" s="7">
        <v>1</v>
      </c>
      <c r="F975" s="6" t="s">
        <v>3967</v>
      </c>
      <c r="G975" s="6" t="s">
        <v>2908</v>
      </c>
      <c r="H975" s="6" t="s">
        <v>2909</v>
      </c>
      <c r="I975" s="8"/>
      <c r="J975" s="8">
        <v>28571</v>
      </c>
      <c r="K975" s="6" t="s">
        <v>3458</v>
      </c>
      <c r="L975" s="6" t="s">
        <v>1609</v>
      </c>
      <c r="N975" s="6" t="s">
        <v>1609</v>
      </c>
      <c r="O975" s="29">
        <v>29999.55</v>
      </c>
      <c r="P975" s="1">
        <f>O975-J975</f>
        <v>1428.55</v>
      </c>
    </row>
    <row r="976" s="1" customFormat="1" ht="16.35" hidden="1" customHeight="1" spans="1:15">
      <c r="A976" s="5"/>
      <c r="B976" s="6" t="s">
        <v>2906</v>
      </c>
      <c r="C976" s="6">
        <v>2019</v>
      </c>
      <c r="D976" s="6">
        <v>4</v>
      </c>
      <c r="E976" s="7">
        <v>2</v>
      </c>
      <c r="F976" s="6" t="s">
        <v>3939</v>
      </c>
      <c r="G976" s="6" t="s">
        <v>2908</v>
      </c>
      <c r="H976" s="6" t="s">
        <v>2909</v>
      </c>
      <c r="I976" s="8"/>
      <c r="J976" s="8">
        <v>9524</v>
      </c>
      <c r="K976" s="6" t="s">
        <v>3875</v>
      </c>
      <c r="L976" s="6" t="s">
        <v>1114</v>
      </c>
      <c r="N976" s="6" t="s">
        <v>1114</v>
      </c>
      <c r="O976" s="29">
        <v>10000.2</v>
      </c>
    </row>
    <row r="977" s="1" customFormat="1" ht="16.35" hidden="1" customHeight="1" spans="1:15">
      <c r="A977" s="5"/>
      <c r="B977" s="6" t="s">
        <v>2906</v>
      </c>
      <c r="C977" s="6">
        <v>2019</v>
      </c>
      <c r="D977" s="6">
        <v>4</v>
      </c>
      <c r="E977" s="7">
        <v>3</v>
      </c>
      <c r="F977" s="6" t="s">
        <v>3939</v>
      </c>
      <c r="G977" s="6" t="s">
        <v>2908</v>
      </c>
      <c r="H977" s="6" t="s">
        <v>2909</v>
      </c>
      <c r="I977" s="8"/>
      <c r="J977" s="8">
        <v>4762</v>
      </c>
      <c r="K977" s="6" t="s">
        <v>3875</v>
      </c>
      <c r="L977" s="6" t="s">
        <v>1114</v>
      </c>
      <c r="N977" s="6" t="s">
        <v>1114</v>
      </c>
      <c r="O977" s="29">
        <v>5000.1</v>
      </c>
    </row>
    <row r="978" s="1" customFormat="1" ht="16.35" hidden="1" customHeight="1" spans="1:15">
      <c r="A978" s="5"/>
      <c r="B978" s="6" t="s">
        <v>2906</v>
      </c>
      <c r="C978" s="6">
        <v>2019</v>
      </c>
      <c r="D978" s="6">
        <v>4</v>
      </c>
      <c r="E978" s="7">
        <v>4</v>
      </c>
      <c r="F978" s="6" t="s">
        <v>3500</v>
      </c>
      <c r="G978" s="6" t="s">
        <v>2908</v>
      </c>
      <c r="H978" s="6" t="s">
        <v>2909</v>
      </c>
      <c r="I978" s="8"/>
      <c r="J978" s="8">
        <v>9048</v>
      </c>
      <c r="K978" s="6" t="s">
        <v>3501</v>
      </c>
      <c r="L978" s="6" t="s">
        <v>1425</v>
      </c>
      <c r="N978" s="6" t="s">
        <v>1425</v>
      </c>
      <c r="O978" s="29">
        <v>9500.4</v>
      </c>
    </row>
    <row r="979" s="1" customFormat="1" ht="16.35" hidden="1" customHeight="1" spans="1:15">
      <c r="A979" s="5"/>
      <c r="B979" s="6" t="s">
        <v>2906</v>
      </c>
      <c r="C979" s="6">
        <v>2019</v>
      </c>
      <c r="D979" s="6">
        <v>4</v>
      </c>
      <c r="E979" s="7">
        <v>5</v>
      </c>
      <c r="F979" s="6" t="s">
        <v>3919</v>
      </c>
      <c r="G979" s="6" t="s">
        <v>2908</v>
      </c>
      <c r="H979" s="6" t="s">
        <v>2909</v>
      </c>
      <c r="I979" s="8"/>
      <c r="J979" s="8">
        <v>56096</v>
      </c>
      <c r="K979" s="6" t="s">
        <v>3920</v>
      </c>
      <c r="L979" s="6" t="s">
        <v>1125</v>
      </c>
      <c r="N979" s="6" t="s">
        <v>1125</v>
      </c>
      <c r="O979" s="29">
        <v>58900.8</v>
      </c>
    </row>
    <row r="980" s="1" customFormat="1" ht="16.35" hidden="1" customHeight="1" spans="1:15">
      <c r="A980" s="5"/>
      <c r="B980" s="6" t="s">
        <v>2906</v>
      </c>
      <c r="C980" s="6">
        <v>2019</v>
      </c>
      <c r="D980" s="6">
        <v>4</v>
      </c>
      <c r="E980" s="7">
        <v>6</v>
      </c>
      <c r="F980" s="6" t="s">
        <v>3908</v>
      </c>
      <c r="G980" s="6" t="s">
        <v>2908</v>
      </c>
      <c r="H980" s="6" t="s">
        <v>2909</v>
      </c>
      <c r="I980" s="8"/>
      <c r="J980" s="8">
        <v>4762</v>
      </c>
      <c r="K980" s="6" t="s">
        <v>3909</v>
      </c>
      <c r="L980" s="6" t="s">
        <v>1464</v>
      </c>
      <c r="N980" s="6" t="s">
        <v>1464</v>
      </c>
      <c r="O980" s="29">
        <v>5000.1</v>
      </c>
    </row>
    <row r="981" s="1" customFormat="1" ht="16.35" hidden="1" customHeight="1" spans="1:15">
      <c r="A981" s="5"/>
      <c r="B981" s="6" t="s">
        <v>2906</v>
      </c>
      <c r="C981" s="6">
        <v>2019</v>
      </c>
      <c r="D981" s="6">
        <v>4</v>
      </c>
      <c r="E981" s="7">
        <v>7</v>
      </c>
      <c r="F981" s="6" t="s">
        <v>3968</v>
      </c>
      <c r="G981" s="6" t="s">
        <v>2908</v>
      </c>
      <c r="H981" s="6" t="s">
        <v>2909</v>
      </c>
      <c r="I981" s="8"/>
      <c r="J981" s="8">
        <v>1905</v>
      </c>
      <c r="K981" s="6" t="s">
        <v>3969</v>
      </c>
      <c r="L981" s="6" t="s">
        <v>1521</v>
      </c>
      <c r="N981" s="6" t="s">
        <v>1521</v>
      </c>
      <c r="O981" s="29">
        <v>2000.25</v>
      </c>
    </row>
    <row r="982" s="1" customFormat="1" ht="16.35" hidden="1" customHeight="1" spans="1:16">
      <c r="A982" s="5"/>
      <c r="B982" s="6" t="s">
        <v>2906</v>
      </c>
      <c r="C982" s="6">
        <v>2019</v>
      </c>
      <c r="D982" s="6">
        <v>4</v>
      </c>
      <c r="E982" s="7">
        <v>8</v>
      </c>
      <c r="F982" s="6" t="s">
        <v>3970</v>
      </c>
      <c r="G982" s="6" t="s">
        <v>2908</v>
      </c>
      <c r="H982" s="6" t="s">
        <v>2909</v>
      </c>
      <c r="I982" s="8"/>
      <c r="J982" s="8">
        <v>17143</v>
      </c>
      <c r="K982" s="6" t="s">
        <v>3938</v>
      </c>
      <c r="L982" s="6" t="s">
        <v>1129</v>
      </c>
      <c r="N982" s="6" t="s">
        <v>1129</v>
      </c>
      <c r="O982" s="29">
        <v>18000.15</v>
      </c>
      <c r="P982" s="1">
        <f t="shared" ref="P982:P987" si="0">O982-J982</f>
        <v>857.150000000001</v>
      </c>
    </row>
    <row r="983" s="1" customFormat="1" ht="16.35" hidden="1" customHeight="1" spans="1:16">
      <c r="A983" s="5"/>
      <c r="B983" s="6" t="s">
        <v>2906</v>
      </c>
      <c r="C983" s="6">
        <v>2019</v>
      </c>
      <c r="D983" s="6">
        <v>4</v>
      </c>
      <c r="E983" s="7">
        <v>9</v>
      </c>
      <c r="F983" s="6" t="s">
        <v>3971</v>
      </c>
      <c r="G983" s="6" t="s">
        <v>2908</v>
      </c>
      <c r="H983" s="6" t="s">
        <v>2909</v>
      </c>
      <c r="I983" s="8"/>
      <c r="J983" s="8">
        <v>54004</v>
      </c>
      <c r="K983" s="6" t="s">
        <v>3972</v>
      </c>
      <c r="L983" s="6" t="s">
        <v>1247</v>
      </c>
      <c r="N983" s="6" t="s">
        <v>1247</v>
      </c>
      <c r="O983" s="29">
        <v>56704.2</v>
      </c>
      <c r="P983" s="1">
        <f t="shared" si="0"/>
        <v>2700.2</v>
      </c>
    </row>
    <row r="984" s="1" customFormat="1" ht="16.35" hidden="1" customHeight="1" spans="1:16">
      <c r="A984" s="5"/>
      <c r="B984" s="6" t="s">
        <v>2906</v>
      </c>
      <c r="C984" s="6">
        <v>2019</v>
      </c>
      <c r="D984" s="6">
        <v>4</v>
      </c>
      <c r="E984" s="7">
        <v>10</v>
      </c>
      <c r="F984" s="6" t="s">
        <v>3973</v>
      </c>
      <c r="G984" s="6" t="s">
        <v>2908</v>
      </c>
      <c r="H984" s="6" t="s">
        <v>2909</v>
      </c>
      <c r="I984" s="8"/>
      <c r="J984" s="8">
        <v>9524</v>
      </c>
      <c r="K984" s="6" t="s">
        <v>3972</v>
      </c>
      <c r="L984" s="6" t="s">
        <v>1247</v>
      </c>
      <c r="N984" s="6" t="s">
        <v>1247</v>
      </c>
      <c r="O984" s="29">
        <v>10000.2</v>
      </c>
      <c r="P984" s="1">
        <f t="shared" si="0"/>
        <v>476.200000000001</v>
      </c>
    </row>
    <row r="985" s="1" customFormat="1" ht="16.35" hidden="1" customHeight="1" spans="1:16">
      <c r="A985" s="5"/>
      <c r="B985" s="6" t="s">
        <v>2906</v>
      </c>
      <c r="C985" s="6">
        <v>2019</v>
      </c>
      <c r="D985" s="6">
        <v>4</v>
      </c>
      <c r="E985" s="7">
        <v>11</v>
      </c>
      <c r="F985" s="6" t="s">
        <v>3974</v>
      </c>
      <c r="G985" s="6" t="s">
        <v>2908</v>
      </c>
      <c r="H985" s="6" t="s">
        <v>2909</v>
      </c>
      <c r="I985" s="8"/>
      <c r="J985" s="8">
        <v>100474</v>
      </c>
      <c r="K985" s="6" t="s">
        <v>3975</v>
      </c>
      <c r="L985" s="6" t="s">
        <v>1250</v>
      </c>
      <c r="N985" s="6" t="s">
        <v>1250</v>
      </c>
      <c r="O985" s="29">
        <v>105497.7</v>
      </c>
      <c r="P985" s="1">
        <f t="shared" si="0"/>
        <v>5023.7</v>
      </c>
    </row>
    <row r="986" s="1" customFormat="1" ht="16.35" hidden="1" customHeight="1" spans="1:16">
      <c r="A986" s="5"/>
      <c r="B986" s="6" t="s">
        <v>2906</v>
      </c>
      <c r="C986" s="6">
        <v>2019</v>
      </c>
      <c r="D986" s="6">
        <v>4</v>
      </c>
      <c r="E986" s="7">
        <v>11</v>
      </c>
      <c r="F986" s="6" t="s">
        <v>3974</v>
      </c>
      <c r="G986" s="6" t="s">
        <v>2908</v>
      </c>
      <c r="H986" s="6" t="s">
        <v>2909</v>
      </c>
      <c r="I986" s="8"/>
      <c r="J986" s="8">
        <v>98209</v>
      </c>
      <c r="K986" s="6" t="s">
        <v>3976</v>
      </c>
      <c r="L986" s="6" t="s">
        <v>1251</v>
      </c>
      <c r="N986" s="6" t="s">
        <v>1251</v>
      </c>
      <c r="O986" s="29">
        <v>103119.45</v>
      </c>
      <c r="P986" s="1">
        <f t="shared" si="0"/>
        <v>4910.45</v>
      </c>
    </row>
    <row r="987" s="1" customFormat="1" ht="16.35" hidden="1" customHeight="1" spans="1:16">
      <c r="A987" s="5"/>
      <c r="B987" s="6" t="s">
        <v>2906</v>
      </c>
      <c r="C987" s="6">
        <v>2019</v>
      </c>
      <c r="D987" s="6">
        <v>4</v>
      </c>
      <c r="E987" s="7">
        <v>11</v>
      </c>
      <c r="F987" s="6" t="s">
        <v>3974</v>
      </c>
      <c r="G987" s="6" t="s">
        <v>2908</v>
      </c>
      <c r="H987" s="6" t="s">
        <v>2909</v>
      </c>
      <c r="I987" s="8"/>
      <c r="J987" s="8">
        <v>27998</v>
      </c>
      <c r="K987" s="6" t="s">
        <v>3977</v>
      </c>
      <c r="L987" s="6" t="s">
        <v>1248</v>
      </c>
      <c r="N987" s="6" t="s">
        <v>1248</v>
      </c>
      <c r="O987" s="29">
        <v>29397.9</v>
      </c>
      <c r="P987" s="1">
        <f t="shared" si="0"/>
        <v>1399.9</v>
      </c>
    </row>
    <row r="988" s="1" customFormat="1" ht="16.35" hidden="1" customHeight="1" spans="1:15">
      <c r="A988" s="5"/>
      <c r="B988" s="6" t="s">
        <v>2906</v>
      </c>
      <c r="C988" s="6">
        <v>2019</v>
      </c>
      <c r="D988" s="6">
        <v>4</v>
      </c>
      <c r="E988" s="7">
        <v>12</v>
      </c>
      <c r="F988" s="6" t="s">
        <v>3978</v>
      </c>
      <c r="G988" s="6" t="s">
        <v>2908</v>
      </c>
      <c r="H988" s="6" t="s">
        <v>2909</v>
      </c>
      <c r="I988" s="8"/>
      <c r="J988" s="8">
        <v>-8571</v>
      </c>
      <c r="K988" s="6" t="s">
        <v>3866</v>
      </c>
      <c r="L988" s="6" t="s">
        <v>1104</v>
      </c>
      <c r="N988" s="6" t="s">
        <v>1104</v>
      </c>
      <c r="O988" s="29">
        <v>-8999.55</v>
      </c>
    </row>
    <row r="989" s="1" customFormat="1" ht="16.35" hidden="1" customHeight="1" spans="1:16">
      <c r="A989" s="5"/>
      <c r="B989" s="6" t="s">
        <v>2906</v>
      </c>
      <c r="C989" s="6">
        <v>2019</v>
      </c>
      <c r="D989" s="6">
        <v>4</v>
      </c>
      <c r="E989" s="7">
        <v>13</v>
      </c>
      <c r="F989" s="6" t="s">
        <v>3935</v>
      </c>
      <c r="G989" s="6" t="s">
        <v>2908</v>
      </c>
      <c r="H989" s="6" t="s">
        <v>2909</v>
      </c>
      <c r="I989" s="8"/>
      <c r="J989" s="8">
        <v>17143</v>
      </c>
      <c r="K989" s="6" t="s">
        <v>3936</v>
      </c>
      <c r="L989" s="6" t="s">
        <v>1152</v>
      </c>
      <c r="N989" s="6" t="s">
        <v>1152</v>
      </c>
      <c r="O989" s="29">
        <v>18000.15</v>
      </c>
      <c r="P989" s="1">
        <f>O989-J989</f>
        <v>857.150000000001</v>
      </c>
    </row>
    <row r="990" s="1" customFormat="1" ht="16.35" hidden="1" customHeight="1" spans="1:16">
      <c r="A990" s="5"/>
      <c r="B990" s="6" t="s">
        <v>2906</v>
      </c>
      <c r="C990" s="6">
        <v>2019</v>
      </c>
      <c r="D990" s="6">
        <v>4</v>
      </c>
      <c r="E990" s="7">
        <v>15</v>
      </c>
      <c r="F990" s="6" t="s">
        <v>3971</v>
      </c>
      <c r="G990" s="6" t="s">
        <v>2908</v>
      </c>
      <c r="H990" s="6" t="s">
        <v>2909</v>
      </c>
      <c r="I990" s="8"/>
      <c r="J990" s="8">
        <v>47619</v>
      </c>
      <c r="K990" s="6" t="s">
        <v>3972</v>
      </c>
      <c r="L990" s="6" t="s">
        <v>1247</v>
      </c>
      <c r="N990" s="6" t="s">
        <v>1247</v>
      </c>
      <c r="O990" s="29">
        <v>49999.95</v>
      </c>
      <c r="P990" s="1">
        <f>O990-J990</f>
        <v>2380.95</v>
      </c>
    </row>
    <row r="991" s="1" customFormat="1" ht="16.35" hidden="1" customHeight="1" spans="1:15">
      <c r="A991" s="5"/>
      <c r="B991" s="6" t="s">
        <v>2906</v>
      </c>
      <c r="C991" s="6">
        <v>2019</v>
      </c>
      <c r="D991" s="6">
        <v>4</v>
      </c>
      <c r="E991" s="7">
        <v>16</v>
      </c>
      <c r="F991" s="6" t="s">
        <v>3979</v>
      </c>
      <c r="G991" s="6" t="s">
        <v>2908</v>
      </c>
      <c r="H991" s="6" t="s">
        <v>2909</v>
      </c>
      <c r="I991" s="8"/>
      <c r="J991" s="8">
        <v>171429</v>
      </c>
      <c r="K991" s="6" t="s">
        <v>3773</v>
      </c>
      <c r="L991" s="6" t="s">
        <v>1086</v>
      </c>
      <c r="N991" s="6" t="s">
        <v>1086</v>
      </c>
      <c r="O991" s="29">
        <v>180000.45</v>
      </c>
    </row>
    <row r="992" s="1" customFormat="1" ht="16.35" hidden="1" customHeight="1" spans="1:16">
      <c r="A992" s="5"/>
      <c r="B992" s="6" t="s">
        <v>2906</v>
      </c>
      <c r="C992" s="6">
        <v>2019</v>
      </c>
      <c r="D992" s="6">
        <v>4</v>
      </c>
      <c r="E992" s="7">
        <v>17</v>
      </c>
      <c r="F992" s="6" t="s">
        <v>3980</v>
      </c>
      <c r="G992" s="6" t="s">
        <v>2908</v>
      </c>
      <c r="H992" s="6" t="s">
        <v>2909</v>
      </c>
      <c r="I992" s="8"/>
      <c r="J992" s="8">
        <v>9524</v>
      </c>
      <c r="K992" s="6" t="s">
        <v>3981</v>
      </c>
      <c r="L992" s="6" t="s">
        <v>1240</v>
      </c>
      <c r="N992" s="6" t="s">
        <v>1240</v>
      </c>
      <c r="O992" s="29">
        <v>10000</v>
      </c>
      <c r="P992" s="1">
        <f>O992-J992</f>
        <v>476</v>
      </c>
    </row>
    <row r="993" s="1" customFormat="1" ht="16.35" hidden="1" customHeight="1" spans="1:16">
      <c r="A993" s="5"/>
      <c r="B993" s="6" t="s">
        <v>2906</v>
      </c>
      <c r="C993" s="6">
        <v>2019</v>
      </c>
      <c r="D993" s="6">
        <v>4</v>
      </c>
      <c r="E993" s="7">
        <v>18</v>
      </c>
      <c r="F993" s="6" t="s">
        <v>3982</v>
      </c>
      <c r="G993" s="6" t="s">
        <v>2908</v>
      </c>
      <c r="H993" s="6" t="s">
        <v>2909</v>
      </c>
      <c r="I993" s="8"/>
      <c r="J993" s="8">
        <v>28571</v>
      </c>
      <c r="K993" s="6" t="s">
        <v>3983</v>
      </c>
      <c r="L993" s="6" t="s">
        <v>1243</v>
      </c>
      <c r="N993" s="6" t="s">
        <v>1243</v>
      </c>
      <c r="O993" s="29">
        <v>30000</v>
      </c>
      <c r="P993" s="1">
        <f>O993-J993</f>
        <v>1429</v>
      </c>
    </row>
    <row r="994" s="1" customFormat="1" ht="16.35" hidden="1" customHeight="1" spans="1:16">
      <c r="A994" s="5"/>
      <c r="B994" s="6" t="s">
        <v>2906</v>
      </c>
      <c r="C994" s="6">
        <v>2019</v>
      </c>
      <c r="D994" s="6">
        <v>4</v>
      </c>
      <c r="E994" s="7">
        <v>19</v>
      </c>
      <c r="F994" s="6" t="s">
        <v>3984</v>
      </c>
      <c r="G994" s="6" t="s">
        <v>2908</v>
      </c>
      <c r="H994" s="6" t="s">
        <v>2909</v>
      </c>
      <c r="I994" s="8"/>
      <c r="J994" s="8">
        <v>4762</v>
      </c>
      <c r="K994" s="6" t="s">
        <v>3985</v>
      </c>
      <c r="L994" s="6" t="s">
        <v>1257</v>
      </c>
      <c r="N994" s="6" t="s">
        <v>1257</v>
      </c>
      <c r="O994" s="29">
        <v>5000.1</v>
      </c>
      <c r="P994" s="1">
        <f>O994-J994</f>
        <v>238.1</v>
      </c>
    </row>
    <row r="995" s="1" customFormat="1" ht="16.35" hidden="1" customHeight="1" spans="1:16">
      <c r="A995" s="5"/>
      <c r="B995" s="6" t="s">
        <v>2906</v>
      </c>
      <c r="C995" s="6">
        <v>2019</v>
      </c>
      <c r="D995" s="6">
        <v>4</v>
      </c>
      <c r="E995" s="7">
        <v>20</v>
      </c>
      <c r="F995" s="6" t="s">
        <v>3971</v>
      </c>
      <c r="G995" s="6" t="s">
        <v>2908</v>
      </c>
      <c r="H995" s="6" t="s">
        <v>2909</v>
      </c>
      <c r="I995" s="8"/>
      <c r="J995" s="8">
        <v>31429</v>
      </c>
      <c r="K995" s="6" t="s">
        <v>3972</v>
      </c>
      <c r="L995" s="6" t="s">
        <v>1247</v>
      </c>
      <c r="N995" s="6" t="s">
        <v>1247</v>
      </c>
      <c r="O995" s="29">
        <v>33000.45</v>
      </c>
      <c r="P995" s="1">
        <f>O995-J995</f>
        <v>1571.45</v>
      </c>
    </row>
    <row r="996" s="1" customFormat="1" ht="16.35" hidden="1" customHeight="1" spans="1:16">
      <c r="A996" s="5"/>
      <c r="B996" s="6" t="s">
        <v>2906</v>
      </c>
      <c r="C996" s="6">
        <v>2019</v>
      </c>
      <c r="D996" s="6">
        <v>4</v>
      </c>
      <c r="E996" s="7">
        <v>37</v>
      </c>
      <c r="F996" s="6" t="s">
        <v>3986</v>
      </c>
      <c r="G996" s="6" t="s">
        <v>2908</v>
      </c>
      <c r="H996" s="6" t="s">
        <v>2909</v>
      </c>
      <c r="I996" s="8"/>
      <c r="J996" s="8">
        <v>9524</v>
      </c>
      <c r="K996" s="6" t="s">
        <v>3972</v>
      </c>
      <c r="L996" s="6" t="s">
        <v>1247</v>
      </c>
      <c r="N996" s="6" t="s">
        <v>1247</v>
      </c>
      <c r="O996" s="29">
        <v>10000.2</v>
      </c>
      <c r="P996" s="1">
        <f>O996-J996</f>
        <v>476.200000000001</v>
      </c>
    </row>
    <row r="997" s="1" customFormat="1" ht="16.35" hidden="1" customHeight="1" spans="1:15">
      <c r="A997" s="5"/>
      <c r="B997" s="6" t="s">
        <v>2906</v>
      </c>
      <c r="C997" s="6">
        <v>2019</v>
      </c>
      <c r="D997" s="6">
        <v>4</v>
      </c>
      <c r="E997" s="7">
        <v>38</v>
      </c>
      <c r="F997" s="6" t="s">
        <v>3987</v>
      </c>
      <c r="G997" s="6" t="s">
        <v>2908</v>
      </c>
      <c r="H997" s="6" t="s">
        <v>2909</v>
      </c>
      <c r="I997" s="8"/>
      <c r="J997" s="8">
        <v>47619</v>
      </c>
      <c r="K997" s="6" t="s">
        <v>3988</v>
      </c>
      <c r="L997" s="6" t="s">
        <v>1267</v>
      </c>
      <c r="N997" s="6" t="s">
        <v>1267</v>
      </c>
      <c r="O997" s="29">
        <v>49999.95</v>
      </c>
    </row>
    <row r="998" s="1" customFormat="1" ht="16.35" hidden="1" customHeight="1" spans="1:15">
      <c r="A998" s="5"/>
      <c r="B998" s="6" t="s">
        <v>2906</v>
      </c>
      <c r="C998" s="6">
        <v>2019</v>
      </c>
      <c r="D998" s="6">
        <v>4</v>
      </c>
      <c r="E998" s="7">
        <v>39</v>
      </c>
      <c r="F998" s="6" t="s">
        <v>3987</v>
      </c>
      <c r="G998" s="6" t="s">
        <v>2908</v>
      </c>
      <c r="H998" s="6" t="s">
        <v>2909</v>
      </c>
      <c r="I998" s="8"/>
      <c r="J998" s="8">
        <v>160000</v>
      </c>
      <c r="K998" s="6" t="s">
        <v>3988</v>
      </c>
      <c r="L998" s="6" t="s">
        <v>1267</v>
      </c>
      <c r="N998" s="6" t="s">
        <v>1267</v>
      </c>
      <c r="O998" s="29">
        <v>168000</v>
      </c>
    </row>
    <row r="999" s="1" customFormat="1" ht="16.35" hidden="1" customHeight="1" spans="1:15">
      <c r="A999" s="5"/>
      <c r="B999" s="6" t="s">
        <v>2906</v>
      </c>
      <c r="C999" s="6">
        <v>2019</v>
      </c>
      <c r="D999" s="6">
        <v>4</v>
      </c>
      <c r="E999" s="7">
        <v>40</v>
      </c>
      <c r="F999" s="6" t="s">
        <v>3968</v>
      </c>
      <c r="G999" s="6" t="s">
        <v>2908</v>
      </c>
      <c r="H999" s="6" t="s">
        <v>2909</v>
      </c>
      <c r="I999" s="8"/>
      <c r="J999" s="8">
        <v>20000</v>
      </c>
      <c r="K999" s="6" t="s">
        <v>3969</v>
      </c>
      <c r="L999" s="6" t="s">
        <v>1521</v>
      </c>
      <c r="N999" s="6" t="s">
        <v>1521</v>
      </c>
      <c r="O999" s="29">
        <v>21000</v>
      </c>
    </row>
    <row r="1000" s="1" customFormat="1" ht="16.35" hidden="1" customHeight="1" spans="1:15">
      <c r="A1000" s="5"/>
      <c r="B1000" s="6" t="s">
        <v>2906</v>
      </c>
      <c r="C1000" s="6">
        <v>2019</v>
      </c>
      <c r="D1000" s="6">
        <v>4</v>
      </c>
      <c r="E1000" s="7">
        <v>41</v>
      </c>
      <c r="F1000" s="6" t="s">
        <v>3989</v>
      </c>
      <c r="G1000" s="6" t="s">
        <v>2908</v>
      </c>
      <c r="H1000" s="6" t="s">
        <v>2909</v>
      </c>
      <c r="I1000" s="8"/>
      <c r="J1000" s="8">
        <v>69525</v>
      </c>
      <c r="K1000" s="6" t="s">
        <v>3990</v>
      </c>
      <c r="L1000" s="6" t="s">
        <v>1599</v>
      </c>
      <c r="N1000" s="6" t="s">
        <v>1599</v>
      </c>
      <c r="O1000" s="29">
        <v>73001.25</v>
      </c>
    </row>
    <row r="1001" s="1" customFormat="1" ht="16.35" hidden="1" customHeight="1" spans="1:15">
      <c r="A1001" s="5"/>
      <c r="B1001" s="6" t="s">
        <v>2906</v>
      </c>
      <c r="C1001" s="6">
        <v>2019</v>
      </c>
      <c r="D1001" s="6">
        <v>4</v>
      </c>
      <c r="E1001" s="7">
        <v>42</v>
      </c>
      <c r="F1001" s="6" t="s">
        <v>3991</v>
      </c>
      <c r="G1001" s="6" t="s">
        <v>2908</v>
      </c>
      <c r="H1001" s="6" t="s">
        <v>2909</v>
      </c>
      <c r="I1001" s="8"/>
      <c r="J1001" s="8">
        <v>19048</v>
      </c>
      <c r="K1001" s="6" t="s">
        <v>3992</v>
      </c>
      <c r="L1001" s="6" t="s">
        <v>1335</v>
      </c>
      <c r="N1001" s="6" t="s">
        <v>1335</v>
      </c>
      <c r="O1001" s="29">
        <v>20000.4</v>
      </c>
    </row>
    <row r="1002" s="1" customFormat="1" ht="16.35" hidden="1" customHeight="1" spans="1:16">
      <c r="A1002" s="5"/>
      <c r="B1002" s="6" t="s">
        <v>2906</v>
      </c>
      <c r="C1002" s="6">
        <v>2019</v>
      </c>
      <c r="D1002" s="6">
        <v>4</v>
      </c>
      <c r="E1002" s="7">
        <v>42</v>
      </c>
      <c r="F1002" s="6" t="s">
        <v>3991</v>
      </c>
      <c r="G1002" s="6" t="s">
        <v>2908</v>
      </c>
      <c r="H1002" s="6" t="s">
        <v>2909</v>
      </c>
      <c r="I1002" s="8"/>
      <c r="J1002" s="8">
        <v>19048</v>
      </c>
      <c r="K1002" s="6" t="s">
        <v>3993</v>
      </c>
      <c r="L1002" s="6" t="s">
        <v>1337</v>
      </c>
      <c r="N1002" s="6" t="s">
        <v>1337</v>
      </c>
      <c r="O1002" s="29">
        <v>20000.4</v>
      </c>
      <c r="P1002" s="1">
        <f>O1002-J1002</f>
        <v>952.400000000001</v>
      </c>
    </row>
    <row r="1003" s="1" customFormat="1" ht="16.35" customHeight="1" spans="1:17">
      <c r="A1003" s="5"/>
      <c r="B1003" s="6" t="s">
        <v>2906</v>
      </c>
      <c r="C1003" s="6">
        <v>2019</v>
      </c>
      <c r="D1003" s="6">
        <v>5</v>
      </c>
      <c r="E1003" s="7">
        <v>1</v>
      </c>
      <c r="F1003" s="6" t="s">
        <v>3994</v>
      </c>
      <c r="G1003" s="6" t="s">
        <v>2908</v>
      </c>
      <c r="H1003" s="6" t="s">
        <v>2909</v>
      </c>
      <c r="I1003" s="8"/>
      <c r="J1003" s="8">
        <v>164619</v>
      </c>
      <c r="K1003" s="6" t="s">
        <v>3995</v>
      </c>
      <c r="L1003" s="6" t="s">
        <v>1909</v>
      </c>
      <c r="N1003" s="6" t="s">
        <v>1909</v>
      </c>
      <c r="O1003" s="45">
        <v>172850</v>
      </c>
      <c r="P1003" s="6" t="s">
        <v>1915</v>
      </c>
      <c r="Q1003" s="1">
        <f>O1003-J1003</f>
        <v>8231</v>
      </c>
    </row>
    <row r="1004" s="1" customFormat="1" ht="16.35" hidden="1" customHeight="1" spans="1:16">
      <c r="A1004" s="5"/>
      <c r="B1004" s="6" t="s">
        <v>2906</v>
      </c>
      <c r="C1004" s="6">
        <v>2019</v>
      </c>
      <c r="D1004" s="6">
        <v>5</v>
      </c>
      <c r="E1004" s="7">
        <v>2</v>
      </c>
      <c r="F1004" s="6" t="s">
        <v>3996</v>
      </c>
      <c r="G1004" s="6" t="s">
        <v>2908</v>
      </c>
      <c r="H1004" s="6" t="s">
        <v>2909</v>
      </c>
      <c r="I1004" s="8"/>
      <c r="J1004" s="8">
        <v>47619</v>
      </c>
      <c r="K1004" s="6" t="s">
        <v>3997</v>
      </c>
      <c r="L1004" s="6" t="s">
        <v>1244</v>
      </c>
      <c r="N1004" s="6" t="s">
        <v>1244</v>
      </c>
      <c r="O1004" s="29">
        <v>49999.95</v>
      </c>
      <c r="P1004" s="1">
        <f>O1004-J1004</f>
        <v>2380.95</v>
      </c>
    </row>
    <row r="1005" s="1" customFormat="1" ht="16.35" hidden="1" customHeight="1" spans="1:15">
      <c r="A1005" s="5"/>
      <c r="B1005" s="6" t="s">
        <v>2906</v>
      </c>
      <c r="C1005" s="6">
        <v>2019</v>
      </c>
      <c r="D1005" s="6">
        <v>5</v>
      </c>
      <c r="E1005" s="7">
        <v>3</v>
      </c>
      <c r="F1005" s="6" t="s">
        <v>3998</v>
      </c>
      <c r="G1005" s="6" t="s">
        <v>2908</v>
      </c>
      <c r="H1005" s="6" t="s">
        <v>2909</v>
      </c>
      <c r="I1005" s="8"/>
      <c r="J1005" s="8">
        <v>168952</v>
      </c>
      <c r="K1005" s="6" t="s">
        <v>3999</v>
      </c>
      <c r="L1005" s="6" t="s">
        <v>1917</v>
      </c>
      <c r="N1005" s="6" t="s">
        <v>1917</v>
      </c>
      <c r="O1005" s="29">
        <v>177399.6</v>
      </c>
    </row>
    <row r="1006" s="1" customFormat="1" ht="16.35" hidden="1" customHeight="1" spans="1:16">
      <c r="A1006" s="5"/>
      <c r="B1006" s="6" t="s">
        <v>2906</v>
      </c>
      <c r="C1006" s="6">
        <v>2019</v>
      </c>
      <c r="D1006" s="6">
        <v>5</v>
      </c>
      <c r="E1006" s="7">
        <v>4</v>
      </c>
      <c r="F1006" s="6" t="s">
        <v>3984</v>
      </c>
      <c r="G1006" s="6" t="s">
        <v>2908</v>
      </c>
      <c r="H1006" s="6" t="s">
        <v>2909</v>
      </c>
      <c r="I1006" s="8"/>
      <c r="J1006" s="8">
        <v>47619</v>
      </c>
      <c r="K1006" s="6" t="s">
        <v>3985</v>
      </c>
      <c r="L1006" s="6" t="s">
        <v>1257</v>
      </c>
      <c r="N1006" s="6" t="s">
        <v>1257</v>
      </c>
      <c r="O1006" s="29">
        <v>49999.95</v>
      </c>
      <c r="P1006" s="1">
        <f>O1006-J1006</f>
        <v>2380.95</v>
      </c>
    </row>
    <row r="1007" s="1" customFormat="1" ht="16.35" hidden="1" customHeight="1" spans="1:15">
      <c r="A1007" s="5"/>
      <c r="B1007" s="6" t="s">
        <v>2906</v>
      </c>
      <c r="C1007" s="6">
        <v>2019</v>
      </c>
      <c r="D1007" s="6">
        <v>5</v>
      </c>
      <c r="E1007" s="7">
        <v>5</v>
      </c>
      <c r="F1007" s="6" t="s">
        <v>4000</v>
      </c>
      <c r="G1007" s="6" t="s">
        <v>2908</v>
      </c>
      <c r="H1007" s="6" t="s">
        <v>2909</v>
      </c>
      <c r="I1007" s="8"/>
      <c r="J1007" s="8">
        <v>100000</v>
      </c>
      <c r="K1007" s="6" t="s">
        <v>4001</v>
      </c>
      <c r="L1007" s="6" t="s">
        <v>1261</v>
      </c>
      <c r="N1007" s="6" t="s">
        <v>1261</v>
      </c>
      <c r="O1007" s="29">
        <v>105000</v>
      </c>
    </row>
    <row r="1008" s="1" customFormat="1" ht="16.35" hidden="1" customHeight="1" spans="1:15">
      <c r="A1008" s="5"/>
      <c r="B1008" s="6" t="s">
        <v>2906</v>
      </c>
      <c r="C1008" s="6">
        <v>2019</v>
      </c>
      <c r="D1008" s="6">
        <v>5</v>
      </c>
      <c r="E1008" s="7">
        <v>6</v>
      </c>
      <c r="F1008" s="6" t="s">
        <v>4002</v>
      </c>
      <c r="G1008" s="6" t="s">
        <v>2908</v>
      </c>
      <c r="H1008" s="6" t="s">
        <v>2909</v>
      </c>
      <c r="I1008" s="8"/>
      <c r="J1008" s="8">
        <v>9524</v>
      </c>
      <c r="K1008" s="6" t="s">
        <v>3156</v>
      </c>
      <c r="L1008" s="6" t="s">
        <v>1555</v>
      </c>
      <c r="N1008" s="6" t="s">
        <v>1555</v>
      </c>
      <c r="O1008" s="29">
        <v>10000.2</v>
      </c>
    </row>
    <row r="1009" s="1" customFormat="1" ht="16.35" customHeight="1" spans="1:17">
      <c r="A1009" s="5"/>
      <c r="B1009" s="6" t="s">
        <v>2906</v>
      </c>
      <c r="C1009" s="6">
        <v>2019</v>
      </c>
      <c r="D1009" s="6">
        <v>5</v>
      </c>
      <c r="E1009" s="7">
        <v>7</v>
      </c>
      <c r="F1009" s="6" t="s">
        <v>4003</v>
      </c>
      <c r="G1009" s="6" t="s">
        <v>2908</v>
      </c>
      <c r="H1009" s="6" t="s">
        <v>2909</v>
      </c>
      <c r="I1009" s="8"/>
      <c r="J1009" s="8">
        <v>4762</v>
      </c>
      <c r="K1009" s="6" t="s">
        <v>3995</v>
      </c>
      <c r="L1009" s="6" t="s">
        <v>1909</v>
      </c>
      <c r="N1009" s="6" t="s">
        <v>1909</v>
      </c>
      <c r="O1009" s="45">
        <v>5000</v>
      </c>
      <c r="P1009" s="6" t="s">
        <v>1915</v>
      </c>
      <c r="Q1009" s="1">
        <f>O1009-J1009</f>
        <v>238</v>
      </c>
    </row>
    <row r="1010" s="1" customFormat="1" ht="16.35" customHeight="1" spans="1:17">
      <c r="A1010" s="5"/>
      <c r="B1010" s="6" t="s">
        <v>2906</v>
      </c>
      <c r="C1010" s="6">
        <v>2019</v>
      </c>
      <c r="D1010" s="6">
        <v>5</v>
      </c>
      <c r="E1010" s="7">
        <v>8</v>
      </c>
      <c r="F1010" s="6" t="s">
        <v>3994</v>
      </c>
      <c r="G1010" s="6" t="s">
        <v>2908</v>
      </c>
      <c r="H1010" s="6" t="s">
        <v>2909</v>
      </c>
      <c r="I1010" s="8"/>
      <c r="J1010" s="8">
        <v>95238</v>
      </c>
      <c r="K1010" s="6" t="s">
        <v>3995</v>
      </c>
      <c r="L1010" s="6" t="s">
        <v>1909</v>
      </c>
      <c r="N1010" s="6" t="s">
        <v>1909</v>
      </c>
      <c r="O1010" s="45">
        <v>100000</v>
      </c>
      <c r="P1010" s="6" t="s">
        <v>1915</v>
      </c>
      <c r="Q1010" s="1">
        <f>O1010-J1010</f>
        <v>4762</v>
      </c>
    </row>
    <row r="1011" s="1" customFormat="1" ht="16.35" hidden="1" customHeight="1" spans="1:16">
      <c r="A1011" s="5"/>
      <c r="B1011" s="6" t="s">
        <v>2906</v>
      </c>
      <c r="C1011" s="6">
        <v>2019</v>
      </c>
      <c r="D1011" s="6">
        <v>5</v>
      </c>
      <c r="E1011" s="7">
        <v>9</v>
      </c>
      <c r="F1011" s="6" t="s">
        <v>4004</v>
      </c>
      <c r="G1011" s="6" t="s">
        <v>2908</v>
      </c>
      <c r="H1011" s="6" t="s">
        <v>2909</v>
      </c>
      <c r="I1011" s="8"/>
      <c r="J1011" s="8">
        <v>47619</v>
      </c>
      <c r="K1011" s="6" t="s">
        <v>3977</v>
      </c>
      <c r="L1011" s="6" t="s">
        <v>1248</v>
      </c>
      <c r="N1011" s="6" t="s">
        <v>1248</v>
      </c>
      <c r="O1011" s="29">
        <v>49999.95</v>
      </c>
      <c r="P1011" s="1">
        <f>O1011-J1011</f>
        <v>2380.95</v>
      </c>
    </row>
    <row r="1012" s="1" customFormat="1" ht="16.35" hidden="1" customHeight="1" spans="1:16">
      <c r="A1012" s="5"/>
      <c r="B1012" s="6" t="s">
        <v>2906</v>
      </c>
      <c r="C1012" s="6">
        <v>2019</v>
      </c>
      <c r="D1012" s="6">
        <v>5</v>
      </c>
      <c r="E1012" s="7">
        <v>10</v>
      </c>
      <c r="F1012" s="6" t="s">
        <v>3984</v>
      </c>
      <c r="G1012" s="6" t="s">
        <v>2908</v>
      </c>
      <c r="H1012" s="6" t="s">
        <v>2909</v>
      </c>
      <c r="I1012" s="8"/>
      <c r="J1012" s="8">
        <v>114286</v>
      </c>
      <c r="K1012" s="6" t="s">
        <v>3985</v>
      </c>
      <c r="L1012" s="6" t="s">
        <v>1257</v>
      </c>
      <c r="N1012" s="6" t="s">
        <v>1257</v>
      </c>
      <c r="O1012" s="29">
        <v>120000.3</v>
      </c>
      <c r="P1012" s="1">
        <f>O1012-J1012</f>
        <v>5714.3</v>
      </c>
    </row>
    <row r="1013" s="1" customFormat="1" ht="16.35" hidden="1" customHeight="1" spans="1:15">
      <c r="A1013" s="5"/>
      <c r="B1013" s="6" t="s">
        <v>2906</v>
      </c>
      <c r="C1013" s="6">
        <v>2019</v>
      </c>
      <c r="D1013" s="6">
        <v>5</v>
      </c>
      <c r="E1013" s="7">
        <v>11</v>
      </c>
      <c r="F1013" s="6" t="s">
        <v>3998</v>
      </c>
      <c r="G1013" s="6" t="s">
        <v>2908</v>
      </c>
      <c r="H1013" s="6" t="s">
        <v>2909</v>
      </c>
      <c r="I1013" s="8"/>
      <c r="J1013" s="8">
        <v>95238</v>
      </c>
      <c r="K1013" s="6" t="s">
        <v>3999</v>
      </c>
      <c r="L1013" s="6" t="s">
        <v>1917</v>
      </c>
      <c r="N1013" s="6" t="s">
        <v>1917</v>
      </c>
      <c r="O1013" s="29">
        <v>99999.9</v>
      </c>
    </row>
    <row r="1014" s="1" customFormat="1" ht="16.35" hidden="1" customHeight="1" spans="1:15">
      <c r="A1014" s="5"/>
      <c r="B1014" s="6" t="s">
        <v>2906</v>
      </c>
      <c r="C1014" s="6">
        <v>2019</v>
      </c>
      <c r="D1014" s="6">
        <v>5</v>
      </c>
      <c r="E1014" s="7">
        <v>12</v>
      </c>
      <c r="F1014" s="6" t="s">
        <v>4000</v>
      </c>
      <c r="G1014" s="6" t="s">
        <v>2908</v>
      </c>
      <c r="H1014" s="6" t="s">
        <v>2909</v>
      </c>
      <c r="I1014" s="8"/>
      <c r="J1014" s="8">
        <v>4762</v>
      </c>
      <c r="K1014" s="6" t="s">
        <v>4001</v>
      </c>
      <c r="L1014" s="6" t="s">
        <v>1261</v>
      </c>
      <c r="N1014" s="6" t="s">
        <v>1261</v>
      </c>
      <c r="O1014" s="29">
        <v>5000.1</v>
      </c>
    </row>
    <row r="1015" s="1" customFormat="1" ht="16.35" hidden="1" customHeight="1" spans="1:16">
      <c r="A1015" s="5"/>
      <c r="B1015" s="6" t="s">
        <v>2906</v>
      </c>
      <c r="C1015" s="6">
        <v>2019</v>
      </c>
      <c r="D1015" s="6">
        <v>5</v>
      </c>
      <c r="E1015" s="7">
        <v>13</v>
      </c>
      <c r="F1015" s="6" t="s">
        <v>4005</v>
      </c>
      <c r="G1015" s="6" t="s">
        <v>2908</v>
      </c>
      <c r="H1015" s="6" t="s">
        <v>2909</v>
      </c>
      <c r="I1015" s="8"/>
      <c r="J1015" s="8">
        <v>38095</v>
      </c>
      <c r="K1015" s="6" t="s">
        <v>4006</v>
      </c>
      <c r="L1015" s="6" t="s">
        <v>1254</v>
      </c>
      <c r="N1015" s="6" t="s">
        <v>1254</v>
      </c>
      <c r="O1015" s="29">
        <v>39999.75</v>
      </c>
      <c r="P1015" s="1">
        <f>O1015-J1015</f>
        <v>1904.75</v>
      </c>
    </row>
    <row r="1016" s="1" customFormat="1" ht="16.35" hidden="1" customHeight="1" spans="1:15">
      <c r="A1016" s="5"/>
      <c r="B1016" s="6" t="s">
        <v>2906</v>
      </c>
      <c r="C1016" s="6">
        <v>2019</v>
      </c>
      <c r="D1016" s="6">
        <v>5</v>
      </c>
      <c r="E1016" s="7">
        <v>14</v>
      </c>
      <c r="F1016" s="6" t="s">
        <v>4007</v>
      </c>
      <c r="G1016" s="6" t="s">
        <v>2908</v>
      </c>
      <c r="H1016" s="6" t="s">
        <v>2909</v>
      </c>
      <c r="I1016" s="8"/>
      <c r="J1016" s="8">
        <v>116290</v>
      </c>
      <c r="K1016" s="6" t="s">
        <v>3992</v>
      </c>
      <c r="L1016" s="6" t="s">
        <v>1335</v>
      </c>
      <c r="N1016" s="6" t="s">
        <v>1335</v>
      </c>
      <c r="O1016" s="29">
        <v>122104.5</v>
      </c>
    </row>
    <row r="1017" s="1" customFormat="1" ht="16.35" hidden="1" customHeight="1" spans="1:15">
      <c r="A1017" s="5"/>
      <c r="B1017" s="6" t="s">
        <v>2906</v>
      </c>
      <c r="C1017" s="6">
        <v>2019</v>
      </c>
      <c r="D1017" s="6">
        <v>5</v>
      </c>
      <c r="E1017" s="7">
        <v>15</v>
      </c>
      <c r="F1017" s="6" t="s">
        <v>4008</v>
      </c>
      <c r="G1017" s="6" t="s">
        <v>2908</v>
      </c>
      <c r="H1017" s="6" t="s">
        <v>2909</v>
      </c>
      <c r="I1017" s="8"/>
      <c r="J1017" s="8">
        <v>9524</v>
      </c>
      <c r="K1017" s="6" t="s">
        <v>3174</v>
      </c>
      <c r="L1017" s="6" t="s">
        <v>1294</v>
      </c>
      <c r="N1017" s="6" t="s">
        <v>1294</v>
      </c>
      <c r="O1017" s="29">
        <v>10000.2</v>
      </c>
    </row>
    <row r="1018" s="1" customFormat="1" ht="16.35" hidden="1" customHeight="1" spans="1:16">
      <c r="A1018" s="5"/>
      <c r="B1018" s="6" t="s">
        <v>2906</v>
      </c>
      <c r="C1018" s="6">
        <v>2019</v>
      </c>
      <c r="D1018" s="6">
        <v>5</v>
      </c>
      <c r="E1018" s="7">
        <v>16</v>
      </c>
      <c r="F1018" s="6" t="s">
        <v>4009</v>
      </c>
      <c r="G1018" s="6" t="s">
        <v>2908</v>
      </c>
      <c r="H1018" s="6" t="s">
        <v>2909</v>
      </c>
      <c r="I1018" s="8"/>
      <c r="J1018" s="8">
        <v>129438</v>
      </c>
      <c r="K1018" s="6" t="s">
        <v>3993</v>
      </c>
      <c r="L1018" s="6" t="s">
        <v>1337</v>
      </c>
      <c r="N1018" s="6" t="s">
        <v>1337</v>
      </c>
      <c r="O1018" s="29">
        <v>135909.9</v>
      </c>
      <c r="P1018" s="1">
        <f>O1018-J1018</f>
        <v>6471.89999999999</v>
      </c>
    </row>
    <row r="1019" s="1" customFormat="1" ht="16.35" hidden="1" customHeight="1" spans="1:15">
      <c r="A1019" s="5"/>
      <c r="B1019" s="6" t="s">
        <v>2906</v>
      </c>
      <c r="C1019" s="6">
        <v>2019</v>
      </c>
      <c r="D1019" s="6">
        <v>5</v>
      </c>
      <c r="E1019" s="7">
        <v>17</v>
      </c>
      <c r="F1019" s="6" t="s">
        <v>4010</v>
      </c>
      <c r="G1019" s="6" t="s">
        <v>2908</v>
      </c>
      <c r="H1019" s="6" t="s">
        <v>2909</v>
      </c>
      <c r="I1019" s="8"/>
      <c r="J1019" s="8">
        <v>137143</v>
      </c>
      <c r="K1019" s="6" t="s">
        <v>3953</v>
      </c>
      <c r="L1019" s="6" t="s">
        <v>1308</v>
      </c>
      <c r="N1019" s="6" t="s">
        <v>1308</v>
      </c>
      <c r="O1019" s="29">
        <v>144000.15</v>
      </c>
    </row>
    <row r="1020" s="1" customFormat="1" ht="16.35" hidden="1" customHeight="1" spans="1:15">
      <c r="A1020" s="5"/>
      <c r="B1020" s="6" t="s">
        <v>2906</v>
      </c>
      <c r="C1020" s="6">
        <v>2019</v>
      </c>
      <c r="D1020" s="6">
        <v>5</v>
      </c>
      <c r="E1020" s="7">
        <v>18</v>
      </c>
      <c r="F1020" s="6" t="s">
        <v>4011</v>
      </c>
      <c r="G1020" s="6" t="s">
        <v>2908</v>
      </c>
      <c r="H1020" s="6" t="s">
        <v>2909</v>
      </c>
      <c r="I1020" s="8"/>
      <c r="J1020" s="8">
        <v>114286</v>
      </c>
      <c r="K1020" s="6" t="s">
        <v>3550</v>
      </c>
      <c r="L1020" s="6" t="s">
        <v>1345</v>
      </c>
      <c r="N1020" s="6" t="s">
        <v>1345</v>
      </c>
      <c r="O1020" s="29">
        <v>120000.3</v>
      </c>
    </row>
    <row r="1021" s="1" customFormat="1" ht="16.35" hidden="1" customHeight="1" spans="1:15">
      <c r="A1021" s="5"/>
      <c r="B1021" s="6" t="s">
        <v>2906</v>
      </c>
      <c r="C1021" s="6">
        <v>2019</v>
      </c>
      <c r="D1021" s="6">
        <v>5</v>
      </c>
      <c r="E1021" s="7">
        <v>19</v>
      </c>
      <c r="F1021" s="6" t="s">
        <v>4012</v>
      </c>
      <c r="G1021" s="6" t="s">
        <v>2908</v>
      </c>
      <c r="H1021" s="6" t="s">
        <v>2909</v>
      </c>
      <c r="I1021" s="8"/>
      <c r="J1021" s="8">
        <v>114286</v>
      </c>
      <c r="K1021" s="6" t="s">
        <v>3962</v>
      </c>
      <c r="L1021" s="6" t="s">
        <v>1158</v>
      </c>
      <c r="N1021" s="6" t="s">
        <v>1158</v>
      </c>
      <c r="O1021" s="29">
        <v>120000.3</v>
      </c>
    </row>
    <row r="1022" s="1" customFormat="1" ht="16.35" hidden="1" customHeight="1" spans="1:15">
      <c r="A1022" s="5"/>
      <c r="B1022" s="6" t="s">
        <v>2906</v>
      </c>
      <c r="C1022" s="6">
        <v>2019</v>
      </c>
      <c r="D1022" s="6">
        <v>5</v>
      </c>
      <c r="E1022" s="7">
        <v>20</v>
      </c>
      <c r="F1022" s="6" t="s">
        <v>4013</v>
      </c>
      <c r="G1022" s="6" t="s">
        <v>2908</v>
      </c>
      <c r="H1022" s="6" t="s">
        <v>2909</v>
      </c>
      <c r="I1022" s="8"/>
      <c r="J1022" s="8">
        <v>142857</v>
      </c>
      <c r="K1022" s="6" t="s">
        <v>3951</v>
      </c>
      <c r="L1022" s="6" t="s">
        <v>1180</v>
      </c>
      <c r="N1022" s="6" t="s">
        <v>1180</v>
      </c>
      <c r="O1022" s="29">
        <v>149999.85</v>
      </c>
    </row>
    <row r="1023" s="1" customFormat="1" ht="16.35" hidden="1" customHeight="1" spans="1:15">
      <c r="A1023" s="5"/>
      <c r="B1023" s="6" t="s">
        <v>2906</v>
      </c>
      <c r="C1023" s="6">
        <v>2019</v>
      </c>
      <c r="D1023" s="6">
        <v>5</v>
      </c>
      <c r="E1023" s="7">
        <v>21</v>
      </c>
      <c r="F1023" s="6" t="s">
        <v>4014</v>
      </c>
      <c r="G1023" s="6" t="s">
        <v>2908</v>
      </c>
      <c r="H1023" s="6" t="s">
        <v>2909</v>
      </c>
      <c r="I1023" s="8"/>
      <c r="J1023" s="8">
        <v>147619</v>
      </c>
      <c r="K1023" s="6" t="s">
        <v>3947</v>
      </c>
      <c r="L1023" s="6" t="s">
        <v>1156</v>
      </c>
      <c r="N1023" s="6" t="s">
        <v>1156</v>
      </c>
      <c r="O1023" s="29">
        <v>154999.95</v>
      </c>
    </row>
    <row r="1024" s="1" customFormat="1" ht="16.35" hidden="1" customHeight="1" spans="1:16">
      <c r="A1024" s="5"/>
      <c r="B1024" s="6" t="s">
        <v>2906</v>
      </c>
      <c r="C1024" s="6">
        <v>2019</v>
      </c>
      <c r="D1024" s="6">
        <v>5</v>
      </c>
      <c r="E1024" s="7">
        <v>22</v>
      </c>
      <c r="F1024" s="6" t="s">
        <v>4015</v>
      </c>
      <c r="G1024" s="6" t="s">
        <v>2908</v>
      </c>
      <c r="H1024" s="6" t="s">
        <v>2909</v>
      </c>
      <c r="I1024" s="8"/>
      <c r="J1024" s="8">
        <v>142857</v>
      </c>
      <c r="K1024" s="6" t="s">
        <v>3571</v>
      </c>
      <c r="L1024" s="6" t="s">
        <v>1083</v>
      </c>
      <c r="N1024" s="6" t="s">
        <v>1083</v>
      </c>
      <c r="O1024" s="29">
        <v>149999.85</v>
      </c>
      <c r="P1024" s="30">
        <f>O1024-J1024</f>
        <v>7142.85000000001</v>
      </c>
    </row>
    <row r="1025" s="1" customFormat="1" ht="16.35" hidden="1" customHeight="1" spans="1:15">
      <c r="A1025" s="5"/>
      <c r="B1025" s="6" t="s">
        <v>2906</v>
      </c>
      <c r="C1025" s="6">
        <v>2019</v>
      </c>
      <c r="D1025" s="6">
        <v>5</v>
      </c>
      <c r="E1025" s="7">
        <v>23</v>
      </c>
      <c r="F1025" s="6" t="s">
        <v>4016</v>
      </c>
      <c r="G1025" s="6" t="s">
        <v>2908</v>
      </c>
      <c r="H1025" s="6" t="s">
        <v>2909</v>
      </c>
      <c r="I1025" s="8"/>
      <c r="J1025" s="8">
        <v>128571</v>
      </c>
      <c r="K1025" s="6" t="s">
        <v>3875</v>
      </c>
      <c r="L1025" s="6" t="s">
        <v>1114</v>
      </c>
      <c r="N1025" s="6" t="s">
        <v>1114</v>
      </c>
      <c r="O1025" s="29">
        <v>134999.55</v>
      </c>
    </row>
    <row r="1026" s="1" customFormat="1" ht="16.35" hidden="1" customHeight="1" spans="1:16">
      <c r="A1026" s="5"/>
      <c r="B1026" s="6" t="s">
        <v>2906</v>
      </c>
      <c r="C1026" s="6">
        <v>2019</v>
      </c>
      <c r="D1026" s="6">
        <v>5</v>
      </c>
      <c r="E1026" s="7">
        <v>24</v>
      </c>
      <c r="F1026" s="6" t="s">
        <v>4017</v>
      </c>
      <c r="G1026" s="6" t="s">
        <v>2908</v>
      </c>
      <c r="H1026" s="6" t="s">
        <v>2909</v>
      </c>
      <c r="I1026" s="8"/>
      <c r="J1026" s="8">
        <v>9524</v>
      </c>
      <c r="K1026" s="6" t="s">
        <v>4006</v>
      </c>
      <c r="L1026" s="6" t="s">
        <v>1254</v>
      </c>
      <c r="N1026" s="6" t="s">
        <v>1254</v>
      </c>
      <c r="O1026" s="29">
        <v>10000.2</v>
      </c>
      <c r="P1026" s="1">
        <f>O1026-J1026</f>
        <v>476.200000000001</v>
      </c>
    </row>
    <row r="1027" s="1" customFormat="1" ht="16.35" hidden="1" customHeight="1" spans="1:15">
      <c r="A1027" s="5"/>
      <c r="B1027" s="6" t="s">
        <v>2906</v>
      </c>
      <c r="C1027" s="6">
        <v>2019</v>
      </c>
      <c r="D1027" s="6">
        <v>5</v>
      </c>
      <c r="E1027" s="7">
        <v>25</v>
      </c>
      <c r="F1027" s="6" t="s">
        <v>3998</v>
      </c>
      <c r="G1027" s="6" t="s">
        <v>2908</v>
      </c>
      <c r="H1027" s="6" t="s">
        <v>2909</v>
      </c>
      <c r="I1027" s="8"/>
      <c r="J1027" s="8">
        <v>9524</v>
      </c>
      <c r="K1027" s="6" t="s">
        <v>3999</v>
      </c>
      <c r="L1027" s="6" t="s">
        <v>1917</v>
      </c>
      <c r="N1027" s="6" t="s">
        <v>1917</v>
      </c>
      <c r="O1027" s="29">
        <v>10000.2</v>
      </c>
    </row>
    <row r="1028" s="1" customFormat="1" ht="16.35" hidden="1" customHeight="1" spans="1:16">
      <c r="A1028" s="5"/>
      <c r="B1028" s="6" t="s">
        <v>2906</v>
      </c>
      <c r="C1028" s="6">
        <v>2019</v>
      </c>
      <c r="D1028" s="6">
        <v>5</v>
      </c>
      <c r="E1028" s="7">
        <v>26</v>
      </c>
      <c r="F1028" s="6" t="s">
        <v>4018</v>
      </c>
      <c r="G1028" s="6" t="s">
        <v>2908</v>
      </c>
      <c r="H1028" s="6" t="s">
        <v>2909</v>
      </c>
      <c r="I1028" s="8"/>
      <c r="J1028" s="8">
        <v>19048</v>
      </c>
      <c r="K1028" s="6" t="s">
        <v>4019</v>
      </c>
      <c r="L1028" s="6" t="s">
        <v>1252</v>
      </c>
      <c r="N1028" s="6" t="s">
        <v>1252</v>
      </c>
      <c r="O1028" s="29">
        <v>20000.4</v>
      </c>
      <c r="P1028" s="1">
        <f>O1028-J1028</f>
        <v>952.400000000001</v>
      </c>
    </row>
    <row r="1029" s="1" customFormat="1" ht="16.35" hidden="1" customHeight="1" spans="1:15">
      <c r="A1029" s="5"/>
      <c r="B1029" s="6" t="s">
        <v>2906</v>
      </c>
      <c r="C1029" s="6">
        <v>2019</v>
      </c>
      <c r="D1029" s="6">
        <v>5</v>
      </c>
      <c r="E1029" s="7">
        <v>27</v>
      </c>
      <c r="F1029" s="6" t="s">
        <v>4020</v>
      </c>
      <c r="G1029" s="6" t="s">
        <v>2908</v>
      </c>
      <c r="H1029" s="6" t="s">
        <v>2909</v>
      </c>
      <c r="I1029" s="8"/>
      <c r="J1029" s="8">
        <v>9524</v>
      </c>
      <c r="K1029" s="6" t="s">
        <v>4021</v>
      </c>
      <c r="L1029" s="6" t="s">
        <v>1263</v>
      </c>
      <c r="N1029" s="6" t="s">
        <v>1263</v>
      </c>
      <c r="O1029" s="29">
        <v>10000.2</v>
      </c>
    </row>
    <row r="1030" s="1" customFormat="1" ht="16.35" hidden="1" customHeight="1" spans="1:16">
      <c r="A1030" s="5"/>
      <c r="B1030" s="6" t="s">
        <v>2906</v>
      </c>
      <c r="C1030" s="6">
        <v>2019</v>
      </c>
      <c r="D1030" s="6">
        <v>5</v>
      </c>
      <c r="E1030" s="7">
        <v>28</v>
      </c>
      <c r="F1030" s="6" t="s">
        <v>4022</v>
      </c>
      <c r="G1030" s="6" t="s">
        <v>2908</v>
      </c>
      <c r="H1030" s="6" t="s">
        <v>2909</v>
      </c>
      <c r="I1030" s="8"/>
      <c r="J1030" s="8">
        <v>66667</v>
      </c>
      <c r="K1030" s="6" t="s">
        <v>3997</v>
      </c>
      <c r="L1030" s="6" t="s">
        <v>1244</v>
      </c>
      <c r="N1030" s="6" t="s">
        <v>1244</v>
      </c>
      <c r="O1030" s="29">
        <v>70000.35</v>
      </c>
      <c r="P1030" s="1">
        <f>O1030-J1030</f>
        <v>3333.35000000001</v>
      </c>
    </row>
    <row r="1031" s="1" customFormat="1" ht="16.35" hidden="1" customHeight="1" spans="1:15">
      <c r="A1031" s="5"/>
      <c r="B1031" s="6" t="s">
        <v>2906</v>
      </c>
      <c r="C1031" s="6">
        <v>2019</v>
      </c>
      <c r="D1031" s="6">
        <v>5</v>
      </c>
      <c r="E1031" s="7">
        <v>29</v>
      </c>
      <c r="F1031" s="6" t="s">
        <v>4002</v>
      </c>
      <c r="G1031" s="6" t="s">
        <v>2908</v>
      </c>
      <c r="H1031" s="6" t="s">
        <v>2909</v>
      </c>
      <c r="I1031" s="8"/>
      <c r="J1031" s="8">
        <v>7619</v>
      </c>
      <c r="K1031" s="6" t="s">
        <v>3156</v>
      </c>
      <c r="L1031" s="6" t="s">
        <v>1555</v>
      </c>
      <c r="N1031" s="6" t="s">
        <v>1555</v>
      </c>
      <c r="O1031" s="29">
        <v>7999.95</v>
      </c>
    </row>
    <row r="1032" s="1" customFormat="1" ht="16.35" hidden="1" customHeight="1" spans="1:16">
      <c r="A1032" s="5"/>
      <c r="B1032" s="6" t="s">
        <v>2906</v>
      </c>
      <c r="C1032" s="6">
        <v>2019</v>
      </c>
      <c r="D1032" s="6">
        <v>6</v>
      </c>
      <c r="E1032" s="7">
        <v>1</v>
      </c>
      <c r="F1032" s="6" t="s">
        <v>4023</v>
      </c>
      <c r="G1032" s="6" t="s">
        <v>2908</v>
      </c>
      <c r="H1032" s="6" t="s">
        <v>2909</v>
      </c>
      <c r="I1032" s="8"/>
      <c r="J1032" s="8">
        <v>104762</v>
      </c>
      <c r="K1032" s="6" t="s">
        <v>3936</v>
      </c>
      <c r="L1032" s="6" t="s">
        <v>1152</v>
      </c>
      <c r="N1032" s="6" t="s">
        <v>1152</v>
      </c>
      <c r="O1032" s="29">
        <v>110000.1</v>
      </c>
      <c r="P1032" s="1">
        <f>O1032-J1032</f>
        <v>5238.10000000001</v>
      </c>
    </row>
    <row r="1033" s="1" customFormat="1" ht="16.35" hidden="1" customHeight="1" spans="1:16">
      <c r="A1033" s="5"/>
      <c r="B1033" s="6" t="s">
        <v>2906</v>
      </c>
      <c r="C1033" s="6">
        <v>2019</v>
      </c>
      <c r="D1033" s="6">
        <v>6</v>
      </c>
      <c r="E1033" s="7">
        <v>2</v>
      </c>
      <c r="F1033" s="6" t="s">
        <v>4024</v>
      </c>
      <c r="G1033" s="6" t="s">
        <v>2908</v>
      </c>
      <c r="H1033" s="6" t="s">
        <v>2909</v>
      </c>
      <c r="I1033" s="8"/>
      <c r="J1033" s="8">
        <v>104762</v>
      </c>
      <c r="K1033" s="6" t="s">
        <v>3938</v>
      </c>
      <c r="L1033" s="6" t="s">
        <v>1129</v>
      </c>
      <c r="N1033" s="6" t="s">
        <v>1129</v>
      </c>
      <c r="O1033" s="29">
        <v>110000.1</v>
      </c>
      <c r="P1033" s="1">
        <f>O1033-J1033</f>
        <v>5238.10000000001</v>
      </c>
    </row>
    <row r="1034" s="1" customFormat="1" ht="16.35" hidden="1" customHeight="1" spans="1:15">
      <c r="A1034" s="5"/>
      <c r="B1034" s="6" t="s">
        <v>2906</v>
      </c>
      <c r="C1034" s="6">
        <v>2019</v>
      </c>
      <c r="D1034" s="6">
        <v>6</v>
      </c>
      <c r="E1034" s="7">
        <v>3</v>
      </c>
      <c r="F1034" s="6" t="s">
        <v>3872</v>
      </c>
      <c r="G1034" s="6" t="s">
        <v>2908</v>
      </c>
      <c r="H1034" s="6" t="s">
        <v>2909</v>
      </c>
      <c r="I1034" s="8"/>
      <c r="J1034" s="8">
        <v>9524</v>
      </c>
      <c r="K1034" s="6" t="s">
        <v>3873</v>
      </c>
      <c r="L1034" s="6" t="s">
        <v>1166</v>
      </c>
      <c r="N1034" s="6" t="s">
        <v>1166</v>
      </c>
      <c r="O1034" s="29">
        <v>10000.2</v>
      </c>
    </row>
    <row r="1035" s="1" customFormat="1" ht="16.35" hidden="1" customHeight="1" spans="1:15">
      <c r="A1035" s="5"/>
      <c r="B1035" s="6" t="s">
        <v>2906</v>
      </c>
      <c r="C1035" s="6">
        <v>2019</v>
      </c>
      <c r="D1035" s="6">
        <v>6</v>
      </c>
      <c r="E1035" s="7">
        <v>4</v>
      </c>
      <c r="F1035" s="6" t="s">
        <v>4025</v>
      </c>
      <c r="G1035" s="6" t="s">
        <v>2908</v>
      </c>
      <c r="H1035" s="6" t="s">
        <v>2909</v>
      </c>
      <c r="I1035" s="8"/>
      <c r="J1035" s="8">
        <v>131429</v>
      </c>
      <c r="K1035" s="6" t="s">
        <v>3920</v>
      </c>
      <c r="L1035" s="6" t="s">
        <v>1125</v>
      </c>
      <c r="N1035" s="6" t="s">
        <v>1125</v>
      </c>
      <c r="O1035" s="29">
        <v>138000.45</v>
      </c>
    </row>
    <row r="1036" s="1" customFormat="1" ht="16.35" hidden="1" customHeight="1" spans="1:16">
      <c r="A1036" s="5"/>
      <c r="B1036" s="6" t="s">
        <v>2906</v>
      </c>
      <c r="C1036" s="6">
        <v>2019</v>
      </c>
      <c r="D1036" s="6">
        <v>6</v>
      </c>
      <c r="E1036" s="7">
        <v>5</v>
      </c>
      <c r="F1036" s="6" t="s">
        <v>3963</v>
      </c>
      <c r="G1036" s="6" t="s">
        <v>2908</v>
      </c>
      <c r="H1036" s="6" t="s">
        <v>2909</v>
      </c>
      <c r="I1036" s="8"/>
      <c r="J1036" s="8">
        <v>33333</v>
      </c>
      <c r="K1036" s="6" t="s">
        <v>3327</v>
      </c>
      <c r="L1036" s="6" t="s">
        <v>1898</v>
      </c>
      <c r="N1036" s="6" t="s">
        <v>1898</v>
      </c>
      <c r="O1036" s="29">
        <v>34999.65</v>
      </c>
      <c r="P1036" s="1">
        <f>O1036-J1036</f>
        <v>1666.65</v>
      </c>
    </row>
    <row r="1037" s="1" customFormat="1" ht="16.35" hidden="1" customHeight="1" spans="1:15">
      <c r="A1037" s="5"/>
      <c r="B1037" s="6" t="s">
        <v>2906</v>
      </c>
      <c r="C1037" s="6">
        <v>2019</v>
      </c>
      <c r="D1037" s="6">
        <v>6</v>
      </c>
      <c r="E1037" s="7">
        <v>6</v>
      </c>
      <c r="F1037" s="6" t="s">
        <v>4026</v>
      </c>
      <c r="G1037" s="6" t="s">
        <v>2908</v>
      </c>
      <c r="H1037" s="6" t="s">
        <v>2909</v>
      </c>
      <c r="I1037" s="8"/>
      <c r="J1037" s="8">
        <v>160000</v>
      </c>
      <c r="K1037" s="6" t="s">
        <v>3990</v>
      </c>
      <c r="L1037" s="6" t="s">
        <v>1599</v>
      </c>
      <c r="N1037" s="6" t="s">
        <v>1599</v>
      </c>
      <c r="O1037" s="29">
        <v>168000</v>
      </c>
    </row>
    <row r="1038" s="1" customFormat="1" ht="16.35" hidden="1" customHeight="1" spans="1:15">
      <c r="A1038" s="5"/>
      <c r="B1038" s="6" t="s">
        <v>2906</v>
      </c>
      <c r="C1038" s="6">
        <v>2019</v>
      </c>
      <c r="D1038" s="6">
        <v>6</v>
      </c>
      <c r="E1038" s="7">
        <v>7</v>
      </c>
      <c r="F1038" s="6" t="s">
        <v>4027</v>
      </c>
      <c r="G1038" s="6" t="s">
        <v>2908</v>
      </c>
      <c r="H1038" s="6" t="s">
        <v>2909</v>
      </c>
      <c r="I1038" s="8"/>
      <c r="J1038" s="8">
        <v>128571</v>
      </c>
      <c r="K1038" s="6" t="s">
        <v>3420</v>
      </c>
      <c r="L1038" s="6" t="s">
        <v>1280</v>
      </c>
      <c r="N1038" s="6" t="s">
        <v>1280</v>
      </c>
      <c r="O1038" s="29">
        <v>134999.55</v>
      </c>
    </row>
    <row r="1039" s="1" customFormat="1" ht="16.35" customHeight="1" spans="1:17">
      <c r="A1039" s="5"/>
      <c r="B1039" s="6" t="s">
        <v>2906</v>
      </c>
      <c r="C1039" s="6">
        <v>2019</v>
      </c>
      <c r="D1039" s="6">
        <v>6</v>
      </c>
      <c r="E1039" s="7">
        <v>8</v>
      </c>
      <c r="F1039" s="6" t="s">
        <v>3994</v>
      </c>
      <c r="G1039" s="6" t="s">
        <v>2908</v>
      </c>
      <c r="H1039" s="6" t="s">
        <v>2909</v>
      </c>
      <c r="I1039" s="8"/>
      <c r="J1039" s="8">
        <v>190476</v>
      </c>
      <c r="K1039" s="6" t="s">
        <v>3995</v>
      </c>
      <c r="L1039" s="6" t="s">
        <v>1909</v>
      </c>
      <c r="N1039" s="6" t="s">
        <v>1909</v>
      </c>
      <c r="O1039" s="45">
        <v>200000</v>
      </c>
      <c r="P1039" s="6" t="s">
        <v>1915</v>
      </c>
      <c r="Q1039" s="1">
        <f>O1039-J1039</f>
        <v>9524</v>
      </c>
    </row>
    <row r="1040" s="1" customFormat="1" ht="16.35" hidden="1" customHeight="1" spans="1:16">
      <c r="A1040" s="5"/>
      <c r="B1040" s="6" t="s">
        <v>2906</v>
      </c>
      <c r="C1040" s="6">
        <v>2019</v>
      </c>
      <c r="D1040" s="6">
        <v>6</v>
      </c>
      <c r="E1040" s="7">
        <v>9</v>
      </c>
      <c r="F1040" s="6" t="s">
        <v>4004</v>
      </c>
      <c r="G1040" s="6" t="s">
        <v>2908</v>
      </c>
      <c r="H1040" s="6" t="s">
        <v>2909</v>
      </c>
      <c r="I1040" s="8"/>
      <c r="J1040" s="8">
        <v>36882</v>
      </c>
      <c r="K1040" s="6" t="s">
        <v>3977</v>
      </c>
      <c r="L1040" s="6" t="s">
        <v>1248</v>
      </c>
      <c r="N1040" s="6" t="s">
        <v>1248</v>
      </c>
      <c r="O1040" s="29">
        <v>38726.1</v>
      </c>
      <c r="P1040" s="1">
        <f>O1040-J1040</f>
        <v>1844.1</v>
      </c>
    </row>
    <row r="1041" s="1" customFormat="1" ht="16.35" hidden="1" customHeight="1" spans="1:15">
      <c r="A1041" s="5"/>
      <c r="B1041" s="6" t="s">
        <v>2906</v>
      </c>
      <c r="C1041" s="6">
        <v>2019</v>
      </c>
      <c r="D1041" s="6">
        <v>6</v>
      </c>
      <c r="E1041" s="7">
        <v>10</v>
      </c>
      <c r="F1041" s="6" t="s">
        <v>4028</v>
      </c>
      <c r="G1041" s="6" t="s">
        <v>2908</v>
      </c>
      <c r="H1041" s="6" t="s">
        <v>2909</v>
      </c>
      <c r="I1041" s="8"/>
      <c r="J1041" s="8">
        <v>183810</v>
      </c>
      <c r="K1041" s="6" t="s">
        <v>4029</v>
      </c>
      <c r="L1041" s="6" t="s">
        <v>1238</v>
      </c>
      <c r="N1041" s="6" t="s">
        <v>1238</v>
      </c>
      <c r="O1041" s="29">
        <v>193000.5</v>
      </c>
    </row>
    <row r="1042" s="1" customFormat="1" ht="16.35" hidden="1" customHeight="1" spans="1:16">
      <c r="A1042" s="5"/>
      <c r="B1042" s="6" t="s">
        <v>2906</v>
      </c>
      <c r="C1042" s="6">
        <v>2019</v>
      </c>
      <c r="D1042" s="6">
        <v>6</v>
      </c>
      <c r="E1042" s="7">
        <v>11</v>
      </c>
      <c r="F1042" s="6" t="s">
        <v>4030</v>
      </c>
      <c r="G1042" s="6" t="s">
        <v>2908</v>
      </c>
      <c r="H1042" s="6" t="s">
        <v>2909</v>
      </c>
      <c r="I1042" s="8"/>
      <c r="J1042" s="8">
        <v>77143</v>
      </c>
      <c r="K1042" s="6" t="s">
        <v>4031</v>
      </c>
      <c r="L1042" s="6" t="s">
        <v>1259</v>
      </c>
      <c r="N1042" s="6" t="s">
        <v>1259</v>
      </c>
      <c r="O1042" s="29">
        <v>81000.15</v>
      </c>
      <c r="P1042" s="1">
        <f>O1042-J1042</f>
        <v>3857.14999999999</v>
      </c>
    </row>
    <row r="1043" s="1" customFormat="1" ht="16.35" hidden="1" customHeight="1" spans="1:15">
      <c r="A1043" s="5"/>
      <c r="B1043" s="6" t="s">
        <v>2906</v>
      </c>
      <c r="C1043" s="6">
        <v>2019</v>
      </c>
      <c r="D1043" s="6">
        <v>6</v>
      </c>
      <c r="E1043" s="7">
        <v>12</v>
      </c>
      <c r="F1043" s="6" t="s">
        <v>3863</v>
      </c>
      <c r="G1043" s="6" t="s">
        <v>2908</v>
      </c>
      <c r="H1043" s="6" t="s">
        <v>2909</v>
      </c>
      <c r="I1043" s="8"/>
      <c r="J1043" s="8">
        <v>131429</v>
      </c>
      <c r="K1043" s="6" t="s">
        <v>3864</v>
      </c>
      <c r="L1043" s="6" t="s">
        <v>1505</v>
      </c>
      <c r="N1043" s="6" t="s">
        <v>1505</v>
      </c>
      <c r="O1043" s="29">
        <v>138000.45</v>
      </c>
    </row>
    <row r="1044" s="1" customFormat="1" ht="16.35" hidden="1" customHeight="1" spans="1:16">
      <c r="A1044" s="5"/>
      <c r="B1044" s="6" t="s">
        <v>2906</v>
      </c>
      <c r="C1044" s="6">
        <v>2019</v>
      </c>
      <c r="D1044" s="6">
        <v>6</v>
      </c>
      <c r="E1044" s="7">
        <v>13</v>
      </c>
      <c r="F1044" s="6" t="s">
        <v>4032</v>
      </c>
      <c r="G1044" s="6" t="s">
        <v>2908</v>
      </c>
      <c r="H1044" s="6" t="s">
        <v>2909</v>
      </c>
      <c r="I1044" s="8"/>
      <c r="J1044" s="8">
        <v>123810</v>
      </c>
      <c r="K1044" s="6" t="s">
        <v>3082</v>
      </c>
      <c r="L1044" s="6" t="s">
        <v>1625</v>
      </c>
      <c r="N1044" s="6" t="s">
        <v>1625</v>
      </c>
      <c r="O1044" s="29">
        <v>130000.5</v>
      </c>
      <c r="P1044" s="1">
        <f>O1044-J1044</f>
        <v>6190.5</v>
      </c>
    </row>
    <row r="1045" s="1" customFormat="1" ht="16.35" hidden="1" customHeight="1" spans="1:15">
      <c r="A1045" s="5"/>
      <c r="B1045" s="6" t="s">
        <v>2906</v>
      </c>
      <c r="C1045" s="6">
        <v>2019</v>
      </c>
      <c r="D1045" s="6">
        <v>6</v>
      </c>
      <c r="E1045" s="7">
        <v>14</v>
      </c>
      <c r="F1045" s="6" t="s">
        <v>4033</v>
      </c>
      <c r="G1045" s="6" t="s">
        <v>2908</v>
      </c>
      <c r="H1045" s="6" t="s">
        <v>2909</v>
      </c>
      <c r="I1045" s="8"/>
      <c r="J1045" s="8">
        <v>4762</v>
      </c>
      <c r="K1045" s="6" t="s">
        <v>4034</v>
      </c>
      <c r="L1045" s="6" t="s">
        <v>1418</v>
      </c>
      <c r="N1045" s="6" t="s">
        <v>1418</v>
      </c>
      <c r="O1045" s="29">
        <v>5000.1</v>
      </c>
    </row>
    <row r="1046" s="1" customFormat="1" ht="16.35" hidden="1" customHeight="1" spans="1:15">
      <c r="A1046" s="5"/>
      <c r="B1046" s="6" t="s">
        <v>2906</v>
      </c>
      <c r="C1046" s="6">
        <v>2019</v>
      </c>
      <c r="D1046" s="6">
        <v>6</v>
      </c>
      <c r="E1046" s="7">
        <v>15</v>
      </c>
      <c r="F1046" s="6" t="s">
        <v>4035</v>
      </c>
      <c r="G1046" s="6" t="s">
        <v>2908</v>
      </c>
      <c r="H1046" s="6" t="s">
        <v>2909</v>
      </c>
      <c r="I1046" s="8"/>
      <c r="J1046" s="8">
        <v>4762</v>
      </c>
      <c r="K1046" s="6" t="s">
        <v>4036</v>
      </c>
      <c r="L1046" s="6" t="s">
        <v>1416</v>
      </c>
      <c r="N1046" s="6" t="s">
        <v>1416</v>
      </c>
      <c r="O1046" s="29">
        <v>5000.1</v>
      </c>
    </row>
    <row r="1047" s="1" customFormat="1" ht="16.35" hidden="1" customHeight="1" spans="1:15">
      <c r="A1047" s="5"/>
      <c r="B1047" s="6" t="s">
        <v>2906</v>
      </c>
      <c r="C1047" s="6">
        <v>2019</v>
      </c>
      <c r="D1047" s="6">
        <v>6</v>
      </c>
      <c r="E1047" s="7">
        <v>16</v>
      </c>
      <c r="F1047" s="6" t="s">
        <v>4037</v>
      </c>
      <c r="G1047" s="6" t="s">
        <v>2908</v>
      </c>
      <c r="H1047" s="6" t="s">
        <v>2909</v>
      </c>
      <c r="I1047" s="8"/>
      <c r="J1047" s="8">
        <v>9524</v>
      </c>
      <c r="K1047" s="6" t="s">
        <v>4038</v>
      </c>
      <c r="L1047" s="6" t="s">
        <v>1421</v>
      </c>
      <c r="N1047" s="6" t="s">
        <v>1421</v>
      </c>
      <c r="O1047" s="29">
        <v>10000.2</v>
      </c>
    </row>
    <row r="1048" s="1" customFormat="1" ht="16.35" hidden="1" customHeight="1" spans="1:16">
      <c r="A1048" s="5"/>
      <c r="B1048" s="6" t="s">
        <v>2906</v>
      </c>
      <c r="C1048" s="6">
        <v>2019</v>
      </c>
      <c r="D1048" s="6">
        <v>6</v>
      </c>
      <c r="E1048" s="7">
        <v>17</v>
      </c>
      <c r="F1048" s="6" t="s">
        <v>4039</v>
      </c>
      <c r="G1048" s="6" t="s">
        <v>2908</v>
      </c>
      <c r="H1048" s="6" t="s">
        <v>2909</v>
      </c>
      <c r="I1048" s="8"/>
      <c r="J1048" s="8">
        <v>38095</v>
      </c>
      <c r="K1048" s="6" t="s">
        <v>4040</v>
      </c>
      <c r="L1048" s="6" t="s">
        <v>1920</v>
      </c>
      <c r="N1048" s="6" t="s">
        <v>1920</v>
      </c>
      <c r="O1048" s="45">
        <v>39999.75</v>
      </c>
      <c r="P1048" s="6" t="s">
        <v>1912</v>
      </c>
    </row>
    <row r="1049" s="1" customFormat="1" ht="16.35" hidden="1" customHeight="1" spans="1:16">
      <c r="A1049" s="5"/>
      <c r="B1049" s="6" t="s">
        <v>2906</v>
      </c>
      <c r="C1049" s="6">
        <v>2019</v>
      </c>
      <c r="D1049" s="6">
        <v>6</v>
      </c>
      <c r="E1049" s="7">
        <v>18</v>
      </c>
      <c r="F1049" s="6" t="s">
        <v>4039</v>
      </c>
      <c r="G1049" s="6" t="s">
        <v>2908</v>
      </c>
      <c r="H1049" s="6" t="s">
        <v>2909</v>
      </c>
      <c r="I1049" s="8"/>
      <c r="J1049" s="8">
        <v>30476</v>
      </c>
      <c r="K1049" s="6" t="s">
        <v>4040</v>
      </c>
      <c r="L1049" s="6" t="s">
        <v>1920</v>
      </c>
      <c r="N1049" s="6" t="s">
        <v>1920</v>
      </c>
      <c r="O1049" s="45">
        <v>31999.8</v>
      </c>
      <c r="P1049" s="6" t="s">
        <v>1912</v>
      </c>
    </row>
    <row r="1050" s="1" customFormat="1" ht="16.35" hidden="1" customHeight="1" spans="1:17">
      <c r="A1050" s="5"/>
      <c r="B1050" s="6" t="s">
        <v>2906</v>
      </c>
      <c r="C1050" s="6">
        <v>2019</v>
      </c>
      <c r="D1050" s="6">
        <v>6</v>
      </c>
      <c r="E1050" s="7">
        <v>19</v>
      </c>
      <c r="F1050" s="6" t="s">
        <v>4041</v>
      </c>
      <c r="G1050" s="6" t="s">
        <v>2908</v>
      </c>
      <c r="H1050" s="6" t="s">
        <v>2909</v>
      </c>
      <c r="I1050" s="8"/>
      <c r="J1050" s="8">
        <v>407619</v>
      </c>
      <c r="K1050" s="6" t="s">
        <v>4042</v>
      </c>
      <c r="L1050" s="6" t="s">
        <v>1912</v>
      </c>
      <c r="N1050" s="6" t="s">
        <v>1912</v>
      </c>
      <c r="O1050" s="45">
        <v>428000</v>
      </c>
      <c r="P1050" s="6" t="s">
        <v>1912</v>
      </c>
      <c r="Q1050" s="1">
        <f>O1050-J1050</f>
        <v>20381</v>
      </c>
    </row>
    <row r="1051" s="1" customFormat="1" ht="16.35" hidden="1" customHeight="1" spans="1:15">
      <c r="A1051" s="5"/>
      <c r="B1051" s="6" t="s">
        <v>2906</v>
      </c>
      <c r="C1051" s="6">
        <v>2019</v>
      </c>
      <c r="D1051" s="6">
        <v>6</v>
      </c>
      <c r="E1051" s="7">
        <v>20</v>
      </c>
      <c r="F1051" s="6" t="s">
        <v>4043</v>
      </c>
      <c r="G1051" s="6" t="s">
        <v>2908</v>
      </c>
      <c r="H1051" s="6" t="s">
        <v>2909</v>
      </c>
      <c r="I1051" s="8"/>
      <c r="J1051" s="8">
        <v>5795</v>
      </c>
      <c r="K1051" s="6" t="s">
        <v>4044</v>
      </c>
      <c r="L1051" s="6" t="s">
        <v>1224</v>
      </c>
      <c r="N1051" s="6" t="s">
        <v>1224</v>
      </c>
      <c r="O1051" s="29">
        <v>6084.75</v>
      </c>
    </row>
    <row r="1052" s="1" customFormat="1" ht="16.35" hidden="1" customHeight="1" spans="1:15">
      <c r="A1052" s="5"/>
      <c r="B1052" s="6" t="s">
        <v>2906</v>
      </c>
      <c r="C1052" s="6">
        <v>2019</v>
      </c>
      <c r="D1052" s="6">
        <v>6</v>
      </c>
      <c r="E1052" s="7">
        <v>21</v>
      </c>
      <c r="F1052" s="6" t="s">
        <v>3968</v>
      </c>
      <c r="G1052" s="6" t="s">
        <v>2908</v>
      </c>
      <c r="H1052" s="6" t="s">
        <v>2909</v>
      </c>
      <c r="I1052" s="8"/>
      <c r="J1052" s="8">
        <v>40952</v>
      </c>
      <c r="K1052" s="6" t="s">
        <v>3969</v>
      </c>
      <c r="L1052" s="6" t="s">
        <v>1521</v>
      </c>
      <c r="N1052" s="6" t="s">
        <v>1521</v>
      </c>
      <c r="O1052" s="29">
        <v>42999.6</v>
      </c>
    </row>
    <row r="1053" s="1" customFormat="1" ht="16.35" hidden="1" customHeight="1" spans="1:16">
      <c r="A1053" s="5"/>
      <c r="B1053" s="6" t="s">
        <v>2906</v>
      </c>
      <c r="C1053" s="6">
        <v>2019</v>
      </c>
      <c r="D1053" s="6">
        <v>6</v>
      </c>
      <c r="E1053" s="7">
        <v>22</v>
      </c>
      <c r="F1053" s="6" t="s">
        <v>4018</v>
      </c>
      <c r="G1053" s="6" t="s">
        <v>2908</v>
      </c>
      <c r="H1053" s="6" t="s">
        <v>2909</v>
      </c>
      <c r="I1053" s="8"/>
      <c r="J1053" s="8">
        <v>64069</v>
      </c>
      <c r="K1053" s="6" t="s">
        <v>4019</v>
      </c>
      <c r="L1053" s="6" t="s">
        <v>1252</v>
      </c>
      <c r="N1053" s="6" t="s">
        <v>1252</v>
      </c>
      <c r="O1053" s="29">
        <v>67272.45</v>
      </c>
      <c r="P1053" s="1">
        <f>O1053-J1053</f>
        <v>3203.45</v>
      </c>
    </row>
    <row r="1054" s="1" customFormat="1" ht="16.35" hidden="1" customHeight="1" spans="1:15">
      <c r="A1054" s="5"/>
      <c r="B1054" s="6" t="s">
        <v>2906</v>
      </c>
      <c r="C1054" s="6">
        <v>2019</v>
      </c>
      <c r="D1054" s="6">
        <v>6</v>
      </c>
      <c r="E1054" s="7">
        <v>23</v>
      </c>
      <c r="F1054" s="6" t="s">
        <v>3998</v>
      </c>
      <c r="G1054" s="6" t="s">
        <v>2908</v>
      </c>
      <c r="H1054" s="6" t="s">
        <v>2909</v>
      </c>
      <c r="I1054" s="8"/>
      <c r="J1054" s="8">
        <v>142857</v>
      </c>
      <c r="K1054" s="6" t="s">
        <v>3999</v>
      </c>
      <c r="L1054" s="6" t="s">
        <v>1917</v>
      </c>
      <c r="N1054" s="6" t="s">
        <v>1917</v>
      </c>
      <c r="O1054" s="29">
        <v>149999.85</v>
      </c>
    </row>
    <row r="1055" s="1" customFormat="1" ht="16.35" hidden="1" customHeight="1" spans="1:15">
      <c r="A1055" s="5"/>
      <c r="B1055" s="6" t="s">
        <v>2906</v>
      </c>
      <c r="C1055" s="6">
        <v>2019</v>
      </c>
      <c r="D1055" s="6">
        <v>7</v>
      </c>
      <c r="E1055" s="7">
        <v>1</v>
      </c>
      <c r="F1055" s="6" t="s">
        <v>4035</v>
      </c>
      <c r="G1055" s="6" t="s">
        <v>2908</v>
      </c>
      <c r="H1055" s="6" t="s">
        <v>2909</v>
      </c>
      <c r="I1055" s="8"/>
      <c r="J1055" s="8">
        <v>100657</v>
      </c>
      <c r="K1055" s="6" t="s">
        <v>4036</v>
      </c>
      <c r="L1055" s="6" t="s">
        <v>1416</v>
      </c>
      <c r="N1055" s="6" t="s">
        <v>1416</v>
      </c>
      <c r="O1055" s="29">
        <v>105689.85</v>
      </c>
    </row>
    <row r="1056" s="1" customFormat="1" ht="16.35" hidden="1" customHeight="1" spans="1:15">
      <c r="A1056" s="5"/>
      <c r="B1056" s="6" t="s">
        <v>2906</v>
      </c>
      <c r="C1056" s="6">
        <v>2019</v>
      </c>
      <c r="D1056" s="6">
        <v>7</v>
      </c>
      <c r="E1056" s="7">
        <v>2</v>
      </c>
      <c r="F1056" s="6" t="s">
        <v>4033</v>
      </c>
      <c r="G1056" s="6" t="s">
        <v>2908</v>
      </c>
      <c r="H1056" s="6" t="s">
        <v>2909</v>
      </c>
      <c r="I1056" s="8"/>
      <c r="J1056" s="8">
        <v>95500</v>
      </c>
      <c r="K1056" s="6" t="s">
        <v>4034</v>
      </c>
      <c r="L1056" s="6" t="s">
        <v>1418</v>
      </c>
      <c r="N1056" s="6" t="s">
        <v>1418</v>
      </c>
      <c r="O1056" s="29">
        <v>100275</v>
      </c>
    </row>
    <row r="1057" s="1" customFormat="1" ht="16.35" hidden="1" customHeight="1" spans="1:16">
      <c r="A1057" s="5"/>
      <c r="B1057" s="6" t="s">
        <v>2906</v>
      </c>
      <c r="C1057" s="6">
        <v>2019</v>
      </c>
      <c r="D1057" s="6">
        <v>7</v>
      </c>
      <c r="E1057" s="7">
        <v>3</v>
      </c>
      <c r="F1057" s="6" t="s">
        <v>4045</v>
      </c>
      <c r="G1057" s="6" t="s">
        <v>2908</v>
      </c>
      <c r="H1057" s="6" t="s">
        <v>2909</v>
      </c>
      <c r="I1057" s="8"/>
      <c r="J1057" s="8">
        <v>9524</v>
      </c>
      <c r="K1057" s="6" t="s">
        <v>4046</v>
      </c>
      <c r="L1057" s="6" t="s">
        <v>1907</v>
      </c>
      <c r="N1057" s="6" t="s">
        <v>1907</v>
      </c>
      <c r="O1057" s="29">
        <v>10000.2</v>
      </c>
      <c r="P1057" s="1">
        <f>O1057-J1057</f>
        <v>476.200000000001</v>
      </c>
    </row>
    <row r="1058" s="1" customFormat="1" ht="16.35" hidden="1" customHeight="1" spans="1:15">
      <c r="A1058" s="5"/>
      <c r="B1058" s="6" t="s">
        <v>2906</v>
      </c>
      <c r="C1058" s="6">
        <v>2019</v>
      </c>
      <c r="D1058" s="6">
        <v>7</v>
      </c>
      <c r="E1058" s="7">
        <v>4</v>
      </c>
      <c r="F1058" s="6" t="s">
        <v>4047</v>
      </c>
      <c r="G1058" s="6" t="s">
        <v>2908</v>
      </c>
      <c r="H1058" s="6" t="s">
        <v>2909</v>
      </c>
      <c r="I1058" s="8"/>
      <c r="J1058" s="8">
        <v>123810</v>
      </c>
      <c r="K1058" s="6" t="s">
        <v>3156</v>
      </c>
      <c r="L1058" s="6" t="s">
        <v>1555</v>
      </c>
      <c r="N1058" s="6" t="s">
        <v>1555</v>
      </c>
      <c r="O1058" s="29">
        <v>130000.5</v>
      </c>
    </row>
    <row r="1059" s="1" customFormat="1" ht="16.35" hidden="1" customHeight="1" spans="1:16">
      <c r="A1059" s="5"/>
      <c r="B1059" s="6" t="s">
        <v>2906</v>
      </c>
      <c r="C1059" s="6">
        <v>2019</v>
      </c>
      <c r="D1059" s="6">
        <v>7</v>
      </c>
      <c r="E1059" s="7">
        <v>5</v>
      </c>
      <c r="F1059" s="6" t="s">
        <v>4030</v>
      </c>
      <c r="G1059" s="6" t="s">
        <v>2908</v>
      </c>
      <c r="H1059" s="6" t="s">
        <v>2909</v>
      </c>
      <c r="I1059" s="8"/>
      <c r="J1059" s="8">
        <v>2857</v>
      </c>
      <c r="K1059" s="6" t="s">
        <v>4031</v>
      </c>
      <c r="L1059" s="6" t="s">
        <v>1259</v>
      </c>
      <c r="N1059" s="6" t="s">
        <v>1259</v>
      </c>
      <c r="O1059" s="29">
        <v>2999.85</v>
      </c>
      <c r="P1059" s="1">
        <f>O1059-J1059</f>
        <v>142.85</v>
      </c>
    </row>
    <row r="1060" s="1" customFormat="1" ht="16.35" hidden="1" customHeight="1" spans="1:15">
      <c r="A1060" s="5"/>
      <c r="B1060" s="6" t="s">
        <v>2906</v>
      </c>
      <c r="C1060" s="6">
        <v>2019</v>
      </c>
      <c r="D1060" s="6">
        <v>7</v>
      </c>
      <c r="E1060" s="7">
        <v>6</v>
      </c>
      <c r="F1060" s="6" t="s">
        <v>4037</v>
      </c>
      <c r="G1060" s="6" t="s">
        <v>2908</v>
      </c>
      <c r="H1060" s="6" t="s">
        <v>2909</v>
      </c>
      <c r="I1060" s="8"/>
      <c r="J1060" s="8">
        <v>180952</v>
      </c>
      <c r="K1060" s="6" t="s">
        <v>4038</v>
      </c>
      <c r="L1060" s="6" t="s">
        <v>1421</v>
      </c>
      <c r="N1060" s="6" t="s">
        <v>1421</v>
      </c>
      <c r="O1060" s="29">
        <v>189999.6</v>
      </c>
    </row>
    <row r="1061" s="1" customFormat="1" ht="16.35" hidden="1" customHeight="1" spans="1:16">
      <c r="A1061" s="5"/>
      <c r="B1061" s="6" t="s">
        <v>2906</v>
      </c>
      <c r="C1061" s="6">
        <v>2019</v>
      </c>
      <c r="D1061" s="6">
        <v>7</v>
      </c>
      <c r="E1061" s="7">
        <v>7</v>
      </c>
      <c r="F1061" s="6" t="s">
        <v>4048</v>
      </c>
      <c r="G1061" s="6" t="s">
        <v>2908</v>
      </c>
      <c r="H1061" s="6" t="s">
        <v>2909</v>
      </c>
      <c r="I1061" s="8"/>
      <c r="J1061" s="8">
        <v>98095</v>
      </c>
      <c r="K1061" s="6" t="s">
        <v>3976</v>
      </c>
      <c r="L1061" s="6" t="s">
        <v>1251</v>
      </c>
      <c r="N1061" s="6" t="s">
        <v>1251</v>
      </c>
      <c r="O1061" s="29">
        <v>102999.75</v>
      </c>
      <c r="P1061" s="1">
        <f>O1061-J1061</f>
        <v>4904.75</v>
      </c>
    </row>
    <row r="1062" s="1" customFormat="1" ht="16.35" hidden="1" customHeight="1" spans="1:16">
      <c r="A1062" s="5"/>
      <c r="B1062" s="6" t="s">
        <v>2906</v>
      </c>
      <c r="C1062" s="6">
        <v>2019</v>
      </c>
      <c r="D1062" s="6">
        <v>7</v>
      </c>
      <c r="E1062" s="7">
        <v>8</v>
      </c>
      <c r="F1062" s="6" t="s">
        <v>4049</v>
      </c>
      <c r="G1062" s="6" t="s">
        <v>2908</v>
      </c>
      <c r="H1062" s="6" t="s">
        <v>2909</v>
      </c>
      <c r="I1062" s="8"/>
      <c r="J1062" s="8">
        <v>112381</v>
      </c>
      <c r="K1062" s="6" t="s">
        <v>3977</v>
      </c>
      <c r="L1062" s="6" t="s">
        <v>1248</v>
      </c>
      <c r="N1062" s="6" t="s">
        <v>1248</v>
      </c>
      <c r="O1062" s="29">
        <v>118000.05</v>
      </c>
      <c r="P1062" s="1">
        <f>O1062-J1062</f>
        <v>5619.05</v>
      </c>
    </row>
    <row r="1063" s="1" customFormat="1" ht="16.35" hidden="1" customHeight="1" spans="1:16">
      <c r="A1063" s="5"/>
      <c r="B1063" s="6" t="s">
        <v>2906</v>
      </c>
      <c r="C1063" s="6">
        <v>2019</v>
      </c>
      <c r="D1063" s="6">
        <v>7</v>
      </c>
      <c r="E1063" s="7">
        <v>9</v>
      </c>
      <c r="F1063" s="6" t="s">
        <v>4050</v>
      </c>
      <c r="G1063" s="6" t="s">
        <v>2908</v>
      </c>
      <c r="H1063" s="6" t="s">
        <v>2909</v>
      </c>
      <c r="I1063" s="8"/>
      <c r="J1063" s="8">
        <v>99048</v>
      </c>
      <c r="K1063" s="6" t="s">
        <v>3975</v>
      </c>
      <c r="L1063" s="6" t="s">
        <v>1250</v>
      </c>
      <c r="N1063" s="6" t="s">
        <v>1250</v>
      </c>
      <c r="O1063" s="29">
        <v>104000.4</v>
      </c>
      <c r="P1063" s="1">
        <f>O1063-J1063</f>
        <v>4952.39999999999</v>
      </c>
    </row>
    <row r="1064" s="1" customFormat="1" ht="16.35" hidden="1" customHeight="1" spans="1:15">
      <c r="A1064" s="5"/>
      <c r="B1064" s="6" t="s">
        <v>2906</v>
      </c>
      <c r="C1064" s="6">
        <v>2019</v>
      </c>
      <c r="D1064" s="6">
        <v>7</v>
      </c>
      <c r="E1064" s="7">
        <v>10</v>
      </c>
      <c r="F1064" s="6" t="s">
        <v>4051</v>
      </c>
      <c r="G1064" s="6" t="s">
        <v>2908</v>
      </c>
      <c r="H1064" s="6" t="s">
        <v>2909</v>
      </c>
      <c r="I1064" s="8"/>
      <c r="J1064" s="8">
        <v>85714</v>
      </c>
      <c r="K1064" s="6" t="s">
        <v>3992</v>
      </c>
      <c r="L1064" s="6" t="s">
        <v>1335</v>
      </c>
      <c r="N1064" s="6" t="s">
        <v>1335</v>
      </c>
      <c r="O1064" s="29">
        <v>89999.7</v>
      </c>
    </row>
    <row r="1065" s="1" customFormat="1" ht="16.35" hidden="1" customHeight="1" spans="1:16">
      <c r="A1065" s="5"/>
      <c r="B1065" s="6" t="s">
        <v>2906</v>
      </c>
      <c r="C1065" s="6">
        <v>2019</v>
      </c>
      <c r="D1065" s="6">
        <v>7</v>
      </c>
      <c r="E1065" s="7">
        <v>11</v>
      </c>
      <c r="F1065" s="6" t="s">
        <v>4052</v>
      </c>
      <c r="G1065" s="6" t="s">
        <v>2908</v>
      </c>
      <c r="H1065" s="6" t="s">
        <v>2909</v>
      </c>
      <c r="I1065" s="8"/>
      <c r="J1065" s="8">
        <v>76190</v>
      </c>
      <c r="K1065" s="6" t="s">
        <v>3993</v>
      </c>
      <c r="L1065" s="6" t="s">
        <v>1337</v>
      </c>
      <c r="N1065" s="6" t="s">
        <v>1337</v>
      </c>
      <c r="O1065" s="29">
        <v>79999.5</v>
      </c>
      <c r="P1065" s="1">
        <f>O1065-J1065</f>
        <v>3809.5</v>
      </c>
    </row>
    <row r="1066" s="1" customFormat="1" ht="16.35" hidden="1" customHeight="1" spans="1:15">
      <c r="A1066" s="5"/>
      <c r="B1066" s="6" t="s">
        <v>2906</v>
      </c>
      <c r="C1066" s="6">
        <v>2019</v>
      </c>
      <c r="D1066" s="6">
        <v>7</v>
      </c>
      <c r="E1066" s="7">
        <v>21</v>
      </c>
      <c r="F1066" s="6" t="s">
        <v>4053</v>
      </c>
      <c r="G1066" s="6" t="s">
        <v>2908</v>
      </c>
      <c r="H1066" s="6" t="s">
        <v>2909</v>
      </c>
      <c r="I1066" s="8"/>
      <c r="J1066" s="8">
        <v>-4762</v>
      </c>
      <c r="K1066" s="6" t="s">
        <v>3080</v>
      </c>
      <c r="L1066" s="6" t="s">
        <v>1377</v>
      </c>
      <c r="N1066" s="6" t="s">
        <v>1377</v>
      </c>
      <c r="O1066" s="29">
        <v>-5000.1</v>
      </c>
    </row>
    <row r="1067" s="1" customFormat="1" ht="16.35" hidden="1" customHeight="1" spans="1:15">
      <c r="A1067" s="5"/>
      <c r="B1067" s="6" t="s">
        <v>2906</v>
      </c>
      <c r="C1067" s="6">
        <v>2019</v>
      </c>
      <c r="D1067" s="6">
        <v>7</v>
      </c>
      <c r="E1067" s="7">
        <v>28</v>
      </c>
      <c r="F1067" s="6" t="s">
        <v>4054</v>
      </c>
      <c r="G1067" s="6" t="s">
        <v>2908</v>
      </c>
      <c r="H1067" s="6" t="s">
        <v>2909</v>
      </c>
      <c r="I1067" s="8"/>
      <c r="J1067" s="8">
        <v>204419</v>
      </c>
      <c r="K1067" s="6" t="s">
        <v>4021</v>
      </c>
      <c r="L1067" s="6" t="s">
        <v>1263</v>
      </c>
      <c r="N1067" s="6" t="s">
        <v>1263</v>
      </c>
      <c r="O1067" s="29">
        <v>214639.95</v>
      </c>
    </row>
    <row r="1068" s="1" customFormat="1" ht="16.35" hidden="1" customHeight="1" spans="1:15">
      <c r="A1068" s="5"/>
      <c r="B1068" s="6" t="s">
        <v>2906</v>
      </c>
      <c r="C1068" s="6">
        <v>2019</v>
      </c>
      <c r="D1068" s="6">
        <v>7</v>
      </c>
      <c r="E1068" s="7">
        <v>29</v>
      </c>
      <c r="F1068" s="6" t="s">
        <v>3863</v>
      </c>
      <c r="G1068" s="6" t="s">
        <v>2908</v>
      </c>
      <c r="H1068" s="6" t="s">
        <v>2909</v>
      </c>
      <c r="I1068" s="8"/>
      <c r="J1068" s="8">
        <v>12381</v>
      </c>
      <c r="K1068" s="6" t="s">
        <v>3864</v>
      </c>
      <c r="L1068" s="6" t="s">
        <v>1505</v>
      </c>
      <c r="N1068" s="6" t="s">
        <v>1505</v>
      </c>
      <c r="O1068" s="29">
        <v>13000.05</v>
      </c>
    </row>
    <row r="1069" s="1" customFormat="1" ht="16.35" hidden="1" customHeight="1" spans="1:15">
      <c r="A1069" s="5"/>
      <c r="B1069" s="6" t="s">
        <v>2906</v>
      </c>
      <c r="C1069" s="6">
        <v>2019</v>
      </c>
      <c r="D1069" s="6">
        <v>8</v>
      </c>
      <c r="E1069" s="7">
        <v>1</v>
      </c>
      <c r="F1069" s="6" t="s">
        <v>4055</v>
      </c>
      <c r="G1069" s="6" t="s">
        <v>2908</v>
      </c>
      <c r="H1069" s="6" t="s">
        <v>2909</v>
      </c>
      <c r="I1069" s="8"/>
      <c r="J1069" s="8">
        <v>128571</v>
      </c>
      <c r="K1069" s="6" t="s">
        <v>3174</v>
      </c>
      <c r="L1069" s="6" t="s">
        <v>1294</v>
      </c>
      <c r="N1069" s="6" t="s">
        <v>1294</v>
      </c>
      <c r="O1069" s="29">
        <v>134999.55</v>
      </c>
    </row>
    <row r="1070" s="1" customFormat="1" ht="16.35" hidden="1" customHeight="1" spans="1:16">
      <c r="A1070" s="5"/>
      <c r="B1070" s="6" t="s">
        <v>2906</v>
      </c>
      <c r="C1070" s="6">
        <v>2019</v>
      </c>
      <c r="D1070" s="6">
        <v>8</v>
      </c>
      <c r="E1070" s="7">
        <v>2</v>
      </c>
      <c r="F1070" s="6" t="s">
        <v>4056</v>
      </c>
      <c r="G1070" s="6" t="s">
        <v>2908</v>
      </c>
      <c r="H1070" s="6" t="s">
        <v>2909</v>
      </c>
      <c r="I1070" s="8"/>
      <c r="J1070" s="8">
        <v>78800</v>
      </c>
      <c r="K1070" s="6" t="s">
        <v>3981</v>
      </c>
      <c r="L1070" s="6" t="s">
        <v>1240</v>
      </c>
      <c r="N1070" s="6" t="s">
        <v>1240</v>
      </c>
      <c r="O1070" s="29">
        <v>82740</v>
      </c>
      <c r="P1070" s="1">
        <f>O1070-J1070</f>
        <v>3940</v>
      </c>
    </row>
    <row r="1071" s="1" customFormat="1" ht="16.35" hidden="1" customHeight="1" spans="1:16">
      <c r="A1071" s="5"/>
      <c r="B1071" s="6" t="s">
        <v>2906</v>
      </c>
      <c r="C1071" s="6">
        <v>2019</v>
      </c>
      <c r="D1071" s="6">
        <v>8</v>
      </c>
      <c r="E1071" s="7">
        <v>3</v>
      </c>
      <c r="F1071" s="6" t="s">
        <v>3982</v>
      </c>
      <c r="G1071" s="6" t="s">
        <v>2908</v>
      </c>
      <c r="H1071" s="6" t="s">
        <v>2909</v>
      </c>
      <c r="I1071" s="8"/>
      <c r="J1071" s="8">
        <v>69276</v>
      </c>
      <c r="K1071" s="6" t="s">
        <v>3983</v>
      </c>
      <c r="L1071" s="6" t="s">
        <v>1243</v>
      </c>
      <c r="N1071" s="6" t="s">
        <v>1243</v>
      </c>
      <c r="O1071" s="29">
        <v>72740</v>
      </c>
      <c r="P1071" s="1">
        <f>O1071-J1071</f>
        <v>3464</v>
      </c>
    </row>
    <row r="1072" s="1" customFormat="1" ht="16.35" hidden="1" customHeight="1" spans="1:16">
      <c r="A1072" s="5"/>
      <c r="B1072" s="6" t="s">
        <v>2906</v>
      </c>
      <c r="C1072" s="6">
        <v>2019</v>
      </c>
      <c r="D1072" s="6">
        <v>8</v>
      </c>
      <c r="E1072" s="7">
        <v>4</v>
      </c>
      <c r="F1072" s="6" t="s">
        <v>4057</v>
      </c>
      <c r="G1072" s="6" t="s">
        <v>2908</v>
      </c>
      <c r="H1072" s="6" t="s">
        <v>2909</v>
      </c>
      <c r="I1072" s="8"/>
      <c r="J1072" s="8">
        <v>126348</v>
      </c>
      <c r="K1072" s="6" t="s">
        <v>4058</v>
      </c>
      <c r="L1072" s="6" t="s">
        <v>1339</v>
      </c>
      <c r="N1072" s="6" t="s">
        <v>1339</v>
      </c>
      <c r="O1072" s="29">
        <v>132665.4</v>
      </c>
      <c r="P1072" s="1">
        <f>O1072-J1072</f>
        <v>6317.39999999999</v>
      </c>
    </row>
    <row r="1073" s="1" customFormat="1" ht="16.35" hidden="1" customHeight="1" spans="1:16">
      <c r="A1073" s="5"/>
      <c r="B1073" s="6" t="s">
        <v>2906</v>
      </c>
      <c r="C1073" s="6">
        <v>2019</v>
      </c>
      <c r="D1073" s="6">
        <v>9</v>
      </c>
      <c r="E1073" s="7">
        <v>1</v>
      </c>
      <c r="F1073" s="6" t="s">
        <v>3984</v>
      </c>
      <c r="G1073" s="6" t="s">
        <v>2908</v>
      </c>
      <c r="H1073" s="6" t="s">
        <v>2909</v>
      </c>
      <c r="I1073" s="8"/>
      <c r="J1073" s="8">
        <v>19048</v>
      </c>
      <c r="K1073" s="6" t="s">
        <v>3985</v>
      </c>
      <c r="L1073" s="6" t="s">
        <v>1257</v>
      </c>
      <c r="N1073" s="6" t="s">
        <v>1257</v>
      </c>
      <c r="O1073" s="29">
        <v>20000.4</v>
      </c>
      <c r="P1073" s="1">
        <f>O1073-J1073</f>
        <v>952.400000000001</v>
      </c>
    </row>
    <row r="1074" s="1" customFormat="1" ht="16.35" hidden="1" customHeight="1" spans="1:15">
      <c r="A1074" s="5"/>
      <c r="B1074" s="6" t="s">
        <v>2906</v>
      </c>
      <c r="C1074" s="6">
        <v>2019</v>
      </c>
      <c r="D1074" s="6">
        <v>9</v>
      </c>
      <c r="E1074" s="7">
        <v>2</v>
      </c>
      <c r="F1074" s="6" t="s">
        <v>4059</v>
      </c>
      <c r="G1074" s="6" t="s">
        <v>2908</v>
      </c>
      <c r="H1074" s="6" t="s">
        <v>2909</v>
      </c>
      <c r="I1074" s="8"/>
      <c r="J1074" s="8">
        <v>161905</v>
      </c>
      <c r="K1074" s="6" t="s">
        <v>3621</v>
      </c>
      <c r="L1074" s="6" t="s">
        <v>1595</v>
      </c>
      <c r="N1074" s="6" t="s">
        <v>1595</v>
      </c>
      <c r="O1074" s="29">
        <v>170000.25</v>
      </c>
    </row>
    <row r="1075" s="1" customFormat="1" ht="16.35" hidden="1" customHeight="1" spans="1:15">
      <c r="A1075" s="5"/>
      <c r="B1075" s="6" t="s">
        <v>2906</v>
      </c>
      <c r="C1075" s="6">
        <v>2019</v>
      </c>
      <c r="D1075" s="6">
        <v>9</v>
      </c>
      <c r="E1075" s="7">
        <v>3</v>
      </c>
      <c r="F1075" s="6" t="s">
        <v>4060</v>
      </c>
      <c r="G1075" s="6" t="s">
        <v>2908</v>
      </c>
      <c r="H1075" s="6" t="s">
        <v>2909</v>
      </c>
      <c r="I1075" s="8"/>
      <c r="J1075" s="8">
        <v>209140</v>
      </c>
      <c r="K1075" s="6" t="s">
        <v>3675</v>
      </c>
      <c r="L1075" s="6" t="s">
        <v>1501</v>
      </c>
      <c r="N1075" s="6" t="s">
        <v>1501</v>
      </c>
      <c r="O1075" s="29">
        <v>219597</v>
      </c>
    </row>
    <row r="1076" s="1" customFormat="1" ht="16.35" hidden="1" customHeight="1" spans="1:15">
      <c r="A1076" s="5"/>
      <c r="B1076" s="6" t="s">
        <v>2906</v>
      </c>
      <c r="C1076" s="6">
        <v>2019</v>
      </c>
      <c r="D1076" s="6">
        <v>9</v>
      </c>
      <c r="E1076" s="7">
        <v>4</v>
      </c>
      <c r="F1076" s="6" t="s">
        <v>4061</v>
      </c>
      <c r="G1076" s="6" t="s">
        <v>2908</v>
      </c>
      <c r="H1076" s="6" t="s">
        <v>2909</v>
      </c>
      <c r="I1076" s="8"/>
      <c r="J1076" s="8">
        <v>194102</v>
      </c>
      <c r="K1076" s="6" t="s">
        <v>4062</v>
      </c>
      <c r="L1076" s="6" t="s">
        <v>1292</v>
      </c>
      <c r="N1076" s="6" t="s">
        <v>1292</v>
      </c>
      <c r="O1076" s="29">
        <v>203807.1</v>
      </c>
    </row>
    <row r="1077" s="1" customFormat="1" ht="16.35" hidden="1" customHeight="1" spans="1:16">
      <c r="A1077" s="5"/>
      <c r="B1077" s="6" t="s">
        <v>2906</v>
      </c>
      <c r="C1077" s="6">
        <v>2019</v>
      </c>
      <c r="D1077" s="6">
        <v>9</v>
      </c>
      <c r="E1077" s="7">
        <v>5</v>
      </c>
      <c r="F1077" s="6" t="s">
        <v>4018</v>
      </c>
      <c r="G1077" s="6" t="s">
        <v>2908</v>
      </c>
      <c r="H1077" s="6" t="s">
        <v>2909</v>
      </c>
      <c r="I1077" s="8"/>
      <c r="J1077" s="8">
        <v>19048</v>
      </c>
      <c r="K1077" s="6" t="s">
        <v>4019</v>
      </c>
      <c r="L1077" s="6" t="s">
        <v>1252</v>
      </c>
      <c r="N1077" s="6" t="s">
        <v>1252</v>
      </c>
      <c r="O1077" s="29">
        <v>20000.4</v>
      </c>
      <c r="P1077" s="1">
        <f>O1077-J1077</f>
        <v>952.400000000001</v>
      </c>
    </row>
    <row r="1078" s="1" customFormat="1" ht="16.35" hidden="1" customHeight="1" spans="1:15">
      <c r="A1078" s="5"/>
      <c r="B1078" s="6" t="s">
        <v>2906</v>
      </c>
      <c r="C1078" s="6">
        <v>2019</v>
      </c>
      <c r="D1078" s="6">
        <v>9</v>
      </c>
      <c r="E1078" s="7">
        <v>15</v>
      </c>
      <c r="F1078" s="6" t="s">
        <v>4063</v>
      </c>
      <c r="G1078" s="6" t="s">
        <v>2908</v>
      </c>
      <c r="H1078" s="6" t="s">
        <v>2909</v>
      </c>
      <c r="I1078" s="8"/>
      <c r="J1078" s="8">
        <v>-22705</v>
      </c>
      <c r="K1078" s="6" t="s">
        <v>3489</v>
      </c>
      <c r="L1078" s="6" t="s">
        <v>1436</v>
      </c>
      <c r="N1078" s="6" t="s">
        <v>1436</v>
      </c>
      <c r="O1078" s="29">
        <v>-23840.25</v>
      </c>
    </row>
    <row r="1079" s="1" customFormat="1" ht="16.35" hidden="1" customHeight="1" spans="1:16">
      <c r="A1079" s="5"/>
      <c r="B1079" s="6" t="s">
        <v>2906</v>
      </c>
      <c r="C1079" s="6">
        <v>2019</v>
      </c>
      <c r="D1079" s="6">
        <v>9</v>
      </c>
      <c r="E1079" s="7">
        <v>20</v>
      </c>
      <c r="F1079" s="6" t="s">
        <v>4005</v>
      </c>
      <c r="G1079" s="6" t="s">
        <v>2908</v>
      </c>
      <c r="H1079" s="6" t="s">
        <v>2909</v>
      </c>
      <c r="I1079" s="8"/>
      <c r="J1079" s="8">
        <v>95238</v>
      </c>
      <c r="K1079" s="6" t="s">
        <v>4006</v>
      </c>
      <c r="L1079" s="6" t="s">
        <v>1254</v>
      </c>
      <c r="N1079" s="6" t="s">
        <v>1254</v>
      </c>
      <c r="O1079" s="29">
        <v>99999.9</v>
      </c>
      <c r="P1079" s="1">
        <f>O1079-J1079</f>
        <v>4761.89999999999</v>
      </c>
    </row>
    <row r="1080" s="1" customFormat="1" ht="16.35" hidden="1" customHeight="1" spans="1:15">
      <c r="A1080" s="5"/>
      <c r="B1080" s="6" t="s">
        <v>2906</v>
      </c>
      <c r="C1080" s="6">
        <v>2019</v>
      </c>
      <c r="D1080" s="6">
        <v>9</v>
      </c>
      <c r="E1080" s="7">
        <v>21</v>
      </c>
      <c r="F1080" s="6" t="s">
        <v>3910</v>
      </c>
      <c r="G1080" s="6" t="s">
        <v>2908</v>
      </c>
      <c r="H1080" s="6" t="s">
        <v>2909</v>
      </c>
      <c r="I1080" s="8"/>
      <c r="J1080" s="8">
        <v>99524</v>
      </c>
      <c r="K1080" s="6" t="s">
        <v>3648</v>
      </c>
      <c r="L1080" s="6" t="s">
        <v>1617</v>
      </c>
      <c r="N1080" s="6" t="s">
        <v>1617</v>
      </c>
      <c r="O1080" s="29">
        <v>104500.2</v>
      </c>
    </row>
    <row r="1081" s="1" customFormat="1" ht="16.35" hidden="1" customHeight="1" spans="1:15">
      <c r="A1081" s="5"/>
      <c r="B1081" s="6" t="s">
        <v>2906</v>
      </c>
      <c r="C1081" s="6">
        <v>2019</v>
      </c>
      <c r="D1081" s="6">
        <v>9</v>
      </c>
      <c r="E1081" s="7">
        <v>22</v>
      </c>
      <c r="F1081" s="6" t="s">
        <v>4043</v>
      </c>
      <c r="G1081" s="6" t="s">
        <v>2908</v>
      </c>
      <c r="H1081" s="6" t="s">
        <v>2909</v>
      </c>
      <c r="I1081" s="8"/>
      <c r="J1081" s="8">
        <v>47619</v>
      </c>
      <c r="K1081" s="6" t="s">
        <v>4044</v>
      </c>
      <c r="L1081" s="6" t="s">
        <v>1224</v>
      </c>
      <c r="N1081" s="6" t="s">
        <v>1224</v>
      </c>
      <c r="O1081" s="29">
        <v>49999.95</v>
      </c>
    </row>
    <row r="1082" s="1" customFormat="1" ht="16.35" hidden="1" customHeight="1" spans="1:15">
      <c r="A1082" s="5"/>
      <c r="B1082" s="6" t="s">
        <v>2906</v>
      </c>
      <c r="C1082" s="6">
        <v>2019</v>
      </c>
      <c r="D1082" s="6">
        <v>9</v>
      </c>
      <c r="E1082" s="7">
        <v>23</v>
      </c>
      <c r="F1082" s="6" t="s">
        <v>3898</v>
      </c>
      <c r="G1082" s="6" t="s">
        <v>2908</v>
      </c>
      <c r="H1082" s="6" t="s">
        <v>2909</v>
      </c>
      <c r="I1082" s="8"/>
      <c r="J1082" s="8">
        <v>193366</v>
      </c>
      <c r="K1082" s="6" t="s">
        <v>3646</v>
      </c>
      <c r="L1082" s="6" t="s">
        <v>1079</v>
      </c>
      <c r="N1082" s="6" t="s">
        <v>1079</v>
      </c>
      <c r="O1082" s="29">
        <v>203034.3</v>
      </c>
    </row>
    <row r="1083" s="1" customFormat="1" ht="16.35" hidden="1" customHeight="1" spans="1:15">
      <c r="A1083" s="5"/>
      <c r="B1083" s="6" t="s">
        <v>2906</v>
      </c>
      <c r="C1083" s="6">
        <v>2019</v>
      </c>
      <c r="D1083" s="6">
        <v>10</v>
      </c>
      <c r="E1083" s="7">
        <v>1</v>
      </c>
      <c r="F1083" s="6" t="s">
        <v>4037</v>
      </c>
      <c r="G1083" s="6" t="s">
        <v>2908</v>
      </c>
      <c r="H1083" s="6" t="s">
        <v>2909</v>
      </c>
      <c r="I1083" s="8"/>
      <c r="J1083" s="8">
        <v>190476</v>
      </c>
      <c r="K1083" s="6" t="s">
        <v>4038</v>
      </c>
      <c r="L1083" s="6" t="s">
        <v>1421</v>
      </c>
      <c r="N1083" s="6" t="s">
        <v>1421</v>
      </c>
      <c r="O1083" s="29">
        <v>199999.8</v>
      </c>
    </row>
    <row r="1084" s="1" customFormat="1" ht="16.35" hidden="1" customHeight="1" spans="1:15">
      <c r="A1084" s="5"/>
      <c r="B1084" s="6" t="s">
        <v>2906</v>
      </c>
      <c r="C1084" s="6">
        <v>2019</v>
      </c>
      <c r="D1084" s="6">
        <v>10</v>
      </c>
      <c r="E1084" s="7">
        <v>2</v>
      </c>
      <c r="F1084" s="6" t="s">
        <v>4033</v>
      </c>
      <c r="G1084" s="6" t="s">
        <v>2908</v>
      </c>
      <c r="H1084" s="6" t="s">
        <v>2909</v>
      </c>
      <c r="I1084" s="8"/>
      <c r="J1084" s="8">
        <v>99048</v>
      </c>
      <c r="K1084" s="6" t="s">
        <v>4034</v>
      </c>
      <c r="L1084" s="6" t="s">
        <v>1418</v>
      </c>
      <c r="N1084" s="6" t="s">
        <v>1418</v>
      </c>
      <c r="O1084" s="29">
        <v>104000.4</v>
      </c>
    </row>
    <row r="1085" s="1" customFormat="1" ht="16.35" hidden="1" customHeight="1" spans="1:15">
      <c r="A1085" s="5"/>
      <c r="B1085" s="6" t="s">
        <v>2906</v>
      </c>
      <c r="C1085" s="6">
        <v>2019</v>
      </c>
      <c r="D1085" s="6">
        <v>10</v>
      </c>
      <c r="E1085" s="7">
        <v>3</v>
      </c>
      <c r="F1085" s="6" t="s">
        <v>4035</v>
      </c>
      <c r="G1085" s="6" t="s">
        <v>2908</v>
      </c>
      <c r="H1085" s="6" t="s">
        <v>2909</v>
      </c>
      <c r="I1085" s="8"/>
      <c r="J1085" s="8">
        <v>104762</v>
      </c>
      <c r="K1085" s="6" t="s">
        <v>4036</v>
      </c>
      <c r="L1085" s="6" t="s">
        <v>1416</v>
      </c>
      <c r="N1085" s="6" t="s">
        <v>1416</v>
      </c>
      <c r="O1085" s="29">
        <v>110000.1</v>
      </c>
    </row>
    <row r="1086" s="1" customFormat="1" ht="16.35" hidden="1" customHeight="1" spans="1:16">
      <c r="A1086" s="5"/>
      <c r="B1086" s="6" t="s">
        <v>2906</v>
      </c>
      <c r="C1086" s="6">
        <v>2019</v>
      </c>
      <c r="D1086" s="6">
        <v>10</v>
      </c>
      <c r="E1086" s="7">
        <v>4</v>
      </c>
      <c r="F1086" s="6" t="s">
        <v>4064</v>
      </c>
      <c r="G1086" s="6" t="s">
        <v>2908</v>
      </c>
      <c r="H1086" s="6" t="s">
        <v>2909</v>
      </c>
      <c r="I1086" s="8"/>
      <c r="J1086" s="8">
        <v>95238</v>
      </c>
      <c r="K1086" s="6" t="s">
        <v>4031</v>
      </c>
      <c r="L1086" s="6" t="s">
        <v>1259</v>
      </c>
      <c r="N1086" s="6" t="s">
        <v>1259</v>
      </c>
      <c r="O1086" s="29">
        <v>99999.9</v>
      </c>
      <c r="P1086" s="1">
        <f>O1086-J1086</f>
        <v>4761.89999999999</v>
      </c>
    </row>
    <row r="1087" s="1" customFormat="1" ht="16.35" hidden="1" customHeight="1" spans="1:15">
      <c r="A1087" s="5"/>
      <c r="B1087" s="6" t="s">
        <v>2906</v>
      </c>
      <c r="C1087" s="6">
        <v>2019</v>
      </c>
      <c r="D1087" s="6">
        <v>10</v>
      </c>
      <c r="E1087" s="7">
        <v>5</v>
      </c>
      <c r="F1087" s="6" t="s">
        <v>4000</v>
      </c>
      <c r="G1087" s="6" t="s">
        <v>2908</v>
      </c>
      <c r="H1087" s="6" t="s">
        <v>2909</v>
      </c>
      <c r="I1087" s="8"/>
      <c r="J1087" s="8">
        <v>95238</v>
      </c>
      <c r="K1087" s="6" t="s">
        <v>4001</v>
      </c>
      <c r="L1087" s="6" t="s">
        <v>1261</v>
      </c>
      <c r="N1087" s="6" t="s">
        <v>1261</v>
      </c>
      <c r="O1087" s="29">
        <v>99999.9</v>
      </c>
    </row>
    <row r="1088" s="1" customFormat="1" ht="16.35" hidden="1" customHeight="1" spans="1:16">
      <c r="A1088" s="5"/>
      <c r="B1088" s="6" t="s">
        <v>2906</v>
      </c>
      <c r="C1088" s="6">
        <v>2019</v>
      </c>
      <c r="D1088" s="6">
        <v>10</v>
      </c>
      <c r="E1088" s="7">
        <v>6</v>
      </c>
      <c r="F1088" s="6" t="s">
        <v>3984</v>
      </c>
      <c r="G1088" s="6" t="s">
        <v>2908</v>
      </c>
      <c r="H1088" s="6" t="s">
        <v>2909</v>
      </c>
      <c r="I1088" s="8"/>
      <c r="J1088" s="8">
        <v>9524</v>
      </c>
      <c r="K1088" s="6" t="s">
        <v>3985</v>
      </c>
      <c r="L1088" s="6" t="s">
        <v>1257</v>
      </c>
      <c r="N1088" s="6" t="s">
        <v>1257</v>
      </c>
      <c r="O1088" s="29">
        <v>10000.2</v>
      </c>
      <c r="P1088" s="1">
        <f>O1088-J1088</f>
        <v>476.200000000001</v>
      </c>
    </row>
    <row r="1089" s="1" customFormat="1" ht="16.35" hidden="1" customHeight="1" spans="1:15">
      <c r="A1089" s="5"/>
      <c r="B1089" s="6" t="s">
        <v>2906</v>
      </c>
      <c r="C1089" s="6">
        <v>2019</v>
      </c>
      <c r="D1089" s="6">
        <v>10</v>
      </c>
      <c r="E1089" s="7">
        <v>7</v>
      </c>
      <c r="F1089" s="6" t="s">
        <v>4065</v>
      </c>
      <c r="G1089" s="6" t="s">
        <v>2908</v>
      </c>
      <c r="H1089" s="6" t="s">
        <v>2909</v>
      </c>
      <c r="I1089" s="8"/>
      <c r="J1089" s="8">
        <v>9524</v>
      </c>
      <c r="K1089" s="6" t="s">
        <v>4066</v>
      </c>
      <c r="L1089" s="6" t="s">
        <v>1229</v>
      </c>
      <c r="N1089" s="6" t="s">
        <v>1229</v>
      </c>
      <c r="O1089" s="29">
        <v>10000.2</v>
      </c>
    </row>
    <row r="1090" s="1" customFormat="1" ht="16.35" hidden="1" customHeight="1" spans="1:16">
      <c r="A1090" s="5"/>
      <c r="B1090" s="6" t="s">
        <v>2906</v>
      </c>
      <c r="C1090" s="6">
        <v>2019</v>
      </c>
      <c r="D1090" s="6">
        <v>10</v>
      </c>
      <c r="E1090" s="7">
        <v>8</v>
      </c>
      <c r="F1090" s="6" t="s">
        <v>4018</v>
      </c>
      <c r="G1090" s="6" t="s">
        <v>2908</v>
      </c>
      <c r="H1090" s="6" t="s">
        <v>2909</v>
      </c>
      <c r="I1090" s="8"/>
      <c r="J1090" s="8">
        <v>6667</v>
      </c>
      <c r="K1090" s="6" t="s">
        <v>4019</v>
      </c>
      <c r="L1090" s="6" t="s">
        <v>1252</v>
      </c>
      <c r="N1090" s="6" t="s">
        <v>1252</v>
      </c>
      <c r="O1090" s="29">
        <v>7000.35</v>
      </c>
      <c r="P1090" s="1">
        <f>O1090-J1090</f>
        <v>333.35</v>
      </c>
    </row>
    <row r="1091" s="1" customFormat="1" ht="16.35" hidden="1" customHeight="1" spans="1:16">
      <c r="A1091" s="5"/>
      <c r="B1091" s="6" t="s">
        <v>2906</v>
      </c>
      <c r="C1091" s="6">
        <v>2019</v>
      </c>
      <c r="D1091" s="6">
        <v>10</v>
      </c>
      <c r="E1091" s="7">
        <v>9</v>
      </c>
      <c r="F1091" s="6" t="s">
        <v>4067</v>
      </c>
      <c r="G1091" s="6" t="s">
        <v>2908</v>
      </c>
      <c r="H1091" s="6" t="s">
        <v>2909</v>
      </c>
      <c r="I1091" s="8"/>
      <c r="J1091" s="8">
        <v>47619</v>
      </c>
      <c r="K1091" s="6" t="s">
        <v>4068</v>
      </c>
      <c r="L1091" s="6" t="s">
        <v>1503</v>
      </c>
      <c r="N1091" s="6" t="s">
        <v>1503</v>
      </c>
      <c r="O1091" s="29">
        <v>50000</v>
      </c>
      <c r="P1091" s="1">
        <f>O1091-J1091</f>
        <v>2381</v>
      </c>
    </row>
    <row r="1092" s="1" customFormat="1" ht="16.35" hidden="1" customHeight="1" spans="1:16">
      <c r="A1092" s="5"/>
      <c r="B1092" s="6" t="s">
        <v>2906</v>
      </c>
      <c r="C1092" s="6">
        <v>2019</v>
      </c>
      <c r="D1092" s="6">
        <v>10</v>
      </c>
      <c r="E1092" s="7">
        <v>10</v>
      </c>
      <c r="F1092" s="6" t="s">
        <v>4069</v>
      </c>
      <c r="G1092" s="6" t="s">
        <v>2908</v>
      </c>
      <c r="H1092" s="6" t="s">
        <v>2909</v>
      </c>
      <c r="I1092" s="8"/>
      <c r="J1092" s="8">
        <v>6905</v>
      </c>
      <c r="K1092" s="6" t="s">
        <v>4046</v>
      </c>
      <c r="L1092" s="6" t="s">
        <v>1907</v>
      </c>
      <c r="N1092" s="6" t="s">
        <v>1907</v>
      </c>
      <c r="O1092" s="29">
        <v>7250.25</v>
      </c>
      <c r="P1092" s="1">
        <f>O1092-J1092</f>
        <v>345.25</v>
      </c>
    </row>
    <row r="1093" s="1" customFormat="1" ht="16.35" customHeight="1" spans="1:17">
      <c r="A1093" s="5"/>
      <c r="B1093" s="6" t="s">
        <v>2906</v>
      </c>
      <c r="C1093" s="6">
        <v>2019</v>
      </c>
      <c r="D1093" s="6">
        <v>10</v>
      </c>
      <c r="E1093" s="7">
        <v>10</v>
      </c>
      <c r="F1093" s="6" t="s">
        <v>4069</v>
      </c>
      <c r="G1093" s="6" t="s">
        <v>2908</v>
      </c>
      <c r="H1093" s="6" t="s">
        <v>2909</v>
      </c>
      <c r="I1093" s="8"/>
      <c r="J1093" s="8">
        <v>183571</v>
      </c>
      <c r="K1093" s="6" t="s">
        <v>3995</v>
      </c>
      <c r="L1093" s="6" t="s">
        <v>1909</v>
      </c>
      <c r="N1093" s="6" t="s">
        <v>1909</v>
      </c>
      <c r="O1093" s="45">
        <v>192750</v>
      </c>
      <c r="P1093" s="6" t="s">
        <v>1909</v>
      </c>
      <c r="Q1093" s="1">
        <f>O1093-J1093</f>
        <v>9179</v>
      </c>
    </row>
    <row r="1094" s="1" customFormat="1" ht="16.35" hidden="1" customHeight="1" spans="1:16">
      <c r="A1094" s="5"/>
      <c r="B1094" s="6" t="s">
        <v>2906</v>
      </c>
      <c r="C1094" s="6">
        <v>2019</v>
      </c>
      <c r="D1094" s="6">
        <v>10</v>
      </c>
      <c r="E1094" s="7">
        <v>11</v>
      </c>
      <c r="F1094" s="6" t="s">
        <v>3996</v>
      </c>
      <c r="G1094" s="6" t="s">
        <v>2908</v>
      </c>
      <c r="H1094" s="6" t="s">
        <v>2909</v>
      </c>
      <c r="I1094" s="8"/>
      <c r="J1094" s="8">
        <v>28571</v>
      </c>
      <c r="K1094" s="6" t="s">
        <v>3997</v>
      </c>
      <c r="L1094" s="6" t="s">
        <v>1244</v>
      </c>
      <c r="N1094" s="6" t="s">
        <v>1244</v>
      </c>
      <c r="O1094" s="29">
        <v>29999.55</v>
      </c>
      <c r="P1094" s="1">
        <f>O1094-J1094</f>
        <v>1428.55</v>
      </c>
    </row>
    <row r="1095" s="1" customFormat="1" ht="16.35" hidden="1" customHeight="1" spans="1:16">
      <c r="A1095" s="5"/>
      <c r="B1095" s="6" t="s">
        <v>2906</v>
      </c>
      <c r="C1095" s="6">
        <v>2019</v>
      </c>
      <c r="D1095" s="6">
        <v>10</v>
      </c>
      <c r="E1095" s="7">
        <v>12</v>
      </c>
      <c r="F1095" s="6" t="s">
        <v>4057</v>
      </c>
      <c r="G1095" s="6" t="s">
        <v>2908</v>
      </c>
      <c r="H1095" s="6" t="s">
        <v>2909</v>
      </c>
      <c r="I1095" s="8"/>
      <c r="J1095" s="8">
        <v>123810</v>
      </c>
      <c r="K1095" s="6" t="s">
        <v>4058</v>
      </c>
      <c r="L1095" s="6" t="s">
        <v>1339</v>
      </c>
      <c r="N1095" s="6" t="s">
        <v>1339</v>
      </c>
      <c r="O1095" s="29">
        <v>130000.5</v>
      </c>
      <c r="P1095" s="1">
        <f>O1095-J1095</f>
        <v>6190.5</v>
      </c>
    </row>
    <row r="1096" s="1" customFormat="1" ht="16.35" hidden="1" customHeight="1" spans="1:17">
      <c r="A1096" s="5"/>
      <c r="B1096" s="6" t="s">
        <v>2906</v>
      </c>
      <c r="C1096" s="6">
        <v>2019</v>
      </c>
      <c r="D1096" s="6">
        <v>10</v>
      </c>
      <c r="E1096" s="7">
        <v>13</v>
      </c>
      <c r="F1096" s="6" t="s">
        <v>4041</v>
      </c>
      <c r="G1096" s="6" t="s">
        <v>2908</v>
      </c>
      <c r="H1096" s="6" t="s">
        <v>2909</v>
      </c>
      <c r="I1096" s="8"/>
      <c r="J1096" s="8">
        <v>538141</v>
      </c>
      <c r="K1096" s="6" t="s">
        <v>4042</v>
      </c>
      <c r="L1096" s="6" t="s">
        <v>1912</v>
      </c>
      <c r="N1096" s="6" t="s">
        <v>1912</v>
      </c>
      <c r="O1096" s="45">
        <v>565048</v>
      </c>
      <c r="P1096" s="6" t="s">
        <v>1912</v>
      </c>
      <c r="Q1096" s="1">
        <f>O1096-J1096</f>
        <v>26907</v>
      </c>
    </row>
    <row r="1097" s="1" customFormat="1" ht="16.35" hidden="1" customHeight="1" spans="1:15">
      <c r="A1097" s="5"/>
      <c r="B1097" s="6" t="s">
        <v>2906</v>
      </c>
      <c r="C1097" s="6">
        <v>2019</v>
      </c>
      <c r="D1097" s="6">
        <v>10</v>
      </c>
      <c r="E1097" s="7">
        <v>14</v>
      </c>
      <c r="F1097" s="6" t="s">
        <v>4070</v>
      </c>
      <c r="G1097" s="6" t="s">
        <v>2908</v>
      </c>
      <c r="H1097" s="6" t="s">
        <v>2909</v>
      </c>
      <c r="I1097" s="8"/>
      <c r="J1097" s="8">
        <v>142857</v>
      </c>
      <c r="K1097" s="6" t="s">
        <v>4071</v>
      </c>
      <c r="L1097" s="6" t="s">
        <v>1403</v>
      </c>
      <c r="N1097" s="6" t="s">
        <v>1403</v>
      </c>
      <c r="O1097" s="29">
        <v>149999.85</v>
      </c>
    </row>
    <row r="1098" s="1" customFormat="1" ht="16.35" hidden="1" customHeight="1" spans="1:15">
      <c r="A1098" s="5"/>
      <c r="B1098" s="6" t="s">
        <v>2906</v>
      </c>
      <c r="C1098" s="6">
        <v>2019</v>
      </c>
      <c r="D1098" s="6">
        <v>10</v>
      </c>
      <c r="E1098" s="7">
        <v>15</v>
      </c>
      <c r="F1098" s="6" t="s">
        <v>4072</v>
      </c>
      <c r="G1098" s="6" t="s">
        <v>2908</v>
      </c>
      <c r="H1098" s="6" t="s">
        <v>2909</v>
      </c>
      <c r="I1098" s="8"/>
      <c r="J1098" s="8">
        <v>142857</v>
      </c>
      <c r="K1098" s="6" t="s">
        <v>4073</v>
      </c>
      <c r="L1098" s="6" t="s">
        <v>1404</v>
      </c>
      <c r="N1098" s="6" t="s">
        <v>1404</v>
      </c>
      <c r="O1098" s="29">
        <v>149999.85</v>
      </c>
    </row>
    <row r="1099" s="1" customFormat="1" ht="16.35" hidden="1" customHeight="1" spans="1:15">
      <c r="A1099" s="5"/>
      <c r="B1099" s="6" t="s">
        <v>2906</v>
      </c>
      <c r="C1099" s="6">
        <v>2019</v>
      </c>
      <c r="D1099" s="6">
        <v>10</v>
      </c>
      <c r="E1099" s="7">
        <v>16</v>
      </c>
      <c r="F1099" s="6" t="s">
        <v>4074</v>
      </c>
      <c r="G1099" s="6" t="s">
        <v>2908</v>
      </c>
      <c r="H1099" s="6" t="s">
        <v>2909</v>
      </c>
      <c r="I1099" s="8"/>
      <c r="J1099" s="8">
        <v>194760</v>
      </c>
      <c r="K1099" s="6" t="s">
        <v>3677</v>
      </c>
      <c r="L1099" s="6" t="s">
        <v>1491</v>
      </c>
      <c r="N1099" s="6" t="s">
        <v>1491</v>
      </c>
      <c r="O1099" s="29">
        <v>204498</v>
      </c>
    </row>
    <row r="1100" s="1" customFormat="1" ht="16.35" hidden="1" customHeight="1" spans="1:15">
      <c r="A1100" s="5"/>
      <c r="B1100" s="6" t="s">
        <v>2906</v>
      </c>
      <c r="C1100" s="6">
        <v>2019</v>
      </c>
      <c r="D1100" s="6">
        <v>10</v>
      </c>
      <c r="E1100" s="7">
        <v>17</v>
      </c>
      <c r="F1100" s="6" t="s">
        <v>4075</v>
      </c>
      <c r="G1100" s="6" t="s">
        <v>2908</v>
      </c>
      <c r="H1100" s="6" t="s">
        <v>2909</v>
      </c>
      <c r="I1100" s="8"/>
      <c r="J1100" s="8">
        <v>16901</v>
      </c>
      <c r="K1100" s="6" t="s">
        <v>3627</v>
      </c>
      <c r="L1100" s="6" t="s">
        <v>1391</v>
      </c>
      <c r="N1100" s="6" t="s">
        <v>1391</v>
      </c>
      <c r="O1100" s="29">
        <v>17746.05</v>
      </c>
    </row>
    <row r="1101" s="1" customFormat="1" ht="25" hidden="1" customHeight="1" spans="1:15">
      <c r="A1101" s="5"/>
      <c r="B1101" s="6" t="s">
        <v>2906</v>
      </c>
      <c r="C1101" s="6">
        <v>2019</v>
      </c>
      <c r="D1101" s="6">
        <v>10</v>
      </c>
      <c r="E1101" s="7">
        <v>18</v>
      </c>
      <c r="F1101" s="6" t="s">
        <v>4076</v>
      </c>
      <c r="G1101" s="6" t="s">
        <v>2908</v>
      </c>
      <c r="H1101" s="6" t="s">
        <v>2909</v>
      </c>
      <c r="I1101" s="8"/>
      <c r="J1101" s="8">
        <v>232091</v>
      </c>
      <c r="K1101" s="6" t="s">
        <v>3655</v>
      </c>
      <c r="L1101" s="6" t="s">
        <v>1135</v>
      </c>
      <c r="N1101" s="6" t="s">
        <v>1135</v>
      </c>
      <c r="O1101" s="29">
        <v>243695.55</v>
      </c>
    </row>
    <row r="1102" s="1" customFormat="1" ht="25" hidden="1" customHeight="1" spans="1:15">
      <c r="A1102" s="5"/>
      <c r="B1102" s="6" t="s">
        <v>2906</v>
      </c>
      <c r="C1102" s="6">
        <v>2019</v>
      </c>
      <c r="D1102" s="6">
        <v>10</v>
      </c>
      <c r="E1102" s="7">
        <v>18</v>
      </c>
      <c r="F1102" s="6" t="s">
        <v>4077</v>
      </c>
      <c r="G1102" s="6" t="s">
        <v>2908</v>
      </c>
      <c r="H1102" s="6" t="s">
        <v>2909</v>
      </c>
      <c r="I1102" s="8"/>
      <c r="J1102" s="8">
        <v>205897</v>
      </c>
      <c r="K1102" s="6" t="s">
        <v>3941</v>
      </c>
      <c r="L1102" s="6" t="s">
        <v>1509</v>
      </c>
      <c r="N1102" s="6" t="s">
        <v>1509</v>
      </c>
      <c r="O1102" s="29">
        <v>216191.85</v>
      </c>
    </row>
    <row r="1103" s="1" customFormat="1" ht="25" hidden="1" customHeight="1" spans="1:15">
      <c r="A1103" s="5"/>
      <c r="B1103" s="6" t="s">
        <v>2906</v>
      </c>
      <c r="C1103" s="6">
        <v>2019</v>
      </c>
      <c r="D1103" s="6">
        <v>10</v>
      </c>
      <c r="E1103" s="7">
        <v>18</v>
      </c>
      <c r="F1103" s="6" t="s">
        <v>4077</v>
      </c>
      <c r="G1103" s="6" t="s">
        <v>2908</v>
      </c>
      <c r="H1103" s="6" t="s">
        <v>2909</v>
      </c>
      <c r="I1103" s="8"/>
      <c r="J1103" s="8">
        <v>171535</v>
      </c>
      <c r="K1103" s="6" t="s">
        <v>4078</v>
      </c>
      <c r="L1103" s="6" t="s">
        <v>1543</v>
      </c>
      <c r="N1103" s="6" t="s">
        <v>1543</v>
      </c>
      <c r="O1103" s="29">
        <v>180111.75</v>
      </c>
    </row>
    <row r="1104" s="1" customFormat="1" ht="16.35" hidden="1" customHeight="1" spans="1:15">
      <c r="A1104" s="5"/>
      <c r="B1104" s="6" t="s">
        <v>2906</v>
      </c>
      <c r="C1104" s="6">
        <v>2019</v>
      </c>
      <c r="D1104" s="6">
        <v>10</v>
      </c>
      <c r="E1104" s="7">
        <v>19</v>
      </c>
      <c r="F1104" s="6" t="s">
        <v>4079</v>
      </c>
      <c r="G1104" s="6" t="s">
        <v>2908</v>
      </c>
      <c r="H1104" s="6" t="s">
        <v>2909</v>
      </c>
      <c r="I1104" s="8"/>
      <c r="J1104" s="8">
        <v>33790</v>
      </c>
      <c r="K1104" s="6" t="s">
        <v>4078</v>
      </c>
      <c r="L1104" s="6" t="s">
        <v>1543</v>
      </c>
      <c r="N1104" s="6" t="s">
        <v>1543</v>
      </c>
      <c r="O1104" s="29">
        <v>35479.5</v>
      </c>
    </row>
    <row r="1105" s="1" customFormat="1" ht="16.35" hidden="1" customHeight="1" spans="1:16">
      <c r="A1105" s="5"/>
      <c r="B1105" s="6" t="s">
        <v>2906</v>
      </c>
      <c r="C1105" s="6">
        <v>2019</v>
      </c>
      <c r="D1105" s="6">
        <v>10</v>
      </c>
      <c r="E1105" s="7">
        <v>20</v>
      </c>
      <c r="F1105" s="6" t="s">
        <v>4080</v>
      </c>
      <c r="G1105" s="6" t="s">
        <v>2908</v>
      </c>
      <c r="H1105" s="6" t="s">
        <v>2909</v>
      </c>
      <c r="I1105" s="8"/>
      <c r="J1105" s="8">
        <v>9524</v>
      </c>
      <c r="K1105" s="6" t="s">
        <v>3936</v>
      </c>
      <c r="L1105" s="6" t="s">
        <v>1152</v>
      </c>
      <c r="N1105" s="6" t="s">
        <v>1152</v>
      </c>
      <c r="O1105" s="29">
        <v>10000.2</v>
      </c>
      <c r="P1105" s="1">
        <f>O1105-J1105</f>
        <v>476.200000000001</v>
      </c>
    </row>
    <row r="1106" s="1" customFormat="1" ht="16.35" hidden="1" customHeight="1" spans="1:16">
      <c r="A1106" s="5"/>
      <c r="B1106" s="6" t="s">
        <v>2906</v>
      </c>
      <c r="C1106" s="6">
        <v>2019</v>
      </c>
      <c r="D1106" s="6">
        <v>10</v>
      </c>
      <c r="E1106" s="7">
        <v>28</v>
      </c>
      <c r="F1106" s="6" t="s">
        <v>4081</v>
      </c>
      <c r="G1106" s="6" t="s">
        <v>2908</v>
      </c>
      <c r="H1106" s="6" t="s">
        <v>2909</v>
      </c>
      <c r="I1106" s="8"/>
      <c r="J1106" s="8">
        <v>24095</v>
      </c>
      <c r="K1106" s="6" t="s">
        <v>4068</v>
      </c>
      <c r="L1106" s="6" t="s">
        <v>1503</v>
      </c>
      <c r="N1106" s="6" t="s">
        <v>1503</v>
      </c>
      <c r="O1106" s="29">
        <v>25300</v>
      </c>
      <c r="P1106" s="1">
        <f>O1106-J1106</f>
        <v>1205</v>
      </c>
    </row>
    <row r="1107" s="1" customFormat="1" ht="16.35" hidden="1" customHeight="1" spans="1:15">
      <c r="A1107" s="5"/>
      <c r="B1107" s="6" t="s">
        <v>2906</v>
      </c>
      <c r="C1107" s="6">
        <v>2019</v>
      </c>
      <c r="D1107" s="6">
        <v>10</v>
      </c>
      <c r="E1107" s="7">
        <v>29</v>
      </c>
      <c r="F1107" s="6" t="s">
        <v>4082</v>
      </c>
      <c r="G1107" s="6" t="s">
        <v>2908</v>
      </c>
      <c r="H1107" s="6" t="s">
        <v>2909</v>
      </c>
      <c r="I1107" s="8"/>
      <c r="J1107" s="8">
        <v>28571</v>
      </c>
      <c r="K1107" s="6" t="s">
        <v>4083</v>
      </c>
      <c r="L1107" s="6" t="s">
        <v>1266</v>
      </c>
      <c r="N1107" s="6" t="s">
        <v>1266</v>
      </c>
      <c r="O1107" s="29">
        <v>29999.55</v>
      </c>
    </row>
    <row r="1108" s="1" customFormat="1" ht="16.35" hidden="1" customHeight="1" spans="1:15">
      <c r="A1108" s="5"/>
      <c r="B1108" s="6" t="s">
        <v>2906</v>
      </c>
      <c r="C1108" s="6">
        <v>2019</v>
      </c>
      <c r="D1108" s="6">
        <v>10</v>
      </c>
      <c r="E1108" s="7">
        <v>30</v>
      </c>
      <c r="F1108" s="6" t="s">
        <v>4084</v>
      </c>
      <c r="G1108" s="6" t="s">
        <v>2908</v>
      </c>
      <c r="H1108" s="6" t="s">
        <v>2909</v>
      </c>
      <c r="I1108" s="8"/>
      <c r="J1108" s="8">
        <v>28571</v>
      </c>
      <c r="K1108" s="6" t="s">
        <v>4085</v>
      </c>
      <c r="L1108" s="6" t="s">
        <v>1265</v>
      </c>
      <c r="N1108" s="6" t="s">
        <v>1265</v>
      </c>
      <c r="O1108" s="29">
        <v>29999.55</v>
      </c>
    </row>
    <row r="1109" s="30" customFormat="1" ht="16.35" hidden="1" customHeight="1" spans="1:16">
      <c r="A1109" s="41"/>
      <c r="B1109" s="42" t="s">
        <v>2906</v>
      </c>
      <c r="C1109" s="42">
        <v>2019</v>
      </c>
      <c r="D1109" s="42">
        <v>10</v>
      </c>
      <c r="E1109" s="43">
        <v>34</v>
      </c>
      <c r="F1109" s="42" t="s">
        <v>4086</v>
      </c>
      <c r="G1109" s="42" t="s">
        <v>2908</v>
      </c>
      <c r="H1109" s="42" t="s">
        <v>2909</v>
      </c>
      <c r="I1109" s="44"/>
      <c r="J1109" s="44">
        <v>-435</v>
      </c>
      <c r="K1109" s="42" t="s">
        <v>3242</v>
      </c>
      <c r="L1109" s="42" t="s">
        <v>1655</v>
      </c>
      <c r="N1109" s="42" t="s">
        <v>1655</v>
      </c>
      <c r="O1109" s="31">
        <v>-456.75</v>
      </c>
      <c r="P1109" s="30">
        <f>O1109-J1109</f>
        <v>-21.75</v>
      </c>
    </row>
    <row r="1110" s="1" customFormat="1" ht="16.35" hidden="1" customHeight="1" spans="1:17">
      <c r="A1110" s="5"/>
      <c r="B1110" s="6" t="s">
        <v>2906</v>
      </c>
      <c r="C1110" s="6">
        <v>2019</v>
      </c>
      <c r="D1110" s="6">
        <v>10</v>
      </c>
      <c r="E1110" s="7">
        <v>35</v>
      </c>
      <c r="F1110" s="6" t="s">
        <v>4087</v>
      </c>
      <c r="G1110" s="6" t="s">
        <v>2908</v>
      </c>
      <c r="H1110" s="6" t="s">
        <v>2909</v>
      </c>
      <c r="I1110" s="8"/>
      <c r="J1110" s="8">
        <v>-37238</v>
      </c>
      <c r="K1110" s="6" t="s">
        <v>3600</v>
      </c>
      <c r="L1110" s="6" t="s">
        <v>1497</v>
      </c>
      <c r="N1110" s="6" t="s">
        <v>1497</v>
      </c>
      <c r="O1110" s="29">
        <v>-39099.9</v>
      </c>
      <c r="P1110" s="1" t="s">
        <v>3601</v>
      </c>
      <c r="Q1110" s="1">
        <f>O1110-J1110</f>
        <v>-1861.9</v>
      </c>
    </row>
    <row r="1111" s="1" customFormat="1" ht="16.35" hidden="1" customHeight="1" spans="1:15">
      <c r="A1111" s="5"/>
      <c r="B1111" s="6" t="s">
        <v>2906</v>
      </c>
      <c r="C1111" s="6">
        <v>2019</v>
      </c>
      <c r="D1111" s="6">
        <v>10</v>
      </c>
      <c r="E1111" s="7">
        <v>36</v>
      </c>
      <c r="F1111" s="6" t="s">
        <v>4088</v>
      </c>
      <c r="G1111" s="6" t="s">
        <v>2908</v>
      </c>
      <c r="H1111" s="6" t="s">
        <v>2909</v>
      </c>
      <c r="I1111" s="8"/>
      <c r="J1111" s="8">
        <v>-36591</v>
      </c>
      <c r="K1111" s="6" t="s">
        <v>3657</v>
      </c>
      <c r="L1111" s="6" t="s">
        <v>1101</v>
      </c>
      <c r="N1111" s="6" t="s">
        <v>1101</v>
      </c>
      <c r="O1111" s="29">
        <v>-38420.55</v>
      </c>
    </row>
    <row r="1112" s="1" customFormat="1" ht="16.35" hidden="1" customHeight="1" spans="1:15">
      <c r="A1112" s="5"/>
      <c r="B1112" s="6" t="s">
        <v>2906</v>
      </c>
      <c r="C1112" s="6">
        <v>2019</v>
      </c>
      <c r="D1112" s="6">
        <v>10</v>
      </c>
      <c r="E1112" s="7">
        <v>44</v>
      </c>
      <c r="F1112" s="6" t="s">
        <v>4089</v>
      </c>
      <c r="G1112" s="6" t="s">
        <v>2908</v>
      </c>
      <c r="H1112" s="6" t="s">
        <v>2909</v>
      </c>
      <c r="I1112" s="8"/>
      <c r="J1112" s="8">
        <v>190476</v>
      </c>
      <c r="K1112" s="6" t="s">
        <v>4090</v>
      </c>
      <c r="L1112" s="6" t="s">
        <v>1236</v>
      </c>
      <c r="N1112" s="6" t="s">
        <v>1236</v>
      </c>
      <c r="O1112" s="29">
        <v>199999.8</v>
      </c>
    </row>
    <row r="1113" s="1" customFormat="1" ht="16.35" hidden="1" customHeight="1" spans="1:15">
      <c r="A1113" s="5"/>
      <c r="B1113" s="6" t="s">
        <v>2906</v>
      </c>
      <c r="C1113" s="6">
        <v>2019</v>
      </c>
      <c r="D1113" s="6">
        <v>11</v>
      </c>
      <c r="E1113" s="7">
        <v>1</v>
      </c>
      <c r="F1113" s="6" t="s">
        <v>4091</v>
      </c>
      <c r="G1113" s="6" t="s">
        <v>2908</v>
      </c>
      <c r="H1113" s="6" t="s">
        <v>2909</v>
      </c>
      <c r="I1113" s="8"/>
      <c r="J1113" s="8">
        <v>2857</v>
      </c>
      <c r="K1113" s="6" t="s">
        <v>4092</v>
      </c>
      <c r="L1113" s="6" t="s">
        <v>1116</v>
      </c>
      <c r="N1113" s="6" t="s">
        <v>1116</v>
      </c>
      <c r="O1113" s="29">
        <v>2999.85</v>
      </c>
    </row>
    <row r="1114" s="1" customFormat="1" ht="16.35" hidden="1" customHeight="1" spans="1:15">
      <c r="A1114" s="5"/>
      <c r="B1114" s="6" t="s">
        <v>2906</v>
      </c>
      <c r="C1114" s="6">
        <v>2019</v>
      </c>
      <c r="D1114" s="6">
        <v>11</v>
      </c>
      <c r="E1114" s="7">
        <v>2</v>
      </c>
      <c r="F1114" s="6" t="s">
        <v>4093</v>
      </c>
      <c r="G1114" s="6" t="s">
        <v>2908</v>
      </c>
      <c r="H1114" s="6" t="s">
        <v>2909</v>
      </c>
      <c r="I1114" s="8"/>
      <c r="J1114" s="8">
        <v>952</v>
      </c>
      <c r="K1114" s="6" t="s">
        <v>4094</v>
      </c>
      <c r="L1114" s="6" t="s">
        <v>1233</v>
      </c>
      <c r="N1114" s="6" t="s">
        <v>1233</v>
      </c>
      <c r="O1114" s="29">
        <v>999.6</v>
      </c>
    </row>
    <row r="1115" s="1" customFormat="1" ht="16.35" hidden="1" customHeight="1" spans="1:15">
      <c r="A1115" s="5"/>
      <c r="B1115" s="6" t="s">
        <v>2906</v>
      </c>
      <c r="C1115" s="6">
        <v>2019</v>
      </c>
      <c r="D1115" s="6">
        <v>11</v>
      </c>
      <c r="E1115" s="7">
        <v>3</v>
      </c>
      <c r="F1115" s="6" t="s">
        <v>4095</v>
      </c>
      <c r="G1115" s="6" t="s">
        <v>2908</v>
      </c>
      <c r="H1115" s="6" t="s">
        <v>2909</v>
      </c>
      <c r="I1115" s="8"/>
      <c r="J1115" s="8">
        <v>952</v>
      </c>
      <c r="K1115" s="6" t="s">
        <v>4096</v>
      </c>
      <c r="L1115" s="6" t="s">
        <v>1235</v>
      </c>
      <c r="N1115" s="6" t="s">
        <v>1235</v>
      </c>
      <c r="O1115" s="29">
        <v>999.6</v>
      </c>
    </row>
    <row r="1116" s="1" customFormat="1" ht="16.35" hidden="1" customHeight="1" spans="1:15">
      <c r="A1116" s="5"/>
      <c r="B1116" s="6" t="s">
        <v>2906</v>
      </c>
      <c r="C1116" s="6">
        <v>2019</v>
      </c>
      <c r="D1116" s="6">
        <v>11</v>
      </c>
      <c r="E1116" s="7">
        <v>4</v>
      </c>
      <c r="F1116" s="6" t="s">
        <v>4084</v>
      </c>
      <c r="G1116" s="6" t="s">
        <v>2908</v>
      </c>
      <c r="H1116" s="6" t="s">
        <v>2909</v>
      </c>
      <c r="I1116" s="8"/>
      <c r="J1116" s="8">
        <v>161905</v>
      </c>
      <c r="K1116" s="6" t="s">
        <v>4085</v>
      </c>
      <c r="L1116" s="6" t="s">
        <v>1265</v>
      </c>
      <c r="N1116" s="6" t="s">
        <v>1265</v>
      </c>
      <c r="O1116" s="29">
        <v>170000.25</v>
      </c>
    </row>
    <row r="1117" s="1" customFormat="1" ht="16.35" hidden="1" customHeight="1" spans="1:15">
      <c r="A1117" s="5"/>
      <c r="B1117" s="6" t="s">
        <v>2906</v>
      </c>
      <c r="C1117" s="6">
        <v>2019</v>
      </c>
      <c r="D1117" s="6">
        <v>11</v>
      </c>
      <c r="E1117" s="7">
        <v>5</v>
      </c>
      <c r="F1117" s="6" t="s">
        <v>4082</v>
      </c>
      <c r="G1117" s="6" t="s">
        <v>2908</v>
      </c>
      <c r="H1117" s="6" t="s">
        <v>2909</v>
      </c>
      <c r="I1117" s="8"/>
      <c r="J1117" s="8">
        <v>19048</v>
      </c>
      <c r="K1117" s="6" t="s">
        <v>4083</v>
      </c>
      <c r="L1117" s="6" t="s">
        <v>1266</v>
      </c>
      <c r="N1117" s="6" t="s">
        <v>1266</v>
      </c>
      <c r="O1117" s="29">
        <v>20000.4</v>
      </c>
    </row>
    <row r="1118" s="1" customFormat="1" ht="16.35" hidden="1" customHeight="1" spans="1:16">
      <c r="A1118" s="5"/>
      <c r="B1118" s="6" t="s">
        <v>2906</v>
      </c>
      <c r="C1118" s="6">
        <v>2019</v>
      </c>
      <c r="D1118" s="6">
        <v>11</v>
      </c>
      <c r="E1118" s="7">
        <v>6</v>
      </c>
      <c r="F1118" s="6" t="s">
        <v>4045</v>
      </c>
      <c r="G1118" s="6" t="s">
        <v>2908</v>
      </c>
      <c r="H1118" s="6" t="s">
        <v>2909</v>
      </c>
      <c r="I1118" s="8"/>
      <c r="J1118" s="8">
        <v>300762</v>
      </c>
      <c r="K1118" s="6" t="s">
        <v>4046</v>
      </c>
      <c r="L1118" s="6" t="s">
        <v>1907</v>
      </c>
      <c r="N1118" s="6" t="s">
        <v>1907</v>
      </c>
      <c r="O1118" s="29">
        <v>315800.1</v>
      </c>
      <c r="P1118" s="1">
        <f>O1118-J1118</f>
        <v>15038.1</v>
      </c>
    </row>
    <row r="1119" s="1" customFormat="1" ht="16.35" hidden="1" customHeight="1" spans="1:16">
      <c r="A1119" s="5"/>
      <c r="B1119" s="6" t="s">
        <v>2906</v>
      </c>
      <c r="C1119" s="6">
        <v>2019</v>
      </c>
      <c r="D1119" s="6">
        <v>11</v>
      </c>
      <c r="E1119" s="7">
        <v>7</v>
      </c>
      <c r="F1119" s="6" t="s">
        <v>4045</v>
      </c>
      <c r="G1119" s="6" t="s">
        <v>2908</v>
      </c>
      <c r="H1119" s="6" t="s">
        <v>2909</v>
      </c>
      <c r="I1119" s="8"/>
      <c r="J1119" s="8">
        <v>80290</v>
      </c>
      <c r="K1119" s="6" t="s">
        <v>4046</v>
      </c>
      <c r="L1119" s="6" t="s">
        <v>1907</v>
      </c>
      <c r="N1119" s="6" t="s">
        <v>1907</v>
      </c>
      <c r="O1119" s="29">
        <v>84304.5</v>
      </c>
      <c r="P1119" s="1">
        <f>O1119-J1119</f>
        <v>4014.5</v>
      </c>
    </row>
    <row r="1120" s="1" customFormat="1" ht="16.35" hidden="1" customHeight="1" spans="1:15">
      <c r="A1120" s="5"/>
      <c r="B1120" s="6" t="s">
        <v>2906</v>
      </c>
      <c r="C1120" s="6">
        <v>2019</v>
      </c>
      <c r="D1120" s="6">
        <v>11</v>
      </c>
      <c r="E1120" s="7">
        <v>8</v>
      </c>
      <c r="F1120" s="6" t="s">
        <v>4097</v>
      </c>
      <c r="G1120" s="6" t="s">
        <v>2908</v>
      </c>
      <c r="H1120" s="6" t="s">
        <v>2909</v>
      </c>
      <c r="I1120" s="8"/>
      <c r="J1120" s="8">
        <v>138095</v>
      </c>
      <c r="K1120" s="6" t="s">
        <v>4083</v>
      </c>
      <c r="L1120" s="6" t="s">
        <v>1266</v>
      </c>
      <c r="N1120" s="6" t="s">
        <v>1266</v>
      </c>
      <c r="O1120" s="29">
        <v>144999.75</v>
      </c>
    </row>
    <row r="1121" s="1" customFormat="1" ht="16.35" hidden="1" customHeight="1" spans="1:15">
      <c r="A1121" s="5"/>
      <c r="B1121" s="6" t="s">
        <v>2906</v>
      </c>
      <c r="C1121" s="6">
        <v>2019</v>
      </c>
      <c r="D1121" s="6">
        <v>11</v>
      </c>
      <c r="E1121" s="7">
        <v>9</v>
      </c>
      <c r="F1121" s="6" t="s">
        <v>4093</v>
      </c>
      <c r="G1121" s="6" t="s">
        <v>2908</v>
      </c>
      <c r="H1121" s="6" t="s">
        <v>2909</v>
      </c>
      <c r="I1121" s="8"/>
      <c r="J1121" s="8">
        <v>182381</v>
      </c>
      <c r="K1121" s="6" t="s">
        <v>4094</v>
      </c>
      <c r="L1121" s="6" t="s">
        <v>1233</v>
      </c>
      <c r="N1121" s="6" t="s">
        <v>1233</v>
      </c>
      <c r="O1121" s="29">
        <v>191500.05</v>
      </c>
    </row>
    <row r="1122" s="1" customFormat="1" ht="16.35" hidden="1" customHeight="1" spans="1:15">
      <c r="A1122" s="5"/>
      <c r="B1122" s="6" t="s">
        <v>2906</v>
      </c>
      <c r="C1122" s="6">
        <v>2019</v>
      </c>
      <c r="D1122" s="6">
        <v>11</v>
      </c>
      <c r="E1122" s="7">
        <v>10</v>
      </c>
      <c r="F1122" s="6" t="s">
        <v>4095</v>
      </c>
      <c r="G1122" s="6" t="s">
        <v>2908</v>
      </c>
      <c r="H1122" s="6" t="s">
        <v>2909</v>
      </c>
      <c r="I1122" s="8"/>
      <c r="J1122" s="8">
        <v>8095</v>
      </c>
      <c r="K1122" s="6" t="s">
        <v>4096</v>
      </c>
      <c r="L1122" s="6" t="s">
        <v>1235</v>
      </c>
      <c r="N1122" s="6" t="s">
        <v>1235</v>
      </c>
      <c r="O1122" s="29">
        <v>8499.75</v>
      </c>
    </row>
    <row r="1123" s="1" customFormat="1" ht="16.35" hidden="1" customHeight="1" spans="1:16">
      <c r="A1123" s="5"/>
      <c r="B1123" s="6" t="s">
        <v>2906</v>
      </c>
      <c r="C1123" s="6">
        <v>2019</v>
      </c>
      <c r="D1123" s="6">
        <v>11</v>
      </c>
      <c r="E1123" s="7">
        <v>11</v>
      </c>
      <c r="F1123" s="6" t="s">
        <v>4098</v>
      </c>
      <c r="G1123" s="6" t="s">
        <v>2908</v>
      </c>
      <c r="H1123" s="6" t="s">
        <v>2909</v>
      </c>
      <c r="I1123" s="8"/>
      <c r="J1123" s="8">
        <v>176995</v>
      </c>
      <c r="K1123" s="6" t="s">
        <v>4099</v>
      </c>
      <c r="L1123" s="6" t="s">
        <v>4100</v>
      </c>
      <c r="N1123" s="6" t="s">
        <v>4100</v>
      </c>
      <c r="O1123" s="29">
        <v>185845</v>
      </c>
      <c r="P1123" s="1">
        <f>O1123-J1123</f>
        <v>8850</v>
      </c>
    </row>
    <row r="1124" s="1" customFormat="1" ht="16.35" hidden="1" customHeight="1" spans="1:15">
      <c r="A1124" s="5"/>
      <c r="B1124" s="6" t="s">
        <v>2906</v>
      </c>
      <c r="C1124" s="6">
        <v>2019</v>
      </c>
      <c r="D1124" s="6">
        <v>11</v>
      </c>
      <c r="E1124" s="7">
        <v>12</v>
      </c>
      <c r="F1124" s="6" t="s">
        <v>4101</v>
      </c>
      <c r="G1124" s="6" t="s">
        <v>2908</v>
      </c>
      <c r="H1124" s="6" t="s">
        <v>2909</v>
      </c>
      <c r="I1124" s="8"/>
      <c r="J1124" s="8">
        <v>176995</v>
      </c>
      <c r="K1124" s="6" t="s">
        <v>4102</v>
      </c>
      <c r="L1124" s="6" t="s">
        <v>4103</v>
      </c>
      <c r="N1124" s="6" t="s">
        <v>4103</v>
      </c>
      <c r="O1124" s="29">
        <v>185844.75</v>
      </c>
    </row>
    <row r="1125" s="1" customFormat="1" ht="16.35" hidden="1" customHeight="1" spans="1:15">
      <c r="A1125" s="5"/>
      <c r="B1125" s="6" t="s">
        <v>2906</v>
      </c>
      <c r="C1125" s="6">
        <v>2019</v>
      </c>
      <c r="D1125" s="6">
        <v>11</v>
      </c>
      <c r="E1125" s="7">
        <v>13</v>
      </c>
      <c r="F1125" s="6" t="s">
        <v>4095</v>
      </c>
      <c r="G1125" s="6" t="s">
        <v>2908</v>
      </c>
      <c r="H1125" s="6" t="s">
        <v>2909</v>
      </c>
      <c r="I1125" s="8"/>
      <c r="J1125" s="8">
        <v>174286</v>
      </c>
      <c r="K1125" s="6" t="s">
        <v>4096</v>
      </c>
      <c r="L1125" s="6" t="s">
        <v>1235</v>
      </c>
      <c r="N1125" s="6" t="s">
        <v>1235</v>
      </c>
      <c r="O1125" s="29">
        <v>183000.3</v>
      </c>
    </row>
    <row r="1126" s="1" customFormat="1" ht="16.35" hidden="1" customHeight="1" spans="1:15">
      <c r="A1126" s="5"/>
      <c r="B1126" s="6" t="s">
        <v>2906</v>
      </c>
      <c r="C1126" s="6">
        <v>2019</v>
      </c>
      <c r="D1126" s="6">
        <v>11</v>
      </c>
      <c r="E1126" s="7">
        <v>14</v>
      </c>
      <c r="F1126" s="6" t="s">
        <v>4104</v>
      </c>
      <c r="G1126" s="6" t="s">
        <v>2908</v>
      </c>
      <c r="H1126" s="6" t="s">
        <v>2909</v>
      </c>
      <c r="I1126" s="8"/>
      <c r="J1126" s="8">
        <v>67330</v>
      </c>
      <c r="K1126" s="6" t="s">
        <v>4092</v>
      </c>
      <c r="L1126" s="6" t="s">
        <v>1116</v>
      </c>
      <c r="N1126" s="6" t="s">
        <v>1116</v>
      </c>
      <c r="O1126" s="29">
        <v>70696.5</v>
      </c>
    </row>
    <row r="1127" s="1" customFormat="1" ht="16.35" hidden="1" customHeight="1" spans="1:16">
      <c r="A1127" s="5"/>
      <c r="B1127" s="6" t="s">
        <v>2906</v>
      </c>
      <c r="C1127" s="6">
        <v>2019</v>
      </c>
      <c r="D1127" s="6">
        <v>11</v>
      </c>
      <c r="E1127" s="7">
        <v>15</v>
      </c>
      <c r="F1127" s="6" t="s">
        <v>4105</v>
      </c>
      <c r="G1127" s="6" t="s">
        <v>2908</v>
      </c>
      <c r="H1127" s="6" t="s">
        <v>2909</v>
      </c>
      <c r="I1127" s="8"/>
      <c r="J1127" s="8">
        <v>-57763</v>
      </c>
      <c r="K1127" s="6" t="s">
        <v>3264</v>
      </c>
      <c r="L1127" s="6" t="s">
        <v>1704</v>
      </c>
      <c r="N1127" s="6" t="s">
        <v>1704</v>
      </c>
      <c r="O1127" s="29">
        <v>-60651.15</v>
      </c>
      <c r="P1127" s="1" t="s">
        <v>3265</v>
      </c>
    </row>
    <row r="1128" s="1" customFormat="1" ht="16.35" hidden="1" customHeight="1" spans="1:15">
      <c r="A1128" s="5"/>
      <c r="B1128" s="6" t="s">
        <v>2906</v>
      </c>
      <c r="C1128" s="6">
        <v>2019</v>
      </c>
      <c r="D1128" s="6">
        <v>11</v>
      </c>
      <c r="E1128" s="7">
        <v>33</v>
      </c>
      <c r="F1128" s="6" t="s">
        <v>4106</v>
      </c>
      <c r="G1128" s="6" t="s">
        <v>2908</v>
      </c>
      <c r="H1128" s="6" t="s">
        <v>2909</v>
      </c>
      <c r="I1128" s="8"/>
      <c r="J1128" s="8">
        <v>142857</v>
      </c>
      <c r="K1128" s="6" t="s">
        <v>4044</v>
      </c>
      <c r="L1128" s="6" t="s">
        <v>1224</v>
      </c>
      <c r="N1128" s="6" t="s">
        <v>1224</v>
      </c>
      <c r="O1128" s="29">
        <v>149999.85</v>
      </c>
    </row>
    <row r="1129" s="1" customFormat="1" ht="16.35" hidden="1" customHeight="1" spans="1:16">
      <c r="A1129" s="5"/>
      <c r="B1129" s="6" t="s">
        <v>2906</v>
      </c>
      <c r="C1129" s="6">
        <v>2019</v>
      </c>
      <c r="D1129" s="6">
        <v>11</v>
      </c>
      <c r="E1129" s="7">
        <v>34</v>
      </c>
      <c r="F1129" s="6" t="s">
        <v>4107</v>
      </c>
      <c r="G1129" s="6" t="s">
        <v>2908</v>
      </c>
      <c r="H1129" s="6" t="s">
        <v>2909</v>
      </c>
      <c r="I1129" s="8"/>
      <c r="J1129" s="8">
        <v>95238</v>
      </c>
      <c r="K1129" s="6" t="s">
        <v>4019</v>
      </c>
      <c r="L1129" s="6" t="s">
        <v>1252</v>
      </c>
      <c r="N1129" s="6" t="s">
        <v>1252</v>
      </c>
      <c r="O1129" s="29">
        <v>99999.9</v>
      </c>
      <c r="P1129" s="1">
        <f>O1129-J1129</f>
        <v>4761.89999999999</v>
      </c>
    </row>
    <row r="1130" s="1" customFormat="1" ht="16.35" hidden="1" customHeight="1" spans="1:15">
      <c r="A1130" s="5"/>
      <c r="B1130" s="6" t="s">
        <v>2906</v>
      </c>
      <c r="C1130" s="6">
        <v>2019</v>
      </c>
      <c r="D1130" s="6">
        <v>11</v>
      </c>
      <c r="E1130" s="7">
        <v>35</v>
      </c>
      <c r="F1130" s="6" t="s">
        <v>4108</v>
      </c>
      <c r="G1130" s="6" t="s">
        <v>2908</v>
      </c>
      <c r="H1130" s="6" t="s">
        <v>2909</v>
      </c>
      <c r="I1130" s="8"/>
      <c r="J1130" s="8">
        <v>60076</v>
      </c>
      <c r="K1130" s="6" t="s">
        <v>4073</v>
      </c>
      <c r="L1130" s="6" t="s">
        <v>1404</v>
      </c>
      <c r="N1130" s="6" t="s">
        <v>1404</v>
      </c>
      <c r="O1130" s="29">
        <v>63079.8</v>
      </c>
    </row>
    <row r="1131" s="1" customFormat="1" ht="16.35" hidden="1" customHeight="1" spans="1:15">
      <c r="A1131" s="5"/>
      <c r="B1131" s="6" t="s">
        <v>2906</v>
      </c>
      <c r="C1131" s="6">
        <v>2019</v>
      </c>
      <c r="D1131" s="6">
        <v>11</v>
      </c>
      <c r="E1131" s="7">
        <v>36</v>
      </c>
      <c r="F1131" s="6" t="s">
        <v>4109</v>
      </c>
      <c r="G1131" s="6" t="s">
        <v>2908</v>
      </c>
      <c r="H1131" s="6" t="s">
        <v>2909</v>
      </c>
      <c r="I1131" s="8"/>
      <c r="J1131" s="8">
        <v>45952</v>
      </c>
      <c r="K1131" s="6" t="s">
        <v>3673</v>
      </c>
      <c r="L1131" s="6" t="s">
        <v>1507</v>
      </c>
      <c r="N1131" s="6" t="s">
        <v>1507</v>
      </c>
      <c r="O1131" s="29">
        <v>48249.6</v>
      </c>
    </row>
    <row r="1132" s="1" customFormat="1" ht="16.35" hidden="1" customHeight="1" spans="1:15">
      <c r="A1132" s="5"/>
      <c r="B1132" s="6" t="s">
        <v>2906</v>
      </c>
      <c r="C1132" s="6">
        <v>2019</v>
      </c>
      <c r="D1132" s="6">
        <v>11</v>
      </c>
      <c r="E1132" s="7">
        <v>40</v>
      </c>
      <c r="F1132" s="6" t="s">
        <v>4110</v>
      </c>
      <c r="G1132" s="6" t="s">
        <v>2908</v>
      </c>
      <c r="H1132" s="6" t="s">
        <v>2909</v>
      </c>
      <c r="I1132" s="8"/>
      <c r="J1132" s="8">
        <v>95238</v>
      </c>
      <c r="K1132" s="6" t="s">
        <v>3619</v>
      </c>
      <c r="L1132" s="6" t="s">
        <v>1081</v>
      </c>
      <c r="N1132" s="6" t="s">
        <v>1081</v>
      </c>
      <c r="O1132" s="29">
        <v>99999.9</v>
      </c>
    </row>
    <row r="1133" s="1" customFormat="1" ht="16.35" hidden="1" customHeight="1" spans="1:16">
      <c r="A1133" s="5"/>
      <c r="B1133" s="6" t="s">
        <v>2906</v>
      </c>
      <c r="C1133" s="6">
        <v>2019</v>
      </c>
      <c r="D1133" s="6">
        <v>12</v>
      </c>
      <c r="E1133" s="7">
        <v>1</v>
      </c>
      <c r="F1133" s="6" t="s">
        <v>4111</v>
      </c>
      <c r="G1133" s="6" t="s">
        <v>2908</v>
      </c>
      <c r="H1133" s="6" t="s">
        <v>2909</v>
      </c>
      <c r="I1133" s="8"/>
      <c r="J1133" s="8">
        <v>95238</v>
      </c>
      <c r="K1133" s="6" t="s">
        <v>4112</v>
      </c>
      <c r="L1133" s="6" t="s">
        <v>4113</v>
      </c>
      <c r="N1133" s="6" t="s">
        <v>1240</v>
      </c>
      <c r="O1133" s="29">
        <v>100000</v>
      </c>
      <c r="P1133" s="1">
        <f>O1133-J1133</f>
        <v>4762</v>
      </c>
    </row>
    <row r="1134" s="1" customFormat="1" ht="16.35" hidden="1" customHeight="1" spans="1:15">
      <c r="A1134" s="5"/>
      <c r="B1134" s="6" t="s">
        <v>2906</v>
      </c>
      <c r="C1134" s="6">
        <v>2019</v>
      </c>
      <c r="D1134" s="6">
        <v>12</v>
      </c>
      <c r="E1134" s="7">
        <v>2</v>
      </c>
      <c r="F1134" s="6" t="s">
        <v>4114</v>
      </c>
      <c r="G1134" s="6" t="s">
        <v>2908</v>
      </c>
      <c r="H1134" s="6" t="s">
        <v>2909</v>
      </c>
      <c r="I1134" s="8"/>
      <c r="J1134" s="8">
        <v>47619</v>
      </c>
      <c r="K1134" s="6" t="s">
        <v>3999</v>
      </c>
      <c r="L1134" s="6" t="s">
        <v>1917</v>
      </c>
      <c r="N1134" s="6" t="s">
        <v>1917</v>
      </c>
      <c r="O1134" s="29">
        <v>49999.95</v>
      </c>
    </row>
    <row r="1135" s="1" customFormat="1" ht="16.35" hidden="1" customHeight="1" spans="1:16">
      <c r="A1135" s="5"/>
      <c r="B1135" s="6" t="s">
        <v>2906</v>
      </c>
      <c r="C1135" s="6">
        <v>2019</v>
      </c>
      <c r="D1135" s="6">
        <v>12</v>
      </c>
      <c r="E1135" s="7">
        <v>3</v>
      </c>
      <c r="F1135" s="6" t="s">
        <v>4115</v>
      </c>
      <c r="G1135" s="6" t="s">
        <v>2908</v>
      </c>
      <c r="H1135" s="6" t="s">
        <v>2909</v>
      </c>
      <c r="I1135" s="8"/>
      <c r="J1135" s="8">
        <v>16667</v>
      </c>
      <c r="K1135" s="6" t="s">
        <v>4116</v>
      </c>
      <c r="L1135" s="6" t="s">
        <v>1427</v>
      </c>
      <c r="N1135" s="6" t="s">
        <v>1427</v>
      </c>
      <c r="O1135" s="29">
        <v>17500.35</v>
      </c>
      <c r="P1135" s="1">
        <f>O1135-J1135</f>
        <v>833.349999999999</v>
      </c>
    </row>
    <row r="1136" s="1" customFormat="1" ht="16.35" hidden="1" customHeight="1" spans="1:15">
      <c r="A1136" s="5"/>
      <c r="B1136" s="6" t="s">
        <v>2906</v>
      </c>
      <c r="C1136" s="6">
        <v>2019</v>
      </c>
      <c r="D1136" s="6">
        <v>12</v>
      </c>
      <c r="E1136" s="7">
        <v>4</v>
      </c>
      <c r="F1136" s="6" t="s">
        <v>3910</v>
      </c>
      <c r="G1136" s="6" t="s">
        <v>2908</v>
      </c>
      <c r="H1136" s="6" t="s">
        <v>2909</v>
      </c>
      <c r="I1136" s="8"/>
      <c r="J1136" s="8">
        <v>161905</v>
      </c>
      <c r="K1136" s="6" t="s">
        <v>3648</v>
      </c>
      <c r="L1136" s="6" t="s">
        <v>1617</v>
      </c>
      <c r="N1136" s="6" t="s">
        <v>1617</v>
      </c>
      <c r="O1136" s="29">
        <v>170000.25</v>
      </c>
    </row>
    <row r="1137" s="1" customFormat="1" ht="16.35" hidden="1" customHeight="1" spans="1:15">
      <c r="A1137" s="5"/>
      <c r="B1137" s="6" t="s">
        <v>2906</v>
      </c>
      <c r="C1137" s="6">
        <v>2019</v>
      </c>
      <c r="D1137" s="6">
        <v>12</v>
      </c>
      <c r="E1137" s="7">
        <v>23</v>
      </c>
      <c r="F1137" s="6" t="s">
        <v>4117</v>
      </c>
      <c r="G1137" s="6" t="s">
        <v>2908</v>
      </c>
      <c r="H1137" s="6" t="s">
        <v>2909</v>
      </c>
      <c r="I1137" s="8"/>
      <c r="J1137" s="8">
        <v>-4762</v>
      </c>
      <c r="K1137" s="6" t="s">
        <v>2956</v>
      </c>
      <c r="L1137" s="6" t="s">
        <v>1760</v>
      </c>
      <c r="N1137" s="6" t="s">
        <v>1760</v>
      </c>
      <c r="O1137" s="29">
        <v>-5000.1</v>
      </c>
    </row>
    <row r="1138" s="1" customFormat="1" ht="16.35" hidden="1" customHeight="1" spans="1:16">
      <c r="A1138" s="5"/>
      <c r="B1138" s="6" t="s">
        <v>2906</v>
      </c>
      <c r="C1138" s="6">
        <v>2019</v>
      </c>
      <c r="D1138" s="6">
        <v>12</v>
      </c>
      <c r="E1138" s="7">
        <v>27</v>
      </c>
      <c r="F1138" s="6" t="s">
        <v>4005</v>
      </c>
      <c r="G1138" s="6" t="s">
        <v>2908</v>
      </c>
      <c r="H1138" s="6" t="s">
        <v>2909</v>
      </c>
      <c r="I1138" s="8"/>
      <c r="J1138" s="8">
        <v>28571</v>
      </c>
      <c r="K1138" s="6" t="s">
        <v>4006</v>
      </c>
      <c r="L1138" s="6" t="s">
        <v>1254</v>
      </c>
      <c r="N1138" s="6" t="s">
        <v>1254</v>
      </c>
      <c r="O1138" s="29">
        <v>29999.55</v>
      </c>
      <c r="P1138" s="1">
        <f>O1138-J1138</f>
        <v>1428.55</v>
      </c>
    </row>
    <row r="1139" s="1" customFormat="1" ht="16.35" hidden="1" customHeight="1" spans="1:16">
      <c r="A1139" s="5"/>
      <c r="B1139" s="6" t="s">
        <v>2906</v>
      </c>
      <c r="C1139" s="6">
        <v>2019</v>
      </c>
      <c r="D1139" s="6">
        <v>12</v>
      </c>
      <c r="E1139" s="7">
        <v>28</v>
      </c>
      <c r="F1139" s="6" t="s">
        <v>4115</v>
      </c>
      <c r="G1139" s="6" t="s">
        <v>2908</v>
      </c>
      <c r="H1139" s="6" t="s">
        <v>2909</v>
      </c>
      <c r="I1139" s="8"/>
      <c r="J1139" s="8">
        <v>36190</v>
      </c>
      <c r="K1139" s="6" t="s">
        <v>4116</v>
      </c>
      <c r="L1139" s="6" t="s">
        <v>1427</v>
      </c>
      <c r="N1139" s="6" t="s">
        <v>1427</v>
      </c>
      <c r="O1139" s="29">
        <v>37999.5</v>
      </c>
      <c r="P1139" s="1">
        <f>O1139-J1139</f>
        <v>1809.5</v>
      </c>
    </row>
    <row r="1140" s="1" customFormat="1" ht="16.35" hidden="1" customHeight="1" spans="1:15">
      <c r="A1140" s="5"/>
      <c r="B1140" s="6" t="s">
        <v>2906</v>
      </c>
      <c r="C1140" s="6">
        <v>2019</v>
      </c>
      <c r="D1140" s="6">
        <v>12</v>
      </c>
      <c r="E1140" s="7">
        <v>29</v>
      </c>
      <c r="F1140" s="6" t="s">
        <v>4118</v>
      </c>
      <c r="G1140" s="6" t="s">
        <v>2908</v>
      </c>
      <c r="H1140" s="6" t="s">
        <v>2909</v>
      </c>
      <c r="I1140" s="8"/>
      <c r="J1140" s="8">
        <v>146667</v>
      </c>
      <c r="K1140" s="6" t="s">
        <v>3969</v>
      </c>
      <c r="L1140" s="6" t="s">
        <v>1521</v>
      </c>
      <c r="N1140" s="6" t="s">
        <v>1521</v>
      </c>
      <c r="O1140" s="29">
        <v>154000.35</v>
      </c>
    </row>
    <row r="1141" s="1" customFormat="1" ht="16.35" hidden="1" customHeight="1" spans="1:15">
      <c r="A1141" s="5"/>
      <c r="B1141" s="6" t="s">
        <v>2906</v>
      </c>
      <c r="C1141" s="6">
        <v>2019</v>
      </c>
      <c r="D1141" s="6">
        <v>12</v>
      </c>
      <c r="E1141" s="7">
        <v>30</v>
      </c>
      <c r="F1141" s="6" t="s">
        <v>4119</v>
      </c>
      <c r="G1141" s="6" t="s">
        <v>2908</v>
      </c>
      <c r="H1141" s="6" t="s">
        <v>2909</v>
      </c>
      <c r="I1141" s="8"/>
      <c r="J1141" s="8">
        <v>161905</v>
      </c>
      <c r="K1141" s="6" t="s">
        <v>4092</v>
      </c>
      <c r="L1141" s="6" t="s">
        <v>1116</v>
      </c>
      <c r="N1141" s="6" t="s">
        <v>1116</v>
      </c>
      <c r="O1141" s="29">
        <v>170000.25</v>
      </c>
    </row>
    <row r="1142" s="1" customFormat="1" ht="16.35" hidden="1" customHeight="1" spans="1:16">
      <c r="A1142" s="5"/>
      <c r="B1142" s="6" t="s">
        <v>2906</v>
      </c>
      <c r="C1142" s="6">
        <v>2019</v>
      </c>
      <c r="D1142" s="6">
        <v>12</v>
      </c>
      <c r="E1142" s="7">
        <v>31</v>
      </c>
      <c r="F1142" s="6" t="s">
        <v>4120</v>
      </c>
      <c r="G1142" s="6" t="s">
        <v>2908</v>
      </c>
      <c r="H1142" s="6" t="s">
        <v>2909</v>
      </c>
      <c r="I1142" s="8"/>
      <c r="J1142" s="8">
        <v>-952</v>
      </c>
      <c r="K1142" s="6" t="s">
        <v>3327</v>
      </c>
      <c r="L1142" s="6" t="s">
        <v>1898</v>
      </c>
      <c r="N1142" s="6" t="s">
        <v>1898</v>
      </c>
      <c r="O1142" s="29">
        <v>-999.6</v>
      </c>
      <c r="P1142" s="1">
        <f>O1142-J1142</f>
        <v>-47.6</v>
      </c>
    </row>
    <row r="1143" s="1" customFormat="1" ht="16.35" hidden="1" customHeight="1" spans="1:15">
      <c r="A1143" s="5"/>
      <c r="B1143" s="6" t="s">
        <v>2906</v>
      </c>
      <c r="C1143" s="6">
        <v>2019</v>
      </c>
      <c r="D1143" s="6">
        <v>12</v>
      </c>
      <c r="E1143" s="7">
        <v>38</v>
      </c>
      <c r="F1143" s="6" t="s">
        <v>4121</v>
      </c>
      <c r="G1143" s="6" t="s">
        <v>2908</v>
      </c>
      <c r="H1143" s="6" t="s">
        <v>2909</v>
      </c>
      <c r="I1143" s="8">
        <v>12394864</v>
      </c>
      <c r="J1143" s="8"/>
      <c r="K1143" s="6" t="s">
        <v>2922</v>
      </c>
      <c r="L1143" s="6" t="s">
        <v>2923</v>
      </c>
      <c r="N1143" s="6" t="s">
        <v>2923</v>
      </c>
      <c r="O1143" s="29">
        <v>0</v>
      </c>
    </row>
    <row r="1144" s="1" customFormat="1" ht="16.35" hidden="1" customHeight="1" spans="1:15">
      <c r="A1144" s="5"/>
      <c r="B1144" s="6" t="s">
        <v>2906</v>
      </c>
      <c r="C1144" s="6">
        <v>2019</v>
      </c>
      <c r="D1144" s="6">
        <v>12</v>
      </c>
      <c r="E1144" s="7">
        <v>38</v>
      </c>
      <c r="F1144" s="6" t="s">
        <v>4121</v>
      </c>
      <c r="G1144" s="6" t="s">
        <v>2908</v>
      </c>
      <c r="H1144" s="6" t="s">
        <v>2909</v>
      </c>
      <c r="I1144" s="8">
        <v>6496000</v>
      </c>
      <c r="J1144" s="8"/>
      <c r="K1144" s="6" t="s">
        <v>2929</v>
      </c>
      <c r="L1144" s="6" t="s">
        <v>2930</v>
      </c>
      <c r="N1144" s="6" t="s">
        <v>2930</v>
      </c>
      <c r="O1144" s="29">
        <v>0</v>
      </c>
    </row>
    <row r="1145" s="1" customFormat="1" ht="16.35" hidden="1" customHeight="1" spans="1:15">
      <c r="A1145" s="5"/>
      <c r="B1145" s="6" t="s">
        <v>2906</v>
      </c>
      <c r="C1145" s="6">
        <v>2019</v>
      </c>
      <c r="D1145" s="6">
        <v>12</v>
      </c>
      <c r="E1145" s="7">
        <v>38</v>
      </c>
      <c r="F1145" s="6" t="s">
        <v>4121</v>
      </c>
      <c r="G1145" s="6" t="s">
        <v>2908</v>
      </c>
      <c r="H1145" s="6" t="s">
        <v>2909</v>
      </c>
      <c r="I1145" s="8">
        <v>149701</v>
      </c>
      <c r="J1145" s="8"/>
      <c r="K1145" s="6" t="s">
        <v>2956</v>
      </c>
      <c r="L1145" s="6" t="s">
        <v>1760</v>
      </c>
      <c r="N1145" s="6" t="s">
        <v>1760</v>
      </c>
      <c r="O1145" s="29">
        <v>0</v>
      </c>
    </row>
    <row r="1146" s="1" customFormat="1" ht="16.35" hidden="1" customHeight="1" spans="1:15">
      <c r="A1146" s="5"/>
      <c r="B1146" s="6" t="s">
        <v>2906</v>
      </c>
      <c r="C1146" s="6">
        <v>2019</v>
      </c>
      <c r="D1146" s="6">
        <v>12</v>
      </c>
      <c r="E1146" s="7">
        <v>38</v>
      </c>
      <c r="F1146" s="6" t="s">
        <v>4121</v>
      </c>
      <c r="G1146" s="6" t="s">
        <v>2908</v>
      </c>
      <c r="H1146" s="6" t="s">
        <v>2909</v>
      </c>
      <c r="I1146" s="8">
        <v>152507</v>
      </c>
      <c r="J1146" s="8"/>
      <c r="K1146" s="6" t="s">
        <v>2958</v>
      </c>
      <c r="L1146" s="6" t="s">
        <v>1601</v>
      </c>
      <c r="N1146" s="6" t="s">
        <v>1601</v>
      </c>
      <c r="O1146" s="29">
        <v>0</v>
      </c>
    </row>
    <row r="1147" s="1" customFormat="1" ht="16.35" hidden="1" customHeight="1" spans="1:15">
      <c r="A1147" s="5"/>
      <c r="B1147" s="6" t="s">
        <v>2906</v>
      </c>
      <c r="C1147" s="6">
        <v>2019</v>
      </c>
      <c r="D1147" s="6">
        <v>12</v>
      </c>
      <c r="E1147" s="7">
        <v>38</v>
      </c>
      <c r="F1147" s="6" t="s">
        <v>4121</v>
      </c>
      <c r="G1147" s="6" t="s">
        <v>2908</v>
      </c>
      <c r="H1147" s="6" t="s">
        <v>2909</v>
      </c>
      <c r="I1147" s="8">
        <v>150358</v>
      </c>
      <c r="J1147" s="8"/>
      <c r="K1147" s="6" t="s">
        <v>2960</v>
      </c>
      <c r="L1147" s="6" t="s">
        <v>1758</v>
      </c>
      <c r="N1147" s="6" t="s">
        <v>1758</v>
      </c>
      <c r="O1147" s="29">
        <v>0</v>
      </c>
    </row>
    <row r="1148" s="1" customFormat="1" ht="16.35" hidden="1" customHeight="1" spans="1:15">
      <c r="A1148" s="5"/>
      <c r="B1148" s="6" t="s">
        <v>2906</v>
      </c>
      <c r="C1148" s="6">
        <v>2019</v>
      </c>
      <c r="D1148" s="6">
        <v>12</v>
      </c>
      <c r="E1148" s="7">
        <v>38</v>
      </c>
      <c r="F1148" s="6" t="s">
        <v>4121</v>
      </c>
      <c r="G1148" s="6" t="s">
        <v>2908</v>
      </c>
      <c r="H1148" s="6" t="s">
        <v>2909</v>
      </c>
      <c r="I1148" s="8">
        <v>110013</v>
      </c>
      <c r="J1148" s="8"/>
      <c r="K1148" s="6" t="s">
        <v>2962</v>
      </c>
      <c r="L1148" s="6" t="s">
        <v>1792</v>
      </c>
      <c r="N1148" s="6" t="s">
        <v>1792</v>
      </c>
      <c r="O1148" s="29">
        <v>0</v>
      </c>
    </row>
    <row r="1149" s="1" customFormat="1" ht="16.35" hidden="1" customHeight="1" spans="1:15">
      <c r="A1149" s="5"/>
      <c r="B1149" s="6" t="s">
        <v>2906</v>
      </c>
      <c r="C1149" s="6">
        <v>2019</v>
      </c>
      <c r="D1149" s="6">
        <v>12</v>
      </c>
      <c r="E1149" s="7">
        <v>38</v>
      </c>
      <c r="F1149" s="6" t="s">
        <v>4121</v>
      </c>
      <c r="G1149" s="6" t="s">
        <v>2908</v>
      </c>
      <c r="H1149" s="6" t="s">
        <v>2909</v>
      </c>
      <c r="I1149" s="8">
        <v>235665</v>
      </c>
      <c r="J1149" s="8"/>
      <c r="K1149" s="6" t="s">
        <v>2964</v>
      </c>
      <c r="L1149" s="6" t="s">
        <v>1765</v>
      </c>
      <c r="N1149" s="6" t="s">
        <v>1765</v>
      </c>
      <c r="O1149" s="29">
        <v>0</v>
      </c>
    </row>
    <row r="1150" s="1" customFormat="1" ht="16.35" hidden="1" customHeight="1" spans="1:15">
      <c r="A1150" s="5"/>
      <c r="B1150" s="6" t="s">
        <v>2906</v>
      </c>
      <c r="C1150" s="6">
        <v>2019</v>
      </c>
      <c r="D1150" s="6">
        <v>12</v>
      </c>
      <c r="E1150" s="7">
        <v>38</v>
      </c>
      <c r="F1150" s="6" t="s">
        <v>4121</v>
      </c>
      <c r="G1150" s="6" t="s">
        <v>2908</v>
      </c>
      <c r="H1150" s="6" t="s">
        <v>2909</v>
      </c>
      <c r="I1150" s="8">
        <v>26714</v>
      </c>
      <c r="J1150" s="8"/>
      <c r="K1150" s="6" t="s">
        <v>2966</v>
      </c>
      <c r="L1150" s="6" t="s">
        <v>1762</v>
      </c>
      <c r="N1150" s="6" t="s">
        <v>1762</v>
      </c>
      <c r="O1150" s="29">
        <v>0</v>
      </c>
    </row>
    <row r="1151" s="1" customFormat="1" ht="16.35" hidden="1" customHeight="1" spans="1:15">
      <c r="A1151" s="5"/>
      <c r="B1151" s="6" t="s">
        <v>2906</v>
      </c>
      <c r="C1151" s="6">
        <v>2019</v>
      </c>
      <c r="D1151" s="6">
        <v>12</v>
      </c>
      <c r="E1151" s="7">
        <v>38</v>
      </c>
      <c r="F1151" s="6" t="s">
        <v>4121</v>
      </c>
      <c r="G1151" s="6" t="s">
        <v>2908</v>
      </c>
      <c r="H1151" s="6" t="s">
        <v>2909</v>
      </c>
      <c r="I1151" s="8">
        <v>183229</v>
      </c>
      <c r="J1151" s="8"/>
      <c r="K1151" s="6" t="s">
        <v>2968</v>
      </c>
      <c r="L1151" s="6" t="s">
        <v>1698</v>
      </c>
      <c r="N1151" s="6" t="s">
        <v>1698</v>
      </c>
      <c r="O1151" s="29">
        <v>0</v>
      </c>
    </row>
    <row r="1152" s="1" customFormat="1" ht="16.35" hidden="1" customHeight="1" spans="1:15">
      <c r="A1152" s="5"/>
      <c r="B1152" s="6" t="s">
        <v>2906</v>
      </c>
      <c r="C1152" s="6">
        <v>2019</v>
      </c>
      <c r="D1152" s="6">
        <v>12</v>
      </c>
      <c r="E1152" s="7">
        <v>38</v>
      </c>
      <c r="F1152" s="6" t="s">
        <v>4121</v>
      </c>
      <c r="G1152" s="6" t="s">
        <v>2908</v>
      </c>
      <c r="H1152" s="6" t="s">
        <v>2909</v>
      </c>
      <c r="I1152" s="8">
        <v>107924</v>
      </c>
      <c r="J1152" s="8"/>
      <c r="K1152" s="6" t="s">
        <v>2971</v>
      </c>
      <c r="L1152" s="6" t="s">
        <v>1816</v>
      </c>
      <c r="N1152" s="6" t="s">
        <v>1816</v>
      </c>
      <c r="O1152" s="29">
        <v>0</v>
      </c>
    </row>
    <row r="1153" s="1" customFormat="1" ht="16.35" hidden="1" customHeight="1" spans="1:15">
      <c r="A1153" s="5"/>
      <c r="B1153" s="6" t="s">
        <v>2906</v>
      </c>
      <c r="C1153" s="6">
        <v>2019</v>
      </c>
      <c r="D1153" s="6">
        <v>12</v>
      </c>
      <c r="E1153" s="7">
        <v>38</v>
      </c>
      <c r="F1153" s="6" t="s">
        <v>4121</v>
      </c>
      <c r="G1153" s="6" t="s">
        <v>2908</v>
      </c>
      <c r="H1153" s="6" t="s">
        <v>2909</v>
      </c>
      <c r="I1153" s="8">
        <v>107925</v>
      </c>
      <c r="J1153" s="8"/>
      <c r="K1153" s="6" t="s">
        <v>2974</v>
      </c>
      <c r="L1153" s="6" t="s">
        <v>1770</v>
      </c>
      <c r="N1153" s="6" t="s">
        <v>1770</v>
      </c>
      <c r="O1153" s="29">
        <v>0</v>
      </c>
    </row>
    <row r="1154" s="1" customFormat="1" ht="16.35" hidden="1" customHeight="1" spans="1:15">
      <c r="A1154" s="5"/>
      <c r="B1154" s="6" t="s">
        <v>2906</v>
      </c>
      <c r="C1154" s="6">
        <v>2019</v>
      </c>
      <c r="D1154" s="6">
        <v>12</v>
      </c>
      <c r="E1154" s="7">
        <v>38</v>
      </c>
      <c r="F1154" s="6" t="s">
        <v>4121</v>
      </c>
      <c r="G1154" s="6" t="s">
        <v>2908</v>
      </c>
      <c r="H1154" s="6" t="s">
        <v>2909</v>
      </c>
      <c r="I1154" s="8">
        <v>130902</v>
      </c>
      <c r="J1154" s="8"/>
      <c r="K1154" s="6" t="s">
        <v>2976</v>
      </c>
      <c r="L1154" s="6" t="s">
        <v>1788</v>
      </c>
      <c r="N1154" s="6" t="s">
        <v>1788</v>
      </c>
      <c r="O1154" s="29">
        <v>0</v>
      </c>
    </row>
    <row r="1155" s="1" customFormat="1" ht="16.35" hidden="1" customHeight="1" spans="1:15">
      <c r="A1155" s="5"/>
      <c r="B1155" s="6" t="s">
        <v>2906</v>
      </c>
      <c r="C1155" s="6">
        <v>2019</v>
      </c>
      <c r="D1155" s="6">
        <v>12</v>
      </c>
      <c r="E1155" s="7">
        <v>38</v>
      </c>
      <c r="F1155" s="6" t="s">
        <v>4121</v>
      </c>
      <c r="G1155" s="6" t="s">
        <v>2908</v>
      </c>
      <c r="H1155" s="6" t="s">
        <v>2909</v>
      </c>
      <c r="I1155" s="8">
        <v>110495</v>
      </c>
      <c r="J1155" s="8"/>
      <c r="K1155" s="6" t="s">
        <v>2978</v>
      </c>
      <c r="L1155" s="6" t="s">
        <v>1768</v>
      </c>
      <c r="N1155" s="6" t="s">
        <v>1768</v>
      </c>
      <c r="O1155" s="29">
        <v>0</v>
      </c>
    </row>
    <row r="1156" s="1" customFormat="1" ht="16.35" hidden="1" customHeight="1" spans="1:15">
      <c r="A1156" s="5"/>
      <c r="B1156" s="6" t="s">
        <v>2906</v>
      </c>
      <c r="C1156" s="6">
        <v>2019</v>
      </c>
      <c r="D1156" s="6">
        <v>12</v>
      </c>
      <c r="E1156" s="7">
        <v>38</v>
      </c>
      <c r="F1156" s="6" t="s">
        <v>4121</v>
      </c>
      <c r="G1156" s="6" t="s">
        <v>2908</v>
      </c>
      <c r="H1156" s="6" t="s">
        <v>2909</v>
      </c>
      <c r="I1156" s="8">
        <v>111893</v>
      </c>
      <c r="J1156" s="8"/>
      <c r="K1156" s="6" t="s">
        <v>2980</v>
      </c>
      <c r="L1156" s="6" t="s">
        <v>1842</v>
      </c>
      <c r="N1156" s="6" t="s">
        <v>1842</v>
      </c>
      <c r="O1156" s="29">
        <v>0</v>
      </c>
    </row>
    <row r="1157" s="1" customFormat="1" ht="16.35" hidden="1" customHeight="1" spans="1:15">
      <c r="A1157" s="5"/>
      <c r="B1157" s="6" t="s">
        <v>2906</v>
      </c>
      <c r="C1157" s="6">
        <v>2019</v>
      </c>
      <c r="D1157" s="6">
        <v>12</v>
      </c>
      <c r="E1157" s="7">
        <v>38</v>
      </c>
      <c r="F1157" s="6" t="s">
        <v>4121</v>
      </c>
      <c r="G1157" s="6" t="s">
        <v>2908</v>
      </c>
      <c r="H1157" s="6" t="s">
        <v>2909</v>
      </c>
      <c r="I1157" s="8">
        <v>132294</v>
      </c>
      <c r="J1157" s="8"/>
      <c r="K1157" s="6" t="s">
        <v>2982</v>
      </c>
      <c r="L1157" s="6" t="s">
        <v>1812</v>
      </c>
      <c r="N1157" s="6" t="s">
        <v>1812</v>
      </c>
      <c r="O1157" s="29">
        <v>0</v>
      </c>
    </row>
    <row r="1158" s="1" customFormat="1" ht="16.35" hidden="1" customHeight="1" spans="1:15">
      <c r="A1158" s="5"/>
      <c r="B1158" s="6" t="s">
        <v>2906</v>
      </c>
      <c r="C1158" s="6">
        <v>2019</v>
      </c>
      <c r="D1158" s="6">
        <v>12</v>
      </c>
      <c r="E1158" s="7">
        <v>38</v>
      </c>
      <c r="F1158" s="6" t="s">
        <v>4121</v>
      </c>
      <c r="G1158" s="6" t="s">
        <v>2908</v>
      </c>
      <c r="H1158" s="6" t="s">
        <v>2909</v>
      </c>
      <c r="I1158" s="8">
        <v>131476</v>
      </c>
      <c r="J1158" s="8"/>
      <c r="K1158" s="6" t="s">
        <v>2984</v>
      </c>
      <c r="L1158" s="6" t="s">
        <v>1838</v>
      </c>
      <c r="N1158" s="6" t="s">
        <v>1838</v>
      </c>
      <c r="O1158" s="29">
        <v>0</v>
      </c>
    </row>
    <row r="1159" s="1" customFormat="1" ht="16.35" hidden="1" customHeight="1" spans="1:15">
      <c r="A1159" s="5"/>
      <c r="B1159" s="6" t="s">
        <v>2906</v>
      </c>
      <c r="C1159" s="6">
        <v>2019</v>
      </c>
      <c r="D1159" s="6">
        <v>12</v>
      </c>
      <c r="E1159" s="7">
        <v>38</v>
      </c>
      <c r="F1159" s="6" t="s">
        <v>4121</v>
      </c>
      <c r="G1159" s="6" t="s">
        <v>2908</v>
      </c>
      <c r="H1159" s="6" t="s">
        <v>2909</v>
      </c>
      <c r="I1159" s="8">
        <v>107924</v>
      </c>
      <c r="J1159" s="8"/>
      <c r="K1159" s="6" t="s">
        <v>2986</v>
      </c>
      <c r="L1159" s="6" t="s">
        <v>1794</v>
      </c>
      <c r="N1159" s="6" t="s">
        <v>1794</v>
      </c>
      <c r="O1159" s="29">
        <v>0</v>
      </c>
    </row>
    <row r="1160" s="1" customFormat="1" ht="16.35" hidden="1" customHeight="1" spans="1:15">
      <c r="A1160" s="5"/>
      <c r="B1160" s="6" t="s">
        <v>2906</v>
      </c>
      <c r="C1160" s="6">
        <v>2019</v>
      </c>
      <c r="D1160" s="6">
        <v>12</v>
      </c>
      <c r="E1160" s="7">
        <v>38</v>
      </c>
      <c r="F1160" s="6" t="s">
        <v>4121</v>
      </c>
      <c r="G1160" s="6" t="s">
        <v>2908</v>
      </c>
      <c r="H1160" s="6" t="s">
        <v>2909</v>
      </c>
      <c r="I1160" s="8">
        <v>130901</v>
      </c>
      <c r="J1160" s="8"/>
      <c r="K1160" s="6" t="s">
        <v>2991</v>
      </c>
      <c r="L1160" s="6" t="s">
        <v>1814</v>
      </c>
      <c r="N1160" s="6" t="s">
        <v>1814</v>
      </c>
      <c r="O1160" s="29">
        <v>0</v>
      </c>
    </row>
    <row r="1161" s="1" customFormat="1" ht="16.35" hidden="1" customHeight="1" spans="1:15">
      <c r="A1161" s="5"/>
      <c r="B1161" s="6" t="s">
        <v>2906</v>
      </c>
      <c r="C1161" s="6">
        <v>2019</v>
      </c>
      <c r="D1161" s="6">
        <v>12</v>
      </c>
      <c r="E1161" s="7">
        <v>38</v>
      </c>
      <c r="F1161" s="6" t="s">
        <v>4121</v>
      </c>
      <c r="G1161" s="6" t="s">
        <v>2908</v>
      </c>
      <c r="H1161" s="6" t="s">
        <v>2909</v>
      </c>
      <c r="I1161" s="8">
        <v>107925</v>
      </c>
      <c r="J1161" s="8"/>
      <c r="K1161" s="6" t="s">
        <v>2989</v>
      </c>
      <c r="L1161" s="6" t="s">
        <v>1818</v>
      </c>
      <c r="N1161" s="6" t="s">
        <v>1818</v>
      </c>
      <c r="O1161" s="29">
        <v>0</v>
      </c>
    </row>
    <row r="1162" s="1" customFormat="1" ht="16.35" hidden="1" customHeight="1" spans="1:15">
      <c r="A1162" s="5"/>
      <c r="B1162" s="6" t="s">
        <v>2906</v>
      </c>
      <c r="C1162" s="6">
        <v>2019</v>
      </c>
      <c r="D1162" s="6">
        <v>12</v>
      </c>
      <c r="E1162" s="7">
        <v>38</v>
      </c>
      <c r="F1162" s="6" t="s">
        <v>4121</v>
      </c>
      <c r="G1162" s="6" t="s">
        <v>2908</v>
      </c>
      <c r="H1162" s="6" t="s">
        <v>2909</v>
      </c>
      <c r="I1162" s="8">
        <v>107576</v>
      </c>
      <c r="J1162" s="8"/>
      <c r="K1162" s="6" t="s">
        <v>2994</v>
      </c>
      <c r="L1162" s="6" t="s">
        <v>1840</v>
      </c>
      <c r="N1162" s="6" t="s">
        <v>1840</v>
      </c>
      <c r="O1162" s="29">
        <v>0</v>
      </c>
    </row>
    <row r="1163" s="1" customFormat="1" ht="16.35" hidden="1" customHeight="1" spans="1:15">
      <c r="A1163" s="5"/>
      <c r="B1163" s="6" t="s">
        <v>2906</v>
      </c>
      <c r="C1163" s="6">
        <v>2019</v>
      </c>
      <c r="D1163" s="6">
        <v>12</v>
      </c>
      <c r="E1163" s="7">
        <v>38</v>
      </c>
      <c r="F1163" s="6" t="s">
        <v>4121</v>
      </c>
      <c r="G1163" s="6" t="s">
        <v>2908</v>
      </c>
      <c r="H1163" s="6" t="s">
        <v>2909</v>
      </c>
      <c r="I1163" s="8">
        <v>130903</v>
      </c>
      <c r="J1163" s="8"/>
      <c r="K1163" s="6" t="s">
        <v>2996</v>
      </c>
      <c r="L1163" s="6" t="s">
        <v>1790</v>
      </c>
      <c r="N1163" s="6" t="s">
        <v>1790</v>
      </c>
      <c r="O1163" s="29">
        <v>0</v>
      </c>
    </row>
    <row r="1164" s="1" customFormat="1" ht="16.35" hidden="1" customHeight="1" spans="1:15">
      <c r="A1164" s="5"/>
      <c r="B1164" s="6" t="s">
        <v>2906</v>
      </c>
      <c r="C1164" s="6">
        <v>2019</v>
      </c>
      <c r="D1164" s="6">
        <v>12</v>
      </c>
      <c r="E1164" s="7">
        <v>38</v>
      </c>
      <c r="F1164" s="6" t="s">
        <v>4121</v>
      </c>
      <c r="G1164" s="6" t="s">
        <v>2908</v>
      </c>
      <c r="H1164" s="6" t="s">
        <v>2909</v>
      </c>
      <c r="I1164" s="8">
        <v>124414</v>
      </c>
      <c r="J1164" s="8"/>
      <c r="K1164" s="6" t="s">
        <v>2999</v>
      </c>
      <c r="L1164" s="6" t="s">
        <v>1605</v>
      </c>
      <c r="N1164" s="6" t="s">
        <v>1605</v>
      </c>
      <c r="O1164" s="29">
        <v>0</v>
      </c>
    </row>
    <row r="1165" s="1" customFormat="1" ht="16.35" hidden="1" customHeight="1" spans="1:15">
      <c r="A1165" s="5"/>
      <c r="B1165" s="6" t="s">
        <v>2906</v>
      </c>
      <c r="C1165" s="6">
        <v>2019</v>
      </c>
      <c r="D1165" s="6">
        <v>12</v>
      </c>
      <c r="E1165" s="7">
        <v>38</v>
      </c>
      <c r="F1165" s="6" t="s">
        <v>4121</v>
      </c>
      <c r="G1165" s="6" t="s">
        <v>2908</v>
      </c>
      <c r="H1165" s="6" t="s">
        <v>2909</v>
      </c>
      <c r="I1165" s="8">
        <v>131598</v>
      </c>
      <c r="J1165" s="8"/>
      <c r="K1165" s="6" t="s">
        <v>3001</v>
      </c>
      <c r="L1165" s="6" t="s">
        <v>1836</v>
      </c>
      <c r="N1165" s="6" t="s">
        <v>1836</v>
      </c>
      <c r="O1165" s="29">
        <v>0</v>
      </c>
    </row>
    <row r="1166" s="1" customFormat="1" ht="16.35" hidden="1" customHeight="1" spans="1:15">
      <c r="A1166" s="5"/>
      <c r="B1166" s="6" t="s">
        <v>2906</v>
      </c>
      <c r="C1166" s="6">
        <v>2019</v>
      </c>
      <c r="D1166" s="6">
        <v>12</v>
      </c>
      <c r="E1166" s="7">
        <v>38</v>
      </c>
      <c r="F1166" s="6" t="s">
        <v>4121</v>
      </c>
      <c r="G1166" s="6" t="s">
        <v>2908</v>
      </c>
      <c r="H1166" s="6" t="s">
        <v>2909</v>
      </c>
      <c r="I1166" s="8">
        <v>124413</v>
      </c>
      <c r="J1166" s="8"/>
      <c r="K1166" s="6" t="s">
        <v>3003</v>
      </c>
      <c r="L1166" s="6" t="s">
        <v>1651</v>
      </c>
      <c r="N1166" s="6" t="s">
        <v>1651</v>
      </c>
      <c r="O1166" s="29">
        <v>0</v>
      </c>
    </row>
    <row r="1167" s="1" customFormat="1" ht="16.35" hidden="1" customHeight="1" spans="1:15">
      <c r="A1167" s="5"/>
      <c r="B1167" s="6" t="s">
        <v>2906</v>
      </c>
      <c r="C1167" s="6">
        <v>2019</v>
      </c>
      <c r="D1167" s="6">
        <v>12</v>
      </c>
      <c r="E1167" s="7">
        <v>38</v>
      </c>
      <c r="F1167" s="6" t="s">
        <v>4121</v>
      </c>
      <c r="G1167" s="6" t="s">
        <v>2908</v>
      </c>
      <c r="H1167" s="6" t="s">
        <v>2909</v>
      </c>
      <c r="I1167" s="8">
        <v>124413</v>
      </c>
      <c r="J1167" s="8"/>
      <c r="K1167" s="6" t="s">
        <v>3006</v>
      </c>
      <c r="L1167" s="6" t="s">
        <v>1627</v>
      </c>
      <c r="N1167" s="6" t="s">
        <v>1627</v>
      </c>
      <c r="O1167" s="29">
        <v>0</v>
      </c>
    </row>
    <row r="1168" s="1" customFormat="1" ht="16.35" hidden="1" customHeight="1" spans="1:15">
      <c r="A1168" s="5"/>
      <c r="B1168" s="6" t="s">
        <v>2906</v>
      </c>
      <c r="C1168" s="6">
        <v>2019</v>
      </c>
      <c r="D1168" s="6">
        <v>12</v>
      </c>
      <c r="E1168" s="7">
        <v>38</v>
      </c>
      <c r="F1168" s="6" t="s">
        <v>4121</v>
      </c>
      <c r="G1168" s="6" t="s">
        <v>2908</v>
      </c>
      <c r="H1168" s="6" t="s">
        <v>2909</v>
      </c>
      <c r="I1168" s="8">
        <v>152207</v>
      </c>
      <c r="J1168" s="8"/>
      <c r="K1168" s="6" t="s">
        <v>3013</v>
      </c>
      <c r="L1168" s="6" t="s">
        <v>1784</v>
      </c>
      <c r="N1168" s="6" t="s">
        <v>1784</v>
      </c>
      <c r="O1168" s="29">
        <v>0</v>
      </c>
    </row>
    <row r="1169" s="1" customFormat="1" ht="16.35" hidden="1" customHeight="1" spans="1:15">
      <c r="A1169" s="5"/>
      <c r="B1169" s="6" t="s">
        <v>2906</v>
      </c>
      <c r="C1169" s="6">
        <v>2019</v>
      </c>
      <c r="D1169" s="6">
        <v>12</v>
      </c>
      <c r="E1169" s="7">
        <v>38</v>
      </c>
      <c r="F1169" s="6" t="s">
        <v>4121</v>
      </c>
      <c r="G1169" s="6" t="s">
        <v>2908</v>
      </c>
      <c r="H1169" s="6" t="s">
        <v>2909</v>
      </c>
      <c r="I1169" s="8">
        <v>151790</v>
      </c>
      <c r="J1169" s="8"/>
      <c r="K1169" s="6" t="s">
        <v>3016</v>
      </c>
      <c r="L1169" s="6" t="s">
        <v>1808</v>
      </c>
      <c r="N1169" s="6" t="s">
        <v>1808</v>
      </c>
      <c r="O1169" s="29">
        <v>0</v>
      </c>
    </row>
    <row r="1170" s="1" customFormat="1" ht="16.35" hidden="1" customHeight="1" spans="1:15">
      <c r="A1170" s="5"/>
      <c r="B1170" s="6" t="s">
        <v>2906</v>
      </c>
      <c r="C1170" s="6">
        <v>2019</v>
      </c>
      <c r="D1170" s="6">
        <v>12</v>
      </c>
      <c r="E1170" s="7">
        <v>38</v>
      </c>
      <c r="F1170" s="6" t="s">
        <v>4121</v>
      </c>
      <c r="G1170" s="6" t="s">
        <v>2908</v>
      </c>
      <c r="H1170" s="6" t="s">
        <v>2909</v>
      </c>
      <c r="I1170" s="8">
        <v>151790</v>
      </c>
      <c r="J1170" s="8"/>
      <c r="K1170" s="6" t="s">
        <v>3018</v>
      </c>
      <c r="L1170" s="6" t="s">
        <v>1786</v>
      </c>
      <c r="N1170" s="6" t="s">
        <v>1786</v>
      </c>
      <c r="O1170" s="29">
        <v>0</v>
      </c>
    </row>
    <row r="1171" s="1" customFormat="1" ht="16.35" hidden="1" customHeight="1" spans="1:15">
      <c r="A1171" s="5"/>
      <c r="B1171" s="6" t="s">
        <v>2906</v>
      </c>
      <c r="C1171" s="6">
        <v>2019</v>
      </c>
      <c r="D1171" s="6">
        <v>12</v>
      </c>
      <c r="E1171" s="7">
        <v>38</v>
      </c>
      <c r="F1171" s="6" t="s">
        <v>4121</v>
      </c>
      <c r="G1171" s="6" t="s">
        <v>2908</v>
      </c>
      <c r="H1171" s="6" t="s">
        <v>2909</v>
      </c>
      <c r="I1171" s="8">
        <v>153183</v>
      </c>
      <c r="J1171" s="8"/>
      <c r="K1171" s="6" t="s">
        <v>3021</v>
      </c>
      <c r="L1171" s="6" t="s">
        <v>1832</v>
      </c>
      <c r="N1171" s="6" t="s">
        <v>1832</v>
      </c>
      <c r="O1171" s="29">
        <v>0</v>
      </c>
    </row>
    <row r="1172" s="1" customFormat="1" ht="16.35" hidden="1" customHeight="1" spans="1:15">
      <c r="A1172" s="5"/>
      <c r="B1172" s="6" t="s">
        <v>2906</v>
      </c>
      <c r="C1172" s="6">
        <v>2019</v>
      </c>
      <c r="D1172" s="6">
        <v>12</v>
      </c>
      <c r="E1172" s="7">
        <v>38</v>
      </c>
      <c r="F1172" s="6" t="s">
        <v>4121</v>
      </c>
      <c r="G1172" s="6" t="s">
        <v>2908</v>
      </c>
      <c r="H1172" s="6" t="s">
        <v>2909</v>
      </c>
      <c r="I1172" s="8">
        <v>150902</v>
      </c>
      <c r="J1172" s="8"/>
      <c r="K1172" s="6" t="s">
        <v>3023</v>
      </c>
      <c r="L1172" s="6" t="s">
        <v>1647</v>
      </c>
      <c r="N1172" s="6" t="s">
        <v>1647</v>
      </c>
      <c r="O1172" s="29">
        <v>0</v>
      </c>
    </row>
    <row r="1173" s="1" customFormat="1" ht="16.35" hidden="1" customHeight="1" spans="1:15">
      <c r="A1173" s="5"/>
      <c r="B1173" s="6" t="s">
        <v>2906</v>
      </c>
      <c r="C1173" s="6">
        <v>2019</v>
      </c>
      <c r="D1173" s="6">
        <v>12</v>
      </c>
      <c r="E1173" s="7">
        <v>38</v>
      </c>
      <c r="F1173" s="6" t="s">
        <v>4121</v>
      </c>
      <c r="G1173" s="6" t="s">
        <v>2908</v>
      </c>
      <c r="H1173" s="6" t="s">
        <v>2909</v>
      </c>
      <c r="I1173" s="8">
        <v>174981</v>
      </c>
      <c r="J1173" s="8"/>
      <c r="K1173" s="6" t="s">
        <v>3025</v>
      </c>
      <c r="L1173" s="6" t="s">
        <v>1619</v>
      </c>
      <c r="N1173" s="6" t="s">
        <v>1619</v>
      </c>
      <c r="O1173" s="29">
        <v>0</v>
      </c>
    </row>
    <row r="1174" s="1" customFormat="1" ht="16.35" hidden="1" customHeight="1" spans="1:15">
      <c r="A1174" s="5"/>
      <c r="B1174" s="6" t="s">
        <v>2906</v>
      </c>
      <c r="C1174" s="6">
        <v>2019</v>
      </c>
      <c r="D1174" s="6">
        <v>12</v>
      </c>
      <c r="E1174" s="7">
        <v>38</v>
      </c>
      <c r="F1174" s="6" t="s">
        <v>4121</v>
      </c>
      <c r="G1174" s="6" t="s">
        <v>2908</v>
      </c>
      <c r="H1174" s="6" t="s">
        <v>2909</v>
      </c>
      <c r="I1174" s="8">
        <v>151704</v>
      </c>
      <c r="J1174" s="8"/>
      <c r="K1174" s="6" t="s">
        <v>3027</v>
      </c>
      <c r="L1174" s="6" t="s">
        <v>1623</v>
      </c>
      <c r="N1174" s="6" t="s">
        <v>1623</v>
      </c>
      <c r="O1174" s="29">
        <v>0</v>
      </c>
    </row>
    <row r="1175" s="1" customFormat="1" ht="16.35" hidden="1" customHeight="1" spans="1:15">
      <c r="A1175" s="5"/>
      <c r="B1175" s="6" t="s">
        <v>2906</v>
      </c>
      <c r="C1175" s="6">
        <v>2019</v>
      </c>
      <c r="D1175" s="6">
        <v>12</v>
      </c>
      <c r="E1175" s="7">
        <v>38</v>
      </c>
      <c r="F1175" s="6" t="s">
        <v>4121</v>
      </c>
      <c r="G1175" s="6" t="s">
        <v>2908</v>
      </c>
      <c r="H1175" s="6" t="s">
        <v>2909</v>
      </c>
      <c r="I1175" s="8">
        <v>153183</v>
      </c>
      <c r="J1175" s="8"/>
      <c r="K1175" s="6" t="s">
        <v>3029</v>
      </c>
      <c r="L1175" s="6" t="s">
        <v>1810</v>
      </c>
      <c r="N1175" s="6" t="s">
        <v>1810</v>
      </c>
      <c r="O1175" s="29">
        <v>0</v>
      </c>
    </row>
    <row r="1176" s="1" customFormat="1" ht="16.35" hidden="1" customHeight="1" spans="1:15">
      <c r="A1176" s="5"/>
      <c r="B1176" s="6" t="s">
        <v>2906</v>
      </c>
      <c r="C1176" s="6">
        <v>2019</v>
      </c>
      <c r="D1176" s="6">
        <v>12</v>
      </c>
      <c r="E1176" s="7">
        <v>38</v>
      </c>
      <c r="F1176" s="6" t="s">
        <v>4121</v>
      </c>
      <c r="G1176" s="6" t="s">
        <v>2908</v>
      </c>
      <c r="H1176" s="6" t="s">
        <v>2909</v>
      </c>
      <c r="I1176" s="8">
        <v>187360</v>
      </c>
      <c r="J1176" s="8"/>
      <c r="K1176" s="6" t="s">
        <v>3031</v>
      </c>
      <c r="L1176" s="6" t="s">
        <v>1573</v>
      </c>
      <c r="N1176" s="6" t="s">
        <v>1573</v>
      </c>
      <c r="O1176" s="29">
        <v>0</v>
      </c>
    </row>
    <row r="1177" s="1" customFormat="1" ht="16.35" hidden="1" customHeight="1" spans="1:15">
      <c r="A1177" s="5"/>
      <c r="B1177" s="6" t="s">
        <v>2906</v>
      </c>
      <c r="C1177" s="6">
        <v>2019</v>
      </c>
      <c r="D1177" s="6">
        <v>12</v>
      </c>
      <c r="E1177" s="7">
        <v>38</v>
      </c>
      <c r="F1177" s="6" t="s">
        <v>4121</v>
      </c>
      <c r="G1177" s="6" t="s">
        <v>2908</v>
      </c>
      <c r="H1177" s="6" t="s">
        <v>2909</v>
      </c>
      <c r="I1177" s="8">
        <v>174980</v>
      </c>
      <c r="J1177" s="8"/>
      <c r="K1177" s="6" t="s">
        <v>3033</v>
      </c>
      <c r="L1177" s="6" t="s">
        <v>1597</v>
      </c>
      <c r="N1177" s="6" t="s">
        <v>1597</v>
      </c>
      <c r="O1177" s="29">
        <v>0</v>
      </c>
    </row>
    <row r="1178" s="1" customFormat="1" ht="16.35" hidden="1" customHeight="1" spans="1:15">
      <c r="A1178" s="5"/>
      <c r="B1178" s="6" t="s">
        <v>2906</v>
      </c>
      <c r="C1178" s="6">
        <v>2019</v>
      </c>
      <c r="D1178" s="6">
        <v>12</v>
      </c>
      <c r="E1178" s="7">
        <v>38</v>
      </c>
      <c r="F1178" s="6" t="s">
        <v>4121</v>
      </c>
      <c r="G1178" s="6" t="s">
        <v>2908</v>
      </c>
      <c r="H1178" s="6" t="s">
        <v>2909</v>
      </c>
      <c r="I1178" s="8">
        <v>153160</v>
      </c>
      <c r="J1178" s="8"/>
      <c r="K1178" s="6" t="s">
        <v>3036</v>
      </c>
      <c r="L1178" s="6" t="s">
        <v>1834</v>
      </c>
      <c r="N1178" s="6" t="s">
        <v>1834</v>
      </c>
      <c r="O1178" s="29">
        <v>0</v>
      </c>
    </row>
    <row r="1179" s="1" customFormat="1" ht="16.35" hidden="1" customHeight="1" spans="1:15">
      <c r="A1179" s="5"/>
      <c r="B1179" s="6" t="s">
        <v>2906</v>
      </c>
      <c r="C1179" s="6">
        <v>2019</v>
      </c>
      <c r="D1179" s="6">
        <v>12</v>
      </c>
      <c r="E1179" s="7">
        <v>38</v>
      </c>
      <c r="F1179" s="6" t="s">
        <v>4121</v>
      </c>
      <c r="G1179" s="6" t="s">
        <v>2908</v>
      </c>
      <c r="H1179" s="6" t="s">
        <v>2909</v>
      </c>
      <c r="I1179" s="8">
        <v>174981</v>
      </c>
      <c r="J1179" s="8"/>
      <c r="K1179" s="6" t="s">
        <v>3038</v>
      </c>
      <c r="L1179" s="6" t="s">
        <v>1643</v>
      </c>
      <c r="N1179" s="6" t="s">
        <v>1643</v>
      </c>
      <c r="O1179" s="29">
        <v>0</v>
      </c>
    </row>
    <row r="1180" s="1" customFormat="1" ht="16.35" hidden="1" customHeight="1" spans="1:15">
      <c r="A1180" s="5"/>
      <c r="B1180" s="6" t="s">
        <v>2906</v>
      </c>
      <c r="C1180" s="6">
        <v>2019</v>
      </c>
      <c r="D1180" s="6">
        <v>12</v>
      </c>
      <c r="E1180" s="7">
        <v>38</v>
      </c>
      <c r="F1180" s="6" t="s">
        <v>4121</v>
      </c>
      <c r="G1180" s="6" t="s">
        <v>2908</v>
      </c>
      <c r="H1180" s="6" t="s">
        <v>2909</v>
      </c>
      <c r="I1180" s="8">
        <v>173895</v>
      </c>
      <c r="J1180" s="8"/>
      <c r="K1180" s="6" t="s">
        <v>3040</v>
      </c>
      <c r="L1180" s="6" t="s">
        <v>1629</v>
      </c>
      <c r="N1180" s="6" t="s">
        <v>1629</v>
      </c>
      <c r="O1180" s="29">
        <v>0</v>
      </c>
    </row>
    <row r="1181" s="1" customFormat="1" ht="16.35" hidden="1" customHeight="1" spans="1:15">
      <c r="A1181" s="5"/>
      <c r="B1181" s="6" t="s">
        <v>2906</v>
      </c>
      <c r="C1181" s="6">
        <v>2019</v>
      </c>
      <c r="D1181" s="6">
        <v>12</v>
      </c>
      <c r="E1181" s="7">
        <v>38</v>
      </c>
      <c r="F1181" s="6" t="s">
        <v>4121</v>
      </c>
      <c r="G1181" s="6" t="s">
        <v>2908</v>
      </c>
      <c r="H1181" s="6" t="s">
        <v>2909</v>
      </c>
      <c r="I1181" s="8">
        <v>177553</v>
      </c>
      <c r="J1181" s="8"/>
      <c r="K1181" s="6" t="s">
        <v>3042</v>
      </c>
      <c r="L1181" s="6" t="s">
        <v>1752</v>
      </c>
      <c r="N1181" s="6" t="s">
        <v>1752</v>
      </c>
      <c r="O1181" s="29">
        <v>0</v>
      </c>
    </row>
    <row r="1182" s="1" customFormat="1" ht="16.35" hidden="1" customHeight="1" spans="1:15">
      <c r="A1182" s="5"/>
      <c r="B1182" s="6" t="s">
        <v>2906</v>
      </c>
      <c r="C1182" s="6">
        <v>2019</v>
      </c>
      <c r="D1182" s="6">
        <v>12</v>
      </c>
      <c r="E1182" s="7">
        <v>38</v>
      </c>
      <c r="F1182" s="6" t="s">
        <v>4121</v>
      </c>
      <c r="G1182" s="6" t="s">
        <v>2908</v>
      </c>
      <c r="H1182" s="6" t="s">
        <v>2909</v>
      </c>
      <c r="I1182" s="8">
        <v>172036</v>
      </c>
      <c r="J1182" s="8"/>
      <c r="K1182" s="6" t="s">
        <v>3049</v>
      </c>
      <c r="L1182" s="6" t="s">
        <v>1750</v>
      </c>
      <c r="N1182" s="6" t="s">
        <v>1750</v>
      </c>
      <c r="O1182" s="29">
        <v>0</v>
      </c>
    </row>
    <row r="1183" s="1" customFormat="1" ht="16.35" hidden="1" customHeight="1" spans="1:15">
      <c r="A1183" s="5"/>
      <c r="B1183" s="6" t="s">
        <v>2906</v>
      </c>
      <c r="C1183" s="6">
        <v>2019</v>
      </c>
      <c r="D1183" s="6">
        <v>12</v>
      </c>
      <c r="E1183" s="7">
        <v>38</v>
      </c>
      <c r="F1183" s="6" t="s">
        <v>4121</v>
      </c>
      <c r="G1183" s="6" t="s">
        <v>2908</v>
      </c>
      <c r="H1183" s="6" t="s">
        <v>2909</v>
      </c>
      <c r="I1183" s="8">
        <v>171287</v>
      </c>
      <c r="J1183" s="8"/>
      <c r="K1183" s="6" t="s">
        <v>3052</v>
      </c>
      <c r="L1183" s="6" t="s">
        <v>1776</v>
      </c>
      <c r="N1183" s="6" t="s">
        <v>1776</v>
      </c>
      <c r="O1183" s="29">
        <v>0</v>
      </c>
    </row>
    <row r="1184" s="1" customFormat="1" ht="16.35" hidden="1" customHeight="1" spans="1:15">
      <c r="A1184" s="5"/>
      <c r="B1184" s="6" t="s">
        <v>2906</v>
      </c>
      <c r="C1184" s="6">
        <v>2019</v>
      </c>
      <c r="D1184" s="6">
        <v>12</v>
      </c>
      <c r="E1184" s="7">
        <v>38</v>
      </c>
      <c r="F1184" s="6" t="s">
        <v>4121</v>
      </c>
      <c r="G1184" s="6" t="s">
        <v>2908</v>
      </c>
      <c r="H1184" s="6" t="s">
        <v>2909</v>
      </c>
      <c r="I1184" s="8">
        <v>166400</v>
      </c>
      <c r="J1184" s="8"/>
      <c r="K1184" s="6" t="s">
        <v>3056</v>
      </c>
      <c r="L1184" s="6" t="s">
        <v>1577</v>
      </c>
      <c r="N1184" s="6" t="s">
        <v>1577</v>
      </c>
      <c r="O1184" s="29">
        <v>0</v>
      </c>
    </row>
    <row r="1185" s="1" customFormat="1" ht="16.35" hidden="1" customHeight="1" spans="1:15">
      <c r="A1185" s="5"/>
      <c r="B1185" s="6" t="s">
        <v>2906</v>
      </c>
      <c r="C1185" s="6">
        <v>2019</v>
      </c>
      <c r="D1185" s="6">
        <v>12</v>
      </c>
      <c r="E1185" s="7">
        <v>38</v>
      </c>
      <c r="F1185" s="6" t="s">
        <v>4121</v>
      </c>
      <c r="G1185" s="6" t="s">
        <v>2908</v>
      </c>
      <c r="H1185" s="6" t="s">
        <v>2909</v>
      </c>
      <c r="I1185" s="8">
        <v>210460</v>
      </c>
      <c r="J1185" s="8"/>
      <c r="K1185" s="6" t="s">
        <v>3058</v>
      </c>
      <c r="L1185" s="6" t="s">
        <v>1565</v>
      </c>
      <c r="N1185" s="6" t="s">
        <v>1565</v>
      </c>
      <c r="O1185" s="29">
        <v>0</v>
      </c>
    </row>
    <row r="1186" s="1" customFormat="1" ht="16.35" hidden="1" customHeight="1" spans="1:15">
      <c r="A1186" s="5"/>
      <c r="B1186" s="6" t="s">
        <v>2906</v>
      </c>
      <c r="C1186" s="6">
        <v>2019</v>
      </c>
      <c r="D1186" s="6">
        <v>12</v>
      </c>
      <c r="E1186" s="7">
        <v>38</v>
      </c>
      <c r="F1186" s="6" t="s">
        <v>4121</v>
      </c>
      <c r="G1186" s="6" t="s">
        <v>2908</v>
      </c>
      <c r="H1186" s="6" t="s">
        <v>2909</v>
      </c>
      <c r="I1186" s="8">
        <v>191244</v>
      </c>
      <c r="J1186" s="8"/>
      <c r="K1186" s="6" t="s">
        <v>3060</v>
      </c>
      <c r="L1186" s="6" t="s">
        <v>1575</v>
      </c>
      <c r="N1186" s="6" t="s">
        <v>1575</v>
      </c>
      <c r="O1186" s="29">
        <v>0</v>
      </c>
    </row>
    <row r="1187" s="1" customFormat="1" ht="16.35" hidden="1" customHeight="1" spans="1:15">
      <c r="A1187" s="5"/>
      <c r="B1187" s="6" t="s">
        <v>2906</v>
      </c>
      <c r="C1187" s="6">
        <v>2019</v>
      </c>
      <c r="D1187" s="6">
        <v>12</v>
      </c>
      <c r="E1187" s="7">
        <v>38</v>
      </c>
      <c r="F1187" s="6" t="s">
        <v>4121</v>
      </c>
      <c r="G1187" s="6" t="s">
        <v>2908</v>
      </c>
      <c r="H1187" s="6" t="s">
        <v>2909</v>
      </c>
      <c r="I1187" s="8">
        <v>159595</v>
      </c>
      <c r="J1187" s="8"/>
      <c r="K1187" s="6" t="s">
        <v>3063</v>
      </c>
      <c r="L1187" s="6" t="s">
        <v>1892</v>
      </c>
      <c r="N1187" s="6" t="s">
        <v>1892</v>
      </c>
      <c r="O1187" s="29">
        <v>0</v>
      </c>
    </row>
    <row r="1188" s="1" customFormat="1" ht="16.35" hidden="1" customHeight="1" spans="1:15">
      <c r="A1188" s="5"/>
      <c r="B1188" s="6" t="s">
        <v>2906</v>
      </c>
      <c r="C1188" s="6">
        <v>2019</v>
      </c>
      <c r="D1188" s="6">
        <v>12</v>
      </c>
      <c r="E1188" s="7">
        <v>38</v>
      </c>
      <c r="F1188" s="6" t="s">
        <v>4121</v>
      </c>
      <c r="G1188" s="6" t="s">
        <v>2908</v>
      </c>
      <c r="H1188" s="6" t="s">
        <v>2909</v>
      </c>
      <c r="I1188" s="8">
        <v>279456</v>
      </c>
      <c r="J1188" s="8"/>
      <c r="K1188" s="6" t="s">
        <v>2936</v>
      </c>
      <c r="L1188" s="6" t="s">
        <v>982</v>
      </c>
      <c r="N1188" s="6" t="s">
        <v>982</v>
      </c>
      <c r="O1188" s="29">
        <v>0</v>
      </c>
    </row>
    <row r="1189" s="1" customFormat="1" ht="16.35" hidden="1" customHeight="1" spans="1:15">
      <c r="A1189" s="5"/>
      <c r="B1189" s="6" t="s">
        <v>2906</v>
      </c>
      <c r="C1189" s="6">
        <v>2019</v>
      </c>
      <c r="D1189" s="6">
        <v>12</v>
      </c>
      <c r="E1189" s="7">
        <v>38</v>
      </c>
      <c r="F1189" s="6" t="s">
        <v>4121</v>
      </c>
      <c r="G1189" s="6" t="s">
        <v>2908</v>
      </c>
      <c r="H1189" s="6" t="s">
        <v>2909</v>
      </c>
      <c r="I1189" s="8">
        <v>276614</v>
      </c>
      <c r="J1189" s="8"/>
      <c r="K1189" s="6" t="s">
        <v>2937</v>
      </c>
      <c r="L1189" s="6" t="s">
        <v>985</v>
      </c>
      <c r="N1189" s="6" t="s">
        <v>985</v>
      </c>
      <c r="O1189" s="29">
        <v>0</v>
      </c>
    </row>
    <row r="1190" s="1" customFormat="1" ht="16.35" hidden="1" customHeight="1" spans="1:15">
      <c r="A1190" s="5"/>
      <c r="B1190" s="6" t="s">
        <v>2906</v>
      </c>
      <c r="C1190" s="6">
        <v>2019</v>
      </c>
      <c r="D1190" s="6">
        <v>12</v>
      </c>
      <c r="E1190" s="7">
        <v>38</v>
      </c>
      <c r="F1190" s="6" t="s">
        <v>4121</v>
      </c>
      <c r="G1190" s="6" t="s">
        <v>2908</v>
      </c>
      <c r="H1190" s="6" t="s">
        <v>2909</v>
      </c>
      <c r="I1190" s="8">
        <v>254110</v>
      </c>
      <c r="J1190" s="8"/>
      <c r="K1190" s="6" t="s">
        <v>2938</v>
      </c>
      <c r="L1190" s="6" t="s">
        <v>995</v>
      </c>
      <c r="N1190" s="6" t="s">
        <v>995</v>
      </c>
      <c r="O1190" s="29">
        <v>0</v>
      </c>
    </row>
    <row r="1191" s="1" customFormat="1" ht="16.35" hidden="1" customHeight="1" spans="1:15">
      <c r="A1191" s="5"/>
      <c r="B1191" s="6" t="s">
        <v>2906</v>
      </c>
      <c r="C1191" s="6">
        <v>2019</v>
      </c>
      <c r="D1191" s="6">
        <v>12</v>
      </c>
      <c r="E1191" s="7">
        <v>38</v>
      </c>
      <c r="F1191" s="6" t="s">
        <v>4121</v>
      </c>
      <c r="G1191" s="6" t="s">
        <v>2908</v>
      </c>
      <c r="H1191" s="6" t="s">
        <v>2909</v>
      </c>
      <c r="I1191" s="8">
        <v>238834</v>
      </c>
      <c r="J1191" s="8"/>
      <c r="K1191" s="6" t="s">
        <v>2939</v>
      </c>
      <c r="L1191" s="6" t="s">
        <v>997</v>
      </c>
      <c r="N1191" s="6" t="s">
        <v>997</v>
      </c>
      <c r="O1191" s="29">
        <v>0</v>
      </c>
    </row>
    <row r="1192" s="1" customFormat="1" ht="16.35" hidden="1" customHeight="1" spans="1:15">
      <c r="A1192" s="5"/>
      <c r="B1192" s="6" t="s">
        <v>2906</v>
      </c>
      <c r="C1192" s="6">
        <v>2019</v>
      </c>
      <c r="D1192" s="6">
        <v>12</v>
      </c>
      <c r="E1192" s="7">
        <v>38</v>
      </c>
      <c r="F1192" s="6" t="s">
        <v>4121</v>
      </c>
      <c r="G1192" s="6" t="s">
        <v>2908</v>
      </c>
      <c r="H1192" s="6" t="s">
        <v>2909</v>
      </c>
      <c r="I1192" s="8">
        <v>237758</v>
      </c>
      <c r="J1192" s="8"/>
      <c r="K1192" s="6" t="s">
        <v>2940</v>
      </c>
      <c r="L1192" s="6" t="s">
        <v>999</v>
      </c>
      <c r="N1192" s="6" t="s">
        <v>999</v>
      </c>
      <c r="O1192" s="29">
        <v>0</v>
      </c>
    </row>
    <row r="1193" s="1" customFormat="1" ht="16.35" hidden="1" customHeight="1" spans="1:15">
      <c r="A1193" s="5"/>
      <c r="B1193" s="6" t="s">
        <v>2906</v>
      </c>
      <c r="C1193" s="6">
        <v>2019</v>
      </c>
      <c r="D1193" s="6">
        <v>12</v>
      </c>
      <c r="E1193" s="7">
        <v>38</v>
      </c>
      <c r="F1193" s="6" t="s">
        <v>4121</v>
      </c>
      <c r="G1193" s="6" t="s">
        <v>2908</v>
      </c>
      <c r="H1193" s="6" t="s">
        <v>2909</v>
      </c>
      <c r="I1193" s="8">
        <v>205982</v>
      </c>
      <c r="J1193" s="8"/>
      <c r="K1193" s="6" t="s">
        <v>2941</v>
      </c>
      <c r="L1193" s="6" t="s">
        <v>1001</v>
      </c>
      <c r="N1193" s="6" t="s">
        <v>1001</v>
      </c>
      <c r="O1193" s="29">
        <v>0</v>
      </c>
    </row>
    <row r="1194" s="1" customFormat="1" ht="16.35" hidden="1" customHeight="1" spans="1:15">
      <c r="A1194" s="5"/>
      <c r="B1194" s="6" t="s">
        <v>2906</v>
      </c>
      <c r="C1194" s="6">
        <v>2019</v>
      </c>
      <c r="D1194" s="6">
        <v>12</v>
      </c>
      <c r="E1194" s="7">
        <v>38</v>
      </c>
      <c r="F1194" s="6" t="s">
        <v>4121</v>
      </c>
      <c r="G1194" s="6" t="s">
        <v>2908</v>
      </c>
      <c r="H1194" s="6" t="s">
        <v>2909</v>
      </c>
      <c r="I1194" s="8">
        <v>205054</v>
      </c>
      <c r="J1194" s="8"/>
      <c r="K1194" s="6" t="s">
        <v>2942</v>
      </c>
      <c r="L1194" s="6" t="s">
        <v>1003</v>
      </c>
      <c r="N1194" s="6" t="s">
        <v>1003</v>
      </c>
      <c r="O1194" s="29">
        <v>0</v>
      </c>
    </row>
    <row r="1195" s="1" customFormat="1" ht="16.35" hidden="1" customHeight="1" spans="1:15">
      <c r="A1195" s="5"/>
      <c r="B1195" s="6" t="s">
        <v>2906</v>
      </c>
      <c r="C1195" s="6">
        <v>2019</v>
      </c>
      <c r="D1195" s="6">
        <v>12</v>
      </c>
      <c r="E1195" s="7">
        <v>38</v>
      </c>
      <c r="F1195" s="6" t="s">
        <v>4121</v>
      </c>
      <c r="G1195" s="6" t="s">
        <v>2908</v>
      </c>
      <c r="H1195" s="6" t="s">
        <v>2909</v>
      </c>
      <c r="I1195" s="8">
        <v>179872</v>
      </c>
      <c r="J1195" s="8"/>
      <c r="K1195" s="6" t="s">
        <v>2943</v>
      </c>
      <c r="L1195" s="6" t="s">
        <v>1013</v>
      </c>
      <c r="N1195" s="6" t="s">
        <v>1013</v>
      </c>
      <c r="O1195" s="29">
        <v>0</v>
      </c>
    </row>
    <row r="1196" s="1" customFormat="1" ht="16.35" hidden="1" customHeight="1" spans="1:15">
      <c r="A1196" s="5"/>
      <c r="B1196" s="6" t="s">
        <v>2906</v>
      </c>
      <c r="C1196" s="6">
        <v>2019</v>
      </c>
      <c r="D1196" s="6">
        <v>12</v>
      </c>
      <c r="E1196" s="7">
        <v>38</v>
      </c>
      <c r="F1196" s="6" t="s">
        <v>4121</v>
      </c>
      <c r="G1196" s="6" t="s">
        <v>2908</v>
      </c>
      <c r="H1196" s="6" t="s">
        <v>2909</v>
      </c>
      <c r="I1196" s="8">
        <v>254110</v>
      </c>
      <c r="J1196" s="8"/>
      <c r="K1196" s="6" t="s">
        <v>2944</v>
      </c>
      <c r="L1196" s="6" t="s">
        <v>1017</v>
      </c>
      <c r="N1196" s="6" t="s">
        <v>1017</v>
      </c>
      <c r="O1196" s="29">
        <v>0</v>
      </c>
    </row>
    <row r="1197" s="1" customFormat="1" ht="16.35" hidden="1" customHeight="1" spans="1:15">
      <c r="A1197" s="5"/>
      <c r="B1197" s="6" t="s">
        <v>2906</v>
      </c>
      <c r="C1197" s="6">
        <v>2019</v>
      </c>
      <c r="D1197" s="6">
        <v>12</v>
      </c>
      <c r="E1197" s="7">
        <v>38</v>
      </c>
      <c r="F1197" s="6" t="s">
        <v>4121</v>
      </c>
      <c r="G1197" s="6" t="s">
        <v>2908</v>
      </c>
      <c r="H1197" s="6" t="s">
        <v>2909</v>
      </c>
      <c r="I1197" s="8">
        <v>239393</v>
      </c>
      <c r="J1197" s="8"/>
      <c r="K1197" s="6" t="s">
        <v>2945</v>
      </c>
      <c r="L1197" s="6" t="s">
        <v>1021</v>
      </c>
      <c r="N1197" s="6" t="s">
        <v>1021</v>
      </c>
      <c r="O1197" s="29">
        <v>0</v>
      </c>
    </row>
    <row r="1198" s="1" customFormat="1" ht="16.35" hidden="1" customHeight="1" spans="1:15">
      <c r="A1198" s="5"/>
      <c r="B1198" s="6" t="s">
        <v>2906</v>
      </c>
      <c r="C1198" s="6">
        <v>2019</v>
      </c>
      <c r="D1198" s="6">
        <v>12</v>
      </c>
      <c r="E1198" s="7">
        <v>38</v>
      </c>
      <c r="F1198" s="6" t="s">
        <v>4121</v>
      </c>
      <c r="G1198" s="6" t="s">
        <v>2908</v>
      </c>
      <c r="H1198" s="6" t="s">
        <v>2909</v>
      </c>
      <c r="I1198" s="8">
        <v>239393</v>
      </c>
      <c r="J1198" s="8"/>
      <c r="K1198" s="6" t="s">
        <v>2946</v>
      </c>
      <c r="L1198" s="6" t="s">
        <v>1023</v>
      </c>
      <c r="N1198" s="6" t="s">
        <v>1023</v>
      </c>
      <c r="O1198" s="29">
        <v>0</v>
      </c>
    </row>
    <row r="1199" s="1" customFormat="1" ht="16.35" hidden="1" customHeight="1" spans="1:15">
      <c r="A1199" s="5"/>
      <c r="B1199" s="6" t="s">
        <v>2906</v>
      </c>
      <c r="C1199" s="6">
        <v>2019</v>
      </c>
      <c r="D1199" s="6">
        <v>12</v>
      </c>
      <c r="E1199" s="7">
        <v>38</v>
      </c>
      <c r="F1199" s="6" t="s">
        <v>4121</v>
      </c>
      <c r="G1199" s="6" t="s">
        <v>2908</v>
      </c>
      <c r="H1199" s="6" t="s">
        <v>2909</v>
      </c>
      <c r="I1199" s="8">
        <v>206853</v>
      </c>
      <c r="J1199" s="8"/>
      <c r="K1199" s="6" t="s">
        <v>2947</v>
      </c>
      <c r="L1199" s="6" t="s">
        <v>1025</v>
      </c>
      <c r="N1199" s="6" t="s">
        <v>1025</v>
      </c>
      <c r="O1199" s="29">
        <v>0</v>
      </c>
    </row>
    <row r="1200" s="1" customFormat="1" ht="16.35" hidden="1" customHeight="1" spans="1:15">
      <c r="A1200" s="5"/>
      <c r="B1200" s="6" t="s">
        <v>2906</v>
      </c>
      <c r="C1200" s="6">
        <v>2019</v>
      </c>
      <c r="D1200" s="6">
        <v>12</v>
      </c>
      <c r="E1200" s="7">
        <v>38</v>
      </c>
      <c r="F1200" s="6" t="s">
        <v>4121</v>
      </c>
      <c r="G1200" s="6" t="s">
        <v>2908</v>
      </c>
      <c r="H1200" s="6" t="s">
        <v>2909</v>
      </c>
      <c r="I1200" s="8">
        <v>206853</v>
      </c>
      <c r="J1200" s="8"/>
      <c r="K1200" s="6" t="s">
        <v>2948</v>
      </c>
      <c r="L1200" s="6" t="s">
        <v>1027</v>
      </c>
      <c r="N1200" s="6" t="s">
        <v>1027</v>
      </c>
      <c r="O1200" s="29">
        <v>0</v>
      </c>
    </row>
    <row r="1201" s="1" customFormat="1" ht="16.35" hidden="1" customHeight="1" spans="1:15">
      <c r="A1201" s="5"/>
      <c r="B1201" s="6" t="s">
        <v>2906</v>
      </c>
      <c r="C1201" s="6">
        <v>2019</v>
      </c>
      <c r="D1201" s="6">
        <v>12</v>
      </c>
      <c r="E1201" s="7">
        <v>38</v>
      </c>
      <c r="F1201" s="6" t="s">
        <v>4121</v>
      </c>
      <c r="G1201" s="6" t="s">
        <v>2908</v>
      </c>
      <c r="H1201" s="6" t="s">
        <v>2909</v>
      </c>
      <c r="I1201" s="8">
        <v>239393</v>
      </c>
      <c r="J1201" s="8"/>
      <c r="K1201" s="6" t="s">
        <v>2950</v>
      </c>
      <c r="L1201" s="6" t="s">
        <v>1045</v>
      </c>
      <c r="N1201" s="6" t="s">
        <v>1045</v>
      </c>
      <c r="O1201" s="29">
        <v>0</v>
      </c>
    </row>
    <row r="1202" s="1" customFormat="1" ht="16.35" hidden="1" customHeight="1" spans="1:15">
      <c r="A1202" s="5"/>
      <c r="B1202" s="6" t="s">
        <v>2906</v>
      </c>
      <c r="C1202" s="6">
        <v>2019</v>
      </c>
      <c r="D1202" s="6">
        <v>12</v>
      </c>
      <c r="E1202" s="7">
        <v>38</v>
      </c>
      <c r="F1202" s="6" t="s">
        <v>4121</v>
      </c>
      <c r="G1202" s="6" t="s">
        <v>2908</v>
      </c>
      <c r="H1202" s="6" t="s">
        <v>2909</v>
      </c>
      <c r="I1202" s="8">
        <v>165155</v>
      </c>
      <c r="J1202" s="8"/>
      <c r="K1202" s="6" t="s">
        <v>2951</v>
      </c>
      <c r="L1202" s="6" t="s">
        <v>1047</v>
      </c>
      <c r="N1202" s="6" t="s">
        <v>1047</v>
      </c>
      <c r="O1202" s="29">
        <v>0</v>
      </c>
    </row>
    <row r="1203" s="1" customFormat="1" ht="16.35" hidden="1" customHeight="1" spans="1:15">
      <c r="A1203" s="5"/>
      <c r="B1203" s="6" t="s">
        <v>2906</v>
      </c>
      <c r="C1203" s="6">
        <v>2019</v>
      </c>
      <c r="D1203" s="6">
        <v>12</v>
      </c>
      <c r="E1203" s="7">
        <v>38</v>
      </c>
      <c r="F1203" s="6" t="s">
        <v>4121</v>
      </c>
      <c r="G1203" s="6" t="s">
        <v>2908</v>
      </c>
      <c r="H1203" s="6" t="s">
        <v>2909</v>
      </c>
      <c r="I1203" s="8">
        <v>151256</v>
      </c>
      <c r="J1203" s="8"/>
      <c r="K1203" s="6" t="s">
        <v>2952</v>
      </c>
      <c r="L1203" s="6" t="s">
        <v>1049</v>
      </c>
      <c r="N1203" s="6" t="s">
        <v>1049</v>
      </c>
      <c r="O1203" s="29">
        <v>0</v>
      </c>
    </row>
    <row r="1204" s="1" customFormat="1" ht="16.35" hidden="1" customHeight="1" spans="1:15">
      <c r="A1204" s="5"/>
      <c r="B1204" s="6" t="s">
        <v>2906</v>
      </c>
      <c r="C1204" s="6">
        <v>2019</v>
      </c>
      <c r="D1204" s="6">
        <v>12</v>
      </c>
      <c r="E1204" s="7">
        <v>38</v>
      </c>
      <c r="F1204" s="6" t="s">
        <v>4121</v>
      </c>
      <c r="G1204" s="6" t="s">
        <v>2908</v>
      </c>
      <c r="H1204" s="6" t="s">
        <v>2909</v>
      </c>
      <c r="I1204" s="8">
        <v>206853</v>
      </c>
      <c r="J1204" s="8"/>
      <c r="K1204" s="6" t="s">
        <v>2953</v>
      </c>
      <c r="L1204" s="6" t="s">
        <v>1051</v>
      </c>
      <c r="N1204" s="6" t="s">
        <v>1051</v>
      </c>
      <c r="O1204" s="29">
        <v>0</v>
      </c>
    </row>
    <row r="1205" s="1" customFormat="1" ht="16.35" hidden="1" customHeight="1" spans="1:15">
      <c r="A1205" s="5"/>
      <c r="B1205" s="6" t="s">
        <v>2906</v>
      </c>
      <c r="C1205" s="6">
        <v>2019</v>
      </c>
      <c r="D1205" s="6">
        <v>12</v>
      </c>
      <c r="E1205" s="7">
        <v>38</v>
      </c>
      <c r="F1205" s="6" t="s">
        <v>4121</v>
      </c>
      <c r="G1205" s="6" t="s">
        <v>2908</v>
      </c>
      <c r="H1205" s="6" t="s">
        <v>2909</v>
      </c>
      <c r="I1205" s="8">
        <v>237407</v>
      </c>
      <c r="J1205" s="8"/>
      <c r="K1205" s="6" t="s">
        <v>2954</v>
      </c>
      <c r="L1205" s="6" t="s">
        <v>1069</v>
      </c>
      <c r="N1205" s="6" t="s">
        <v>1069</v>
      </c>
      <c r="O1205" s="29">
        <v>0</v>
      </c>
    </row>
    <row r="1206" s="1" customFormat="1" ht="16.35" hidden="1" customHeight="1" spans="1:15">
      <c r="A1206" s="5"/>
      <c r="B1206" s="6" t="s">
        <v>2906</v>
      </c>
      <c r="C1206" s="6">
        <v>2019</v>
      </c>
      <c r="D1206" s="6">
        <v>12</v>
      </c>
      <c r="E1206" s="7">
        <v>38</v>
      </c>
      <c r="F1206" s="6" t="s">
        <v>4121</v>
      </c>
      <c r="G1206" s="6" t="s">
        <v>2908</v>
      </c>
      <c r="H1206" s="6" t="s">
        <v>2909</v>
      </c>
      <c r="I1206" s="8">
        <v>171287</v>
      </c>
      <c r="J1206" s="8"/>
      <c r="K1206" s="6" t="s">
        <v>3067</v>
      </c>
      <c r="L1206" s="6" t="s">
        <v>3068</v>
      </c>
      <c r="N1206" s="6" t="s">
        <v>3068</v>
      </c>
      <c r="O1206" s="29">
        <v>0</v>
      </c>
    </row>
    <row r="1207" s="1" customFormat="1" ht="16.35" hidden="1" customHeight="1" spans="1:15">
      <c r="A1207" s="5"/>
      <c r="B1207" s="6" t="s">
        <v>2906</v>
      </c>
      <c r="C1207" s="6">
        <v>2019</v>
      </c>
      <c r="D1207" s="6">
        <v>12</v>
      </c>
      <c r="E1207" s="7">
        <v>38</v>
      </c>
      <c r="F1207" s="6" t="s">
        <v>4121</v>
      </c>
      <c r="G1207" s="6" t="s">
        <v>2908</v>
      </c>
      <c r="H1207" s="6" t="s">
        <v>2909</v>
      </c>
      <c r="I1207" s="8">
        <v>171287</v>
      </c>
      <c r="J1207" s="8"/>
      <c r="K1207" s="6" t="s">
        <v>3070</v>
      </c>
      <c r="L1207" s="6" t="s">
        <v>3071</v>
      </c>
      <c r="N1207" s="6" t="s">
        <v>3071</v>
      </c>
      <c r="O1207" s="29">
        <v>0</v>
      </c>
    </row>
    <row r="1208" s="1" customFormat="1" ht="16.35" hidden="1" customHeight="1" spans="1:15">
      <c r="A1208" s="5"/>
      <c r="B1208" s="6" t="s">
        <v>2906</v>
      </c>
      <c r="C1208" s="6">
        <v>2019</v>
      </c>
      <c r="D1208" s="6">
        <v>12</v>
      </c>
      <c r="E1208" s="7">
        <v>38</v>
      </c>
      <c r="F1208" s="6" t="s">
        <v>4121</v>
      </c>
      <c r="G1208" s="6" t="s">
        <v>2908</v>
      </c>
      <c r="H1208" s="6" t="s">
        <v>2909</v>
      </c>
      <c r="I1208" s="8">
        <v>171287</v>
      </c>
      <c r="J1208" s="8"/>
      <c r="K1208" s="6" t="s">
        <v>3073</v>
      </c>
      <c r="L1208" s="6" t="s">
        <v>3074</v>
      </c>
      <c r="N1208" s="6" t="s">
        <v>3074</v>
      </c>
      <c r="O1208" s="29">
        <v>0</v>
      </c>
    </row>
    <row r="1209" s="1" customFormat="1" ht="16.35" hidden="1" customHeight="1" spans="1:15">
      <c r="A1209" s="5"/>
      <c r="B1209" s="6" t="s">
        <v>2906</v>
      </c>
      <c r="C1209" s="6">
        <v>2019</v>
      </c>
      <c r="D1209" s="6">
        <v>12</v>
      </c>
      <c r="E1209" s="7">
        <v>38</v>
      </c>
      <c r="F1209" s="6" t="s">
        <v>4121</v>
      </c>
      <c r="G1209" s="6" t="s">
        <v>2908</v>
      </c>
      <c r="H1209" s="6" t="s">
        <v>2909</v>
      </c>
      <c r="I1209" s="8">
        <v>171287</v>
      </c>
      <c r="J1209" s="8"/>
      <c r="K1209" s="6" t="s">
        <v>3076</v>
      </c>
      <c r="L1209" s="6" t="s">
        <v>1748</v>
      </c>
      <c r="N1209" s="6" t="s">
        <v>1748</v>
      </c>
      <c r="O1209" s="29">
        <v>0</v>
      </c>
    </row>
    <row r="1210" s="1" customFormat="1" ht="16.35" hidden="1" customHeight="1" spans="1:15">
      <c r="A1210" s="5"/>
      <c r="B1210" s="6" t="s">
        <v>2906</v>
      </c>
      <c r="C1210" s="6">
        <v>2019</v>
      </c>
      <c r="D1210" s="6">
        <v>12</v>
      </c>
      <c r="E1210" s="7">
        <v>38</v>
      </c>
      <c r="F1210" s="6" t="s">
        <v>4121</v>
      </c>
      <c r="G1210" s="6" t="s">
        <v>2908</v>
      </c>
      <c r="H1210" s="6" t="s">
        <v>2909</v>
      </c>
      <c r="I1210" s="8">
        <v>171287</v>
      </c>
      <c r="J1210" s="8"/>
      <c r="K1210" s="6" t="s">
        <v>3078</v>
      </c>
      <c r="L1210" s="6" t="s">
        <v>1802</v>
      </c>
      <c r="N1210" s="6" t="s">
        <v>1802</v>
      </c>
      <c r="O1210" s="29">
        <v>0</v>
      </c>
    </row>
    <row r="1211" s="1" customFormat="1" ht="16.35" hidden="1" customHeight="1" spans="1:15">
      <c r="A1211" s="5"/>
      <c r="B1211" s="6" t="s">
        <v>2906</v>
      </c>
      <c r="C1211" s="6">
        <v>2019</v>
      </c>
      <c r="D1211" s="6">
        <v>12</v>
      </c>
      <c r="E1211" s="7">
        <v>38</v>
      </c>
      <c r="F1211" s="6" t="s">
        <v>4121</v>
      </c>
      <c r="G1211" s="6" t="s">
        <v>2908</v>
      </c>
      <c r="H1211" s="6" t="s">
        <v>2909</v>
      </c>
      <c r="I1211" s="8">
        <v>130496</v>
      </c>
      <c r="J1211" s="8"/>
      <c r="K1211" s="6" t="s">
        <v>3080</v>
      </c>
      <c r="L1211" s="6" t="s">
        <v>1377</v>
      </c>
      <c r="N1211" s="6" t="s">
        <v>1377</v>
      </c>
      <c r="O1211" s="29">
        <v>0</v>
      </c>
    </row>
    <row r="1212" s="1" customFormat="1" ht="16.35" hidden="1" customHeight="1" spans="1:16">
      <c r="A1212" s="5"/>
      <c r="B1212" s="6" t="s">
        <v>2906</v>
      </c>
      <c r="C1212" s="6">
        <v>2019</v>
      </c>
      <c r="D1212" s="6">
        <v>12</v>
      </c>
      <c r="E1212" s="7">
        <v>38</v>
      </c>
      <c r="F1212" s="6" t="s">
        <v>4121</v>
      </c>
      <c r="G1212" s="6" t="s">
        <v>2908</v>
      </c>
      <c r="H1212" s="6" t="s">
        <v>2909</v>
      </c>
      <c r="I1212" s="8">
        <v>189627</v>
      </c>
      <c r="J1212" s="8"/>
      <c r="K1212" s="6" t="s">
        <v>3082</v>
      </c>
      <c r="L1212" s="6" t="s">
        <v>1625</v>
      </c>
      <c r="N1212" s="6" t="s">
        <v>1625</v>
      </c>
      <c r="O1212" s="29">
        <v>0</v>
      </c>
      <c r="P1212" s="1">
        <f>O1212-J1212</f>
        <v>0</v>
      </c>
    </row>
    <row r="1213" s="1" customFormat="1" ht="16.35" hidden="1" customHeight="1" spans="1:15">
      <c r="A1213" s="5"/>
      <c r="B1213" s="6" t="s">
        <v>2906</v>
      </c>
      <c r="C1213" s="6">
        <v>2019</v>
      </c>
      <c r="D1213" s="6">
        <v>12</v>
      </c>
      <c r="E1213" s="7">
        <v>38</v>
      </c>
      <c r="F1213" s="6" t="s">
        <v>4121</v>
      </c>
      <c r="G1213" s="6" t="s">
        <v>2908</v>
      </c>
      <c r="H1213" s="6" t="s">
        <v>2909</v>
      </c>
      <c r="I1213" s="8">
        <v>172036</v>
      </c>
      <c r="J1213" s="8"/>
      <c r="K1213" s="6" t="s">
        <v>3085</v>
      </c>
      <c r="L1213" s="6" t="s">
        <v>1754</v>
      </c>
      <c r="N1213" s="6" t="s">
        <v>1754</v>
      </c>
      <c r="O1213" s="29">
        <v>0</v>
      </c>
    </row>
    <row r="1214" s="1" customFormat="1" ht="16.35" hidden="1" customHeight="1" spans="1:15">
      <c r="A1214" s="5"/>
      <c r="B1214" s="6" t="s">
        <v>2906</v>
      </c>
      <c r="C1214" s="6">
        <v>2019</v>
      </c>
      <c r="D1214" s="6">
        <v>12</v>
      </c>
      <c r="E1214" s="7">
        <v>38</v>
      </c>
      <c r="F1214" s="6" t="s">
        <v>4121</v>
      </c>
      <c r="G1214" s="6" t="s">
        <v>2908</v>
      </c>
      <c r="H1214" s="6" t="s">
        <v>2909</v>
      </c>
      <c r="I1214" s="8">
        <v>171287</v>
      </c>
      <c r="J1214" s="8"/>
      <c r="K1214" s="6" t="s">
        <v>3088</v>
      </c>
      <c r="L1214" s="6" t="s">
        <v>1756</v>
      </c>
      <c r="N1214" s="6" t="s">
        <v>1756</v>
      </c>
      <c r="O1214" s="29">
        <v>0</v>
      </c>
    </row>
    <row r="1215" s="1" customFormat="1" ht="16.35" hidden="1" customHeight="1" spans="1:15">
      <c r="A1215" s="5"/>
      <c r="B1215" s="6" t="s">
        <v>2906</v>
      </c>
      <c r="C1215" s="6">
        <v>2019</v>
      </c>
      <c r="D1215" s="6">
        <v>12</v>
      </c>
      <c r="E1215" s="7">
        <v>38</v>
      </c>
      <c r="F1215" s="6" t="s">
        <v>4121</v>
      </c>
      <c r="G1215" s="6" t="s">
        <v>2908</v>
      </c>
      <c r="H1215" s="6" t="s">
        <v>2909</v>
      </c>
      <c r="I1215" s="8">
        <v>121240</v>
      </c>
      <c r="J1215" s="8"/>
      <c r="K1215" s="6" t="s">
        <v>3092</v>
      </c>
      <c r="L1215" s="6" t="s">
        <v>1075</v>
      </c>
      <c r="N1215" s="6" t="s">
        <v>1075</v>
      </c>
      <c r="O1215" s="29">
        <v>0</v>
      </c>
    </row>
    <row r="1216" s="1" customFormat="1" ht="16.35" hidden="1" customHeight="1" spans="1:15">
      <c r="A1216" s="5"/>
      <c r="B1216" s="6" t="s">
        <v>2906</v>
      </c>
      <c r="C1216" s="6">
        <v>2019</v>
      </c>
      <c r="D1216" s="6">
        <v>12</v>
      </c>
      <c r="E1216" s="7">
        <v>38</v>
      </c>
      <c r="F1216" s="6" t="s">
        <v>4121</v>
      </c>
      <c r="G1216" s="6" t="s">
        <v>2908</v>
      </c>
      <c r="H1216" s="6" t="s">
        <v>2909</v>
      </c>
      <c r="I1216" s="8">
        <v>184273</v>
      </c>
      <c r="J1216" s="8"/>
      <c r="K1216" s="6" t="s">
        <v>3094</v>
      </c>
      <c r="L1216" s="6" t="s">
        <v>1310</v>
      </c>
      <c r="N1216" s="6" t="s">
        <v>1310</v>
      </c>
      <c r="O1216" s="29">
        <v>0</v>
      </c>
    </row>
    <row r="1217" s="1" customFormat="1" ht="16.35" hidden="1" customHeight="1" spans="1:15">
      <c r="A1217" s="5"/>
      <c r="B1217" s="6" t="s">
        <v>2906</v>
      </c>
      <c r="C1217" s="6">
        <v>2019</v>
      </c>
      <c r="D1217" s="6">
        <v>12</v>
      </c>
      <c r="E1217" s="7">
        <v>38</v>
      </c>
      <c r="F1217" s="6" t="s">
        <v>4121</v>
      </c>
      <c r="G1217" s="6" t="s">
        <v>2908</v>
      </c>
      <c r="H1217" s="6" t="s">
        <v>2909</v>
      </c>
      <c r="I1217" s="8">
        <v>197456</v>
      </c>
      <c r="J1217" s="8"/>
      <c r="K1217" s="6" t="s">
        <v>3096</v>
      </c>
      <c r="L1217" s="6" t="s">
        <v>1589</v>
      </c>
      <c r="N1217" s="6" t="s">
        <v>1589</v>
      </c>
      <c r="O1217" s="29">
        <v>0</v>
      </c>
    </row>
    <row r="1218" s="1" customFormat="1" ht="16.35" hidden="1" customHeight="1" spans="1:15">
      <c r="A1218" s="5"/>
      <c r="B1218" s="6" t="s">
        <v>2906</v>
      </c>
      <c r="C1218" s="6">
        <v>2019</v>
      </c>
      <c r="D1218" s="6">
        <v>12</v>
      </c>
      <c r="E1218" s="7">
        <v>38</v>
      </c>
      <c r="F1218" s="6" t="s">
        <v>4121</v>
      </c>
      <c r="G1218" s="6" t="s">
        <v>2908</v>
      </c>
      <c r="H1218" s="6" t="s">
        <v>2909</v>
      </c>
      <c r="I1218" s="8">
        <v>166828</v>
      </c>
      <c r="J1218" s="8"/>
      <c r="K1218" s="6" t="s">
        <v>3099</v>
      </c>
      <c r="L1218" s="6" t="s">
        <v>1557</v>
      </c>
      <c r="N1218" s="6" t="s">
        <v>1557</v>
      </c>
      <c r="O1218" s="29">
        <v>0</v>
      </c>
    </row>
    <row r="1219" s="1" customFormat="1" ht="16.35" hidden="1" customHeight="1" spans="1:15">
      <c r="A1219" s="5"/>
      <c r="B1219" s="6" t="s">
        <v>2906</v>
      </c>
      <c r="C1219" s="6">
        <v>2019</v>
      </c>
      <c r="D1219" s="6">
        <v>12</v>
      </c>
      <c r="E1219" s="7">
        <v>38</v>
      </c>
      <c r="F1219" s="6" t="s">
        <v>4121</v>
      </c>
      <c r="G1219" s="6" t="s">
        <v>2908</v>
      </c>
      <c r="H1219" s="6" t="s">
        <v>2909</v>
      </c>
      <c r="I1219" s="8">
        <v>171287</v>
      </c>
      <c r="J1219" s="8"/>
      <c r="K1219" s="6" t="s">
        <v>3101</v>
      </c>
      <c r="L1219" s="6" t="s">
        <v>1804</v>
      </c>
      <c r="N1219" s="6" t="s">
        <v>1804</v>
      </c>
      <c r="O1219" s="29">
        <v>0</v>
      </c>
    </row>
    <row r="1220" s="1" customFormat="1" ht="16.35" hidden="1" customHeight="1" spans="1:15">
      <c r="A1220" s="5"/>
      <c r="B1220" s="6" t="s">
        <v>2906</v>
      </c>
      <c r="C1220" s="6">
        <v>2019</v>
      </c>
      <c r="D1220" s="6">
        <v>12</v>
      </c>
      <c r="E1220" s="7">
        <v>38</v>
      </c>
      <c r="F1220" s="6" t="s">
        <v>4121</v>
      </c>
      <c r="G1220" s="6" t="s">
        <v>2908</v>
      </c>
      <c r="H1220" s="6" t="s">
        <v>2909</v>
      </c>
      <c r="I1220" s="8">
        <v>169490</v>
      </c>
      <c r="J1220" s="8"/>
      <c r="K1220" s="6" t="s">
        <v>3103</v>
      </c>
      <c r="L1220" s="6" t="s">
        <v>1316</v>
      </c>
      <c r="N1220" s="6" t="s">
        <v>1316</v>
      </c>
      <c r="O1220" s="29">
        <v>0</v>
      </c>
    </row>
    <row r="1221" s="1" customFormat="1" ht="16.35" hidden="1" customHeight="1" spans="1:15">
      <c r="A1221" s="5"/>
      <c r="B1221" s="6" t="s">
        <v>2906</v>
      </c>
      <c r="C1221" s="6">
        <v>2019</v>
      </c>
      <c r="D1221" s="6">
        <v>12</v>
      </c>
      <c r="E1221" s="7">
        <v>38</v>
      </c>
      <c r="F1221" s="6" t="s">
        <v>4121</v>
      </c>
      <c r="G1221" s="6" t="s">
        <v>2908</v>
      </c>
      <c r="H1221" s="6" t="s">
        <v>2909</v>
      </c>
      <c r="I1221" s="8">
        <v>196808</v>
      </c>
      <c r="J1221" s="8"/>
      <c r="K1221" s="6" t="s">
        <v>3105</v>
      </c>
      <c r="L1221" s="6" t="s">
        <v>1312</v>
      </c>
      <c r="N1221" s="6" t="s">
        <v>1312</v>
      </c>
      <c r="O1221" s="29">
        <v>0</v>
      </c>
    </row>
    <row r="1222" s="1" customFormat="1" ht="16.35" hidden="1" customHeight="1" spans="1:15">
      <c r="A1222" s="5"/>
      <c r="B1222" s="6" t="s">
        <v>2906</v>
      </c>
      <c r="C1222" s="6">
        <v>2019</v>
      </c>
      <c r="D1222" s="6">
        <v>12</v>
      </c>
      <c r="E1222" s="7">
        <v>38</v>
      </c>
      <c r="F1222" s="6" t="s">
        <v>4121</v>
      </c>
      <c r="G1222" s="6" t="s">
        <v>2908</v>
      </c>
      <c r="H1222" s="6" t="s">
        <v>2909</v>
      </c>
      <c r="I1222" s="8">
        <v>197456</v>
      </c>
      <c r="J1222" s="8"/>
      <c r="K1222" s="6" t="s">
        <v>3108</v>
      </c>
      <c r="L1222" s="6" t="s">
        <v>1635</v>
      </c>
      <c r="N1222" s="6" t="s">
        <v>1635</v>
      </c>
      <c r="O1222" s="29">
        <v>0</v>
      </c>
    </row>
    <row r="1223" s="1" customFormat="1" ht="16.35" hidden="1" customHeight="1" spans="1:15">
      <c r="A1223" s="5"/>
      <c r="B1223" s="6" t="s">
        <v>2906</v>
      </c>
      <c r="C1223" s="6">
        <v>2019</v>
      </c>
      <c r="D1223" s="6">
        <v>12</v>
      </c>
      <c r="E1223" s="7">
        <v>38</v>
      </c>
      <c r="F1223" s="6" t="s">
        <v>4121</v>
      </c>
      <c r="G1223" s="6" t="s">
        <v>2908</v>
      </c>
      <c r="H1223" s="6" t="s">
        <v>2909</v>
      </c>
      <c r="I1223" s="8">
        <v>158933</v>
      </c>
      <c r="J1223" s="8"/>
      <c r="K1223" s="6" t="s">
        <v>3110</v>
      </c>
      <c r="L1223" s="6" t="s">
        <v>1559</v>
      </c>
      <c r="N1223" s="6" t="s">
        <v>1559</v>
      </c>
      <c r="O1223" s="29">
        <v>0</v>
      </c>
    </row>
    <row r="1224" s="1" customFormat="1" ht="16.35" hidden="1" customHeight="1" spans="1:15">
      <c r="A1224" s="5"/>
      <c r="B1224" s="6" t="s">
        <v>2906</v>
      </c>
      <c r="C1224" s="6">
        <v>2019</v>
      </c>
      <c r="D1224" s="6">
        <v>12</v>
      </c>
      <c r="E1224" s="7">
        <v>38</v>
      </c>
      <c r="F1224" s="6" t="s">
        <v>4121</v>
      </c>
      <c r="G1224" s="6" t="s">
        <v>2908</v>
      </c>
      <c r="H1224" s="6" t="s">
        <v>2909</v>
      </c>
      <c r="I1224" s="8">
        <v>171287</v>
      </c>
      <c r="J1224" s="8"/>
      <c r="K1224" s="6" t="s">
        <v>3112</v>
      </c>
      <c r="L1224" s="6" t="s">
        <v>1824</v>
      </c>
      <c r="N1224" s="6" t="s">
        <v>1824</v>
      </c>
      <c r="O1224" s="29">
        <v>0</v>
      </c>
    </row>
    <row r="1225" s="1" customFormat="1" ht="16.35" hidden="1" customHeight="1" spans="1:15">
      <c r="A1225" s="5"/>
      <c r="B1225" s="6" t="s">
        <v>2906</v>
      </c>
      <c r="C1225" s="6">
        <v>2019</v>
      </c>
      <c r="D1225" s="6">
        <v>12</v>
      </c>
      <c r="E1225" s="7">
        <v>38</v>
      </c>
      <c r="F1225" s="6" t="s">
        <v>4121</v>
      </c>
      <c r="G1225" s="6" t="s">
        <v>2908</v>
      </c>
      <c r="H1225" s="6" t="s">
        <v>2909</v>
      </c>
      <c r="I1225" s="8">
        <v>172036</v>
      </c>
      <c r="J1225" s="8"/>
      <c r="K1225" s="6" t="s">
        <v>3119</v>
      </c>
      <c r="L1225" s="6" t="s">
        <v>1830</v>
      </c>
      <c r="N1225" s="6" t="s">
        <v>1830</v>
      </c>
      <c r="O1225" s="29">
        <v>0</v>
      </c>
    </row>
    <row r="1226" s="1" customFormat="1" ht="16.35" hidden="1" customHeight="1" spans="1:15">
      <c r="A1226" s="5"/>
      <c r="B1226" s="6" t="s">
        <v>2906</v>
      </c>
      <c r="C1226" s="6">
        <v>2019</v>
      </c>
      <c r="D1226" s="6">
        <v>12</v>
      </c>
      <c r="E1226" s="7">
        <v>38</v>
      </c>
      <c r="F1226" s="6" t="s">
        <v>4121</v>
      </c>
      <c r="G1226" s="6" t="s">
        <v>2908</v>
      </c>
      <c r="H1226" s="6" t="s">
        <v>2909</v>
      </c>
      <c r="I1226" s="8">
        <v>197456</v>
      </c>
      <c r="J1226" s="8"/>
      <c r="K1226" s="6" t="s">
        <v>3121</v>
      </c>
      <c r="L1226" s="6" t="s">
        <v>1611</v>
      </c>
      <c r="N1226" s="6" t="s">
        <v>1611</v>
      </c>
      <c r="O1226" s="29">
        <v>0</v>
      </c>
    </row>
    <row r="1227" s="1" customFormat="1" ht="16.35" hidden="1" customHeight="1" spans="1:15">
      <c r="A1227" s="5"/>
      <c r="B1227" s="6" t="s">
        <v>2906</v>
      </c>
      <c r="C1227" s="6">
        <v>2019</v>
      </c>
      <c r="D1227" s="6">
        <v>12</v>
      </c>
      <c r="E1227" s="7">
        <v>38</v>
      </c>
      <c r="F1227" s="6" t="s">
        <v>4121</v>
      </c>
      <c r="G1227" s="6" t="s">
        <v>2908</v>
      </c>
      <c r="H1227" s="6" t="s">
        <v>2909</v>
      </c>
      <c r="I1227" s="8">
        <v>171287</v>
      </c>
      <c r="J1227" s="8"/>
      <c r="K1227" s="6" t="s">
        <v>3124</v>
      </c>
      <c r="L1227" s="6" t="s">
        <v>1828</v>
      </c>
      <c r="N1227" s="6" t="s">
        <v>1828</v>
      </c>
      <c r="O1227" s="29">
        <v>0</v>
      </c>
    </row>
    <row r="1228" s="1" customFormat="1" ht="16.35" hidden="1" customHeight="1" spans="1:15">
      <c r="A1228" s="5"/>
      <c r="B1228" s="6" t="s">
        <v>2906</v>
      </c>
      <c r="C1228" s="6">
        <v>2019</v>
      </c>
      <c r="D1228" s="6">
        <v>12</v>
      </c>
      <c r="E1228" s="7">
        <v>38</v>
      </c>
      <c r="F1228" s="6" t="s">
        <v>4121</v>
      </c>
      <c r="G1228" s="6" t="s">
        <v>2908</v>
      </c>
      <c r="H1228" s="6" t="s">
        <v>2909</v>
      </c>
      <c r="I1228" s="8">
        <v>158694</v>
      </c>
      <c r="J1228" s="8"/>
      <c r="K1228" s="6" t="s">
        <v>3114</v>
      </c>
      <c r="L1228" s="6" t="s">
        <v>1300</v>
      </c>
      <c r="N1228" s="6" t="s">
        <v>1300</v>
      </c>
      <c r="O1228" s="29">
        <v>0</v>
      </c>
    </row>
    <row r="1229" s="1" customFormat="1" ht="16.35" hidden="1" customHeight="1" spans="1:15">
      <c r="A1229" s="5"/>
      <c r="B1229" s="6" t="s">
        <v>2906</v>
      </c>
      <c r="C1229" s="6">
        <v>2019</v>
      </c>
      <c r="D1229" s="6">
        <v>12</v>
      </c>
      <c r="E1229" s="7">
        <v>38</v>
      </c>
      <c r="F1229" s="6" t="s">
        <v>4121</v>
      </c>
      <c r="G1229" s="6" t="s">
        <v>2908</v>
      </c>
      <c r="H1229" s="6" t="s">
        <v>2909</v>
      </c>
      <c r="I1229" s="8">
        <v>172036</v>
      </c>
      <c r="J1229" s="8"/>
      <c r="K1229" s="6" t="s">
        <v>3128</v>
      </c>
      <c r="L1229" s="6" t="s">
        <v>1826</v>
      </c>
      <c r="N1229" s="6" t="s">
        <v>1826</v>
      </c>
      <c r="O1229" s="29">
        <v>0</v>
      </c>
    </row>
    <row r="1230" s="1" customFormat="1" ht="16.35" hidden="1" customHeight="1" spans="1:15">
      <c r="A1230" s="5"/>
      <c r="B1230" s="6" t="s">
        <v>2906</v>
      </c>
      <c r="C1230" s="6">
        <v>2019</v>
      </c>
      <c r="D1230" s="6">
        <v>12</v>
      </c>
      <c r="E1230" s="7">
        <v>38</v>
      </c>
      <c r="F1230" s="6" t="s">
        <v>4121</v>
      </c>
      <c r="G1230" s="6" t="s">
        <v>2908</v>
      </c>
      <c r="H1230" s="6" t="s">
        <v>2909</v>
      </c>
      <c r="I1230" s="8">
        <v>158693</v>
      </c>
      <c r="J1230" s="8"/>
      <c r="K1230" s="6" t="s">
        <v>3133</v>
      </c>
      <c r="L1230" s="6" t="s">
        <v>1314</v>
      </c>
      <c r="N1230" s="6" t="s">
        <v>1314</v>
      </c>
      <c r="O1230" s="29">
        <v>0</v>
      </c>
    </row>
    <row r="1231" s="1" customFormat="1" ht="16.35" hidden="1" customHeight="1" spans="1:15">
      <c r="A1231" s="5"/>
      <c r="B1231" s="6" t="s">
        <v>2906</v>
      </c>
      <c r="C1231" s="6">
        <v>2019</v>
      </c>
      <c r="D1231" s="6">
        <v>12</v>
      </c>
      <c r="E1231" s="7">
        <v>38</v>
      </c>
      <c r="F1231" s="6" t="s">
        <v>4121</v>
      </c>
      <c r="G1231" s="6" t="s">
        <v>2908</v>
      </c>
      <c r="H1231" s="6" t="s">
        <v>2909</v>
      </c>
      <c r="I1231" s="8">
        <v>171287</v>
      </c>
      <c r="J1231" s="8"/>
      <c r="K1231" s="6" t="s">
        <v>3136</v>
      </c>
      <c r="L1231" s="6" t="s">
        <v>1780</v>
      </c>
      <c r="N1231" s="6" t="s">
        <v>1780</v>
      </c>
      <c r="O1231" s="29">
        <v>0</v>
      </c>
    </row>
    <row r="1232" s="1" customFormat="1" ht="16.35" hidden="1" customHeight="1" spans="1:15">
      <c r="A1232" s="5"/>
      <c r="B1232" s="6" t="s">
        <v>2906</v>
      </c>
      <c r="C1232" s="6">
        <v>2019</v>
      </c>
      <c r="D1232" s="6">
        <v>12</v>
      </c>
      <c r="E1232" s="7">
        <v>38</v>
      </c>
      <c r="F1232" s="6" t="s">
        <v>4121</v>
      </c>
      <c r="G1232" s="6" t="s">
        <v>2908</v>
      </c>
      <c r="H1232" s="6" t="s">
        <v>2909</v>
      </c>
      <c r="I1232" s="8">
        <v>171104</v>
      </c>
      <c r="J1232" s="8"/>
      <c r="K1232" s="6" t="s">
        <v>3138</v>
      </c>
      <c r="L1232" s="6" t="s">
        <v>1539</v>
      </c>
      <c r="N1232" s="6" t="s">
        <v>1539</v>
      </c>
      <c r="O1232" s="29">
        <v>0</v>
      </c>
    </row>
    <row r="1233" s="1" customFormat="1" ht="16.35" hidden="1" customHeight="1" spans="1:15">
      <c r="A1233" s="5"/>
      <c r="B1233" s="6" t="s">
        <v>2906</v>
      </c>
      <c r="C1233" s="6">
        <v>2019</v>
      </c>
      <c r="D1233" s="6">
        <v>12</v>
      </c>
      <c r="E1233" s="7">
        <v>38</v>
      </c>
      <c r="F1233" s="6" t="s">
        <v>4121</v>
      </c>
      <c r="G1233" s="6" t="s">
        <v>2908</v>
      </c>
      <c r="H1233" s="6" t="s">
        <v>2909</v>
      </c>
      <c r="I1233" s="8">
        <v>171286</v>
      </c>
      <c r="J1233" s="8"/>
      <c r="K1233" s="6" t="s">
        <v>3140</v>
      </c>
      <c r="L1233" s="6" t="s">
        <v>1806</v>
      </c>
      <c r="N1233" s="6" t="s">
        <v>1806</v>
      </c>
      <c r="O1233" s="29">
        <v>0</v>
      </c>
    </row>
    <row r="1234" s="1" customFormat="1" ht="16.35" hidden="1" customHeight="1" spans="1:15">
      <c r="A1234" s="5"/>
      <c r="B1234" s="6" t="s">
        <v>2906</v>
      </c>
      <c r="C1234" s="6">
        <v>2019</v>
      </c>
      <c r="D1234" s="6">
        <v>12</v>
      </c>
      <c r="E1234" s="7">
        <v>38</v>
      </c>
      <c r="F1234" s="6" t="s">
        <v>4121</v>
      </c>
      <c r="G1234" s="6" t="s">
        <v>2908</v>
      </c>
      <c r="H1234" s="6" t="s">
        <v>2909</v>
      </c>
      <c r="I1234" s="8">
        <v>188236</v>
      </c>
      <c r="J1234" s="8"/>
      <c r="K1234" s="6" t="s">
        <v>3142</v>
      </c>
      <c r="L1234" s="6" t="s">
        <v>1533</v>
      </c>
      <c r="N1234" s="6" t="s">
        <v>1533</v>
      </c>
      <c r="O1234" s="29">
        <v>0</v>
      </c>
    </row>
    <row r="1235" s="1" customFormat="1" ht="16.35" hidden="1" customHeight="1" spans="1:15">
      <c r="A1235" s="5"/>
      <c r="B1235" s="6" t="s">
        <v>2906</v>
      </c>
      <c r="C1235" s="6">
        <v>2019</v>
      </c>
      <c r="D1235" s="6">
        <v>12</v>
      </c>
      <c r="E1235" s="7">
        <v>38</v>
      </c>
      <c r="F1235" s="6" t="s">
        <v>4121</v>
      </c>
      <c r="G1235" s="6" t="s">
        <v>2908</v>
      </c>
      <c r="H1235" s="6" t="s">
        <v>2909</v>
      </c>
      <c r="I1235" s="8">
        <v>144131</v>
      </c>
      <c r="J1235" s="8"/>
      <c r="K1235" s="6" t="s">
        <v>3144</v>
      </c>
      <c r="L1235" s="6" t="s">
        <v>1896</v>
      </c>
      <c r="N1235" s="6" t="s">
        <v>1896</v>
      </c>
      <c r="O1235" s="29">
        <v>0</v>
      </c>
    </row>
    <row r="1236" s="1" customFormat="1" ht="16.35" hidden="1" customHeight="1" spans="1:15">
      <c r="A1236" s="5"/>
      <c r="B1236" s="6" t="s">
        <v>2906</v>
      </c>
      <c r="C1236" s="6">
        <v>2019</v>
      </c>
      <c r="D1236" s="6">
        <v>12</v>
      </c>
      <c r="E1236" s="7">
        <v>38</v>
      </c>
      <c r="F1236" s="6" t="s">
        <v>4121</v>
      </c>
      <c r="G1236" s="6" t="s">
        <v>2908</v>
      </c>
      <c r="H1236" s="6" t="s">
        <v>2909</v>
      </c>
      <c r="I1236" s="8">
        <v>171287</v>
      </c>
      <c r="J1236" s="8"/>
      <c r="K1236" s="6" t="s">
        <v>3146</v>
      </c>
      <c r="L1236" s="6" t="s">
        <v>1772</v>
      </c>
      <c r="N1236" s="6" t="s">
        <v>1772</v>
      </c>
      <c r="O1236" s="29">
        <v>0</v>
      </c>
    </row>
    <row r="1237" s="1" customFormat="1" ht="16.35" hidden="1" customHeight="1" spans="1:15">
      <c r="A1237" s="5"/>
      <c r="B1237" s="6" t="s">
        <v>2906</v>
      </c>
      <c r="C1237" s="6">
        <v>2019</v>
      </c>
      <c r="D1237" s="6">
        <v>12</v>
      </c>
      <c r="E1237" s="7">
        <v>38</v>
      </c>
      <c r="F1237" s="6" t="s">
        <v>4121</v>
      </c>
      <c r="G1237" s="6" t="s">
        <v>2908</v>
      </c>
      <c r="H1237" s="6" t="s">
        <v>2909</v>
      </c>
      <c r="I1237" s="8">
        <v>172036</v>
      </c>
      <c r="J1237" s="8"/>
      <c r="K1237" s="6" t="s">
        <v>3148</v>
      </c>
      <c r="L1237" s="6" t="s">
        <v>1746</v>
      </c>
      <c r="N1237" s="6" t="s">
        <v>1746</v>
      </c>
      <c r="O1237" s="29">
        <v>0</v>
      </c>
    </row>
    <row r="1238" s="1" customFormat="1" ht="16.35" hidden="1" customHeight="1" spans="1:15">
      <c r="A1238" s="5"/>
      <c r="B1238" s="6" t="s">
        <v>2906</v>
      </c>
      <c r="C1238" s="6">
        <v>2019</v>
      </c>
      <c r="D1238" s="6">
        <v>12</v>
      </c>
      <c r="E1238" s="7">
        <v>38</v>
      </c>
      <c r="F1238" s="6" t="s">
        <v>4121</v>
      </c>
      <c r="G1238" s="6" t="s">
        <v>2908</v>
      </c>
      <c r="H1238" s="6" t="s">
        <v>2909</v>
      </c>
      <c r="I1238" s="8">
        <v>172035</v>
      </c>
      <c r="J1238" s="8"/>
      <c r="K1238" s="6" t="s">
        <v>3150</v>
      </c>
      <c r="L1238" s="6" t="s">
        <v>1822</v>
      </c>
      <c r="N1238" s="6" t="s">
        <v>1822</v>
      </c>
      <c r="O1238" s="29">
        <v>0</v>
      </c>
    </row>
    <row r="1239" s="1" customFormat="1" ht="16.35" hidden="1" customHeight="1" spans="1:15">
      <c r="A1239" s="5"/>
      <c r="B1239" s="6" t="s">
        <v>2906</v>
      </c>
      <c r="C1239" s="6">
        <v>2019</v>
      </c>
      <c r="D1239" s="6">
        <v>12</v>
      </c>
      <c r="E1239" s="7">
        <v>38</v>
      </c>
      <c r="F1239" s="6" t="s">
        <v>4121</v>
      </c>
      <c r="G1239" s="6" t="s">
        <v>2908</v>
      </c>
      <c r="H1239" s="6" t="s">
        <v>2909</v>
      </c>
      <c r="I1239" s="8">
        <v>130495</v>
      </c>
      <c r="J1239" s="8"/>
      <c r="K1239" s="6" t="s">
        <v>3152</v>
      </c>
      <c r="L1239" s="6" t="s">
        <v>1359</v>
      </c>
      <c r="N1239" s="6" t="s">
        <v>1359</v>
      </c>
      <c r="O1239" s="29">
        <v>0</v>
      </c>
    </row>
    <row r="1240" s="1" customFormat="1" ht="16.35" hidden="1" customHeight="1" spans="1:15">
      <c r="A1240" s="5"/>
      <c r="B1240" s="6" t="s">
        <v>2906</v>
      </c>
      <c r="C1240" s="6">
        <v>2019</v>
      </c>
      <c r="D1240" s="6">
        <v>12</v>
      </c>
      <c r="E1240" s="7">
        <v>38</v>
      </c>
      <c r="F1240" s="6" t="s">
        <v>4121</v>
      </c>
      <c r="G1240" s="6" t="s">
        <v>2908</v>
      </c>
      <c r="H1240" s="6" t="s">
        <v>2909</v>
      </c>
      <c r="I1240" s="8">
        <v>187360</v>
      </c>
      <c r="J1240" s="8"/>
      <c r="K1240" s="6" t="s">
        <v>3154</v>
      </c>
      <c r="L1240" s="6" t="s">
        <v>1535</v>
      </c>
      <c r="N1240" s="6" t="s">
        <v>1535</v>
      </c>
      <c r="O1240" s="29">
        <v>0</v>
      </c>
    </row>
    <row r="1241" s="1" customFormat="1" ht="16.35" hidden="1" customHeight="1" spans="1:15">
      <c r="A1241" s="5"/>
      <c r="B1241" s="6" t="s">
        <v>2906</v>
      </c>
      <c r="C1241" s="6">
        <v>2019</v>
      </c>
      <c r="D1241" s="6">
        <v>12</v>
      </c>
      <c r="E1241" s="7">
        <v>38</v>
      </c>
      <c r="F1241" s="6" t="s">
        <v>4121</v>
      </c>
      <c r="G1241" s="6" t="s">
        <v>2908</v>
      </c>
      <c r="H1241" s="6" t="s">
        <v>2909</v>
      </c>
      <c r="I1241" s="8">
        <v>184272.96</v>
      </c>
      <c r="J1241" s="8"/>
      <c r="K1241" s="6" t="s">
        <v>3117</v>
      </c>
      <c r="L1241" s="6" t="s">
        <v>1296</v>
      </c>
      <c r="N1241" s="6" t="s">
        <v>1296</v>
      </c>
      <c r="O1241" s="29">
        <v>0</v>
      </c>
    </row>
    <row r="1242" s="1" customFormat="1" ht="16.35" hidden="1" customHeight="1" spans="1:15">
      <c r="A1242" s="5"/>
      <c r="B1242" s="6" t="s">
        <v>2906</v>
      </c>
      <c r="C1242" s="6">
        <v>2019</v>
      </c>
      <c r="D1242" s="6">
        <v>12</v>
      </c>
      <c r="E1242" s="7">
        <v>38</v>
      </c>
      <c r="F1242" s="6" t="s">
        <v>4121</v>
      </c>
      <c r="G1242" s="6" t="s">
        <v>2908</v>
      </c>
      <c r="H1242" s="6" t="s">
        <v>2909</v>
      </c>
      <c r="I1242" s="8">
        <v>187017</v>
      </c>
      <c r="J1242" s="8"/>
      <c r="K1242" s="6" t="s">
        <v>3156</v>
      </c>
      <c r="L1242" s="6" t="s">
        <v>1555</v>
      </c>
      <c r="N1242" s="6" t="s">
        <v>1555</v>
      </c>
      <c r="O1242" s="29">
        <v>0</v>
      </c>
    </row>
    <row r="1243" s="1" customFormat="1" ht="16.35" hidden="1" customHeight="1" spans="1:15">
      <c r="A1243" s="5"/>
      <c r="B1243" s="6" t="s">
        <v>2906</v>
      </c>
      <c r="C1243" s="6">
        <v>2019</v>
      </c>
      <c r="D1243" s="6">
        <v>12</v>
      </c>
      <c r="E1243" s="7">
        <v>38</v>
      </c>
      <c r="F1243" s="6" t="s">
        <v>4121</v>
      </c>
      <c r="G1243" s="6" t="s">
        <v>2908</v>
      </c>
      <c r="H1243" s="6" t="s">
        <v>2909</v>
      </c>
      <c r="I1243" s="8">
        <v>171287</v>
      </c>
      <c r="J1243" s="8"/>
      <c r="K1243" s="6" t="s">
        <v>3158</v>
      </c>
      <c r="L1243" s="6" t="s">
        <v>1798</v>
      </c>
      <c r="N1243" s="6" t="s">
        <v>1798</v>
      </c>
      <c r="O1243" s="29">
        <v>0</v>
      </c>
    </row>
    <row r="1244" s="1" customFormat="1" ht="16.35" hidden="1" customHeight="1" spans="1:15">
      <c r="A1244" s="5"/>
      <c r="B1244" s="6" t="s">
        <v>2906</v>
      </c>
      <c r="C1244" s="6">
        <v>2019</v>
      </c>
      <c r="D1244" s="6">
        <v>12</v>
      </c>
      <c r="E1244" s="7">
        <v>38</v>
      </c>
      <c r="F1244" s="6" t="s">
        <v>4121</v>
      </c>
      <c r="G1244" s="6" t="s">
        <v>2908</v>
      </c>
      <c r="H1244" s="6" t="s">
        <v>2909</v>
      </c>
      <c r="I1244" s="8">
        <v>213881</v>
      </c>
      <c r="J1244" s="8"/>
      <c r="K1244" s="6" t="s">
        <v>3161</v>
      </c>
      <c r="L1244" s="6" t="s">
        <v>1547</v>
      </c>
      <c r="N1244" s="6" t="s">
        <v>1547</v>
      </c>
      <c r="O1244" s="29">
        <v>0</v>
      </c>
    </row>
    <row r="1245" s="1" customFormat="1" ht="16.35" hidden="1" customHeight="1" spans="1:15">
      <c r="A1245" s="5"/>
      <c r="B1245" s="6" t="s">
        <v>2906</v>
      </c>
      <c r="C1245" s="6">
        <v>2019</v>
      </c>
      <c r="D1245" s="6">
        <v>12</v>
      </c>
      <c r="E1245" s="7">
        <v>38</v>
      </c>
      <c r="F1245" s="6" t="s">
        <v>4121</v>
      </c>
      <c r="G1245" s="6" t="s">
        <v>2908</v>
      </c>
      <c r="H1245" s="6" t="s">
        <v>2909</v>
      </c>
      <c r="I1245" s="8">
        <v>171287</v>
      </c>
      <c r="J1245" s="8"/>
      <c r="K1245" s="6" t="s">
        <v>3163</v>
      </c>
      <c r="L1245" s="6" t="s">
        <v>1796</v>
      </c>
      <c r="N1245" s="6" t="s">
        <v>1796</v>
      </c>
      <c r="O1245" s="29">
        <v>0</v>
      </c>
    </row>
    <row r="1246" s="1" customFormat="1" ht="16.35" hidden="1" customHeight="1" spans="1:15">
      <c r="A1246" s="5"/>
      <c r="B1246" s="6" t="s">
        <v>2906</v>
      </c>
      <c r="C1246" s="6">
        <v>2019</v>
      </c>
      <c r="D1246" s="6">
        <v>12</v>
      </c>
      <c r="E1246" s="7">
        <v>38</v>
      </c>
      <c r="F1246" s="6" t="s">
        <v>4121</v>
      </c>
      <c r="G1246" s="6" t="s">
        <v>2908</v>
      </c>
      <c r="H1246" s="6" t="s">
        <v>2909</v>
      </c>
      <c r="I1246" s="8">
        <v>144159</v>
      </c>
      <c r="J1246" s="8"/>
      <c r="K1246" s="6" t="s">
        <v>3165</v>
      </c>
      <c r="L1246" s="6" t="s">
        <v>1357</v>
      </c>
      <c r="N1246" s="6" t="s">
        <v>1357</v>
      </c>
      <c r="O1246" s="29">
        <v>0</v>
      </c>
    </row>
    <row r="1247" s="1" customFormat="1" ht="16.35" hidden="1" customHeight="1" spans="1:15">
      <c r="A1247" s="5"/>
      <c r="B1247" s="6" t="s">
        <v>2906</v>
      </c>
      <c r="C1247" s="6">
        <v>2019</v>
      </c>
      <c r="D1247" s="6">
        <v>12</v>
      </c>
      <c r="E1247" s="7">
        <v>38</v>
      </c>
      <c r="F1247" s="6" t="s">
        <v>4121</v>
      </c>
      <c r="G1247" s="6" t="s">
        <v>2908</v>
      </c>
      <c r="H1247" s="6" t="s">
        <v>2909</v>
      </c>
      <c r="I1247" s="8">
        <v>206991</v>
      </c>
      <c r="J1247" s="8"/>
      <c r="K1247" s="6" t="s">
        <v>3167</v>
      </c>
      <c r="L1247" s="6" t="s">
        <v>1302</v>
      </c>
      <c r="N1247" s="6" t="s">
        <v>1302</v>
      </c>
      <c r="O1247" s="29">
        <v>0</v>
      </c>
    </row>
    <row r="1248" s="1" customFormat="1" ht="16.35" hidden="1" customHeight="1" spans="1:15">
      <c r="A1248" s="5"/>
      <c r="B1248" s="6" t="s">
        <v>2906</v>
      </c>
      <c r="C1248" s="6">
        <v>2019</v>
      </c>
      <c r="D1248" s="6">
        <v>12</v>
      </c>
      <c r="E1248" s="7">
        <v>38</v>
      </c>
      <c r="F1248" s="6" t="s">
        <v>4121</v>
      </c>
      <c r="G1248" s="6" t="s">
        <v>2908</v>
      </c>
      <c r="H1248" s="6" t="s">
        <v>2909</v>
      </c>
      <c r="I1248" s="8">
        <v>159596</v>
      </c>
      <c r="J1248" s="8"/>
      <c r="K1248" s="6" t="s">
        <v>3170</v>
      </c>
      <c r="L1248" s="6" t="s">
        <v>1886</v>
      </c>
      <c r="N1248" s="6" t="s">
        <v>1886</v>
      </c>
      <c r="O1248" s="29">
        <v>0</v>
      </c>
    </row>
    <row r="1249" s="1" customFormat="1" ht="16.35" hidden="1" customHeight="1" spans="1:15">
      <c r="A1249" s="5"/>
      <c r="B1249" s="6" t="s">
        <v>2906</v>
      </c>
      <c r="C1249" s="6">
        <v>2019</v>
      </c>
      <c r="D1249" s="6">
        <v>12</v>
      </c>
      <c r="E1249" s="7">
        <v>38</v>
      </c>
      <c r="F1249" s="6" t="s">
        <v>4121</v>
      </c>
      <c r="G1249" s="6" t="s">
        <v>2908</v>
      </c>
      <c r="H1249" s="6" t="s">
        <v>2909</v>
      </c>
      <c r="I1249" s="8">
        <v>162450</v>
      </c>
      <c r="J1249" s="8"/>
      <c r="K1249" s="6" t="s">
        <v>3172</v>
      </c>
      <c r="L1249" s="6" t="s">
        <v>1579</v>
      </c>
      <c r="N1249" s="6" t="s">
        <v>1579</v>
      </c>
      <c r="O1249" s="29">
        <v>0</v>
      </c>
    </row>
    <row r="1250" s="1" customFormat="1" ht="16.35" hidden="1" customHeight="1" spans="1:15">
      <c r="A1250" s="5"/>
      <c r="B1250" s="6" t="s">
        <v>2906</v>
      </c>
      <c r="C1250" s="6">
        <v>2019</v>
      </c>
      <c r="D1250" s="6">
        <v>12</v>
      </c>
      <c r="E1250" s="7">
        <v>38</v>
      </c>
      <c r="F1250" s="6" t="s">
        <v>4121</v>
      </c>
      <c r="G1250" s="6" t="s">
        <v>2908</v>
      </c>
      <c r="H1250" s="6" t="s">
        <v>2909</v>
      </c>
      <c r="I1250" s="8">
        <v>210459.05</v>
      </c>
      <c r="J1250" s="8"/>
      <c r="K1250" s="6" t="s">
        <v>3577</v>
      </c>
      <c r="L1250" s="6" t="s">
        <v>1545</v>
      </c>
      <c r="N1250" s="6" t="s">
        <v>1545</v>
      </c>
      <c r="O1250" s="29">
        <v>0</v>
      </c>
    </row>
    <row r="1251" s="1" customFormat="1" ht="16.35" hidden="1" customHeight="1" spans="1:15">
      <c r="A1251" s="5"/>
      <c r="B1251" s="6" t="s">
        <v>2906</v>
      </c>
      <c r="C1251" s="6">
        <v>2019</v>
      </c>
      <c r="D1251" s="6">
        <v>12</v>
      </c>
      <c r="E1251" s="7">
        <v>38</v>
      </c>
      <c r="F1251" s="6" t="s">
        <v>4121</v>
      </c>
      <c r="G1251" s="6" t="s">
        <v>2908</v>
      </c>
      <c r="H1251" s="6" t="s">
        <v>2909</v>
      </c>
      <c r="I1251" s="8">
        <v>200667</v>
      </c>
      <c r="J1251" s="8"/>
      <c r="K1251" s="6" t="s">
        <v>3177</v>
      </c>
      <c r="L1251" s="6" t="s">
        <v>1615</v>
      </c>
      <c r="N1251" s="6" t="s">
        <v>1615</v>
      </c>
      <c r="O1251" s="29">
        <v>0</v>
      </c>
    </row>
    <row r="1252" s="1" customFormat="1" ht="16.35" hidden="1" customHeight="1" spans="1:15">
      <c r="A1252" s="5"/>
      <c r="B1252" s="6" t="s">
        <v>2906</v>
      </c>
      <c r="C1252" s="6">
        <v>2019</v>
      </c>
      <c r="D1252" s="6">
        <v>12</v>
      </c>
      <c r="E1252" s="7">
        <v>38</v>
      </c>
      <c r="F1252" s="6" t="s">
        <v>4121</v>
      </c>
      <c r="G1252" s="6" t="s">
        <v>2908</v>
      </c>
      <c r="H1252" s="6" t="s">
        <v>2909</v>
      </c>
      <c r="I1252" s="8">
        <v>165609</v>
      </c>
      <c r="J1252" s="8"/>
      <c r="K1252" s="6" t="s">
        <v>3179</v>
      </c>
      <c r="L1252" s="6" t="s">
        <v>1882</v>
      </c>
      <c r="N1252" s="6" t="s">
        <v>1882</v>
      </c>
      <c r="O1252" s="29">
        <v>0</v>
      </c>
    </row>
    <row r="1253" s="1" customFormat="1" ht="16.35" hidden="1" customHeight="1" spans="1:15">
      <c r="A1253" s="5"/>
      <c r="B1253" s="6" t="s">
        <v>2906</v>
      </c>
      <c r="C1253" s="6">
        <v>2019</v>
      </c>
      <c r="D1253" s="6">
        <v>12</v>
      </c>
      <c r="E1253" s="7">
        <v>38</v>
      </c>
      <c r="F1253" s="6" t="s">
        <v>4121</v>
      </c>
      <c r="G1253" s="6" t="s">
        <v>2908</v>
      </c>
      <c r="H1253" s="6" t="s">
        <v>2909</v>
      </c>
      <c r="I1253" s="8">
        <v>134705</v>
      </c>
      <c r="J1253" s="8"/>
      <c r="K1253" s="6" t="s">
        <v>3181</v>
      </c>
      <c r="L1253" s="6" t="s">
        <v>1379</v>
      </c>
      <c r="N1253" s="6" t="s">
        <v>1379</v>
      </c>
      <c r="O1253" s="29">
        <v>0</v>
      </c>
    </row>
    <row r="1254" s="1" customFormat="1" ht="16.35" hidden="1" customHeight="1" spans="1:15">
      <c r="A1254" s="5"/>
      <c r="B1254" s="6" t="s">
        <v>2906</v>
      </c>
      <c r="C1254" s="6">
        <v>2019</v>
      </c>
      <c r="D1254" s="6">
        <v>12</v>
      </c>
      <c r="E1254" s="7">
        <v>38</v>
      </c>
      <c r="F1254" s="6" t="s">
        <v>4121</v>
      </c>
      <c r="G1254" s="6" t="s">
        <v>2908</v>
      </c>
      <c r="H1254" s="6" t="s">
        <v>2909</v>
      </c>
      <c r="I1254" s="8">
        <v>121968</v>
      </c>
      <c r="J1254" s="8"/>
      <c r="K1254" s="6" t="s">
        <v>3184</v>
      </c>
      <c r="L1254" s="6" t="s">
        <v>1902</v>
      </c>
      <c r="N1254" s="6" t="s">
        <v>1902</v>
      </c>
      <c r="O1254" s="29">
        <v>0</v>
      </c>
    </row>
    <row r="1255" s="1" customFormat="1" ht="16.35" hidden="1" customHeight="1" spans="1:15">
      <c r="A1255" s="5"/>
      <c r="B1255" s="6" t="s">
        <v>2906</v>
      </c>
      <c r="C1255" s="6">
        <v>2019</v>
      </c>
      <c r="D1255" s="6">
        <v>12</v>
      </c>
      <c r="E1255" s="7">
        <v>38</v>
      </c>
      <c r="F1255" s="6" t="s">
        <v>4121</v>
      </c>
      <c r="G1255" s="6" t="s">
        <v>2908</v>
      </c>
      <c r="H1255" s="6" t="s">
        <v>2909</v>
      </c>
      <c r="I1255" s="8">
        <v>139397</v>
      </c>
      <c r="J1255" s="8"/>
      <c r="K1255" s="6" t="s">
        <v>3188</v>
      </c>
      <c r="L1255" s="6" t="s">
        <v>1399</v>
      </c>
      <c r="N1255" s="6" t="s">
        <v>1399</v>
      </c>
      <c r="O1255" s="29">
        <v>0</v>
      </c>
    </row>
    <row r="1256" s="1" customFormat="1" ht="16.35" hidden="1" customHeight="1" spans="1:15">
      <c r="A1256" s="5"/>
      <c r="B1256" s="6" t="s">
        <v>2906</v>
      </c>
      <c r="C1256" s="6">
        <v>2019</v>
      </c>
      <c r="D1256" s="6">
        <v>12</v>
      </c>
      <c r="E1256" s="7">
        <v>38</v>
      </c>
      <c r="F1256" s="6" t="s">
        <v>4121</v>
      </c>
      <c r="G1256" s="6" t="s">
        <v>2908</v>
      </c>
      <c r="H1256" s="6" t="s">
        <v>2909</v>
      </c>
      <c r="I1256" s="8">
        <v>213162</v>
      </c>
      <c r="J1256" s="8"/>
      <c r="K1256" s="6" t="s">
        <v>3190</v>
      </c>
      <c r="L1256" s="6" t="s">
        <v>1525</v>
      </c>
      <c r="N1256" s="6" t="s">
        <v>1525</v>
      </c>
      <c r="O1256" s="29">
        <v>0</v>
      </c>
    </row>
    <row r="1257" s="1" customFormat="1" ht="16.35" hidden="1" customHeight="1" spans="1:15">
      <c r="A1257" s="5"/>
      <c r="B1257" s="6" t="s">
        <v>2906</v>
      </c>
      <c r="C1257" s="6">
        <v>2019</v>
      </c>
      <c r="D1257" s="6">
        <v>12</v>
      </c>
      <c r="E1257" s="7">
        <v>38</v>
      </c>
      <c r="F1257" s="6" t="s">
        <v>4121</v>
      </c>
      <c r="G1257" s="6" t="s">
        <v>2908</v>
      </c>
      <c r="H1257" s="6" t="s">
        <v>2909</v>
      </c>
      <c r="I1257" s="8">
        <v>159031</v>
      </c>
      <c r="J1257" s="8"/>
      <c r="K1257" s="6" t="s">
        <v>3192</v>
      </c>
      <c r="L1257" s="6" t="s">
        <v>1284</v>
      </c>
      <c r="N1257" s="6" t="s">
        <v>1284</v>
      </c>
      <c r="O1257" s="29">
        <v>0</v>
      </c>
    </row>
    <row r="1258" s="1" customFormat="1" ht="16.35" hidden="1" customHeight="1" spans="1:15">
      <c r="A1258" s="5"/>
      <c r="B1258" s="6" t="s">
        <v>2906</v>
      </c>
      <c r="C1258" s="6">
        <v>2019</v>
      </c>
      <c r="D1258" s="6">
        <v>12</v>
      </c>
      <c r="E1258" s="7">
        <v>38</v>
      </c>
      <c r="F1258" s="6" t="s">
        <v>4121</v>
      </c>
      <c r="G1258" s="6" t="s">
        <v>2908</v>
      </c>
      <c r="H1258" s="6" t="s">
        <v>2909</v>
      </c>
      <c r="I1258" s="8">
        <v>215847</v>
      </c>
      <c r="J1258" s="8"/>
      <c r="K1258" s="6" t="s">
        <v>3195</v>
      </c>
      <c r="L1258" s="6" t="s">
        <v>1383</v>
      </c>
      <c r="N1258" s="6" t="s">
        <v>1383</v>
      </c>
      <c r="O1258" s="29">
        <v>0</v>
      </c>
    </row>
    <row r="1259" s="1" customFormat="1" ht="16.35" hidden="1" customHeight="1" spans="1:15">
      <c r="A1259" s="5"/>
      <c r="B1259" s="6" t="s">
        <v>2906</v>
      </c>
      <c r="C1259" s="6">
        <v>2019</v>
      </c>
      <c r="D1259" s="6">
        <v>12</v>
      </c>
      <c r="E1259" s="7">
        <v>38</v>
      </c>
      <c r="F1259" s="6" t="s">
        <v>4121</v>
      </c>
      <c r="G1259" s="6" t="s">
        <v>2908</v>
      </c>
      <c r="H1259" s="6" t="s">
        <v>2909</v>
      </c>
      <c r="I1259" s="8">
        <v>40975</v>
      </c>
      <c r="J1259" s="8"/>
      <c r="K1259" s="6" t="s">
        <v>3197</v>
      </c>
      <c r="L1259" s="6" t="s">
        <v>1537</v>
      </c>
      <c r="N1259" s="6" t="s">
        <v>1537</v>
      </c>
      <c r="O1259" s="29">
        <v>0</v>
      </c>
    </row>
    <row r="1260" s="1" customFormat="1" ht="16.35" hidden="1" customHeight="1" spans="1:15">
      <c r="A1260" s="5"/>
      <c r="B1260" s="6" t="s">
        <v>2906</v>
      </c>
      <c r="C1260" s="6">
        <v>2019</v>
      </c>
      <c r="D1260" s="6">
        <v>12</v>
      </c>
      <c r="E1260" s="7">
        <v>38</v>
      </c>
      <c r="F1260" s="6" t="s">
        <v>4121</v>
      </c>
      <c r="G1260" s="6" t="s">
        <v>2908</v>
      </c>
      <c r="H1260" s="6" t="s">
        <v>2909</v>
      </c>
      <c r="I1260" s="8">
        <v>197456</v>
      </c>
      <c r="J1260" s="8"/>
      <c r="K1260" s="6" t="s">
        <v>3199</v>
      </c>
      <c r="L1260" s="6" t="s">
        <v>1593</v>
      </c>
      <c r="N1260" s="6" t="s">
        <v>1593</v>
      </c>
      <c r="O1260" s="29">
        <v>0</v>
      </c>
    </row>
    <row r="1261" s="1" customFormat="1" ht="16.35" hidden="1" customHeight="1" spans="1:15">
      <c r="A1261" s="5"/>
      <c r="B1261" s="6" t="s">
        <v>2906</v>
      </c>
      <c r="C1261" s="6">
        <v>2019</v>
      </c>
      <c r="D1261" s="6">
        <v>12</v>
      </c>
      <c r="E1261" s="7">
        <v>38</v>
      </c>
      <c r="F1261" s="6" t="s">
        <v>4121</v>
      </c>
      <c r="G1261" s="6" t="s">
        <v>2908</v>
      </c>
      <c r="H1261" s="6" t="s">
        <v>2909</v>
      </c>
      <c r="I1261" s="8">
        <v>187360</v>
      </c>
      <c r="J1261" s="8"/>
      <c r="K1261" s="6" t="s">
        <v>3201</v>
      </c>
      <c r="L1261" s="6" t="s">
        <v>1553</v>
      </c>
      <c r="N1261" s="6" t="s">
        <v>1553</v>
      </c>
      <c r="O1261" s="29">
        <v>0</v>
      </c>
    </row>
    <row r="1262" s="1" customFormat="1" ht="16.35" hidden="1" customHeight="1" spans="1:15">
      <c r="A1262" s="5"/>
      <c r="B1262" s="6" t="s">
        <v>2906</v>
      </c>
      <c r="C1262" s="6">
        <v>2019</v>
      </c>
      <c r="D1262" s="6">
        <v>12</v>
      </c>
      <c r="E1262" s="7">
        <v>38</v>
      </c>
      <c r="F1262" s="6" t="s">
        <v>4121</v>
      </c>
      <c r="G1262" s="6" t="s">
        <v>2908</v>
      </c>
      <c r="H1262" s="6" t="s">
        <v>2909</v>
      </c>
      <c r="I1262" s="8">
        <v>219180</v>
      </c>
      <c r="J1262" s="8"/>
      <c r="K1262" s="6" t="s">
        <v>3203</v>
      </c>
      <c r="L1262" s="6" t="s">
        <v>1563</v>
      </c>
      <c r="N1262" s="6" t="s">
        <v>1563</v>
      </c>
      <c r="O1262" s="29">
        <v>0</v>
      </c>
    </row>
    <row r="1263" s="1" customFormat="1" ht="16.35" hidden="1" customHeight="1" spans="1:15">
      <c r="A1263" s="5"/>
      <c r="B1263" s="6" t="s">
        <v>2906</v>
      </c>
      <c r="C1263" s="6">
        <v>2019</v>
      </c>
      <c r="D1263" s="6">
        <v>12</v>
      </c>
      <c r="E1263" s="7">
        <v>38</v>
      </c>
      <c r="F1263" s="6" t="s">
        <v>4121</v>
      </c>
      <c r="G1263" s="6" t="s">
        <v>2908</v>
      </c>
      <c r="H1263" s="6" t="s">
        <v>2909</v>
      </c>
      <c r="I1263" s="8">
        <v>171287</v>
      </c>
      <c r="J1263" s="8"/>
      <c r="K1263" s="6" t="s">
        <v>3205</v>
      </c>
      <c r="L1263" s="6" t="s">
        <v>1820</v>
      </c>
      <c r="N1263" s="6" t="s">
        <v>1820</v>
      </c>
      <c r="O1263" s="29">
        <v>0</v>
      </c>
    </row>
    <row r="1264" s="1" customFormat="1" ht="16.35" hidden="1" customHeight="1" spans="1:15">
      <c r="A1264" s="5"/>
      <c r="B1264" s="6" t="s">
        <v>2906</v>
      </c>
      <c r="C1264" s="6">
        <v>2019</v>
      </c>
      <c r="D1264" s="6">
        <v>12</v>
      </c>
      <c r="E1264" s="7">
        <v>38</v>
      </c>
      <c r="F1264" s="6" t="s">
        <v>4121</v>
      </c>
      <c r="G1264" s="6" t="s">
        <v>2908</v>
      </c>
      <c r="H1264" s="6" t="s">
        <v>2909</v>
      </c>
      <c r="I1264" s="8">
        <v>214022</v>
      </c>
      <c r="J1264" s="8"/>
      <c r="K1264" s="6" t="s">
        <v>3208</v>
      </c>
      <c r="L1264" s="6" t="s">
        <v>1567</v>
      </c>
      <c r="N1264" s="6" t="s">
        <v>1567</v>
      </c>
      <c r="O1264" s="29">
        <v>0</v>
      </c>
    </row>
    <row r="1265" s="1" customFormat="1" ht="16.35" hidden="1" customHeight="1" spans="1:15">
      <c r="A1265" s="5"/>
      <c r="B1265" s="6" t="s">
        <v>2906</v>
      </c>
      <c r="C1265" s="6">
        <v>2019</v>
      </c>
      <c r="D1265" s="6">
        <v>12</v>
      </c>
      <c r="E1265" s="7">
        <v>38</v>
      </c>
      <c r="F1265" s="6" t="s">
        <v>4121</v>
      </c>
      <c r="G1265" s="6" t="s">
        <v>2908</v>
      </c>
      <c r="H1265" s="6" t="s">
        <v>2909</v>
      </c>
      <c r="I1265" s="8">
        <v>211198</v>
      </c>
      <c r="J1265" s="8"/>
      <c r="K1265" s="6" t="s">
        <v>3216</v>
      </c>
      <c r="L1265" s="6" t="s">
        <v>1288</v>
      </c>
      <c r="N1265" s="6" t="s">
        <v>1288</v>
      </c>
      <c r="O1265" s="29">
        <v>0</v>
      </c>
    </row>
    <row r="1266" s="1" customFormat="1" ht="16.35" hidden="1" customHeight="1" spans="1:15">
      <c r="A1266" s="5"/>
      <c r="B1266" s="6" t="s">
        <v>2906</v>
      </c>
      <c r="C1266" s="6">
        <v>2019</v>
      </c>
      <c r="D1266" s="6">
        <v>12</v>
      </c>
      <c r="E1266" s="7">
        <v>38</v>
      </c>
      <c r="F1266" s="6" t="s">
        <v>4121</v>
      </c>
      <c r="G1266" s="6" t="s">
        <v>2908</v>
      </c>
      <c r="H1266" s="6" t="s">
        <v>2909</v>
      </c>
      <c r="I1266" s="8">
        <v>211442</v>
      </c>
      <c r="J1266" s="8"/>
      <c r="K1266" s="6" t="s">
        <v>3225</v>
      </c>
      <c r="L1266" s="6" t="s">
        <v>1571</v>
      </c>
      <c r="N1266" s="6" t="s">
        <v>1571</v>
      </c>
      <c r="O1266" s="29">
        <v>0</v>
      </c>
    </row>
    <row r="1267" s="1" customFormat="1" ht="16.35" hidden="1" customHeight="1" spans="1:15">
      <c r="A1267" s="5"/>
      <c r="B1267" s="6" t="s">
        <v>2906</v>
      </c>
      <c r="C1267" s="6">
        <v>2019</v>
      </c>
      <c r="D1267" s="6">
        <v>12</v>
      </c>
      <c r="E1267" s="7">
        <v>38</v>
      </c>
      <c r="F1267" s="6" t="s">
        <v>4121</v>
      </c>
      <c r="G1267" s="6" t="s">
        <v>2908</v>
      </c>
      <c r="H1267" s="6" t="s">
        <v>2909</v>
      </c>
      <c r="I1267" s="8">
        <v>210459</v>
      </c>
      <c r="J1267" s="8"/>
      <c r="K1267" s="6" t="s">
        <v>3227</v>
      </c>
      <c r="L1267" s="6" t="s">
        <v>1569</v>
      </c>
      <c r="N1267" s="6" t="s">
        <v>1569</v>
      </c>
      <c r="O1267" s="29">
        <v>0</v>
      </c>
    </row>
    <row r="1268" s="1" customFormat="1" ht="16.35" hidden="1" customHeight="1" spans="1:15">
      <c r="A1268" s="5"/>
      <c r="B1268" s="6" t="s">
        <v>2906</v>
      </c>
      <c r="C1268" s="6">
        <v>2019</v>
      </c>
      <c r="D1268" s="6">
        <v>12</v>
      </c>
      <c r="E1268" s="7">
        <v>38</v>
      </c>
      <c r="F1268" s="6" t="s">
        <v>4121</v>
      </c>
      <c r="G1268" s="6" t="s">
        <v>2908</v>
      </c>
      <c r="H1268" s="6" t="s">
        <v>2909</v>
      </c>
      <c r="I1268" s="8">
        <v>213881</v>
      </c>
      <c r="J1268" s="8"/>
      <c r="K1268" s="6" t="s">
        <v>3230</v>
      </c>
      <c r="L1268" s="6" t="s">
        <v>1527</v>
      </c>
      <c r="N1268" s="6" t="s">
        <v>1527</v>
      </c>
      <c r="O1268" s="29">
        <v>0</v>
      </c>
    </row>
    <row r="1269" s="1" customFormat="1" ht="16.35" hidden="1" customHeight="1" spans="1:15">
      <c r="A1269" s="5"/>
      <c r="B1269" s="6" t="s">
        <v>2906</v>
      </c>
      <c r="C1269" s="6">
        <v>2019</v>
      </c>
      <c r="D1269" s="6">
        <v>12</v>
      </c>
      <c r="E1269" s="7">
        <v>38</v>
      </c>
      <c r="F1269" s="6" t="s">
        <v>4121</v>
      </c>
      <c r="G1269" s="6" t="s">
        <v>2908</v>
      </c>
      <c r="H1269" s="6" t="s">
        <v>2909</v>
      </c>
      <c r="I1269" s="8">
        <v>158947</v>
      </c>
      <c r="J1269" s="8"/>
      <c r="K1269" s="6" t="s">
        <v>3234</v>
      </c>
      <c r="L1269" s="6" t="s">
        <v>1880</v>
      </c>
      <c r="N1269" s="6" t="s">
        <v>1880</v>
      </c>
      <c r="O1269" s="29">
        <v>0</v>
      </c>
    </row>
    <row r="1270" s="1" customFormat="1" ht="16.35" hidden="1" customHeight="1" spans="1:15">
      <c r="A1270" s="5"/>
      <c r="B1270" s="6" t="s">
        <v>2906</v>
      </c>
      <c r="C1270" s="6">
        <v>2019</v>
      </c>
      <c r="D1270" s="6">
        <v>12</v>
      </c>
      <c r="E1270" s="7">
        <v>38</v>
      </c>
      <c r="F1270" s="6" t="s">
        <v>4121</v>
      </c>
      <c r="G1270" s="6" t="s">
        <v>2908</v>
      </c>
      <c r="H1270" s="6" t="s">
        <v>2909</v>
      </c>
      <c r="I1270" s="8">
        <v>130495</v>
      </c>
      <c r="J1270" s="8"/>
      <c r="K1270" s="6" t="s">
        <v>3239</v>
      </c>
      <c r="L1270" s="6" t="s">
        <v>1397</v>
      </c>
      <c r="N1270" s="6" t="s">
        <v>1397</v>
      </c>
      <c r="O1270" s="29">
        <v>0</v>
      </c>
    </row>
    <row r="1271" s="1" customFormat="1" ht="16.35" hidden="1" customHeight="1" spans="1:15">
      <c r="A1271" s="5"/>
      <c r="B1271" s="6" t="s">
        <v>2906</v>
      </c>
      <c r="C1271" s="6">
        <v>2019</v>
      </c>
      <c r="D1271" s="6">
        <v>12</v>
      </c>
      <c r="E1271" s="7">
        <v>38</v>
      </c>
      <c r="F1271" s="6" t="s">
        <v>4121</v>
      </c>
      <c r="G1271" s="6" t="s">
        <v>2908</v>
      </c>
      <c r="H1271" s="6" t="s">
        <v>2909</v>
      </c>
      <c r="I1271" s="8">
        <v>159741</v>
      </c>
      <c r="J1271" s="8"/>
      <c r="K1271" s="6" t="s">
        <v>3277</v>
      </c>
      <c r="L1271" s="6" t="s">
        <v>1876</v>
      </c>
      <c r="N1271" s="6" t="s">
        <v>1876</v>
      </c>
      <c r="O1271" s="29">
        <v>0</v>
      </c>
    </row>
    <row r="1272" s="1" customFormat="1" ht="16.35" hidden="1" customHeight="1" spans="1:15">
      <c r="A1272" s="5"/>
      <c r="B1272" s="6" t="s">
        <v>2906</v>
      </c>
      <c r="C1272" s="6">
        <v>2019</v>
      </c>
      <c r="D1272" s="6">
        <v>12</v>
      </c>
      <c r="E1272" s="7">
        <v>38</v>
      </c>
      <c r="F1272" s="6" t="s">
        <v>4121</v>
      </c>
      <c r="G1272" s="6" t="s">
        <v>2908</v>
      </c>
      <c r="H1272" s="6" t="s">
        <v>2909</v>
      </c>
      <c r="I1272" s="8">
        <v>163653</v>
      </c>
      <c r="J1272" s="8"/>
      <c r="K1272" s="6" t="s">
        <v>3281</v>
      </c>
      <c r="L1272" s="6" t="s">
        <v>1888</v>
      </c>
      <c r="N1272" s="6" t="s">
        <v>1888</v>
      </c>
      <c r="O1272" s="29">
        <v>0</v>
      </c>
    </row>
    <row r="1273" s="1" customFormat="1" ht="16.35" hidden="1" customHeight="1" spans="1:15">
      <c r="A1273" s="5"/>
      <c r="B1273" s="6" t="s">
        <v>2906</v>
      </c>
      <c r="C1273" s="6">
        <v>2019</v>
      </c>
      <c r="D1273" s="6">
        <v>12</v>
      </c>
      <c r="E1273" s="7">
        <v>38</v>
      </c>
      <c r="F1273" s="6" t="s">
        <v>4121</v>
      </c>
      <c r="G1273" s="6" t="s">
        <v>2908</v>
      </c>
      <c r="H1273" s="6" t="s">
        <v>2909</v>
      </c>
      <c r="I1273" s="8">
        <v>206991</v>
      </c>
      <c r="J1273" s="8"/>
      <c r="K1273" s="6" t="s">
        <v>3283</v>
      </c>
      <c r="L1273" s="6" t="s">
        <v>1286</v>
      </c>
      <c r="N1273" s="6" t="s">
        <v>1286</v>
      </c>
      <c r="O1273" s="29">
        <v>0</v>
      </c>
    </row>
    <row r="1274" s="1" customFormat="1" ht="16.35" hidden="1" customHeight="1" spans="1:15">
      <c r="A1274" s="5"/>
      <c r="B1274" s="6" t="s">
        <v>2906</v>
      </c>
      <c r="C1274" s="6">
        <v>2019</v>
      </c>
      <c r="D1274" s="6">
        <v>12</v>
      </c>
      <c r="E1274" s="7">
        <v>38</v>
      </c>
      <c r="F1274" s="6" t="s">
        <v>4121</v>
      </c>
      <c r="G1274" s="6" t="s">
        <v>2908</v>
      </c>
      <c r="H1274" s="6" t="s">
        <v>2909</v>
      </c>
      <c r="I1274" s="8">
        <v>146701</v>
      </c>
      <c r="J1274" s="8"/>
      <c r="K1274" s="6" t="s">
        <v>3288</v>
      </c>
      <c r="L1274" s="6" t="s">
        <v>1894</v>
      </c>
      <c r="N1274" s="6" t="s">
        <v>1894</v>
      </c>
      <c r="O1274" s="29">
        <v>0</v>
      </c>
    </row>
    <row r="1275" s="1" customFormat="1" ht="16.35" hidden="1" customHeight="1" spans="1:15">
      <c r="A1275" s="5"/>
      <c r="B1275" s="6" t="s">
        <v>2906</v>
      </c>
      <c r="C1275" s="6">
        <v>2019</v>
      </c>
      <c r="D1275" s="6">
        <v>12</v>
      </c>
      <c r="E1275" s="7">
        <v>38</v>
      </c>
      <c r="F1275" s="6" t="s">
        <v>4121</v>
      </c>
      <c r="G1275" s="6" t="s">
        <v>2908</v>
      </c>
      <c r="H1275" s="6" t="s">
        <v>2909</v>
      </c>
      <c r="I1275" s="8">
        <v>184273</v>
      </c>
      <c r="J1275" s="8"/>
      <c r="K1275" s="6" t="s">
        <v>3174</v>
      </c>
      <c r="L1275" s="6" t="s">
        <v>1294</v>
      </c>
      <c r="N1275" s="6" t="s">
        <v>1294</v>
      </c>
      <c r="O1275" s="29">
        <v>0</v>
      </c>
    </row>
    <row r="1276" s="1" customFormat="1" ht="16.35" hidden="1" customHeight="1" spans="1:15">
      <c r="A1276" s="5"/>
      <c r="B1276" s="6" t="s">
        <v>2906</v>
      </c>
      <c r="C1276" s="6">
        <v>2019</v>
      </c>
      <c r="D1276" s="6">
        <v>12</v>
      </c>
      <c r="E1276" s="7">
        <v>38</v>
      </c>
      <c r="F1276" s="6" t="s">
        <v>4121</v>
      </c>
      <c r="G1276" s="6" t="s">
        <v>2908</v>
      </c>
      <c r="H1276" s="6" t="s">
        <v>2909</v>
      </c>
      <c r="I1276" s="8">
        <v>200666</v>
      </c>
      <c r="J1276" s="8"/>
      <c r="K1276" s="6" t="s">
        <v>3292</v>
      </c>
      <c r="L1276" s="6" t="s">
        <v>1639</v>
      </c>
      <c r="N1276" s="6" t="s">
        <v>1639</v>
      </c>
      <c r="O1276" s="29">
        <v>0</v>
      </c>
    </row>
    <row r="1277" s="1" customFormat="1" ht="16.35" hidden="1" customHeight="1" spans="1:15">
      <c r="A1277" s="5"/>
      <c r="B1277" s="6" t="s">
        <v>2906</v>
      </c>
      <c r="C1277" s="6">
        <v>2019</v>
      </c>
      <c r="D1277" s="6">
        <v>12</v>
      </c>
      <c r="E1277" s="7">
        <v>38</v>
      </c>
      <c r="F1277" s="6" t="s">
        <v>4121</v>
      </c>
      <c r="G1277" s="6" t="s">
        <v>2908</v>
      </c>
      <c r="H1277" s="6" t="s">
        <v>2909</v>
      </c>
      <c r="I1277" s="8">
        <v>175994</v>
      </c>
      <c r="J1277" s="8"/>
      <c r="K1277" s="6" t="s">
        <v>3285</v>
      </c>
      <c r="L1277" s="6" t="s">
        <v>1067</v>
      </c>
      <c r="N1277" s="6" t="s">
        <v>1067</v>
      </c>
      <c r="O1277" s="29">
        <v>0</v>
      </c>
    </row>
    <row r="1278" s="1" customFormat="1" ht="16.35" hidden="1" customHeight="1" spans="1:15">
      <c r="A1278" s="5"/>
      <c r="B1278" s="6" t="s">
        <v>2906</v>
      </c>
      <c r="C1278" s="6">
        <v>2019</v>
      </c>
      <c r="D1278" s="6">
        <v>12</v>
      </c>
      <c r="E1278" s="7">
        <v>38</v>
      </c>
      <c r="F1278" s="6" t="s">
        <v>4121</v>
      </c>
      <c r="G1278" s="6" t="s">
        <v>2908</v>
      </c>
      <c r="H1278" s="6" t="s">
        <v>2909</v>
      </c>
      <c r="I1278" s="8">
        <v>166153</v>
      </c>
      <c r="J1278" s="8"/>
      <c r="K1278" s="6" t="s">
        <v>3303</v>
      </c>
      <c r="L1278" s="6" t="s">
        <v>1878</v>
      </c>
      <c r="N1278" s="6" t="s">
        <v>1878</v>
      </c>
      <c r="O1278" s="29">
        <v>0</v>
      </c>
    </row>
    <row r="1279" s="1" customFormat="1" ht="16.35" hidden="1" customHeight="1" spans="1:15">
      <c r="A1279" s="5"/>
      <c r="B1279" s="6" t="s">
        <v>2906</v>
      </c>
      <c r="C1279" s="6">
        <v>2019</v>
      </c>
      <c r="D1279" s="6">
        <v>12</v>
      </c>
      <c r="E1279" s="7">
        <v>38</v>
      </c>
      <c r="F1279" s="6" t="s">
        <v>4121</v>
      </c>
      <c r="G1279" s="6" t="s">
        <v>2908</v>
      </c>
      <c r="H1279" s="6" t="s">
        <v>2909</v>
      </c>
      <c r="I1279" s="8">
        <v>199863</v>
      </c>
      <c r="J1279" s="8"/>
      <c r="K1279" s="6" t="s">
        <v>3308</v>
      </c>
      <c r="L1279" s="6" t="s">
        <v>1584</v>
      </c>
      <c r="N1279" s="6" t="s">
        <v>1584</v>
      </c>
      <c r="O1279" s="29">
        <v>0</v>
      </c>
    </row>
    <row r="1280" s="1" customFormat="1" ht="16.35" hidden="1" customHeight="1" spans="1:15">
      <c r="A1280" s="5"/>
      <c r="B1280" s="6" t="s">
        <v>2906</v>
      </c>
      <c r="C1280" s="6">
        <v>2019</v>
      </c>
      <c r="D1280" s="6">
        <v>12</v>
      </c>
      <c r="E1280" s="7">
        <v>38</v>
      </c>
      <c r="F1280" s="6" t="s">
        <v>4121</v>
      </c>
      <c r="G1280" s="6" t="s">
        <v>2908</v>
      </c>
      <c r="H1280" s="6" t="s">
        <v>2909</v>
      </c>
      <c r="I1280" s="8">
        <v>167471</v>
      </c>
      <c r="J1280" s="8"/>
      <c r="K1280" s="6" t="s">
        <v>3310</v>
      </c>
      <c r="L1280" s="6" t="s">
        <v>1884</v>
      </c>
      <c r="N1280" s="6" t="s">
        <v>1884</v>
      </c>
      <c r="O1280" s="29">
        <v>0</v>
      </c>
    </row>
    <row r="1281" s="1" customFormat="1" ht="16.35" hidden="1" customHeight="1" spans="1:15">
      <c r="A1281" s="5"/>
      <c r="B1281" s="6" t="s">
        <v>2906</v>
      </c>
      <c r="C1281" s="6">
        <v>2019</v>
      </c>
      <c r="D1281" s="6">
        <v>12</v>
      </c>
      <c r="E1281" s="7">
        <v>38</v>
      </c>
      <c r="F1281" s="6" t="s">
        <v>4121</v>
      </c>
      <c r="G1281" s="6" t="s">
        <v>2908</v>
      </c>
      <c r="H1281" s="6" t="s">
        <v>2909</v>
      </c>
      <c r="I1281" s="8">
        <v>164171.14</v>
      </c>
      <c r="J1281" s="8"/>
      <c r="K1281" s="6" t="s">
        <v>3312</v>
      </c>
      <c r="L1281" s="6" t="s">
        <v>1355</v>
      </c>
      <c r="N1281" s="6" t="s">
        <v>1355</v>
      </c>
      <c r="O1281" s="29">
        <v>0</v>
      </c>
    </row>
    <row r="1282" s="1" customFormat="1" ht="16.35" hidden="1" customHeight="1" spans="1:15">
      <c r="A1282" s="5"/>
      <c r="B1282" s="6" t="s">
        <v>2906</v>
      </c>
      <c r="C1282" s="6">
        <v>2019</v>
      </c>
      <c r="D1282" s="6">
        <v>12</v>
      </c>
      <c r="E1282" s="7">
        <v>38</v>
      </c>
      <c r="F1282" s="6" t="s">
        <v>4121</v>
      </c>
      <c r="G1282" s="6" t="s">
        <v>2908</v>
      </c>
      <c r="H1282" s="6" t="s">
        <v>2909</v>
      </c>
      <c r="I1282" s="8">
        <v>175200</v>
      </c>
      <c r="J1282" s="8"/>
      <c r="K1282" s="6" t="s">
        <v>3314</v>
      </c>
      <c r="L1282" s="6" t="s">
        <v>1065</v>
      </c>
      <c r="N1282" s="6" t="s">
        <v>1065</v>
      </c>
      <c r="O1282" s="29">
        <v>0</v>
      </c>
    </row>
    <row r="1283" s="1" customFormat="1" ht="16.35" hidden="1" customHeight="1" spans="1:15">
      <c r="A1283" s="5"/>
      <c r="B1283" s="6" t="s">
        <v>2906</v>
      </c>
      <c r="C1283" s="6">
        <v>2019</v>
      </c>
      <c r="D1283" s="6">
        <v>12</v>
      </c>
      <c r="E1283" s="7">
        <v>38</v>
      </c>
      <c r="F1283" s="6" t="s">
        <v>4121</v>
      </c>
      <c r="G1283" s="6" t="s">
        <v>2908</v>
      </c>
      <c r="H1283" s="6" t="s">
        <v>2909</v>
      </c>
      <c r="I1283" s="8">
        <v>168285</v>
      </c>
      <c r="J1283" s="8"/>
      <c r="K1283" s="6" t="s">
        <v>3316</v>
      </c>
      <c r="L1283" s="6" t="s">
        <v>1298</v>
      </c>
      <c r="N1283" s="6" t="s">
        <v>1298</v>
      </c>
      <c r="O1283" s="29">
        <v>0</v>
      </c>
    </row>
    <row r="1284" s="1" customFormat="1" ht="16.35" hidden="1" customHeight="1" spans="1:15">
      <c r="A1284" s="5"/>
      <c r="B1284" s="6" t="s">
        <v>2906</v>
      </c>
      <c r="C1284" s="6">
        <v>2019</v>
      </c>
      <c r="D1284" s="6">
        <v>12</v>
      </c>
      <c r="E1284" s="7">
        <v>38</v>
      </c>
      <c r="F1284" s="6" t="s">
        <v>4121</v>
      </c>
      <c r="G1284" s="6" t="s">
        <v>2908</v>
      </c>
      <c r="H1284" s="6" t="s">
        <v>2909</v>
      </c>
      <c r="I1284" s="8">
        <v>197456</v>
      </c>
      <c r="J1284" s="8"/>
      <c r="K1284" s="6" t="s">
        <v>3323</v>
      </c>
      <c r="L1284" s="6" t="s">
        <v>1607</v>
      </c>
      <c r="N1284" s="6" t="s">
        <v>1607</v>
      </c>
      <c r="O1284" s="29">
        <v>0</v>
      </c>
    </row>
    <row r="1285" s="1" customFormat="1" ht="16.35" hidden="1" customHeight="1" spans="1:15">
      <c r="A1285" s="5"/>
      <c r="B1285" s="6" t="s">
        <v>2906</v>
      </c>
      <c r="C1285" s="6">
        <v>2019</v>
      </c>
      <c r="D1285" s="6">
        <v>12</v>
      </c>
      <c r="E1285" s="7">
        <v>38</v>
      </c>
      <c r="F1285" s="6" t="s">
        <v>4121</v>
      </c>
      <c r="G1285" s="6" t="s">
        <v>2908</v>
      </c>
      <c r="H1285" s="6" t="s">
        <v>2909</v>
      </c>
      <c r="I1285" s="8">
        <v>167471</v>
      </c>
      <c r="J1285" s="8"/>
      <c r="K1285" s="6" t="s">
        <v>3325</v>
      </c>
      <c r="L1285" s="6" t="s">
        <v>1890</v>
      </c>
      <c r="N1285" s="6" t="s">
        <v>1890</v>
      </c>
      <c r="O1285" s="29">
        <v>0</v>
      </c>
    </row>
    <row r="1286" s="1" customFormat="1" ht="16.35" hidden="1" customHeight="1" spans="1:15">
      <c r="A1286" s="5"/>
      <c r="B1286" s="6" t="s">
        <v>2906</v>
      </c>
      <c r="C1286" s="6">
        <v>2019</v>
      </c>
      <c r="D1286" s="6">
        <v>12</v>
      </c>
      <c r="E1286" s="7">
        <v>38</v>
      </c>
      <c r="F1286" s="6" t="s">
        <v>4121</v>
      </c>
      <c r="G1286" s="6" t="s">
        <v>2908</v>
      </c>
      <c r="H1286" s="6" t="s">
        <v>2909</v>
      </c>
      <c r="I1286" s="8">
        <v>86407</v>
      </c>
      <c r="J1286" s="8"/>
      <c r="K1286" s="6" t="s">
        <v>3327</v>
      </c>
      <c r="L1286" s="6" t="s">
        <v>1898</v>
      </c>
      <c r="N1286" s="6" t="s">
        <v>1898</v>
      </c>
      <c r="O1286" s="29">
        <v>0</v>
      </c>
    </row>
    <row r="1287" s="1" customFormat="1" ht="16.35" hidden="1" customHeight="1" spans="1:15">
      <c r="A1287" s="5"/>
      <c r="B1287" s="6" t="s">
        <v>2906</v>
      </c>
      <c r="C1287" s="6">
        <v>2019</v>
      </c>
      <c r="D1287" s="6">
        <v>12</v>
      </c>
      <c r="E1287" s="7">
        <v>38</v>
      </c>
      <c r="F1287" s="6" t="s">
        <v>4121</v>
      </c>
      <c r="G1287" s="6" t="s">
        <v>2908</v>
      </c>
      <c r="H1287" s="6" t="s">
        <v>2909</v>
      </c>
      <c r="I1287" s="8">
        <v>171287</v>
      </c>
      <c r="J1287" s="8"/>
      <c r="K1287" s="6" t="s">
        <v>3240</v>
      </c>
      <c r="L1287" s="6" t="s">
        <v>1774</v>
      </c>
      <c r="N1287" s="6" t="s">
        <v>1774</v>
      </c>
      <c r="O1287" s="29">
        <v>0</v>
      </c>
    </row>
    <row r="1288" s="1" customFormat="1" ht="16.35" hidden="1" customHeight="1" spans="1:16">
      <c r="A1288" s="5"/>
      <c r="B1288" s="6" t="s">
        <v>2906</v>
      </c>
      <c r="C1288" s="6">
        <v>2019</v>
      </c>
      <c r="D1288" s="6">
        <v>12</v>
      </c>
      <c r="E1288" s="7">
        <v>38</v>
      </c>
      <c r="F1288" s="6" t="s">
        <v>4121</v>
      </c>
      <c r="G1288" s="6" t="s">
        <v>2908</v>
      </c>
      <c r="H1288" s="6" t="s">
        <v>2909</v>
      </c>
      <c r="I1288" s="8">
        <v>164703</v>
      </c>
      <c r="J1288" s="8"/>
      <c r="K1288" s="6" t="s">
        <v>3344</v>
      </c>
      <c r="L1288" s="6" t="s">
        <v>1373</v>
      </c>
      <c r="N1288" s="6" t="s">
        <v>1373</v>
      </c>
      <c r="O1288" s="29">
        <v>0</v>
      </c>
      <c r="P1288" s="1">
        <f>O1288-J1288</f>
        <v>0</v>
      </c>
    </row>
    <row r="1289" s="1" customFormat="1" ht="16.35" hidden="1" customHeight="1" spans="1:15">
      <c r="A1289" s="5"/>
      <c r="B1289" s="6" t="s">
        <v>2906</v>
      </c>
      <c r="C1289" s="6">
        <v>2019</v>
      </c>
      <c r="D1289" s="6">
        <v>12</v>
      </c>
      <c r="E1289" s="7">
        <v>38</v>
      </c>
      <c r="F1289" s="6" t="s">
        <v>4121</v>
      </c>
      <c r="G1289" s="6" t="s">
        <v>2908</v>
      </c>
      <c r="H1289" s="6" t="s">
        <v>2909</v>
      </c>
      <c r="I1289" s="8">
        <v>175371</v>
      </c>
      <c r="J1289" s="8"/>
      <c r="K1289" s="6" t="s">
        <v>3348</v>
      </c>
      <c r="L1289" s="6" t="s">
        <v>1353</v>
      </c>
      <c r="N1289" s="6" t="s">
        <v>1353</v>
      </c>
      <c r="O1289" s="29">
        <v>0</v>
      </c>
    </row>
    <row r="1290" s="1" customFormat="1" ht="16.35" hidden="1" customHeight="1" spans="1:15">
      <c r="A1290" s="5"/>
      <c r="B1290" s="6" t="s">
        <v>2906</v>
      </c>
      <c r="C1290" s="6">
        <v>2019</v>
      </c>
      <c r="D1290" s="6">
        <v>12</v>
      </c>
      <c r="E1290" s="7">
        <v>38</v>
      </c>
      <c r="F1290" s="6" t="s">
        <v>4121</v>
      </c>
      <c r="G1290" s="6" t="s">
        <v>2908</v>
      </c>
      <c r="H1290" s="6" t="s">
        <v>2909</v>
      </c>
      <c r="I1290" s="8">
        <v>163751</v>
      </c>
      <c r="J1290" s="8"/>
      <c r="K1290" s="6" t="s">
        <v>3355</v>
      </c>
      <c r="L1290" s="6" t="s">
        <v>1375</v>
      </c>
      <c r="N1290" s="6" t="s">
        <v>1375</v>
      </c>
      <c r="O1290" s="29">
        <v>0</v>
      </c>
    </row>
    <row r="1291" s="1" customFormat="1" ht="16.35" hidden="1" customHeight="1" spans="1:15">
      <c r="A1291" s="5"/>
      <c r="B1291" s="6" t="s">
        <v>2906</v>
      </c>
      <c r="C1291" s="6">
        <v>2019</v>
      </c>
      <c r="D1291" s="6">
        <v>12</v>
      </c>
      <c r="E1291" s="7">
        <v>38</v>
      </c>
      <c r="F1291" s="6" t="s">
        <v>4121</v>
      </c>
      <c r="G1291" s="6" t="s">
        <v>2908</v>
      </c>
      <c r="H1291" s="6" t="s">
        <v>2909</v>
      </c>
      <c r="I1291" s="8">
        <v>184041</v>
      </c>
      <c r="J1291" s="8"/>
      <c r="K1291" s="6" t="s">
        <v>3357</v>
      </c>
      <c r="L1291" s="6" t="s">
        <v>1351</v>
      </c>
      <c r="N1291" s="6" t="s">
        <v>1351</v>
      </c>
      <c r="O1291" s="29">
        <v>0</v>
      </c>
    </row>
    <row r="1292" s="1" customFormat="1" ht="16.35" hidden="1" customHeight="1" spans="1:15">
      <c r="A1292" s="5"/>
      <c r="B1292" s="6" t="s">
        <v>2906</v>
      </c>
      <c r="C1292" s="6">
        <v>2019</v>
      </c>
      <c r="D1292" s="6">
        <v>12</v>
      </c>
      <c r="E1292" s="7">
        <v>38</v>
      </c>
      <c r="F1292" s="6" t="s">
        <v>4121</v>
      </c>
      <c r="G1292" s="6" t="s">
        <v>2908</v>
      </c>
      <c r="H1292" s="6" t="s">
        <v>2909</v>
      </c>
      <c r="I1292" s="8">
        <v>168382</v>
      </c>
      <c r="J1292" s="8"/>
      <c r="K1292" s="6" t="s">
        <v>3361</v>
      </c>
      <c r="L1292" s="6" t="s">
        <v>1393</v>
      </c>
      <c r="N1292" s="6" t="s">
        <v>1393</v>
      </c>
      <c r="O1292" s="29">
        <v>0</v>
      </c>
    </row>
    <row r="1293" s="1" customFormat="1" ht="16.35" hidden="1" customHeight="1" spans="1:15">
      <c r="A1293" s="5"/>
      <c r="B1293" s="6" t="s">
        <v>2906</v>
      </c>
      <c r="C1293" s="6">
        <v>2019</v>
      </c>
      <c r="D1293" s="6">
        <v>12</v>
      </c>
      <c r="E1293" s="7">
        <v>38</v>
      </c>
      <c r="F1293" s="6" t="s">
        <v>4121</v>
      </c>
      <c r="G1293" s="6" t="s">
        <v>2908</v>
      </c>
      <c r="H1293" s="6" t="s">
        <v>2909</v>
      </c>
      <c r="I1293" s="8">
        <v>189429</v>
      </c>
      <c r="J1293" s="8"/>
      <c r="K1293" s="6" t="s">
        <v>3372</v>
      </c>
      <c r="L1293" s="6" t="s">
        <v>1369</v>
      </c>
      <c r="N1293" s="6" t="s">
        <v>1369</v>
      </c>
      <c r="O1293" s="29">
        <v>0</v>
      </c>
    </row>
    <row r="1294" s="1" customFormat="1" ht="16.35" hidden="1" customHeight="1" spans="1:15">
      <c r="A1294" s="5"/>
      <c r="B1294" s="6" t="s">
        <v>2906</v>
      </c>
      <c r="C1294" s="6">
        <v>2019</v>
      </c>
      <c r="D1294" s="6">
        <v>12</v>
      </c>
      <c r="E1294" s="7">
        <v>38</v>
      </c>
      <c r="F1294" s="6" t="s">
        <v>4121</v>
      </c>
      <c r="G1294" s="6" t="s">
        <v>2908</v>
      </c>
      <c r="H1294" s="6" t="s">
        <v>2909</v>
      </c>
      <c r="I1294" s="8">
        <v>179867</v>
      </c>
      <c r="J1294" s="8"/>
      <c r="K1294" s="6" t="s">
        <v>3384</v>
      </c>
      <c r="L1294" s="6" t="s">
        <v>1395</v>
      </c>
      <c r="N1294" s="6" t="s">
        <v>1395</v>
      </c>
      <c r="O1294" s="29">
        <v>0</v>
      </c>
    </row>
    <row r="1295" s="1" customFormat="1" ht="16.35" hidden="1" customHeight="1" spans="1:15">
      <c r="A1295" s="5"/>
      <c r="B1295" s="6" t="s">
        <v>2906</v>
      </c>
      <c r="C1295" s="6">
        <v>2019</v>
      </c>
      <c r="D1295" s="6">
        <v>12</v>
      </c>
      <c r="E1295" s="7">
        <v>38</v>
      </c>
      <c r="F1295" s="6" t="s">
        <v>4121</v>
      </c>
      <c r="G1295" s="6" t="s">
        <v>2908</v>
      </c>
      <c r="H1295" s="6" t="s">
        <v>2909</v>
      </c>
      <c r="I1295" s="8">
        <v>207109</v>
      </c>
      <c r="J1295" s="8"/>
      <c r="K1295" s="6" t="s">
        <v>3401</v>
      </c>
      <c r="L1295" s="6" t="s">
        <v>1343</v>
      </c>
      <c r="N1295" s="6" t="s">
        <v>1343</v>
      </c>
      <c r="O1295" s="29">
        <v>0</v>
      </c>
    </row>
    <row r="1296" s="1" customFormat="1" ht="16.35" hidden="1" customHeight="1" spans="1:15">
      <c r="A1296" s="5"/>
      <c r="B1296" s="6" t="s">
        <v>2906</v>
      </c>
      <c r="C1296" s="6">
        <v>2019</v>
      </c>
      <c r="D1296" s="6">
        <v>12</v>
      </c>
      <c r="E1296" s="7">
        <v>38</v>
      </c>
      <c r="F1296" s="6" t="s">
        <v>4121</v>
      </c>
      <c r="G1296" s="6" t="s">
        <v>2908</v>
      </c>
      <c r="H1296" s="6" t="s">
        <v>2909</v>
      </c>
      <c r="I1296" s="8">
        <v>185219</v>
      </c>
      <c r="J1296" s="8"/>
      <c r="K1296" s="6" t="s">
        <v>3409</v>
      </c>
      <c r="L1296" s="6" t="s">
        <v>1371</v>
      </c>
      <c r="N1296" s="6" t="s">
        <v>1371</v>
      </c>
      <c r="O1296" s="29">
        <v>0</v>
      </c>
    </row>
    <row r="1297" s="1" customFormat="1" ht="16.35" hidden="1" customHeight="1" spans="1:15">
      <c r="A1297" s="5"/>
      <c r="B1297" s="6" t="s">
        <v>2906</v>
      </c>
      <c r="C1297" s="6">
        <v>2019</v>
      </c>
      <c r="D1297" s="6">
        <v>12</v>
      </c>
      <c r="E1297" s="7">
        <v>38</v>
      </c>
      <c r="F1297" s="6" t="s">
        <v>4121</v>
      </c>
      <c r="G1297" s="6" t="s">
        <v>2908</v>
      </c>
      <c r="H1297" s="6" t="s">
        <v>2909</v>
      </c>
      <c r="I1297" s="8">
        <v>184040</v>
      </c>
      <c r="J1297" s="8"/>
      <c r="K1297" s="6" t="s">
        <v>3411</v>
      </c>
      <c r="L1297" s="6" t="s">
        <v>1389</v>
      </c>
      <c r="N1297" s="6" t="s">
        <v>1389</v>
      </c>
      <c r="O1297" s="29">
        <v>0</v>
      </c>
    </row>
    <row r="1298" s="1" customFormat="1" ht="16.35" hidden="1" customHeight="1" spans="1:15">
      <c r="A1298" s="5"/>
      <c r="B1298" s="6" t="s">
        <v>2906</v>
      </c>
      <c r="C1298" s="6">
        <v>2019</v>
      </c>
      <c r="D1298" s="6">
        <v>12</v>
      </c>
      <c r="E1298" s="7">
        <v>38</v>
      </c>
      <c r="F1298" s="6" t="s">
        <v>4121</v>
      </c>
      <c r="G1298" s="6" t="s">
        <v>2908</v>
      </c>
      <c r="H1298" s="6" t="s">
        <v>2909</v>
      </c>
      <c r="I1298" s="8">
        <v>197707</v>
      </c>
      <c r="J1298" s="8"/>
      <c r="K1298" s="6" t="s">
        <v>3418</v>
      </c>
      <c r="L1298" s="6" t="s">
        <v>1277</v>
      </c>
      <c r="N1298" s="6" t="s">
        <v>1277</v>
      </c>
      <c r="O1298" s="29">
        <v>0</v>
      </c>
    </row>
    <row r="1299" s="1" customFormat="1" ht="16.35" hidden="1" customHeight="1" spans="1:15">
      <c r="A1299" s="5"/>
      <c r="B1299" s="6" t="s">
        <v>2906</v>
      </c>
      <c r="C1299" s="6">
        <v>2019</v>
      </c>
      <c r="D1299" s="6">
        <v>12</v>
      </c>
      <c r="E1299" s="7">
        <v>38</v>
      </c>
      <c r="F1299" s="6" t="s">
        <v>4121</v>
      </c>
      <c r="G1299" s="6" t="s">
        <v>2908</v>
      </c>
      <c r="H1299" s="6" t="s">
        <v>2909</v>
      </c>
      <c r="I1299" s="8">
        <v>185114</v>
      </c>
      <c r="J1299" s="8"/>
      <c r="K1299" s="6" t="s">
        <v>3420</v>
      </c>
      <c r="L1299" s="6" t="s">
        <v>1280</v>
      </c>
      <c r="N1299" s="6" t="s">
        <v>1280</v>
      </c>
      <c r="O1299" s="29">
        <v>0</v>
      </c>
    </row>
    <row r="1300" s="1" customFormat="1" ht="16.35" hidden="1" customHeight="1" spans="1:15">
      <c r="A1300" s="5"/>
      <c r="B1300" s="6" t="s">
        <v>2906</v>
      </c>
      <c r="C1300" s="6">
        <v>2019</v>
      </c>
      <c r="D1300" s="6">
        <v>12</v>
      </c>
      <c r="E1300" s="7">
        <v>38</v>
      </c>
      <c r="F1300" s="6" t="s">
        <v>4121</v>
      </c>
      <c r="G1300" s="6" t="s">
        <v>2908</v>
      </c>
      <c r="H1300" s="6" t="s">
        <v>2909</v>
      </c>
      <c r="I1300" s="8">
        <v>172082</v>
      </c>
      <c r="J1300" s="8"/>
      <c r="K1300" s="6" t="s">
        <v>3422</v>
      </c>
      <c r="L1300" s="6" t="s">
        <v>993</v>
      </c>
      <c r="N1300" s="6" t="s">
        <v>993</v>
      </c>
      <c r="O1300" s="29">
        <v>0</v>
      </c>
    </row>
    <row r="1301" s="1" customFormat="1" ht="16.35" hidden="1" customHeight="1" spans="1:15">
      <c r="A1301" s="5"/>
      <c r="B1301" s="6" t="s">
        <v>2906</v>
      </c>
      <c r="C1301" s="6">
        <v>2019</v>
      </c>
      <c r="D1301" s="6">
        <v>12</v>
      </c>
      <c r="E1301" s="7">
        <v>38</v>
      </c>
      <c r="F1301" s="6" t="s">
        <v>4121</v>
      </c>
      <c r="G1301" s="6" t="s">
        <v>2908</v>
      </c>
      <c r="H1301" s="6" t="s">
        <v>2909</v>
      </c>
      <c r="I1301" s="8">
        <v>171307</v>
      </c>
      <c r="J1301" s="8"/>
      <c r="K1301" s="6" t="s">
        <v>3427</v>
      </c>
      <c r="L1301" s="6" t="s">
        <v>1043</v>
      </c>
      <c r="N1301" s="6" t="s">
        <v>1043</v>
      </c>
      <c r="O1301" s="29">
        <v>0</v>
      </c>
    </row>
    <row r="1302" s="1" customFormat="1" ht="16.35" hidden="1" customHeight="1" spans="1:15">
      <c r="A1302" s="5"/>
      <c r="B1302" s="6" t="s">
        <v>2906</v>
      </c>
      <c r="C1302" s="6">
        <v>2019</v>
      </c>
      <c r="D1302" s="6">
        <v>12</v>
      </c>
      <c r="E1302" s="7">
        <v>38</v>
      </c>
      <c r="F1302" s="6" t="s">
        <v>4121</v>
      </c>
      <c r="G1302" s="6" t="s">
        <v>2908</v>
      </c>
      <c r="H1302" s="6" t="s">
        <v>2909</v>
      </c>
      <c r="I1302" s="8">
        <v>206991</v>
      </c>
      <c r="J1302" s="8"/>
      <c r="K1302" s="6" t="s">
        <v>3429</v>
      </c>
      <c r="L1302" s="6" t="s">
        <v>1271</v>
      </c>
      <c r="N1302" s="6" t="s">
        <v>1271</v>
      </c>
      <c r="O1302" s="29">
        <v>0</v>
      </c>
    </row>
    <row r="1303" s="1" customFormat="1" ht="16.35" hidden="1" customHeight="1" spans="1:15">
      <c r="A1303" s="5"/>
      <c r="B1303" s="6" t="s">
        <v>2906</v>
      </c>
      <c r="C1303" s="6">
        <v>2019</v>
      </c>
      <c r="D1303" s="6">
        <v>12</v>
      </c>
      <c r="E1303" s="7">
        <v>38</v>
      </c>
      <c r="F1303" s="6" t="s">
        <v>4121</v>
      </c>
      <c r="G1303" s="6" t="s">
        <v>2908</v>
      </c>
      <c r="H1303" s="6" t="s">
        <v>2909</v>
      </c>
      <c r="I1303" s="8">
        <v>179733</v>
      </c>
      <c r="J1303" s="8"/>
      <c r="K1303" s="6" t="s">
        <v>3431</v>
      </c>
      <c r="L1303" s="6" t="s">
        <v>1282</v>
      </c>
      <c r="N1303" s="6" t="s">
        <v>1282</v>
      </c>
      <c r="O1303" s="29">
        <v>0</v>
      </c>
    </row>
    <row r="1304" s="1" customFormat="1" ht="16.35" hidden="1" customHeight="1" spans="1:15">
      <c r="A1304" s="5"/>
      <c r="B1304" s="6" t="s">
        <v>2906</v>
      </c>
      <c r="C1304" s="6">
        <v>2019</v>
      </c>
      <c r="D1304" s="6">
        <v>12</v>
      </c>
      <c r="E1304" s="7">
        <v>38</v>
      </c>
      <c r="F1304" s="6" t="s">
        <v>4121</v>
      </c>
      <c r="G1304" s="6" t="s">
        <v>2908</v>
      </c>
      <c r="H1304" s="6" t="s">
        <v>2909</v>
      </c>
      <c r="I1304" s="8">
        <v>195548</v>
      </c>
      <c r="J1304" s="8"/>
      <c r="K1304" s="6" t="s">
        <v>3437</v>
      </c>
      <c r="L1304" s="6" t="s">
        <v>1059</v>
      </c>
      <c r="N1304" s="6" t="s">
        <v>1059</v>
      </c>
      <c r="O1304" s="29">
        <v>0</v>
      </c>
    </row>
    <row r="1305" s="1" customFormat="1" ht="16.35" hidden="1" customHeight="1" spans="1:15">
      <c r="A1305" s="5"/>
      <c r="B1305" s="6" t="s">
        <v>2906</v>
      </c>
      <c r="C1305" s="6">
        <v>2019</v>
      </c>
      <c r="D1305" s="6">
        <v>12</v>
      </c>
      <c r="E1305" s="7">
        <v>38</v>
      </c>
      <c r="F1305" s="6" t="s">
        <v>4121</v>
      </c>
      <c r="G1305" s="6" t="s">
        <v>2908</v>
      </c>
      <c r="H1305" s="6" t="s">
        <v>2909</v>
      </c>
      <c r="I1305" s="8">
        <v>194666</v>
      </c>
      <c r="J1305" s="8"/>
      <c r="K1305" s="6" t="s">
        <v>3445</v>
      </c>
      <c r="L1305" s="6" t="s">
        <v>1011</v>
      </c>
      <c r="N1305" s="6" t="s">
        <v>1011</v>
      </c>
      <c r="O1305" s="29">
        <v>0</v>
      </c>
    </row>
    <row r="1306" s="1" customFormat="1" ht="16.35" hidden="1" customHeight="1" spans="1:15">
      <c r="A1306" s="5"/>
      <c r="B1306" s="6" t="s">
        <v>2906</v>
      </c>
      <c r="C1306" s="6">
        <v>2019</v>
      </c>
      <c r="D1306" s="6">
        <v>12</v>
      </c>
      <c r="E1306" s="7">
        <v>38</v>
      </c>
      <c r="F1306" s="6" t="s">
        <v>4121</v>
      </c>
      <c r="G1306" s="6" t="s">
        <v>2908</v>
      </c>
      <c r="H1306" s="6" t="s">
        <v>2909</v>
      </c>
      <c r="I1306" s="8">
        <v>214881</v>
      </c>
      <c r="J1306" s="8"/>
      <c r="K1306" s="6" t="s">
        <v>3448</v>
      </c>
      <c r="L1306" s="6" t="s">
        <v>1529</v>
      </c>
      <c r="N1306" s="6" t="s">
        <v>1529</v>
      </c>
      <c r="O1306" s="29">
        <v>0</v>
      </c>
    </row>
    <row r="1307" s="1" customFormat="1" ht="16.35" hidden="1" customHeight="1" spans="1:16">
      <c r="A1307" s="5"/>
      <c r="B1307" s="6" t="s">
        <v>2906</v>
      </c>
      <c r="C1307" s="6">
        <v>2019</v>
      </c>
      <c r="D1307" s="6">
        <v>12</v>
      </c>
      <c r="E1307" s="7">
        <v>38</v>
      </c>
      <c r="F1307" s="6" t="s">
        <v>4121</v>
      </c>
      <c r="G1307" s="6" t="s">
        <v>2908</v>
      </c>
      <c r="H1307" s="6" t="s">
        <v>2909</v>
      </c>
      <c r="I1307" s="8">
        <v>113809</v>
      </c>
      <c r="J1307" s="8"/>
      <c r="K1307" s="6" t="s">
        <v>3458</v>
      </c>
      <c r="L1307" s="6" t="s">
        <v>1609</v>
      </c>
      <c r="N1307" s="6" t="s">
        <v>1609</v>
      </c>
      <c r="O1307" s="29">
        <v>0</v>
      </c>
      <c r="P1307" s="1">
        <f>O1307-J1307</f>
        <v>0</v>
      </c>
    </row>
    <row r="1308" s="1" customFormat="1" ht="16.35" hidden="1" customHeight="1" spans="1:15">
      <c r="A1308" s="5"/>
      <c r="B1308" s="6" t="s">
        <v>2906</v>
      </c>
      <c r="C1308" s="6">
        <v>2019</v>
      </c>
      <c r="D1308" s="6">
        <v>12</v>
      </c>
      <c r="E1308" s="7">
        <v>38</v>
      </c>
      <c r="F1308" s="6" t="s">
        <v>4121</v>
      </c>
      <c r="G1308" s="6" t="s">
        <v>2908</v>
      </c>
      <c r="H1308" s="6" t="s">
        <v>2909</v>
      </c>
      <c r="I1308" s="8">
        <v>194666</v>
      </c>
      <c r="J1308" s="8"/>
      <c r="K1308" s="6" t="s">
        <v>3460</v>
      </c>
      <c r="L1308" s="6" t="s">
        <v>1009</v>
      </c>
      <c r="N1308" s="6" t="s">
        <v>1009</v>
      </c>
      <c r="O1308" s="29">
        <v>0</v>
      </c>
    </row>
    <row r="1309" s="1" customFormat="1" ht="16.35" hidden="1" customHeight="1" spans="1:15">
      <c r="A1309" s="5"/>
      <c r="B1309" s="6" t="s">
        <v>2906</v>
      </c>
      <c r="C1309" s="6">
        <v>2019</v>
      </c>
      <c r="D1309" s="6">
        <v>12</v>
      </c>
      <c r="E1309" s="7">
        <v>38</v>
      </c>
      <c r="F1309" s="6" t="s">
        <v>4121</v>
      </c>
      <c r="G1309" s="6" t="s">
        <v>2908</v>
      </c>
      <c r="H1309" s="6" t="s">
        <v>2909</v>
      </c>
      <c r="I1309" s="8">
        <v>150533</v>
      </c>
      <c r="J1309" s="8"/>
      <c r="K1309" s="6" t="s">
        <v>3462</v>
      </c>
      <c r="L1309" s="6" t="s">
        <v>1440</v>
      </c>
      <c r="N1309" s="6" t="s">
        <v>1440</v>
      </c>
      <c r="O1309" s="29">
        <v>0</v>
      </c>
    </row>
    <row r="1310" s="1" customFormat="1" ht="16.35" hidden="1" customHeight="1" spans="1:15">
      <c r="A1310" s="5"/>
      <c r="B1310" s="6" t="s">
        <v>2906</v>
      </c>
      <c r="C1310" s="6">
        <v>2019</v>
      </c>
      <c r="D1310" s="6">
        <v>12</v>
      </c>
      <c r="E1310" s="7">
        <v>38</v>
      </c>
      <c r="F1310" s="6" t="s">
        <v>4121</v>
      </c>
      <c r="G1310" s="6" t="s">
        <v>2908</v>
      </c>
      <c r="H1310" s="6" t="s">
        <v>2909</v>
      </c>
      <c r="I1310" s="8">
        <v>150533</v>
      </c>
      <c r="J1310" s="8"/>
      <c r="K1310" s="6" t="s">
        <v>3468</v>
      </c>
      <c r="L1310" s="6" t="s">
        <v>1458</v>
      </c>
      <c r="N1310" s="6" t="s">
        <v>1458</v>
      </c>
      <c r="O1310" s="29">
        <v>0</v>
      </c>
    </row>
    <row r="1311" s="1" customFormat="1" ht="16.35" hidden="1" customHeight="1" spans="1:15">
      <c r="A1311" s="5"/>
      <c r="B1311" s="6" t="s">
        <v>2906</v>
      </c>
      <c r="C1311" s="6">
        <v>2019</v>
      </c>
      <c r="D1311" s="6">
        <v>12</v>
      </c>
      <c r="E1311" s="7">
        <v>38</v>
      </c>
      <c r="F1311" s="6" t="s">
        <v>4121</v>
      </c>
      <c r="G1311" s="6" t="s">
        <v>2908</v>
      </c>
      <c r="H1311" s="6" t="s">
        <v>2909</v>
      </c>
      <c r="I1311" s="8">
        <v>215848</v>
      </c>
      <c r="J1311" s="8"/>
      <c r="K1311" s="6" t="s">
        <v>3471</v>
      </c>
      <c r="L1311" s="6" t="s">
        <v>1341</v>
      </c>
      <c r="N1311" s="6" t="s">
        <v>1341</v>
      </c>
      <c r="O1311" s="29">
        <v>0</v>
      </c>
    </row>
    <row r="1312" s="1" customFormat="1" ht="16.35" hidden="1" customHeight="1" spans="1:15">
      <c r="A1312" s="5"/>
      <c r="B1312" s="6" t="s">
        <v>2906</v>
      </c>
      <c r="C1312" s="6">
        <v>2019</v>
      </c>
      <c r="D1312" s="6">
        <v>12</v>
      </c>
      <c r="E1312" s="7">
        <v>38</v>
      </c>
      <c r="F1312" s="6" t="s">
        <v>4121</v>
      </c>
      <c r="G1312" s="6" t="s">
        <v>2908</v>
      </c>
      <c r="H1312" s="6" t="s">
        <v>2909</v>
      </c>
      <c r="I1312" s="8">
        <v>191553</v>
      </c>
      <c r="J1312" s="8"/>
      <c r="K1312" s="6" t="s">
        <v>3473</v>
      </c>
      <c r="L1312" s="6" t="s">
        <v>987</v>
      </c>
      <c r="N1312" s="6" t="s">
        <v>987</v>
      </c>
      <c r="O1312" s="29">
        <v>0</v>
      </c>
    </row>
    <row r="1313" s="1" customFormat="1" ht="16.35" hidden="1" customHeight="1" spans="1:15">
      <c r="A1313" s="5"/>
      <c r="B1313" s="6" t="s">
        <v>2906</v>
      </c>
      <c r="C1313" s="6">
        <v>2019</v>
      </c>
      <c r="D1313" s="6">
        <v>12</v>
      </c>
      <c r="E1313" s="7">
        <v>38</v>
      </c>
      <c r="F1313" s="6" t="s">
        <v>4121</v>
      </c>
      <c r="G1313" s="6" t="s">
        <v>2908</v>
      </c>
      <c r="H1313" s="6" t="s">
        <v>2909</v>
      </c>
      <c r="I1313" s="8">
        <v>185219</v>
      </c>
      <c r="J1313" s="8"/>
      <c r="K1313" s="6" t="s">
        <v>3475</v>
      </c>
      <c r="L1313" s="6" t="s">
        <v>1448</v>
      </c>
      <c r="N1313" s="6" t="s">
        <v>1448</v>
      </c>
      <c r="O1313" s="29">
        <v>0</v>
      </c>
    </row>
    <row r="1314" s="1" customFormat="1" ht="16.35" hidden="1" customHeight="1" spans="1:15">
      <c r="A1314" s="5"/>
      <c r="B1314" s="6" t="s">
        <v>2906</v>
      </c>
      <c r="C1314" s="6">
        <v>2019</v>
      </c>
      <c r="D1314" s="6">
        <v>12</v>
      </c>
      <c r="E1314" s="7">
        <v>38</v>
      </c>
      <c r="F1314" s="6" t="s">
        <v>4121</v>
      </c>
      <c r="G1314" s="6" t="s">
        <v>2908</v>
      </c>
      <c r="H1314" s="6" t="s">
        <v>2909</v>
      </c>
      <c r="I1314" s="8">
        <v>185219</v>
      </c>
      <c r="J1314" s="8"/>
      <c r="K1314" s="6" t="s">
        <v>3477</v>
      </c>
      <c r="L1314" s="6" t="s">
        <v>1450</v>
      </c>
      <c r="N1314" s="6" t="s">
        <v>1450</v>
      </c>
      <c r="O1314" s="29">
        <v>0</v>
      </c>
    </row>
    <row r="1315" s="1" customFormat="1" ht="16.35" hidden="1" customHeight="1" spans="1:15">
      <c r="A1315" s="5"/>
      <c r="B1315" s="6" t="s">
        <v>2906</v>
      </c>
      <c r="C1315" s="6">
        <v>2019</v>
      </c>
      <c r="D1315" s="6">
        <v>12</v>
      </c>
      <c r="E1315" s="7">
        <v>38</v>
      </c>
      <c r="F1315" s="6" t="s">
        <v>4121</v>
      </c>
      <c r="G1315" s="6" t="s">
        <v>2908</v>
      </c>
      <c r="H1315" s="6" t="s">
        <v>2909</v>
      </c>
      <c r="I1315" s="8">
        <v>150532</v>
      </c>
      <c r="J1315" s="8"/>
      <c r="K1315" s="6" t="s">
        <v>3481</v>
      </c>
      <c r="L1315" s="6" t="s">
        <v>1456</v>
      </c>
      <c r="N1315" s="6" t="s">
        <v>1456</v>
      </c>
      <c r="O1315" s="29">
        <v>0</v>
      </c>
    </row>
    <row r="1316" s="1" customFormat="1" ht="16.35" hidden="1" customHeight="1" spans="1:15">
      <c r="A1316" s="5"/>
      <c r="B1316" s="6" t="s">
        <v>2906</v>
      </c>
      <c r="C1316" s="6">
        <v>2019</v>
      </c>
      <c r="D1316" s="6">
        <v>12</v>
      </c>
      <c r="E1316" s="7">
        <v>38</v>
      </c>
      <c r="F1316" s="6" t="s">
        <v>4121</v>
      </c>
      <c r="G1316" s="6" t="s">
        <v>2908</v>
      </c>
      <c r="H1316" s="6" t="s">
        <v>2909</v>
      </c>
      <c r="I1316" s="8">
        <v>207109</v>
      </c>
      <c r="J1316" s="8"/>
      <c r="K1316" s="6" t="s">
        <v>3483</v>
      </c>
      <c r="L1316" s="6" t="s">
        <v>1363</v>
      </c>
      <c r="N1316" s="6" t="s">
        <v>1363</v>
      </c>
      <c r="O1316" s="29">
        <v>0</v>
      </c>
    </row>
    <row r="1317" s="1" customFormat="1" ht="16.35" hidden="1" customHeight="1" spans="1:15">
      <c r="A1317" s="5"/>
      <c r="B1317" s="6" t="s">
        <v>2906</v>
      </c>
      <c r="C1317" s="6">
        <v>2019</v>
      </c>
      <c r="D1317" s="6">
        <v>12</v>
      </c>
      <c r="E1317" s="7">
        <v>38</v>
      </c>
      <c r="F1317" s="6" t="s">
        <v>4121</v>
      </c>
      <c r="G1317" s="6" t="s">
        <v>2908</v>
      </c>
      <c r="H1317" s="6" t="s">
        <v>2909</v>
      </c>
      <c r="I1317" s="8">
        <v>195573.3</v>
      </c>
      <c r="J1317" s="8"/>
      <c r="K1317" s="6" t="s">
        <v>3485</v>
      </c>
      <c r="L1317" s="6" t="s">
        <v>1055</v>
      </c>
      <c r="N1317" s="6" t="s">
        <v>1055</v>
      </c>
      <c r="O1317" s="29">
        <v>0</v>
      </c>
    </row>
    <row r="1318" s="1" customFormat="1" ht="16.35" hidden="1" customHeight="1" spans="1:15">
      <c r="A1318" s="5"/>
      <c r="B1318" s="6" t="s">
        <v>2906</v>
      </c>
      <c r="C1318" s="6">
        <v>2019</v>
      </c>
      <c r="D1318" s="6">
        <v>12</v>
      </c>
      <c r="E1318" s="7">
        <v>38</v>
      </c>
      <c r="F1318" s="6" t="s">
        <v>4121</v>
      </c>
      <c r="G1318" s="6" t="s">
        <v>2908</v>
      </c>
      <c r="H1318" s="6" t="s">
        <v>2909</v>
      </c>
      <c r="I1318" s="8">
        <v>215707</v>
      </c>
      <c r="J1318" s="8"/>
      <c r="K1318" s="6" t="s">
        <v>3487</v>
      </c>
      <c r="L1318" s="6" t="s">
        <v>1304</v>
      </c>
      <c r="N1318" s="6" t="s">
        <v>1304</v>
      </c>
      <c r="O1318" s="29">
        <v>0</v>
      </c>
    </row>
    <row r="1319" s="1" customFormat="1" ht="16.35" hidden="1" customHeight="1" spans="1:15">
      <c r="A1319" s="5"/>
      <c r="B1319" s="6" t="s">
        <v>2906</v>
      </c>
      <c r="C1319" s="6">
        <v>2019</v>
      </c>
      <c r="D1319" s="6">
        <v>12</v>
      </c>
      <c r="E1319" s="7">
        <v>38</v>
      </c>
      <c r="F1319" s="6" t="s">
        <v>4121</v>
      </c>
      <c r="G1319" s="6" t="s">
        <v>2908</v>
      </c>
      <c r="H1319" s="6" t="s">
        <v>2909</v>
      </c>
      <c r="I1319" s="8">
        <v>5675</v>
      </c>
      <c r="J1319" s="8"/>
      <c r="K1319" s="6" t="s">
        <v>3489</v>
      </c>
      <c r="L1319" s="6" t="s">
        <v>1436</v>
      </c>
      <c r="N1319" s="6" t="s">
        <v>1436</v>
      </c>
      <c r="O1319" s="29">
        <v>0</v>
      </c>
    </row>
    <row r="1320" s="1" customFormat="1" ht="16.35" hidden="1" customHeight="1" spans="1:15">
      <c r="A1320" s="5"/>
      <c r="B1320" s="6" t="s">
        <v>2906</v>
      </c>
      <c r="C1320" s="6">
        <v>2019</v>
      </c>
      <c r="D1320" s="6">
        <v>12</v>
      </c>
      <c r="E1320" s="7">
        <v>38</v>
      </c>
      <c r="F1320" s="6" t="s">
        <v>4121</v>
      </c>
      <c r="G1320" s="6" t="s">
        <v>2908</v>
      </c>
      <c r="H1320" s="6" t="s">
        <v>2909</v>
      </c>
      <c r="I1320" s="8">
        <v>210459</v>
      </c>
      <c r="J1320" s="8"/>
      <c r="K1320" s="6" t="s">
        <v>3491</v>
      </c>
      <c r="L1320" s="6" t="s">
        <v>1551</v>
      </c>
      <c r="N1320" s="6" t="s">
        <v>1551</v>
      </c>
      <c r="O1320" s="29">
        <v>0</v>
      </c>
    </row>
    <row r="1321" s="1" customFormat="1" ht="16.35" hidden="1" customHeight="1" spans="1:15">
      <c r="A1321" s="5"/>
      <c r="B1321" s="6" t="s">
        <v>2906</v>
      </c>
      <c r="C1321" s="6">
        <v>2019</v>
      </c>
      <c r="D1321" s="6">
        <v>12</v>
      </c>
      <c r="E1321" s="7">
        <v>38</v>
      </c>
      <c r="F1321" s="6" t="s">
        <v>4121</v>
      </c>
      <c r="G1321" s="6" t="s">
        <v>2908</v>
      </c>
      <c r="H1321" s="6" t="s">
        <v>2909</v>
      </c>
      <c r="I1321" s="8">
        <v>215706</v>
      </c>
      <c r="J1321" s="8"/>
      <c r="K1321" s="6" t="s">
        <v>3494</v>
      </c>
      <c r="L1321" s="6" t="s">
        <v>1269</v>
      </c>
      <c r="N1321" s="6" t="s">
        <v>1269</v>
      </c>
      <c r="O1321" s="29">
        <v>0</v>
      </c>
    </row>
    <row r="1322" s="1" customFormat="1" ht="16.35" hidden="1" customHeight="1" spans="1:15">
      <c r="A1322" s="5"/>
      <c r="B1322" s="6" t="s">
        <v>2906</v>
      </c>
      <c r="C1322" s="6">
        <v>2019</v>
      </c>
      <c r="D1322" s="6">
        <v>12</v>
      </c>
      <c r="E1322" s="7">
        <v>38</v>
      </c>
      <c r="F1322" s="6" t="s">
        <v>4121</v>
      </c>
      <c r="G1322" s="6" t="s">
        <v>2908</v>
      </c>
      <c r="H1322" s="6" t="s">
        <v>2909</v>
      </c>
      <c r="I1322" s="8">
        <v>235104</v>
      </c>
      <c r="J1322" s="8"/>
      <c r="K1322" s="6" t="s">
        <v>3496</v>
      </c>
      <c r="L1322" s="6" t="s">
        <v>1476</v>
      </c>
      <c r="N1322" s="6" t="s">
        <v>1476</v>
      </c>
      <c r="O1322" s="29">
        <v>0</v>
      </c>
    </row>
    <row r="1323" s="1" customFormat="1" ht="16.35" hidden="1" customHeight="1" spans="1:15">
      <c r="A1323" s="5"/>
      <c r="B1323" s="6" t="s">
        <v>2906</v>
      </c>
      <c r="C1323" s="6">
        <v>2019</v>
      </c>
      <c r="D1323" s="6">
        <v>12</v>
      </c>
      <c r="E1323" s="7">
        <v>38</v>
      </c>
      <c r="F1323" s="6" t="s">
        <v>4121</v>
      </c>
      <c r="G1323" s="6" t="s">
        <v>2908</v>
      </c>
      <c r="H1323" s="6" t="s">
        <v>2909</v>
      </c>
      <c r="I1323" s="8">
        <v>191552</v>
      </c>
      <c r="J1323" s="8"/>
      <c r="K1323" s="6" t="s">
        <v>3498</v>
      </c>
      <c r="L1323" s="6" t="s">
        <v>1061</v>
      </c>
      <c r="N1323" s="6" t="s">
        <v>1061</v>
      </c>
      <c r="O1323" s="29">
        <v>0</v>
      </c>
    </row>
    <row r="1324" s="1" customFormat="1" ht="16.35" hidden="1" customHeight="1" spans="1:15">
      <c r="A1324" s="5"/>
      <c r="B1324" s="6" t="s">
        <v>2906</v>
      </c>
      <c r="C1324" s="6">
        <v>2019</v>
      </c>
      <c r="D1324" s="6">
        <v>12</v>
      </c>
      <c r="E1324" s="7">
        <v>38</v>
      </c>
      <c r="F1324" s="6" t="s">
        <v>4121</v>
      </c>
      <c r="G1324" s="6" t="s">
        <v>2908</v>
      </c>
      <c r="H1324" s="6" t="s">
        <v>2909</v>
      </c>
      <c r="I1324" s="8">
        <v>210476</v>
      </c>
      <c r="J1324" s="8"/>
      <c r="K1324" s="6" t="s">
        <v>3501</v>
      </c>
      <c r="L1324" s="6" t="s">
        <v>1425</v>
      </c>
      <c r="N1324" s="6" t="s">
        <v>1425</v>
      </c>
      <c r="O1324" s="29">
        <v>0</v>
      </c>
    </row>
    <row r="1325" s="1" customFormat="1" ht="16.35" hidden="1" customHeight="1" spans="1:15">
      <c r="A1325" s="5"/>
      <c r="B1325" s="6" t="s">
        <v>2906</v>
      </c>
      <c r="C1325" s="6">
        <v>2019</v>
      </c>
      <c r="D1325" s="6">
        <v>12</v>
      </c>
      <c r="E1325" s="7">
        <v>38</v>
      </c>
      <c r="F1325" s="6" t="s">
        <v>4121</v>
      </c>
      <c r="G1325" s="6" t="s">
        <v>2908</v>
      </c>
      <c r="H1325" s="6" t="s">
        <v>2909</v>
      </c>
      <c r="I1325" s="8">
        <v>207109</v>
      </c>
      <c r="J1325" s="8"/>
      <c r="K1325" s="6" t="s">
        <v>3503</v>
      </c>
      <c r="L1325" s="6" t="s">
        <v>1361</v>
      </c>
      <c r="N1325" s="6" t="s">
        <v>1361</v>
      </c>
      <c r="O1325" s="29">
        <v>0</v>
      </c>
    </row>
    <row r="1326" s="1" customFormat="1" ht="16.35" hidden="1" customHeight="1" spans="1:15">
      <c r="A1326" s="5"/>
      <c r="B1326" s="6" t="s">
        <v>2906</v>
      </c>
      <c r="C1326" s="6">
        <v>2019</v>
      </c>
      <c r="D1326" s="6">
        <v>12</v>
      </c>
      <c r="E1326" s="7">
        <v>38</v>
      </c>
      <c r="F1326" s="6" t="s">
        <v>4121</v>
      </c>
      <c r="G1326" s="6" t="s">
        <v>2908</v>
      </c>
      <c r="H1326" s="6" t="s">
        <v>2909</v>
      </c>
      <c r="I1326" s="8">
        <v>168381</v>
      </c>
      <c r="J1326" s="8"/>
      <c r="K1326" s="6" t="s">
        <v>3505</v>
      </c>
      <c r="L1326" s="6" t="s">
        <v>1454</v>
      </c>
      <c r="N1326" s="6" t="s">
        <v>1454</v>
      </c>
      <c r="O1326" s="29">
        <v>0</v>
      </c>
    </row>
    <row r="1327" s="1" customFormat="1" ht="16.35" hidden="1" customHeight="1" spans="1:15">
      <c r="A1327" s="5"/>
      <c r="B1327" s="6" t="s">
        <v>2906</v>
      </c>
      <c r="C1327" s="6">
        <v>2019</v>
      </c>
      <c r="D1327" s="6">
        <v>12</v>
      </c>
      <c r="E1327" s="7">
        <v>38</v>
      </c>
      <c r="F1327" s="6" t="s">
        <v>4121</v>
      </c>
      <c r="G1327" s="6" t="s">
        <v>2908</v>
      </c>
      <c r="H1327" s="6" t="s">
        <v>2909</v>
      </c>
      <c r="I1327" s="8">
        <v>185219</v>
      </c>
      <c r="J1327" s="8"/>
      <c r="K1327" s="6" t="s">
        <v>3507</v>
      </c>
      <c r="L1327" s="6" t="s">
        <v>1432</v>
      </c>
      <c r="N1327" s="6" t="s">
        <v>1432</v>
      </c>
      <c r="O1327" s="29">
        <v>0</v>
      </c>
    </row>
    <row r="1328" s="1" customFormat="1" ht="16.35" hidden="1" customHeight="1" spans="1:15">
      <c r="A1328" s="5"/>
      <c r="B1328" s="6" t="s">
        <v>2906</v>
      </c>
      <c r="C1328" s="6">
        <v>2019</v>
      </c>
      <c r="D1328" s="6">
        <v>12</v>
      </c>
      <c r="E1328" s="7">
        <v>38</v>
      </c>
      <c r="F1328" s="6" t="s">
        <v>4121</v>
      </c>
      <c r="G1328" s="6" t="s">
        <v>2908</v>
      </c>
      <c r="H1328" s="6" t="s">
        <v>2909</v>
      </c>
      <c r="I1328" s="8">
        <v>194666</v>
      </c>
      <c r="J1328" s="8"/>
      <c r="K1328" s="6" t="s">
        <v>3509</v>
      </c>
      <c r="L1328" s="6" t="s">
        <v>1053</v>
      </c>
      <c r="N1328" s="6" t="s">
        <v>1053</v>
      </c>
      <c r="O1328" s="29">
        <v>0</v>
      </c>
    </row>
    <row r="1329" s="1" customFormat="1" ht="16.35" hidden="1" customHeight="1" spans="1:15">
      <c r="A1329" s="5"/>
      <c r="B1329" s="6" t="s">
        <v>2906</v>
      </c>
      <c r="C1329" s="6">
        <v>2019</v>
      </c>
      <c r="D1329" s="6">
        <v>12</v>
      </c>
      <c r="E1329" s="7">
        <v>38</v>
      </c>
      <c r="F1329" s="6" t="s">
        <v>4121</v>
      </c>
      <c r="G1329" s="6" t="s">
        <v>2908</v>
      </c>
      <c r="H1329" s="6" t="s">
        <v>2909</v>
      </c>
      <c r="I1329" s="8">
        <v>215476</v>
      </c>
      <c r="J1329" s="8"/>
      <c r="K1329" s="6" t="s">
        <v>3513</v>
      </c>
      <c r="L1329" s="6" t="s">
        <v>1485</v>
      </c>
      <c r="N1329" s="6" t="s">
        <v>1485</v>
      </c>
      <c r="O1329" s="29">
        <v>0</v>
      </c>
    </row>
    <row r="1330" s="1" customFormat="1" ht="16.35" hidden="1" customHeight="1" spans="1:15">
      <c r="A1330" s="5"/>
      <c r="B1330" s="6" t="s">
        <v>2906</v>
      </c>
      <c r="C1330" s="6">
        <v>2019</v>
      </c>
      <c r="D1330" s="6">
        <v>12</v>
      </c>
      <c r="E1330" s="7">
        <v>38</v>
      </c>
      <c r="F1330" s="6" t="s">
        <v>4121</v>
      </c>
      <c r="G1330" s="6" t="s">
        <v>2908</v>
      </c>
      <c r="H1330" s="6" t="s">
        <v>2909</v>
      </c>
      <c r="I1330" s="8">
        <v>168381</v>
      </c>
      <c r="J1330" s="8"/>
      <c r="K1330" s="6" t="s">
        <v>3516</v>
      </c>
      <c r="L1330" s="6" t="s">
        <v>1452</v>
      </c>
      <c r="N1330" s="6" t="s">
        <v>1452</v>
      </c>
      <c r="O1330" s="29">
        <v>0</v>
      </c>
    </row>
    <row r="1331" s="1" customFormat="1" ht="16.35" hidden="1" customHeight="1" spans="1:15">
      <c r="A1331" s="5"/>
      <c r="B1331" s="6" t="s">
        <v>2906</v>
      </c>
      <c r="C1331" s="6">
        <v>2019</v>
      </c>
      <c r="D1331" s="6">
        <v>12</v>
      </c>
      <c r="E1331" s="7">
        <v>38</v>
      </c>
      <c r="F1331" s="6" t="s">
        <v>4121</v>
      </c>
      <c r="G1331" s="6" t="s">
        <v>2908</v>
      </c>
      <c r="H1331" s="6" t="s">
        <v>2909</v>
      </c>
      <c r="I1331" s="8">
        <v>194666</v>
      </c>
      <c r="J1331" s="8"/>
      <c r="K1331" s="6" t="s">
        <v>3435</v>
      </c>
      <c r="L1331" s="6" t="s">
        <v>1057</v>
      </c>
      <c r="N1331" s="6" t="s">
        <v>1057</v>
      </c>
      <c r="O1331" s="29">
        <v>0</v>
      </c>
    </row>
    <row r="1332" s="1" customFormat="1" ht="16.35" hidden="1" customHeight="1" spans="1:15">
      <c r="A1332" s="5"/>
      <c r="B1332" s="6" t="s">
        <v>2906</v>
      </c>
      <c r="C1332" s="6">
        <v>2019</v>
      </c>
      <c r="D1332" s="6">
        <v>12</v>
      </c>
      <c r="E1332" s="7">
        <v>38</v>
      </c>
      <c r="F1332" s="6" t="s">
        <v>4121</v>
      </c>
      <c r="G1332" s="6" t="s">
        <v>2908</v>
      </c>
      <c r="H1332" s="6" t="s">
        <v>2909</v>
      </c>
      <c r="I1332" s="8">
        <v>276606</v>
      </c>
      <c r="J1332" s="8"/>
      <c r="K1332" s="6" t="s">
        <v>3520</v>
      </c>
      <c r="L1332" s="6" t="s">
        <v>1633</v>
      </c>
      <c r="N1332" s="6" t="s">
        <v>1633</v>
      </c>
      <c r="O1332" s="29">
        <v>0</v>
      </c>
    </row>
    <row r="1333" s="1" customFormat="1" ht="16.35" hidden="1" customHeight="1" spans="1:15">
      <c r="A1333" s="5"/>
      <c r="B1333" s="6" t="s">
        <v>2906</v>
      </c>
      <c r="C1333" s="6">
        <v>2019</v>
      </c>
      <c r="D1333" s="6">
        <v>12</v>
      </c>
      <c r="E1333" s="7">
        <v>38</v>
      </c>
      <c r="F1333" s="6" t="s">
        <v>4121</v>
      </c>
      <c r="G1333" s="6" t="s">
        <v>2908</v>
      </c>
      <c r="H1333" s="6" t="s">
        <v>2909</v>
      </c>
      <c r="I1333" s="8">
        <v>241209</v>
      </c>
      <c r="J1333" s="8"/>
      <c r="K1333" s="6" t="s">
        <v>3522</v>
      </c>
      <c r="L1333" s="6" t="s">
        <v>1621</v>
      </c>
      <c r="N1333" s="6" t="s">
        <v>1621</v>
      </c>
      <c r="O1333" s="29">
        <v>0</v>
      </c>
    </row>
    <row r="1334" s="1" customFormat="1" ht="16.35" hidden="1" customHeight="1" spans="1:15">
      <c r="A1334" s="5"/>
      <c r="B1334" s="6" t="s">
        <v>2906</v>
      </c>
      <c r="C1334" s="6">
        <v>2019</v>
      </c>
      <c r="D1334" s="6">
        <v>12</v>
      </c>
      <c r="E1334" s="7">
        <v>38</v>
      </c>
      <c r="F1334" s="6" t="s">
        <v>4121</v>
      </c>
      <c r="G1334" s="6" t="s">
        <v>2908</v>
      </c>
      <c r="H1334" s="6" t="s">
        <v>2909</v>
      </c>
      <c r="I1334" s="8">
        <v>207108</v>
      </c>
      <c r="J1334" s="8"/>
      <c r="K1334" s="6" t="s">
        <v>3525</v>
      </c>
      <c r="L1334" s="6" t="s">
        <v>1460</v>
      </c>
      <c r="N1334" s="6" t="s">
        <v>1460</v>
      </c>
      <c r="O1334" s="29">
        <v>0</v>
      </c>
    </row>
    <row r="1335" s="1" customFormat="1" ht="16.35" hidden="1" customHeight="1" spans="1:15">
      <c r="A1335" s="5"/>
      <c r="B1335" s="6" t="s">
        <v>2906</v>
      </c>
      <c r="C1335" s="6">
        <v>2019</v>
      </c>
      <c r="D1335" s="6">
        <v>12</v>
      </c>
      <c r="E1335" s="7">
        <v>38</v>
      </c>
      <c r="F1335" s="6" t="s">
        <v>4121</v>
      </c>
      <c r="G1335" s="6" t="s">
        <v>2908</v>
      </c>
      <c r="H1335" s="6" t="s">
        <v>2909</v>
      </c>
      <c r="I1335" s="8">
        <v>207109</v>
      </c>
      <c r="J1335" s="8"/>
      <c r="K1335" s="6" t="s">
        <v>3530</v>
      </c>
      <c r="L1335" s="6" t="s">
        <v>1381</v>
      </c>
      <c r="N1335" s="6" t="s">
        <v>1381</v>
      </c>
      <c r="O1335" s="29">
        <v>0</v>
      </c>
    </row>
    <row r="1336" s="1" customFormat="1" ht="16.35" hidden="1" customHeight="1" spans="1:15">
      <c r="A1336" s="5"/>
      <c r="B1336" s="6" t="s">
        <v>2906</v>
      </c>
      <c r="C1336" s="6">
        <v>2019</v>
      </c>
      <c r="D1336" s="6">
        <v>12</v>
      </c>
      <c r="E1336" s="7">
        <v>38</v>
      </c>
      <c r="F1336" s="6" t="s">
        <v>4121</v>
      </c>
      <c r="G1336" s="6" t="s">
        <v>2908</v>
      </c>
      <c r="H1336" s="6" t="s">
        <v>2909</v>
      </c>
      <c r="I1336" s="8">
        <v>189619</v>
      </c>
      <c r="J1336" s="8"/>
      <c r="K1336" s="6" t="s">
        <v>3537</v>
      </c>
      <c r="L1336" s="6" t="s">
        <v>1515</v>
      </c>
      <c r="N1336" s="6" t="s">
        <v>1515</v>
      </c>
      <c r="O1336" s="29">
        <v>0</v>
      </c>
    </row>
    <row r="1337" s="1" customFormat="1" ht="16.35" hidden="1" customHeight="1" spans="1:15">
      <c r="A1337" s="5"/>
      <c r="B1337" s="6" t="s">
        <v>2906</v>
      </c>
      <c r="C1337" s="6">
        <v>2019</v>
      </c>
      <c r="D1337" s="6">
        <v>12</v>
      </c>
      <c r="E1337" s="7">
        <v>38</v>
      </c>
      <c r="F1337" s="6" t="s">
        <v>4121</v>
      </c>
      <c r="G1337" s="6" t="s">
        <v>2908</v>
      </c>
      <c r="H1337" s="6" t="s">
        <v>2909</v>
      </c>
      <c r="I1337" s="8">
        <v>188739</v>
      </c>
      <c r="J1337" s="8"/>
      <c r="K1337" s="6" t="s">
        <v>3540</v>
      </c>
      <c r="L1337" s="6" t="s">
        <v>1513</v>
      </c>
      <c r="N1337" s="6" t="s">
        <v>1513</v>
      </c>
      <c r="O1337" s="29">
        <v>0</v>
      </c>
    </row>
    <row r="1338" s="1" customFormat="1" ht="16.35" hidden="1" customHeight="1" spans="1:15">
      <c r="A1338" s="5"/>
      <c r="B1338" s="6" t="s">
        <v>2906</v>
      </c>
      <c r="C1338" s="6">
        <v>2019</v>
      </c>
      <c r="D1338" s="6">
        <v>12</v>
      </c>
      <c r="E1338" s="7">
        <v>38</v>
      </c>
      <c r="F1338" s="6" t="s">
        <v>4121</v>
      </c>
      <c r="G1338" s="6" t="s">
        <v>2908</v>
      </c>
      <c r="H1338" s="6" t="s">
        <v>2909</v>
      </c>
      <c r="I1338" s="8">
        <v>207108.7</v>
      </c>
      <c r="J1338" s="8"/>
      <c r="K1338" s="6" t="s">
        <v>3547</v>
      </c>
      <c r="L1338" s="6" t="s">
        <v>1347</v>
      </c>
      <c r="N1338" s="6" t="s">
        <v>1347</v>
      </c>
      <c r="O1338" s="29">
        <v>0</v>
      </c>
    </row>
    <row r="1339" s="1" customFormat="1" ht="16.35" hidden="1" customHeight="1" spans="1:15">
      <c r="A1339" s="5"/>
      <c r="B1339" s="6" t="s">
        <v>2906</v>
      </c>
      <c r="C1339" s="6">
        <v>2019</v>
      </c>
      <c r="D1339" s="6">
        <v>12</v>
      </c>
      <c r="E1339" s="7">
        <v>38</v>
      </c>
      <c r="F1339" s="6" t="s">
        <v>4121</v>
      </c>
      <c r="G1339" s="6" t="s">
        <v>2908</v>
      </c>
      <c r="H1339" s="6" t="s">
        <v>2909</v>
      </c>
      <c r="I1339" s="8">
        <v>221237</v>
      </c>
      <c r="J1339" s="8"/>
      <c r="K1339" s="6" t="s">
        <v>3550</v>
      </c>
      <c r="L1339" s="6" t="s">
        <v>1345</v>
      </c>
      <c r="N1339" s="6" t="s">
        <v>1345</v>
      </c>
      <c r="O1339" s="29">
        <v>0</v>
      </c>
    </row>
    <row r="1340" s="1" customFormat="1" ht="16.35" hidden="1" customHeight="1" spans="1:15">
      <c r="A1340" s="5"/>
      <c r="B1340" s="6" t="s">
        <v>2906</v>
      </c>
      <c r="C1340" s="6">
        <v>2019</v>
      </c>
      <c r="D1340" s="6">
        <v>12</v>
      </c>
      <c r="E1340" s="7">
        <v>38</v>
      </c>
      <c r="F1340" s="6" t="s">
        <v>4121</v>
      </c>
      <c r="G1340" s="6" t="s">
        <v>2908</v>
      </c>
      <c r="H1340" s="6" t="s">
        <v>2909</v>
      </c>
      <c r="I1340" s="8">
        <v>210459</v>
      </c>
      <c r="J1340" s="8"/>
      <c r="K1340" s="6" t="s">
        <v>3552</v>
      </c>
      <c r="L1340" s="6" t="s">
        <v>1531</v>
      </c>
      <c r="N1340" s="6" t="s">
        <v>1531</v>
      </c>
      <c r="O1340" s="29">
        <v>0</v>
      </c>
    </row>
    <row r="1341" s="1" customFormat="1" ht="16.35" hidden="1" customHeight="1" spans="1:15">
      <c r="A1341" s="5"/>
      <c r="B1341" s="6" t="s">
        <v>2906</v>
      </c>
      <c r="C1341" s="6">
        <v>2019</v>
      </c>
      <c r="D1341" s="6">
        <v>12</v>
      </c>
      <c r="E1341" s="7">
        <v>38</v>
      </c>
      <c r="F1341" s="6" t="s">
        <v>4121</v>
      </c>
      <c r="G1341" s="6" t="s">
        <v>2908</v>
      </c>
      <c r="H1341" s="6" t="s">
        <v>2909</v>
      </c>
      <c r="I1341" s="8">
        <v>289553</v>
      </c>
      <c r="J1341" s="8"/>
      <c r="K1341" s="6" t="s">
        <v>3554</v>
      </c>
      <c r="L1341" s="6" t="s">
        <v>1637</v>
      </c>
      <c r="N1341" s="6" t="s">
        <v>1637</v>
      </c>
      <c r="O1341" s="29">
        <v>0</v>
      </c>
    </row>
    <row r="1342" s="1" customFormat="1" ht="16.35" hidden="1" customHeight="1" spans="1:15">
      <c r="A1342" s="5"/>
      <c r="B1342" s="6" t="s">
        <v>2906</v>
      </c>
      <c r="C1342" s="6">
        <v>2019</v>
      </c>
      <c r="D1342" s="6">
        <v>12</v>
      </c>
      <c r="E1342" s="7">
        <v>38</v>
      </c>
      <c r="F1342" s="6" t="s">
        <v>4121</v>
      </c>
      <c r="G1342" s="6" t="s">
        <v>2908</v>
      </c>
      <c r="H1342" s="6" t="s">
        <v>2909</v>
      </c>
      <c r="I1342" s="8">
        <v>195547</v>
      </c>
      <c r="J1342" s="8"/>
      <c r="K1342" s="6" t="s">
        <v>3556</v>
      </c>
      <c r="L1342" s="6" t="s">
        <v>989</v>
      </c>
      <c r="N1342" s="6" t="s">
        <v>989</v>
      </c>
      <c r="O1342" s="29">
        <v>0</v>
      </c>
    </row>
    <row r="1343" s="1" customFormat="1" ht="16.35" hidden="1" customHeight="1" spans="1:15">
      <c r="A1343" s="5"/>
      <c r="B1343" s="6" t="s">
        <v>2906</v>
      </c>
      <c r="C1343" s="6">
        <v>2019</v>
      </c>
      <c r="D1343" s="6">
        <v>12</v>
      </c>
      <c r="E1343" s="7">
        <v>38</v>
      </c>
      <c r="F1343" s="6" t="s">
        <v>4121</v>
      </c>
      <c r="G1343" s="6" t="s">
        <v>2908</v>
      </c>
      <c r="H1343" s="6" t="s">
        <v>2909</v>
      </c>
      <c r="I1343" s="8">
        <v>160783</v>
      </c>
      <c r="J1343" s="8"/>
      <c r="K1343" s="6" t="s">
        <v>3558</v>
      </c>
      <c r="L1343" s="6" t="s">
        <v>1438</v>
      </c>
      <c r="N1343" s="6" t="s">
        <v>1438</v>
      </c>
      <c r="O1343" s="29">
        <v>0</v>
      </c>
    </row>
    <row r="1344" s="1" customFormat="1" ht="16.35" hidden="1" customHeight="1" spans="1:15">
      <c r="A1344" s="5"/>
      <c r="B1344" s="6" t="s">
        <v>2906</v>
      </c>
      <c r="C1344" s="6">
        <v>2019</v>
      </c>
      <c r="D1344" s="6">
        <v>12</v>
      </c>
      <c r="E1344" s="7">
        <v>38</v>
      </c>
      <c r="F1344" s="6" t="s">
        <v>4121</v>
      </c>
      <c r="G1344" s="6" t="s">
        <v>2908</v>
      </c>
      <c r="H1344" s="6" t="s">
        <v>2909</v>
      </c>
      <c r="I1344" s="8">
        <v>258950</v>
      </c>
      <c r="J1344" s="8"/>
      <c r="K1344" s="6" t="s">
        <v>3561</v>
      </c>
      <c r="L1344" s="6" t="s">
        <v>1645</v>
      </c>
      <c r="N1344" s="6" t="s">
        <v>1645</v>
      </c>
      <c r="O1344" s="29">
        <v>0</v>
      </c>
    </row>
    <row r="1345" s="1" customFormat="1" ht="16.35" hidden="1" customHeight="1" spans="1:15">
      <c r="A1345" s="5"/>
      <c r="B1345" s="6" t="s">
        <v>2906</v>
      </c>
      <c r="C1345" s="6">
        <v>2019</v>
      </c>
      <c r="D1345" s="6">
        <v>12</v>
      </c>
      <c r="E1345" s="7">
        <v>38</v>
      </c>
      <c r="F1345" s="6" t="s">
        <v>4121</v>
      </c>
      <c r="G1345" s="6" t="s">
        <v>2908</v>
      </c>
      <c r="H1345" s="6" t="s">
        <v>2909</v>
      </c>
      <c r="I1345" s="8">
        <v>188739</v>
      </c>
      <c r="J1345" s="8"/>
      <c r="K1345" s="6" t="s">
        <v>3563</v>
      </c>
      <c r="L1345" s="6" t="s">
        <v>1495</v>
      </c>
      <c r="N1345" s="6" t="s">
        <v>1495</v>
      </c>
      <c r="O1345" s="29">
        <v>0</v>
      </c>
    </row>
    <row r="1346" s="1" customFormat="1" ht="16.35" hidden="1" customHeight="1" spans="1:15">
      <c r="A1346" s="5"/>
      <c r="B1346" s="6" t="s">
        <v>2906</v>
      </c>
      <c r="C1346" s="6">
        <v>2019</v>
      </c>
      <c r="D1346" s="6">
        <v>12</v>
      </c>
      <c r="E1346" s="7">
        <v>38</v>
      </c>
      <c r="F1346" s="6" t="s">
        <v>4121</v>
      </c>
      <c r="G1346" s="6" t="s">
        <v>2908</v>
      </c>
      <c r="H1346" s="6" t="s">
        <v>2909</v>
      </c>
      <c r="I1346" s="8">
        <v>189619</v>
      </c>
      <c r="J1346" s="8"/>
      <c r="K1346" s="6" t="s">
        <v>3565</v>
      </c>
      <c r="L1346" s="6" t="s">
        <v>1493</v>
      </c>
      <c r="N1346" s="6" t="s">
        <v>1493</v>
      </c>
      <c r="O1346" s="29">
        <v>0</v>
      </c>
    </row>
    <row r="1347" s="1" customFormat="1" ht="16.35" hidden="1" customHeight="1" spans="1:15">
      <c r="A1347" s="5"/>
      <c r="B1347" s="6" t="s">
        <v>2906</v>
      </c>
      <c r="C1347" s="6">
        <v>2019</v>
      </c>
      <c r="D1347" s="6">
        <v>12</v>
      </c>
      <c r="E1347" s="7">
        <v>38</v>
      </c>
      <c r="F1347" s="6" t="s">
        <v>4121</v>
      </c>
      <c r="G1347" s="6" t="s">
        <v>2908</v>
      </c>
      <c r="H1347" s="6" t="s">
        <v>2909</v>
      </c>
      <c r="I1347" s="8">
        <v>194666.1</v>
      </c>
      <c r="J1347" s="8"/>
      <c r="K1347" s="6" t="s">
        <v>3567</v>
      </c>
      <c r="L1347" s="6" t="s">
        <v>1039</v>
      </c>
      <c r="N1347" s="6" t="s">
        <v>1039</v>
      </c>
      <c r="O1347" s="29">
        <v>0</v>
      </c>
    </row>
    <row r="1348" s="1" customFormat="1" ht="16.35" hidden="1" customHeight="1" spans="1:15">
      <c r="A1348" s="5"/>
      <c r="B1348" s="6" t="s">
        <v>2906</v>
      </c>
      <c r="C1348" s="6">
        <v>2019</v>
      </c>
      <c r="D1348" s="6">
        <v>12</v>
      </c>
      <c r="E1348" s="7">
        <v>38</v>
      </c>
      <c r="F1348" s="6" t="s">
        <v>4121</v>
      </c>
      <c r="G1348" s="6" t="s">
        <v>2908</v>
      </c>
      <c r="H1348" s="6" t="s">
        <v>2909</v>
      </c>
      <c r="I1348" s="8">
        <v>117143</v>
      </c>
      <c r="J1348" s="8"/>
      <c r="K1348" s="6" t="s">
        <v>3569</v>
      </c>
      <c r="L1348" s="6" t="s">
        <v>1110</v>
      </c>
      <c r="N1348" s="6" t="s">
        <v>1110</v>
      </c>
      <c r="O1348" s="29">
        <v>0</v>
      </c>
    </row>
    <row r="1349" s="30" customFormat="1" ht="16.35" hidden="1" customHeight="1" spans="1:16">
      <c r="A1349" s="41"/>
      <c r="B1349" s="42" t="s">
        <v>2906</v>
      </c>
      <c r="C1349" s="42">
        <v>2019</v>
      </c>
      <c r="D1349" s="42">
        <v>12</v>
      </c>
      <c r="E1349" s="43">
        <v>38</v>
      </c>
      <c r="F1349" s="42" t="s">
        <v>4121</v>
      </c>
      <c r="G1349" s="42" t="s">
        <v>2908</v>
      </c>
      <c r="H1349" s="42" t="s">
        <v>2909</v>
      </c>
      <c r="I1349" s="44">
        <v>214047</v>
      </c>
      <c r="J1349" s="44"/>
      <c r="K1349" s="42" t="s">
        <v>3571</v>
      </c>
      <c r="L1349" s="42" t="s">
        <v>1083</v>
      </c>
      <c r="N1349" s="42" t="s">
        <v>1083</v>
      </c>
      <c r="O1349" s="31">
        <v>0</v>
      </c>
      <c r="P1349" s="30">
        <f>O1349-J1349</f>
        <v>0</v>
      </c>
    </row>
    <row r="1350" s="1" customFormat="1" ht="16.35" hidden="1" customHeight="1" spans="1:15">
      <c r="A1350" s="5"/>
      <c r="B1350" s="6" t="s">
        <v>2906</v>
      </c>
      <c r="C1350" s="6">
        <v>2019</v>
      </c>
      <c r="D1350" s="6">
        <v>12</v>
      </c>
      <c r="E1350" s="7">
        <v>38</v>
      </c>
      <c r="F1350" s="6" t="s">
        <v>4121</v>
      </c>
      <c r="G1350" s="6" t="s">
        <v>2908</v>
      </c>
      <c r="H1350" s="6" t="s">
        <v>2909</v>
      </c>
      <c r="I1350" s="8">
        <v>194666</v>
      </c>
      <c r="J1350" s="8"/>
      <c r="K1350" s="6" t="s">
        <v>3573</v>
      </c>
      <c r="L1350" s="6" t="s">
        <v>991</v>
      </c>
      <c r="N1350" s="6" t="s">
        <v>991</v>
      </c>
      <c r="O1350" s="29">
        <v>0</v>
      </c>
    </row>
    <row r="1351" s="1" customFormat="1" ht="16.35" hidden="1" customHeight="1" spans="1:15">
      <c r="A1351" s="5"/>
      <c r="B1351" s="6" t="s">
        <v>2906</v>
      </c>
      <c r="C1351" s="6">
        <v>2019</v>
      </c>
      <c r="D1351" s="6">
        <v>12</v>
      </c>
      <c r="E1351" s="7">
        <v>38</v>
      </c>
      <c r="F1351" s="6" t="s">
        <v>4121</v>
      </c>
      <c r="G1351" s="6" t="s">
        <v>2908</v>
      </c>
      <c r="H1351" s="6" t="s">
        <v>2909</v>
      </c>
      <c r="I1351" s="8">
        <v>160783</v>
      </c>
      <c r="J1351" s="8"/>
      <c r="K1351" s="6" t="s">
        <v>3575</v>
      </c>
      <c r="L1351" s="6" t="s">
        <v>1479</v>
      </c>
      <c r="N1351" s="6" t="s">
        <v>1479</v>
      </c>
      <c r="O1351" s="29">
        <v>0</v>
      </c>
    </row>
    <row r="1352" s="1" customFormat="1" ht="16.35" hidden="1" customHeight="1" spans="1:15">
      <c r="A1352" s="5"/>
      <c r="B1352" s="6" t="s">
        <v>2906</v>
      </c>
      <c r="C1352" s="6">
        <v>2019</v>
      </c>
      <c r="D1352" s="6">
        <v>12</v>
      </c>
      <c r="E1352" s="7">
        <v>38</v>
      </c>
      <c r="F1352" s="6" t="s">
        <v>4121</v>
      </c>
      <c r="G1352" s="6" t="s">
        <v>2908</v>
      </c>
      <c r="H1352" s="6" t="s">
        <v>2909</v>
      </c>
      <c r="I1352" s="8">
        <v>168380</v>
      </c>
      <c r="J1352" s="8"/>
      <c r="K1352" s="6" t="s">
        <v>3518</v>
      </c>
      <c r="L1352" s="6" t="s">
        <v>1472</v>
      </c>
      <c r="N1352" s="6" t="s">
        <v>1472</v>
      </c>
      <c r="O1352" s="29">
        <v>0</v>
      </c>
    </row>
    <row r="1353" s="1" customFormat="1" ht="16.35" hidden="1" customHeight="1" spans="1:15">
      <c r="A1353" s="5"/>
      <c r="B1353" s="6" t="s">
        <v>2906</v>
      </c>
      <c r="C1353" s="6">
        <v>2019</v>
      </c>
      <c r="D1353" s="6">
        <v>12</v>
      </c>
      <c r="E1353" s="7">
        <v>38</v>
      </c>
      <c r="F1353" s="6" t="s">
        <v>4121</v>
      </c>
      <c r="G1353" s="6" t="s">
        <v>2908</v>
      </c>
      <c r="H1353" s="6" t="s">
        <v>2909</v>
      </c>
      <c r="I1353" s="8">
        <v>213095</v>
      </c>
      <c r="J1353" s="8"/>
      <c r="K1353" s="6" t="s">
        <v>3580</v>
      </c>
      <c r="L1353" s="6" t="s">
        <v>1162</v>
      </c>
      <c r="N1353" s="6" t="s">
        <v>1162</v>
      </c>
      <c r="O1353" s="29">
        <v>0</v>
      </c>
    </row>
    <row r="1354" s="1" customFormat="1" ht="16.35" hidden="1" customHeight="1" spans="1:15">
      <c r="A1354" s="5"/>
      <c r="B1354" s="6" t="s">
        <v>2906</v>
      </c>
      <c r="C1354" s="6">
        <v>2019</v>
      </c>
      <c r="D1354" s="6">
        <v>12</v>
      </c>
      <c r="E1354" s="7">
        <v>38</v>
      </c>
      <c r="F1354" s="6" t="s">
        <v>4121</v>
      </c>
      <c r="G1354" s="6" t="s">
        <v>2908</v>
      </c>
      <c r="H1354" s="6" t="s">
        <v>2909</v>
      </c>
      <c r="I1354" s="8">
        <v>208875</v>
      </c>
      <c r="J1354" s="8"/>
      <c r="K1354" s="6" t="s">
        <v>3582</v>
      </c>
      <c r="L1354" s="6" t="s">
        <v>1090</v>
      </c>
      <c r="N1354" s="6" t="s">
        <v>1090</v>
      </c>
      <c r="O1354" s="29">
        <v>0</v>
      </c>
    </row>
    <row r="1355" s="1" customFormat="1" ht="16.35" hidden="1" customHeight="1" spans="1:15">
      <c r="A1355" s="5"/>
      <c r="B1355" s="6" t="s">
        <v>2906</v>
      </c>
      <c r="C1355" s="6">
        <v>2019</v>
      </c>
      <c r="D1355" s="6">
        <v>12</v>
      </c>
      <c r="E1355" s="7">
        <v>38</v>
      </c>
      <c r="F1355" s="6" t="s">
        <v>4121</v>
      </c>
      <c r="G1355" s="6" t="s">
        <v>2908</v>
      </c>
      <c r="H1355" s="6" t="s">
        <v>2909</v>
      </c>
      <c r="I1355" s="8">
        <v>237357</v>
      </c>
      <c r="J1355" s="8"/>
      <c r="K1355" s="6" t="s">
        <v>3584</v>
      </c>
      <c r="L1355" s="6" t="s">
        <v>1077</v>
      </c>
      <c r="N1355" s="6" t="s">
        <v>1077</v>
      </c>
      <c r="O1355" s="29">
        <v>0</v>
      </c>
    </row>
    <row r="1356" s="1" customFormat="1" ht="16.35" hidden="1" customHeight="1" spans="1:15">
      <c r="A1356" s="5"/>
      <c r="B1356" s="6" t="s">
        <v>2906</v>
      </c>
      <c r="C1356" s="6">
        <v>2019</v>
      </c>
      <c r="D1356" s="6">
        <v>12</v>
      </c>
      <c r="E1356" s="7">
        <v>38</v>
      </c>
      <c r="F1356" s="6" t="s">
        <v>4121</v>
      </c>
      <c r="G1356" s="6" t="s">
        <v>2908</v>
      </c>
      <c r="H1356" s="6" t="s">
        <v>2909</v>
      </c>
      <c r="I1356" s="8">
        <v>191552</v>
      </c>
      <c r="J1356" s="8"/>
      <c r="K1356" s="6" t="s">
        <v>3586</v>
      </c>
      <c r="L1356" s="6" t="s">
        <v>1015</v>
      </c>
      <c r="N1356" s="6" t="s">
        <v>1015</v>
      </c>
      <c r="O1356" s="29">
        <v>0</v>
      </c>
    </row>
    <row r="1357" s="1" customFormat="1" ht="16.35" hidden="1" customHeight="1" spans="1:15">
      <c r="A1357" s="5"/>
      <c r="B1357" s="6" t="s">
        <v>2906</v>
      </c>
      <c r="C1357" s="6">
        <v>2019</v>
      </c>
      <c r="D1357" s="6">
        <v>12</v>
      </c>
      <c r="E1357" s="7">
        <v>38</v>
      </c>
      <c r="F1357" s="6" t="s">
        <v>4121</v>
      </c>
      <c r="G1357" s="6" t="s">
        <v>2908</v>
      </c>
      <c r="H1357" s="6" t="s">
        <v>2909</v>
      </c>
      <c r="I1357" s="8">
        <v>187524</v>
      </c>
      <c r="J1357" s="8"/>
      <c r="K1357" s="6" t="s">
        <v>3588</v>
      </c>
      <c r="L1357" s="6" t="s">
        <v>1118</v>
      </c>
      <c r="N1357" s="6" t="s">
        <v>1118</v>
      </c>
      <c r="O1357" s="29">
        <v>0</v>
      </c>
    </row>
    <row r="1358" s="1" customFormat="1" ht="16.35" hidden="1" customHeight="1" spans="1:15">
      <c r="A1358" s="5"/>
      <c r="B1358" s="6" t="s">
        <v>2906</v>
      </c>
      <c r="C1358" s="6">
        <v>2019</v>
      </c>
      <c r="D1358" s="6">
        <v>12</v>
      </c>
      <c r="E1358" s="7">
        <v>38</v>
      </c>
      <c r="F1358" s="6" t="s">
        <v>4121</v>
      </c>
      <c r="G1358" s="6" t="s">
        <v>2908</v>
      </c>
      <c r="H1358" s="6" t="s">
        <v>2909</v>
      </c>
      <c r="I1358" s="8">
        <v>215824</v>
      </c>
      <c r="J1358" s="8"/>
      <c r="K1358" s="6" t="s">
        <v>3590</v>
      </c>
      <c r="L1358" s="6" t="s">
        <v>1423</v>
      </c>
      <c r="N1358" s="6" t="s">
        <v>1423</v>
      </c>
      <c r="O1358" s="29">
        <v>0</v>
      </c>
    </row>
    <row r="1359" s="1" customFormat="1" ht="16.35" hidden="1" customHeight="1" spans="1:15">
      <c r="A1359" s="5"/>
      <c r="B1359" s="6" t="s">
        <v>2906</v>
      </c>
      <c r="C1359" s="6">
        <v>2019</v>
      </c>
      <c r="D1359" s="6">
        <v>12</v>
      </c>
      <c r="E1359" s="7">
        <v>38</v>
      </c>
      <c r="F1359" s="6" t="s">
        <v>4121</v>
      </c>
      <c r="G1359" s="6" t="s">
        <v>2908</v>
      </c>
      <c r="H1359" s="6" t="s">
        <v>2909</v>
      </c>
      <c r="I1359" s="8">
        <v>215476</v>
      </c>
      <c r="J1359" s="8"/>
      <c r="K1359" s="6" t="s">
        <v>3592</v>
      </c>
      <c r="L1359" s="6" t="s">
        <v>1481</v>
      </c>
      <c r="N1359" s="6" t="s">
        <v>1481</v>
      </c>
      <c r="O1359" s="29">
        <v>0</v>
      </c>
    </row>
    <row r="1360" s="1" customFormat="1" ht="16.35" hidden="1" customHeight="1" spans="1:15">
      <c r="A1360" s="5"/>
      <c r="B1360" s="6" t="s">
        <v>2906</v>
      </c>
      <c r="C1360" s="6">
        <v>2019</v>
      </c>
      <c r="D1360" s="6">
        <v>12</v>
      </c>
      <c r="E1360" s="7">
        <v>38</v>
      </c>
      <c r="F1360" s="6" t="s">
        <v>4121</v>
      </c>
      <c r="G1360" s="6" t="s">
        <v>2908</v>
      </c>
      <c r="H1360" s="6" t="s">
        <v>2909</v>
      </c>
      <c r="I1360" s="8">
        <v>209524</v>
      </c>
      <c r="J1360" s="8"/>
      <c r="K1360" s="6" t="s">
        <v>3594</v>
      </c>
      <c r="L1360" s="6" t="s">
        <v>1549</v>
      </c>
      <c r="N1360" s="6" t="s">
        <v>1549</v>
      </c>
      <c r="O1360" s="29">
        <v>0</v>
      </c>
    </row>
    <row r="1361" s="1" customFormat="1" ht="16.35" hidden="1" customHeight="1" spans="1:15">
      <c r="A1361" s="5"/>
      <c r="B1361" s="6" t="s">
        <v>2906</v>
      </c>
      <c r="C1361" s="6">
        <v>2019</v>
      </c>
      <c r="D1361" s="6">
        <v>12</v>
      </c>
      <c r="E1361" s="7">
        <v>38</v>
      </c>
      <c r="F1361" s="6" t="s">
        <v>4121</v>
      </c>
      <c r="G1361" s="6" t="s">
        <v>2908</v>
      </c>
      <c r="H1361" s="6" t="s">
        <v>2909</v>
      </c>
      <c r="I1361" s="8">
        <v>169865</v>
      </c>
      <c r="J1361" s="8"/>
      <c r="K1361" s="6" t="s">
        <v>3596</v>
      </c>
      <c r="L1361" s="6" t="s">
        <v>1499</v>
      </c>
      <c r="N1361" s="6" t="s">
        <v>1499</v>
      </c>
      <c r="O1361" s="29">
        <v>0</v>
      </c>
    </row>
    <row r="1362" s="1" customFormat="1" ht="16.35" hidden="1" customHeight="1" spans="1:15">
      <c r="A1362" s="5"/>
      <c r="B1362" s="6" t="s">
        <v>2906</v>
      </c>
      <c r="C1362" s="6">
        <v>2019</v>
      </c>
      <c r="D1362" s="6">
        <v>12</v>
      </c>
      <c r="E1362" s="7">
        <v>38</v>
      </c>
      <c r="F1362" s="6" t="s">
        <v>4121</v>
      </c>
      <c r="G1362" s="6" t="s">
        <v>2908</v>
      </c>
      <c r="H1362" s="6" t="s">
        <v>2909</v>
      </c>
      <c r="I1362" s="8">
        <v>237356</v>
      </c>
      <c r="J1362" s="8"/>
      <c r="K1362" s="6" t="s">
        <v>3598</v>
      </c>
      <c r="L1362" s="6" t="s">
        <v>1186</v>
      </c>
      <c r="N1362" s="6" t="s">
        <v>1186</v>
      </c>
      <c r="O1362" s="29">
        <v>0</v>
      </c>
    </row>
    <row r="1363" s="1" customFormat="1" ht="16.35" hidden="1" customHeight="1" spans="1:17">
      <c r="A1363" s="5"/>
      <c r="B1363" s="6" t="s">
        <v>2906</v>
      </c>
      <c r="C1363" s="6">
        <v>2019</v>
      </c>
      <c r="D1363" s="6">
        <v>12</v>
      </c>
      <c r="E1363" s="7">
        <v>38</v>
      </c>
      <c r="F1363" s="6" t="s">
        <v>4121</v>
      </c>
      <c r="G1363" s="6" t="s">
        <v>2908</v>
      </c>
      <c r="H1363" s="6" t="s">
        <v>2909</v>
      </c>
      <c r="I1363" s="8">
        <v>6571</v>
      </c>
      <c r="J1363" s="8"/>
      <c r="K1363" s="6" t="s">
        <v>3600</v>
      </c>
      <c r="L1363" s="6" t="s">
        <v>1497</v>
      </c>
      <c r="N1363" s="6" t="s">
        <v>1497</v>
      </c>
      <c r="O1363" s="29">
        <v>0</v>
      </c>
      <c r="P1363" s="1" t="s">
        <v>3601</v>
      </c>
      <c r="Q1363" s="1">
        <f>O1363-J1363</f>
        <v>0</v>
      </c>
    </row>
    <row r="1364" s="1" customFormat="1" ht="16.35" hidden="1" customHeight="1" spans="1:15">
      <c r="A1364" s="5"/>
      <c r="B1364" s="6" t="s">
        <v>2906</v>
      </c>
      <c r="C1364" s="6">
        <v>2019</v>
      </c>
      <c r="D1364" s="6">
        <v>12</v>
      </c>
      <c r="E1364" s="7">
        <v>38</v>
      </c>
      <c r="F1364" s="6" t="s">
        <v>4121</v>
      </c>
      <c r="G1364" s="6" t="s">
        <v>2908</v>
      </c>
      <c r="H1364" s="6" t="s">
        <v>2909</v>
      </c>
      <c r="I1364" s="8">
        <v>2857</v>
      </c>
      <c r="J1364" s="8"/>
      <c r="K1364" s="6" t="s">
        <v>3603</v>
      </c>
      <c r="L1364" s="6" t="s">
        <v>1133</v>
      </c>
      <c r="N1364" s="6" t="s">
        <v>1133</v>
      </c>
      <c r="O1364" s="29">
        <v>0</v>
      </c>
    </row>
    <row r="1365" s="1" customFormat="1" ht="16.35" hidden="1" customHeight="1" spans="1:15">
      <c r="A1365" s="5"/>
      <c r="B1365" s="6" t="s">
        <v>2906</v>
      </c>
      <c r="C1365" s="6">
        <v>2019</v>
      </c>
      <c r="D1365" s="6">
        <v>12</v>
      </c>
      <c r="E1365" s="7">
        <v>38</v>
      </c>
      <c r="F1365" s="6" t="s">
        <v>4121</v>
      </c>
      <c r="G1365" s="6" t="s">
        <v>2908</v>
      </c>
      <c r="H1365" s="6" t="s">
        <v>2909</v>
      </c>
      <c r="I1365" s="8">
        <v>214047</v>
      </c>
      <c r="J1365" s="8"/>
      <c r="K1365" s="6" t="s">
        <v>3605</v>
      </c>
      <c r="L1365" s="6" t="s">
        <v>1088</v>
      </c>
      <c r="N1365" s="6" t="s">
        <v>1088</v>
      </c>
      <c r="O1365" s="29">
        <v>0</v>
      </c>
    </row>
    <row r="1366" s="1" customFormat="1" ht="16.35" hidden="1" customHeight="1" spans="1:15">
      <c r="A1366" s="5"/>
      <c r="B1366" s="6" t="s">
        <v>2906</v>
      </c>
      <c r="C1366" s="6">
        <v>2019</v>
      </c>
      <c r="D1366" s="6">
        <v>12</v>
      </c>
      <c r="E1366" s="7">
        <v>38</v>
      </c>
      <c r="F1366" s="6" t="s">
        <v>4121</v>
      </c>
      <c r="G1366" s="6" t="s">
        <v>2908</v>
      </c>
      <c r="H1366" s="6" t="s">
        <v>2909</v>
      </c>
      <c r="I1366" s="8">
        <v>213095</v>
      </c>
      <c r="J1366" s="8"/>
      <c r="K1366" s="6" t="s">
        <v>3607</v>
      </c>
      <c r="L1366" s="6" t="s">
        <v>1137</v>
      </c>
      <c r="N1366" s="6" t="s">
        <v>1137</v>
      </c>
      <c r="O1366" s="29">
        <v>0</v>
      </c>
    </row>
    <row r="1367" s="1" customFormat="1" ht="16.35" hidden="1" customHeight="1" spans="1:15">
      <c r="A1367" s="5"/>
      <c r="B1367" s="6" t="s">
        <v>2906</v>
      </c>
      <c r="C1367" s="6">
        <v>2019</v>
      </c>
      <c r="D1367" s="6">
        <v>12</v>
      </c>
      <c r="E1367" s="7">
        <v>38</v>
      </c>
      <c r="F1367" s="6" t="s">
        <v>4121</v>
      </c>
      <c r="G1367" s="6" t="s">
        <v>2908</v>
      </c>
      <c r="H1367" s="6" t="s">
        <v>2909</v>
      </c>
      <c r="I1367" s="8">
        <v>9524</v>
      </c>
      <c r="J1367" s="8"/>
      <c r="K1367" s="6" t="s">
        <v>3609</v>
      </c>
      <c r="L1367" s="6" t="s">
        <v>1160</v>
      </c>
      <c r="N1367" s="6" t="s">
        <v>1160</v>
      </c>
      <c r="O1367" s="29">
        <v>0</v>
      </c>
    </row>
    <row r="1368" s="1" customFormat="1" ht="16.35" hidden="1" customHeight="1" spans="1:17">
      <c r="A1368" s="5"/>
      <c r="B1368" s="6" t="s">
        <v>2906</v>
      </c>
      <c r="C1368" s="6">
        <v>2019</v>
      </c>
      <c r="D1368" s="6">
        <v>12</v>
      </c>
      <c r="E1368" s="7">
        <v>38</v>
      </c>
      <c r="F1368" s="6" t="s">
        <v>4121</v>
      </c>
      <c r="G1368" s="6" t="s">
        <v>2908</v>
      </c>
      <c r="H1368" s="6" t="s">
        <v>2909</v>
      </c>
      <c r="I1368" s="8">
        <v>2857</v>
      </c>
      <c r="J1368" s="8"/>
      <c r="K1368" s="6" t="s">
        <v>3611</v>
      </c>
      <c r="L1368" s="6" t="s">
        <v>1586</v>
      </c>
      <c r="N1368" s="6" t="s">
        <v>1586</v>
      </c>
      <c r="O1368" s="29">
        <v>0</v>
      </c>
      <c r="Q1368" s="1">
        <f>O1368-J1368</f>
        <v>0</v>
      </c>
    </row>
    <row r="1369" s="1" customFormat="1" ht="16.35" hidden="1" customHeight="1" spans="1:15">
      <c r="A1369" s="5"/>
      <c r="B1369" s="6" t="s">
        <v>2906</v>
      </c>
      <c r="C1369" s="6">
        <v>2019</v>
      </c>
      <c r="D1369" s="6">
        <v>12</v>
      </c>
      <c r="E1369" s="7">
        <v>38</v>
      </c>
      <c r="F1369" s="6" t="s">
        <v>4121</v>
      </c>
      <c r="G1369" s="6" t="s">
        <v>2908</v>
      </c>
      <c r="H1369" s="6" t="s">
        <v>2909</v>
      </c>
      <c r="I1369" s="8">
        <v>170476</v>
      </c>
      <c r="J1369" s="8"/>
      <c r="K1369" s="6" t="s">
        <v>3613</v>
      </c>
      <c r="L1369" s="6" t="s">
        <v>1123</v>
      </c>
      <c r="N1369" s="6" t="s">
        <v>1123</v>
      </c>
      <c r="O1369" s="29">
        <v>0</v>
      </c>
    </row>
    <row r="1370" s="1" customFormat="1" ht="16.35" hidden="1" customHeight="1" spans="1:15">
      <c r="A1370" s="5"/>
      <c r="B1370" s="6" t="s">
        <v>2906</v>
      </c>
      <c r="C1370" s="6">
        <v>2019</v>
      </c>
      <c r="D1370" s="6">
        <v>12</v>
      </c>
      <c r="E1370" s="7">
        <v>38</v>
      </c>
      <c r="F1370" s="6" t="s">
        <v>4121</v>
      </c>
      <c r="G1370" s="6" t="s">
        <v>2908</v>
      </c>
      <c r="H1370" s="6" t="s">
        <v>2909</v>
      </c>
      <c r="I1370" s="8">
        <v>194047</v>
      </c>
      <c r="J1370" s="8"/>
      <c r="K1370" s="6" t="s">
        <v>3615</v>
      </c>
      <c r="L1370" s="6" t="s">
        <v>1184</v>
      </c>
      <c r="N1370" s="6" t="s">
        <v>1184</v>
      </c>
      <c r="O1370" s="29">
        <v>0</v>
      </c>
    </row>
    <row r="1371" s="1" customFormat="1" ht="16.35" hidden="1" customHeight="1" spans="1:15">
      <c r="A1371" s="5"/>
      <c r="B1371" s="6" t="s">
        <v>2906</v>
      </c>
      <c r="C1371" s="6">
        <v>2019</v>
      </c>
      <c r="D1371" s="6">
        <v>12</v>
      </c>
      <c r="E1371" s="7">
        <v>38</v>
      </c>
      <c r="F1371" s="6" t="s">
        <v>4121</v>
      </c>
      <c r="G1371" s="6" t="s">
        <v>2908</v>
      </c>
      <c r="H1371" s="6" t="s">
        <v>2909</v>
      </c>
      <c r="I1371" s="8">
        <v>235458</v>
      </c>
      <c r="J1371" s="8"/>
      <c r="K1371" s="6" t="s">
        <v>3619</v>
      </c>
      <c r="L1371" s="6" t="s">
        <v>1081</v>
      </c>
      <c r="N1371" s="6" t="s">
        <v>1081</v>
      </c>
      <c r="O1371" s="29">
        <v>0</v>
      </c>
    </row>
    <row r="1372" s="1" customFormat="1" ht="16.35" hidden="1" customHeight="1" spans="1:15">
      <c r="A1372" s="5"/>
      <c r="B1372" s="6" t="s">
        <v>2906</v>
      </c>
      <c r="C1372" s="6">
        <v>2019</v>
      </c>
      <c r="D1372" s="6">
        <v>12</v>
      </c>
      <c r="E1372" s="7">
        <v>38</v>
      </c>
      <c r="F1372" s="6" t="s">
        <v>4121</v>
      </c>
      <c r="G1372" s="6" t="s">
        <v>2908</v>
      </c>
      <c r="H1372" s="6" t="s">
        <v>2909</v>
      </c>
      <c r="I1372" s="8">
        <v>258950</v>
      </c>
      <c r="J1372" s="8"/>
      <c r="K1372" s="6" t="s">
        <v>3621</v>
      </c>
      <c r="L1372" s="6" t="s">
        <v>1595</v>
      </c>
      <c r="N1372" s="6" t="s">
        <v>1595</v>
      </c>
      <c r="O1372" s="29">
        <v>0</v>
      </c>
    </row>
    <row r="1373" s="1" customFormat="1" ht="16.35" hidden="1" customHeight="1" spans="1:15">
      <c r="A1373" s="5"/>
      <c r="B1373" s="6" t="s">
        <v>2906</v>
      </c>
      <c r="C1373" s="6">
        <v>2019</v>
      </c>
      <c r="D1373" s="6">
        <v>12</v>
      </c>
      <c r="E1373" s="7">
        <v>38</v>
      </c>
      <c r="F1373" s="6" t="s">
        <v>4121</v>
      </c>
      <c r="G1373" s="6" t="s">
        <v>2908</v>
      </c>
      <c r="H1373" s="6" t="s">
        <v>2909</v>
      </c>
      <c r="I1373" s="8">
        <v>197853</v>
      </c>
      <c r="J1373" s="8"/>
      <c r="K1373" s="6" t="s">
        <v>3625</v>
      </c>
      <c r="L1373" s="6" t="s">
        <v>1349</v>
      </c>
      <c r="N1373" s="6" t="s">
        <v>1349</v>
      </c>
      <c r="O1373" s="29">
        <v>0</v>
      </c>
    </row>
    <row r="1374" s="1" customFormat="1" ht="16.35" hidden="1" customHeight="1" spans="1:15">
      <c r="A1374" s="5"/>
      <c r="B1374" s="6" t="s">
        <v>2906</v>
      </c>
      <c r="C1374" s="6">
        <v>2019</v>
      </c>
      <c r="D1374" s="6">
        <v>12</v>
      </c>
      <c r="E1374" s="7">
        <v>38</v>
      </c>
      <c r="F1374" s="6" t="s">
        <v>4121</v>
      </c>
      <c r="G1374" s="6" t="s">
        <v>2908</v>
      </c>
      <c r="H1374" s="6" t="s">
        <v>2909</v>
      </c>
      <c r="I1374" s="8">
        <v>19758</v>
      </c>
      <c r="J1374" s="8"/>
      <c r="K1374" s="6" t="s">
        <v>3627</v>
      </c>
      <c r="L1374" s="6" t="s">
        <v>1391</v>
      </c>
      <c r="N1374" s="6" t="s">
        <v>1391</v>
      </c>
      <c r="O1374" s="29">
        <v>0</v>
      </c>
    </row>
    <row r="1375" s="1" customFormat="1" ht="16.35" hidden="1" customHeight="1" spans="1:15">
      <c r="A1375" s="5"/>
      <c r="B1375" s="6" t="s">
        <v>2906</v>
      </c>
      <c r="C1375" s="6">
        <v>2019</v>
      </c>
      <c r="D1375" s="6">
        <v>12</v>
      </c>
      <c r="E1375" s="7">
        <v>38</v>
      </c>
      <c r="F1375" s="6" t="s">
        <v>4121</v>
      </c>
      <c r="G1375" s="6" t="s">
        <v>2908</v>
      </c>
      <c r="H1375" s="6" t="s">
        <v>2909</v>
      </c>
      <c r="I1375" s="8">
        <v>219333</v>
      </c>
      <c r="J1375" s="8"/>
      <c r="K1375" s="6" t="s">
        <v>3629</v>
      </c>
      <c r="L1375" s="6" t="s">
        <v>1462</v>
      </c>
      <c r="N1375" s="6" t="s">
        <v>1462</v>
      </c>
      <c r="O1375" s="29">
        <v>0</v>
      </c>
    </row>
    <row r="1376" s="1" customFormat="1" ht="16.35" hidden="1" customHeight="1" spans="1:15">
      <c r="A1376" s="5"/>
      <c r="B1376" s="6" t="s">
        <v>2906</v>
      </c>
      <c r="C1376" s="6">
        <v>2019</v>
      </c>
      <c r="D1376" s="6">
        <v>12</v>
      </c>
      <c r="E1376" s="7">
        <v>38</v>
      </c>
      <c r="F1376" s="6" t="s">
        <v>4121</v>
      </c>
      <c r="G1376" s="6" t="s">
        <v>2908</v>
      </c>
      <c r="H1376" s="6" t="s">
        <v>2909</v>
      </c>
      <c r="I1376" s="8">
        <v>192286</v>
      </c>
      <c r="J1376" s="8"/>
      <c r="K1376" s="6" t="s">
        <v>3632</v>
      </c>
      <c r="L1376" s="6" t="s">
        <v>1092</v>
      </c>
      <c r="N1376" s="6" t="s">
        <v>1092</v>
      </c>
      <c r="O1376" s="29">
        <v>0</v>
      </c>
    </row>
    <row r="1377" s="1" customFormat="1" ht="16.35" hidden="1" customHeight="1" spans="1:15">
      <c r="A1377" s="5"/>
      <c r="B1377" s="6" t="s">
        <v>2906</v>
      </c>
      <c r="C1377" s="6">
        <v>2019</v>
      </c>
      <c r="D1377" s="6">
        <v>12</v>
      </c>
      <c r="E1377" s="7">
        <v>38</v>
      </c>
      <c r="F1377" s="6" t="s">
        <v>4121</v>
      </c>
      <c r="G1377" s="6" t="s">
        <v>2908</v>
      </c>
      <c r="H1377" s="6" t="s">
        <v>2909</v>
      </c>
      <c r="I1377" s="8">
        <v>4762</v>
      </c>
      <c r="J1377" s="8"/>
      <c r="K1377" s="6" t="s">
        <v>3634</v>
      </c>
      <c r="L1377" s="6" t="s">
        <v>1120</v>
      </c>
      <c r="N1377" s="6" t="s">
        <v>1120</v>
      </c>
      <c r="O1377" s="29">
        <v>0</v>
      </c>
    </row>
    <row r="1378" s="1" customFormat="1" ht="16.35" hidden="1" customHeight="1" spans="1:15">
      <c r="A1378" s="5"/>
      <c r="B1378" s="6" t="s">
        <v>2906</v>
      </c>
      <c r="C1378" s="6">
        <v>2019</v>
      </c>
      <c r="D1378" s="6">
        <v>12</v>
      </c>
      <c r="E1378" s="7">
        <v>38</v>
      </c>
      <c r="F1378" s="6" t="s">
        <v>4121</v>
      </c>
      <c r="G1378" s="6" t="s">
        <v>2908</v>
      </c>
      <c r="H1378" s="6" t="s">
        <v>2909</v>
      </c>
      <c r="I1378" s="8">
        <v>237357</v>
      </c>
      <c r="J1378" s="8"/>
      <c r="K1378" s="6" t="s">
        <v>3637</v>
      </c>
      <c r="L1378" s="6" t="s">
        <v>1182</v>
      </c>
      <c r="N1378" s="6" t="s">
        <v>1182</v>
      </c>
      <c r="O1378" s="29">
        <v>0</v>
      </c>
    </row>
    <row r="1379" s="1" customFormat="1" ht="16.35" hidden="1" customHeight="1" spans="1:15">
      <c r="A1379" s="5"/>
      <c r="B1379" s="6" t="s">
        <v>2906</v>
      </c>
      <c r="C1379" s="6">
        <v>2019</v>
      </c>
      <c r="D1379" s="6">
        <v>12</v>
      </c>
      <c r="E1379" s="7">
        <v>38</v>
      </c>
      <c r="F1379" s="6" t="s">
        <v>4121</v>
      </c>
      <c r="G1379" s="6" t="s">
        <v>2908</v>
      </c>
      <c r="H1379" s="6" t="s">
        <v>2909</v>
      </c>
      <c r="I1379" s="8">
        <v>193117</v>
      </c>
      <c r="J1379" s="8"/>
      <c r="K1379" s="6" t="s">
        <v>3639</v>
      </c>
      <c r="L1379" s="6" t="s">
        <v>1031</v>
      </c>
      <c r="N1379" s="6" t="s">
        <v>1031</v>
      </c>
      <c r="O1379" s="29">
        <v>0</v>
      </c>
    </row>
    <row r="1380" s="1" customFormat="1" ht="16.35" hidden="1" customHeight="1" spans="1:16">
      <c r="A1380" s="5"/>
      <c r="B1380" s="6" t="s">
        <v>2906</v>
      </c>
      <c r="C1380" s="6">
        <v>2019</v>
      </c>
      <c r="D1380" s="6">
        <v>12</v>
      </c>
      <c r="E1380" s="7">
        <v>38</v>
      </c>
      <c r="F1380" s="6" t="s">
        <v>4121</v>
      </c>
      <c r="G1380" s="6" t="s">
        <v>2908</v>
      </c>
      <c r="H1380" s="6" t="s">
        <v>2909</v>
      </c>
      <c r="I1380" s="8">
        <v>95237</v>
      </c>
      <c r="J1380" s="8"/>
      <c r="K1380" s="6" t="s">
        <v>3642</v>
      </c>
      <c r="L1380" s="6" t="s">
        <v>1096</v>
      </c>
      <c r="N1380" s="6" t="s">
        <v>1096</v>
      </c>
      <c r="O1380" s="29">
        <v>0</v>
      </c>
      <c r="P1380" s="1">
        <f>O1380-J1380</f>
        <v>0</v>
      </c>
    </row>
    <row r="1381" s="1" customFormat="1" ht="16.35" hidden="1" customHeight="1" spans="1:16">
      <c r="A1381" s="5"/>
      <c r="B1381" s="6" t="s">
        <v>2906</v>
      </c>
      <c r="C1381" s="6">
        <v>2019</v>
      </c>
      <c r="D1381" s="6">
        <v>12</v>
      </c>
      <c r="E1381" s="7">
        <v>38</v>
      </c>
      <c r="F1381" s="6" t="s">
        <v>4121</v>
      </c>
      <c r="G1381" s="6" t="s">
        <v>2908</v>
      </c>
      <c r="H1381" s="6" t="s">
        <v>2909</v>
      </c>
      <c r="I1381" s="8">
        <v>19048</v>
      </c>
      <c r="J1381" s="8"/>
      <c r="K1381" s="6" t="s">
        <v>3644</v>
      </c>
      <c r="L1381" s="6" t="s">
        <v>1367</v>
      </c>
      <c r="N1381" s="6" t="s">
        <v>1367</v>
      </c>
      <c r="O1381" s="29">
        <v>0</v>
      </c>
      <c r="P1381" s="1">
        <f>O1381-J1381</f>
        <v>0</v>
      </c>
    </row>
    <row r="1382" s="1" customFormat="1" ht="16.35" hidden="1" customHeight="1" spans="1:15">
      <c r="A1382" s="5"/>
      <c r="B1382" s="6" t="s">
        <v>2906</v>
      </c>
      <c r="C1382" s="6">
        <v>2019</v>
      </c>
      <c r="D1382" s="6">
        <v>12</v>
      </c>
      <c r="E1382" s="7">
        <v>38</v>
      </c>
      <c r="F1382" s="6" t="s">
        <v>4121</v>
      </c>
      <c r="G1382" s="6" t="s">
        <v>2908</v>
      </c>
      <c r="H1382" s="6" t="s">
        <v>2909</v>
      </c>
      <c r="I1382" s="8">
        <v>212414</v>
      </c>
      <c r="J1382" s="8"/>
      <c r="K1382" s="6" t="s">
        <v>3646</v>
      </c>
      <c r="L1382" s="6" t="s">
        <v>1079</v>
      </c>
      <c r="N1382" s="6" t="s">
        <v>1079</v>
      </c>
      <c r="O1382" s="29">
        <v>0</v>
      </c>
    </row>
    <row r="1383" s="1" customFormat="1" ht="16.35" hidden="1" customHeight="1" spans="1:15">
      <c r="A1383" s="5"/>
      <c r="B1383" s="6" t="s">
        <v>2906</v>
      </c>
      <c r="C1383" s="6">
        <v>2019</v>
      </c>
      <c r="D1383" s="6">
        <v>12</v>
      </c>
      <c r="E1383" s="7">
        <v>38</v>
      </c>
      <c r="F1383" s="6" t="s">
        <v>4121</v>
      </c>
      <c r="G1383" s="6" t="s">
        <v>2908</v>
      </c>
      <c r="H1383" s="6" t="s">
        <v>2909</v>
      </c>
      <c r="I1383" s="8">
        <v>280477</v>
      </c>
      <c r="J1383" s="8"/>
      <c r="K1383" s="6" t="s">
        <v>3648</v>
      </c>
      <c r="L1383" s="6" t="s">
        <v>1617</v>
      </c>
      <c r="N1383" s="6" t="s">
        <v>1617</v>
      </c>
      <c r="O1383" s="29">
        <v>0</v>
      </c>
    </row>
    <row r="1384" s="1" customFormat="1" ht="16.35" hidden="1" customHeight="1" spans="1:15">
      <c r="A1384" s="5"/>
      <c r="B1384" s="6" t="s">
        <v>2906</v>
      </c>
      <c r="C1384" s="6">
        <v>2019</v>
      </c>
      <c r="D1384" s="6">
        <v>12</v>
      </c>
      <c r="E1384" s="7">
        <v>38</v>
      </c>
      <c r="F1384" s="6" t="s">
        <v>4121</v>
      </c>
      <c r="G1384" s="6" t="s">
        <v>2908</v>
      </c>
      <c r="H1384" s="6" t="s">
        <v>2909</v>
      </c>
      <c r="I1384" s="8">
        <v>171581</v>
      </c>
      <c r="J1384" s="8"/>
      <c r="K1384" s="6" t="s">
        <v>3650</v>
      </c>
      <c r="L1384" s="6" t="s">
        <v>1517</v>
      </c>
      <c r="N1384" s="6" t="s">
        <v>1517</v>
      </c>
      <c r="O1384" s="29">
        <v>0</v>
      </c>
    </row>
    <row r="1385" s="1" customFormat="1" ht="16.35" hidden="1" customHeight="1" spans="1:16">
      <c r="A1385" s="5"/>
      <c r="B1385" s="6" t="s">
        <v>2906</v>
      </c>
      <c r="C1385" s="6">
        <v>2019</v>
      </c>
      <c r="D1385" s="6">
        <v>12</v>
      </c>
      <c r="E1385" s="7">
        <v>38</v>
      </c>
      <c r="F1385" s="6" t="s">
        <v>4121</v>
      </c>
      <c r="G1385" s="6" t="s">
        <v>2908</v>
      </c>
      <c r="H1385" s="6" t="s">
        <v>2909</v>
      </c>
      <c r="I1385" s="8">
        <v>-299</v>
      </c>
      <c r="J1385" s="8"/>
      <c r="K1385" s="6" t="s">
        <v>3242</v>
      </c>
      <c r="L1385" s="6" t="s">
        <v>1655</v>
      </c>
      <c r="N1385" s="6" t="s">
        <v>1655</v>
      </c>
      <c r="O1385" s="29">
        <v>0</v>
      </c>
      <c r="P1385" s="30">
        <f>O1385-J1385</f>
        <v>0</v>
      </c>
    </row>
    <row r="1386" s="1" customFormat="1" ht="16.35" hidden="1" customHeight="1" spans="1:15">
      <c r="A1386" s="5"/>
      <c r="B1386" s="6" t="s">
        <v>2906</v>
      </c>
      <c r="C1386" s="6">
        <v>2019</v>
      </c>
      <c r="D1386" s="6">
        <v>12</v>
      </c>
      <c r="E1386" s="7">
        <v>38</v>
      </c>
      <c r="F1386" s="6" t="s">
        <v>4121</v>
      </c>
      <c r="G1386" s="6" t="s">
        <v>2908</v>
      </c>
      <c r="H1386" s="6" t="s">
        <v>2909</v>
      </c>
      <c r="I1386" s="8">
        <v>280613</v>
      </c>
      <c r="J1386" s="8"/>
      <c r="K1386" s="6" t="s">
        <v>3243</v>
      </c>
      <c r="L1386" s="6" t="s">
        <v>1657</v>
      </c>
      <c r="N1386" s="6" t="s">
        <v>1657</v>
      </c>
      <c r="O1386" s="29">
        <v>0</v>
      </c>
    </row>
    <row r="1387" s="1" customFormat="1" ht="16.35" hidden="1" customHeight="1" spans="1:15">
      <c r="A1387" s="5"/>
      <c r="B1387" s="6" t="s">
        <v>2906</v>
      </c>
      <c r="C1387" s="6">
        <v>2019</v>
      </c>
      <c r="D1387" s="6">
        <v>12</v>
      </c>
      <c r="E1387" s="7">
        <v>38</v>
      </c>
      <c r="F1387" s="6" t="s">
        <v>4121</v>
      </c>
      <c r="G1387" s="6" t="s">
        <v>2908</v>
      </c>
      <c r="H1387" s="6" t="s">
        <v>2909</v>
      </c>
      <c r="I1387" s="8">
        <v>207867</v>
      </c>
      <c r="J1387" s="8"/>
      <c r="K1387" s="6" t="s">
        <v>3244</v>
      </c>
      <c r="L1387" s="6" t="s">
        <v>1659</v>
      </c>
      <c r="N1387" s="6" t="s">
        <v>1659</v>
      </c>
      <c r="O1387" s="29">
        <v>0</v>
      </c>
    </row>
    <row r="1388" s="1" customFormat="1" ht="16.35" hidden="1" customHeight="1" spans="1:15">
      <c r="A1388" s="5"/>
      <c r="B1388" s="6" t="s">
        <v>2906</v>
      </c>
      <c r="C1388" s="6">
        <v>2019</v>
      </c>
      <c r="D1388" s="6">
        <v>12</v>
      </c>
      <c r="E1388" s="7">
        <v>38</v>
      </c>
      <c r="F1388" s="6" t="s">
        <v>4121</v>
      </c>
      <c r="G1388" s="6" t="s">
        <v>2908</v>
      </c>
      <c r="H1388" s="6" t="s">
        <v>2909</v>
      </c>
      <c r="I1388" s="8">
        <v>295033</v>
      </c>
      <c r="J1388" s="8"/>
      <c r="K1388" s="6" t="s">
        <v>3245</v>
      </c>
      <c r="L1388" s="6" t="s">
        <v>1661</v>
      </c>
      <c r="N1388" s="6" t="s">
        <v>1661</v>
      </c>
      <c r="O1388" s="29">
        <v>0</v>
      </c>
    </row>
    <row r="1389" s="1" customFormat="1" ht="16.35" hidden="1" customHeight="1" spans="1:15">
      <c r="A1389" s="5"/>
      <c r="B1389" s="6" t="s">
        <v>2906</v>
      </c>
      <c r="C1389" s="6">
        <v>2019</v>
      </c>
      <c r="D1389" s="6">
        <v>12</v>
      </c>
      <c r="E1389" s="7">
        <v>38</v>
      </c>
      <c r="F1389" s="6" t="s">
        <v>4121</v>
      </c>
      <c r="G1389" s="6" t="s">
        <v>2908</v>
      </c>
      <c r="H1389" s="6" t="s">
        <v>2909</v>
      </c>
      <c r="I1389" s="8">
        <v>207096</v>
      </c>
      <c r="J1389" s="8"/>
      <c r="K1389" s="6" t="s">
        <v>3246</v>
      </c>
      <c r="L1389" s="6" t="s">
        <v>1663</v>
      </c>
      <c r="N1389" s="6" t="s">
        <v>1663</v>
      </c>
      <c r="O1389" s="29">
        <v>0</v>
      </c>
    </row>
    <row r="1390" s="1" customFormat="1" ht="16.35" hidden="1" customHeight="1" spans="1:15">
      <c r="A1390" s="5"/>
      <c r="B1390" s="6" t="s">
        <v>2906</v>
      </c>
      <c r="C1390" s="6">
        <v>2019</v>
      </c>
      <c r="D1390" s="6">
        <v>12</v>
      </c>
      <c r="E1390" s="7">
        <v>38</v>
      </c>
      <c r="F1390" s="6" t="s">
        <v>4121</v>
      </c>
      <c r="G1390" s="6" t="s">
        <v>2908</v>
      </c>
      <c r="H1390" s="6" t="s">
        <v>2909</v>
      </c>
      <c r="I1390" s="8">
        <v>320566</v>
      </c>
      <c r="J1390" s="8"/>
      <c r="K1390" s="6" t="s">
        <v>3247</v>
      </c>
      <c r="L1390" s="6" t="s">
        <v>1666</v>
      </c>
      <c r="N1390" s="6" t="s">
        <v>1666</v>
      </c>
      <c r="O1390" s="29">
        <v>0</v>
      </c>
    </row>
    <row r="1391" s="1" customFormat="1" ht="16.35" hidden="1" customHeight="1" spans="1:15">
      <c r="A1391" s="5"/>
      <c r="B1391" s="6" t="s">
        <v>2906</v>
      </c>
      <c r="C1391" s="6">
        <v>2019</v>
      </c>
      <c r="D1391" s="6">
        <v>12</v>
      </c>
      <c r="E1391" s="7">
        <v>38</v>
      </c>
      <c r="F1391" s="6" t="s">
        <v>4121</v>
      </c>
      <c r="G1391" s="6" t="s">
        <v>2908</v>
      </c>
      <c r="H1391" s="6" t="s">
        <v>2909</v>
      </c>
      <c r="I1391" s="8">
        <v>282310</v>
      </c>
      <c r="J1391" s="8"/>
      <c r="K1391" s="6" t="s">
        <v>3248</v>
      </c>
      <c r="L1391" s="6" t="s">
        <v>1668</v>
      </c>
      <c r="N1391" s="6" t="s">
        <v>1668</v>
      </c>
      <c r="O1391" s="29">
        <v>0</v>
      </c>
    </row>
    <row r="1392" s="1" customFormat="1" ht="16.35" hidden="1" customHeight="1" spans="1:15">
      <c r="A1392" s="5"/>
      <c r="B1392" s="6" t="s">
        <v>2906</v>
      </c>
      <c r="C1392" s="6">
        <v>2019</v>
      </c>
      <c r="D1392" s="6">
        <v>12</v>
      </c>
      <c r="E1392" s="7">
        <v>38</v>
      </c>
      <c r="F1392" s="6" t="s">
        <v>4121</v>
      </c>
      <c r="G1392" s="6" t="s">
        <v>2908</v>
      </c>
      <c r="H1392" s="6" t="s">
        <v>2909</v>
      </c>
      <c r="I1392" s="8">
        <v>280110</v>
      </c>
      <c r="J1392" s="8"/>
      <c r="K1392" s="6" t="s">
        <v>3249</v>
      </c>
      <c r="L1392" s="6" t="s">
        <v>1670</v>
      </c>
      <c r="N1392" s="6" t="s">
        <v>1670</v>
      </c>
      <c r="O1392" s="29">
        <v>0</v>
      </c>
    </row>
    <row r="1393" s="1" customFormat="1" ht="16.35" hidden="1" customHeight="1" spans="1:15">
      <c r="A1393" s="5"/>
      <c r="B1393" s="6" t="s">
        <v>2906</v>
      </c>
      <c r="C1393" s="6">
        <v>2019</v>
      </c>
      <c r="D1393" s="6">
        <v>12</v>
      </c>
      <c r="E1393" s="7">
        <v>38</v>
      </c>
      <c r="F1393" s="6" t="s">
        <v>4121</v>
      </c>
      <c r="G1393" s="6" t="s">
        <v>2908</v>
      </c>
      <c r="H1393" s="6" t="s">
        <v>2909</v>
      </c>
      <c r="I1393" s="8">
        <v>248378</v>
      </c>
      <c r="J1393" s="8"/>
      <c r="K1393" s="6" t="s">
        <v>3250</v>
      </c>
      <c r="L1393" s="6" t="s">
        <v>1672</v>
      </c>
      <c r="N1393" s="6" t="s">
        <v>1672</v>
      </c>
      <c r="O1393" s="29">
        <v>0</v>
      </c>
    </row>
    <row r="1394" s="1" customFormat="1" ht="16.35" hidden="1" customHeight="1" spans="1:15">
      <c r="A1394" s="5"/>
      <c r="B1394" s="6" t="s">
        <v>2906</v>
      </c>
      <c r="C1394" s="6">
        <v>2019</v>
      </c>
      <c r="D1394" s="6">
        <v>12</v>
      </c>
      <c r="E1394" s="7">
        <v>38</v>
      </c>
      <c r="F1394" s="6" t="s">
        <v>4121</v>
      </c>
      <c r="G1394" s="6" t="s">
        <v>2908</v>
      </c>
      <c r="H1394" s="6" t="s">
        <v>2909</v>
      </c>
      <c r="I1394" s="8">
        <v>280613</v>
      </c>
      <c r="J1394" s="8"/>
      <c r="K1394" s="6" t="s">
        <v>3251</v>
      </c>
      <c r="L1394" s="6" t="s">
        <v>1674</v>
      </c>
      <c r="N1394" s="6" t="s">
        <v>1674</v>
      </c>
      <c r="O1394" s="29">
        <v>0</v>
      </c>
    </row>
    <row r="1395" s="1" customFormat="1" ht="16.35" hidden="1" customHeight="1" spans="1:15">
      <c r="A1395" s="5"/>
      <c r="B1395" s="6" t="s">
        <v>2906</v>
      </c>
      <c r="C1395" s="6">
        <v>2019</v>
      </c>
      <c r="D1395" s="6">
        <v>12</v>
      </c>
      <c r="E1395" s="7">
        <v>38</v>
      </c>
      <c r="F1395" s="6" t="s">
        <v>4121</v>
      </c>
      <c r="G1395" s="6" t="s">
        <v>2908</v>
      </c>
      <c r="H1395" s="6" t="s">
        <v>2909</v>
      </c>
      <c r="I1395" s="8">
        <v>177291</v>
      </c>
      <c r="J1395" s="8"/>
      <c r="K1395" s="6" t="s">
        <v>3252</v>
      </c>
      <c r="L1395" s="6" t="s">
        <v>1676</v>
      </c>
      <c r="N1395" s="6" t="s">
        <v>1676</v>
      </c>
      <c r="O1395" s="29">
        <v>0</v>
      </c>
    </row>
    <row r="1396" s="1" customFormat="1" ht="16.35" hidden="1" customHeight="1" spans="1:15">
      <c r="A1396" s="5"/>
      <c r="B1396" s="6" t="s">
        <v>2906</v>
      </c>
      <c r="C1396" s="6">
        <v>2019</v>
      </c>
      <c r="D1396" s="6">
        <v>12</v>
      </c>
      <c r="E1396" s="7">
        <v>38</v>
      </c>
      <c r="F1396" s="6" t="s">
        <v>4121</v>
      </c>
      <c r="G1396" s="6" t="s">
        <v>2908</v>
      </c>
      <c r="H1396" s="6" t="s">
        <v>2909</v>
      </c>
      <c r="I1396" s="8">
        <v>285703</v>
      </c>
      <c r="J1396" s="8"/>
      <c r="K1396" s="6" t="s">
        <v>3253</v>
      </c>
      <c r="L1396" s="6" t="s">
        <v>1678</v>
      </c>
      <c r="N1396" s="6" t="s">
        <v>1678</v>
      </c>
      <c r="O1396" s="29">
        <v>0</v>
      </c>
    </row>
    <row r="1397" s="1" customFormat="1" ht="16.35" hidden="1" customHeight="1" spans="1:15">
      <c r="A1397" s="5"/>
      <c r="B1397" s="6" t="s">
        <v>2906</v>
      </c>
      <c r="C1397" s="6">
        <v>2019</v>
      </c>
      <c r="D1397" s="6">
        <v>12</v>
      </c>
      <c r="E1397" s="7">
        <v>38</v>
      </c>
      <c r="F1397" s="6" t="s">
        <v>4121</v>
      </c>
      <c r="G1397" s="6" t="s">
        <v>2908</v>
      </c>
      <c r="H1397" s="6" t="s">
        <v>2909</v>
      </c>
      <c r="I1397" s="8">
        <v>285703</v>
      </c>
      <c r="J1397" s="8"/>
      <c r="K1397" s="6" t="s">
        <v>3254</v>
      </c>
      <c r="L1397" s="6" t="s">
        <v>1680</v>
      </c>
      <c r="N1397" s="6" t="s">
        <v>1680</v>
      </c>
      <c r="O1397" s="29">
        <v>0</v>
      </c>
    </row>
    <row r="1398" s="1" customFormat="1" ht="16.35" hidden="1" customHeight="1" spans="1:15">
      <c r="A1398" s="5"/>
      <c r="B1398" s="6" t="s">
        <v>2906</v>
      </c>
      <c r="C1398" s="6">
        <v>2019</v>
      </c>
      <c r="D1398" s="6">
        <v>12</v>
      </c>
      <c r="E1398" s="7">
        <v>38</v>
      </c>
      <c r="F1398" s="6" t="s">
        <v>4121</v>
      </c>
      <c r="G1398" s="6" t="s">
        <v>2908</v>
      </c>
      <c r="H1398" s="6" t="s">
        <v>2909</v>
      </c>
      <c r="I1398" s="8">
        <v>190865</v>
      </c>
      <c r="J1398" s="8"/>
      <c r="K1398" s="6" t="s">
        <v>3255</v>
      </c>
      <c r="L1398" s="6" t="s">
        <v>1682</v>
      </c>
      <c r="N1398" s="6" t="s">
        <v>1682</v>
      </c>
      <c r="O1398" s="29">
        <v>0</v>
      </c>
    </row>
    <row r="1399" s="1" customFormat="1" ht="16.35" hidden="1" customHeight="1" spans="1:15">
      <c r="A1399" s="5"/>
      <c r="B1399" s="6" t="s">
        <v>2906</v>
      </c>
      <c r="C1399" s="6">
        <v>2019</v>
      </c>
      <c r="D1399" s="6">
        <v>12</v>
      </c>
      <c r="E1399" s="7">
        <v>38</v>
      </c>
      <c r="F1399" s="6" t="s">
        <v>4121</v>
      </c>
      <c r="G1399" s="6" t="s">
        <v>2908</v>
      </c>
      <c r="H1399" s="6" t="s">
        <v>2909</v>
      </c>
      <c r="I1399" s="8">
        <v>295882</v>
      </c>
      <c r="J1399" s="8"/>
      <c r="K1399" s="6" t="s">
        <v>3256</v>
      </c>
      <c r="L1399" s="6" t="s">
        <v>1684</v>
      </c>
      <c r="N1399" s="6" t="s">
        <v>1684</v>
      </c>
      <c r="O1399" s="29">
        <v>0</v>
      </c>
    </row>
    <row r="1400" s="1" customFormat="1" ht="16.35" hidden="1" customHeight="1" spans="1:15">
      <c r="A1400" s="5"/>
      <c r="B1400" s="6" t="s">
        <v>2906</v>
      </c>
      <c r="C1400" s="6">
        <v>2019</v>
      </c>
      <c r="D1400" s="6">
        <v>12</v>
      </c>
      <c r="E1400" s="7">
        <v>38</v>
      </c>
      <c r="F1400" s="6" t="s">
        <v>4121</v>
      </c>
      <c r="G1400" s="6" t="s">
        <v>2908</v>
      </c>
      <c r="H1400" s="6" t="s">
        <v>2909</v>
      </c>
      <c r="I1400" s="8">
        <v>282310</v>
      </c>
      <c r="J1400" s="8"/>
      <c r="K1400" s="6" t="s">
        <v>3257</v>
      </c>
      <c r="L1400" s="6" t="s">
        <v>1688</v>
      </c>
      <c r="N1400" s="6" t="s">
        <v>1688</v>
      </c>
      <c r="O1400" s="29">
        <v>0</v>
      </c>
    </row>
    <row r="1401" s="1" customFormat="1" ht="16.35" hidden="1" customHeight="1" spans="1:15">
      <c r="A1401" s="5"/>
      <c r="B1401" s="6" t="s">
        <v>2906</v>
      </c>
      <c r="C1401" s="6">
        <v>2019</v>
      </c>
      <c r="D1401" s="6">
        <v>12</v>
      </c>
      <c r="E1401" s="7">
        <v>38</v>
      </c>
      <c r="F1401" s="6" t="s">
        <v>4121</v>
      </c>
      <c r="G1401" s="6" t="s">
        <v>2908</v>
      </c>
      <c r="H1401" s="6" t="s">
        <v>2909</v>
      </c>
      <c r="I1401" s="8">
        <v>248378</v>
      </c>
      <c r="J1401" s="8"/>
      <c r="K1401" s="6" t="s">
        <v>3258</v>
      </c>
      <c r="L1401" s="6" t="s">
        <v>1690</v>
      </c>
      <c r="N1401" s="6" t="s">
        <v>1690</v>
      </c>
      <c r="O1401" s="29">
        <v>0</v>
      </c>
    </row>
    <row r="1402" s="1" customFormat="1" ht="16.35" hidden="1" customHeight="1" spans="1:15">
      <c r="A1402" s="5"/>
      <c r="B1402" s="6" t="s">
        <v>2906</v>
      </c>
      <c r="C1402" s="6">
        <v>2019</v>
      </c>
      <c r="D1402" s="6">
        <v>12</v>
      </c>
      <c r="E1402" s="7">
        <v>38</v>
      </c>
      <c r="F1402" s="6" t="s">
        <v>4121</v>
      </c>
      <c r="G1402" s="6" t="s">
        <v>2908</v>
      </c>
      <c r="H1402" s="6" t="s">
        <v>2909</v>
      </c>
      <c r="I1402" s="8">
        <v>246682</v>
      </c>
      <c r="J1402" s="8"/>
      <c r="K1402" s="6" t="s">
        <v>3259</v>
      </c>
      <c r="L1402" s="6" t="s">
        <v>1692</v>
      </c>
      <c r="N1402" s="6" t="s">
        <v>1692</v>
      </c>
      <c r="O1402" s="29">
        <v>0</v>
      </c>
    </row>
    <row r="1403" s="1" customFormat="1" ht="16.35" hidden="1" customHeight="1" spans="1:15">
      <c r="A1403" s="5"/>
      <c r="B1403" s="6" t="s">
        <v>2906</v>
      </c>
      <c r="C1403" s="6">
        <v>2019</v>
      </c>
      <c r="D1403" s="6">
        <v>12</v>
      </c>
      <c r="E1403" s="7">
        <v>38</v>
      </c>
      <c r="F1403" s="6" t="s">
        <v>4121</v>
      </c>
      <c r="G1403" s="6" t="s">
        <v>2908</v>
      </c>
      <c r="H1403" s="6" t="s">
        <v>2909</v>
      </c>
      <c r="I1403" s="8">
        <v>177291</v>
      </c>
      <c r="J1403" s="8"/>
      <c r="K1403" s="6" t="s">
        <v>3260</v>
      </c>
      <c r="L1403" s="6" t="s">
        <v>1694</v>
      </c>
      <c r="N1403" s="6" t="s">
        <v>1694</v>
      </c>
      <c r="O1403" s="29">
        <v>0</v>
      </c>
    </row>
    <row r="1404" s="1" customFormat="1" ht="16.35" hidden="1" customHeight="1" spans="1:15">
      <c r="A1404" s="5"/>
      <c r="B1404" s="6" t="s">
        <v>2906</v>
      </c>
      <c r="C1404" s="6">
        <v>2019</v>
      </c>
      <c r="D1404" s="6">
        <v>12</v>
      </c>
      <c r="E1404" s="7">
        <v>38</v>
      </c>
      <c r="F1404" s="6" t="s">
        <v>4121</v>
      </c>
      <c r="G1404" s="6" t="s">
        <v>2908</v>
      </c>
      <c r="H1404" s="6" t="s">
        <v>2909</v>
      </c>
      <c r="I1404" s="8">
        <v>318639</v>
      </c>
      <c r="J1404" s="8"/>
      <c r="K1404" s="6" t="s">
        <v>3261</v>
      </c>
      <c r="L1404" s="6" t="s">
        <v>1696</v>
      </c>
      <c r="N1404" s="6" t="s">
        <v>1696</v>
      </c>
      <c r="O1404" s="29">
        <v>0</v>
      </c>
    </row>
    <row r="1405" s="1" customFormat="1" ht="16.35" hidden="1" customHeight="1" spans="1:15">
      <c r="A1405" s="5"/>
      <c r="B1405" s="6" t="s">
        <v>2906</v>
      </c>
      <c r="C1405" s="6">
        <v>2019</v>
      </c>
      <c r="D1405" s="6">
        <v>12</v>
      </c>
      <c r="E1405" s="7">
        <v>38</v>
      </c>
      <c r="F1405" s="6" t="s">
        <v>4121</v>
      </c>
      <c r="G1405" s="6" t="s">
        <v>2908</v>
      </c>
      <c r="H1405" s="6" t="s">
        <v>2909</v>
      </c>
      <c r="I1405" s="8">
        <v>1562</v>
      </c>
      <c r="J1405" s="8"/>
      <c r="K1405" s="6" t="s">
        <v>3262</v>
      </c>
      <c r="L1405" s="6" t="s">
        <v>1700</v>
      </c>
      <c r="N1405" s="6" t="s">
        <v>1700</v>
      </c>
      <c r="O1405" s="29">
        <v>0</v>
      </c>
    </row>
    <row r="1406" s="1" customFormat="1" ht="16.35" hidden="1" customHeight="1" spans="1:15">
      <c r="A1406" s="5"/>
      <c r="B1406" s="6" t="s">
        <v>2906</v>
      </c>
      <c r="C1406" s="6">
        <v>2019</v>
      </c>
      <c r="D1406" s="6">
        <v>12</v>
      </c>
      <c r="E1406" s="7">
        <v>38</v>
      </c>
      <c r="F1406" s="6" t="s">
        <v>4121</v>
      </c>
      <c r="G1406" s="6" t="s">
        <v>2908</v>
      </c>
      <c r="H1406" s="6" t="s">
        <v>2909</v>
      </c>
      <c r="I1406" s="8">
        <v>286551</v>
      </c>
      <c r="J1406" s="8"/>
      <c r="K1406" s="6" t="s">
        <v>3263</v>
      </c>
      <c r="L1406" s="6" t="s">
        <v>1702</v>
      </c>
      <c r="N1406" s="6" t="s">
        <v>1702</v>
      </c>
      <c r="O1406" s="29">
        <v>0</v>
      </c>
    </row>
    <row r="1407" s="1" customFormat="1" ht="16.35" hidden="1" customHeight="1" spans="1:16">
      <c r="A1407" s="5"/>
      <c r="B1407" s="6" t="s">
        <v>2906</v>
      </c>
      <c r="C1407" s="6">
        <v>2019</v>
      </c>
      <c r="D1407" s="6">
        <v>12</v>
      </c>
      <c r="E1407" s="7">
        <v>38</v>
      </c>
      <c r="F1407" s="6" t="s">
        <v>4121</v>
      </c>
      <c r="G1407" s="6" t="s">
        <v>2908</v>
      </c>
      <c r="H1407" s="6" t="s">
        <v>2909</v>
      </c>
      <c r="I1407" s="8">
        <v>28571</v>
      </c>
      <c r="J1407" s="8"/>
      <c r="K1407" s="6" t="s">
        <v>3264</v>
      </c>
      <c r="L1407" s="6" t="s">
        <v>1704</v>
      </c>
      <c r="N1407" s="6" t="s">
        <v>1704</v>
      </c>
      <c r="O1407" s="29">
        <v>0</v>
      </c>
      <c r="P1407" s="1" t="s">
        <v>4122</v>
      </c>
    </row>
    <row r="1408" s="1" customFormat="1" ht="16.35" hidden="1" customHeight="1" spans="1:15">
      <c r="A1408" s="5"/>
      <c r="B1408" s="6" t="s">
        <v>2906</v>
      </c>
      <c r="C1408" s="6">
        <v>2019</v>
      </c>
      <c r="D1408" s="6">
        <v>12</v>
      </c>
      <c r="E1408" s="7">
        <v>38</v>
      </c>
      <c r="F1408" s="6" t="s">
        <v>4121</v>
      </c>
      <c r="G1408" s="6" t="s">
        <v>2908</v>
      </c>
      <c r="H1408" s="6" t="s">
        <v>2909</v>
      </c>
      <c r="I1408" s="8">
        <v>272130</v>
      </c>
      <c r="J1408" s="8"/>
      <c r="K1408" s="6" t="s">
        <v>3266</v>
      </c>
      <c r="L1408" s="6" t="s">
        <v>1707</v>
      </c>
      <c r="N1408" s="6" t="s">
        <v>1707</v>
      </c>
      <c r="O1408" s="29">
        <v>0</v>
      </c>
    </row>
    <row r="1409" s="1" customFormat="1" ht="16.35" hidden="1" customHeight="1" spans="1:15">
      <c r="A1409" s="5"/>
      <c r="B1409" s="6" t="s">
        <v>2906</v>
      </c>
      <c r="C1409" s="6">
        <v>2019</v>
      </c>
      <c r="D1409" s="6">
        <v>12</v>
      </c>
      <c r="E1409" s="7">
        <v>38</v>
      </c>
      <c r="F1409" s="6" t="s">
        <v>4121</v>
      </c>
      <c r="G1409" s="6" t="s">
        <v>2908</v>
      </c>
      <c r="H1409" s="6" t="s">
        <v>2909</v>
      </c>
      <c r="I1409" s="8">
        <v>320566</v>
      </c>
      <c r="J1409" s="8"/>
      <c r="K1409" s="6" t="s">
        <v>3267</v>
      </c>
      <c r="L1409" s="6" t="s">
        <v>1709</v>
      </c>
      <c r="N1409" s="6" t="s">
        <v>1709</v>
      </c>
      <c r="O1409" s="29">
        <v>0</v>
      </c>
    </row>
    <row r="1410" s="1" customFormat="1" ht="16.35" hidden="1" customHeight="1" spans="1:15">
      <c r="A1410" s="5"/>
      <c r="B1410" s="6" t="s">
        <v>2906</v>
      </c>
      <c r="C1410" s="6">
        <v>2019</v>
      </c>
      <c r="D1410" s="6">
        <v>12</v>
      </c>
      <c r="E1410" s="7">
        <v>38</v>
      </c>
      <c r="F1410" s="6" t="s">
        <v>4121</v>
      </c>
      <c r="G1410" s="6" t="s">
        <v>2908</v>
      </c>
      <c r="H1410" s="6" t="s">
        <v>2909</v>
      </c>
      <c r="I1410" s="8">
        <v>248378</v>
      </c>
      <c r="J1410" s="8"/>
      <c r="K1410" s="6" t="s">
        <v>3268</v>
      </c>
      <c r="L1410" s="6" t="s">
        <v>1711</v>
      </c>
      <c r="N1410" s="6" t="s">
        <v>1711</v>
      </c>
      <c r="O1410" s="29">
        <v>0</v>
      </c>
    </row>
    <row r="1411" s="1" customFormat="1" ht="16.35" hidden="1" customHeight="1" spans="1:15">
      <c r="A1411" s="5"/>
      <c r="B1411" s="6" t="s">
        <v>2906</v>
      </c>
      <c r="C1411" s="6">
        <v>2019</v>
      </c>
      <c r="D1411" s="6">
        <v>12</v>
      </c>
      <c r="E1411" s="7">
        <v>38</v>
      </c>
      <c r="F1411" s="6" t="s">
        <v>4121</v>
      </c>
      <c r="G1411" s="6" t="s">
        <v>2908</v>
      </c>
      <c r="H1411" s="6" t="s">
        <v>2909</v>
      </c>
      <c r="I1411" s="8">
        <v>282036</v>
      </c>
      <c r="J1411" s="8"/>
      <c r="K1411" s="6" t="s">
        <v>3269</v>
      </c>
      <c r="L1411" s="6" t="s">
        <v>1713</v>
      </c>
      <c r="N1411" s="6" t="s">
        <v>1713</v>
      </c>
      <c r="O1411" s="29">
        <v>0</v>
      </c>
    </row>
    <row r="1412" s="1" customFormat="1" ht="16.35" hidden="1" customHeight="1" spans="1:15">
      <c r="A1412" s="5"/>
      <c r="B1412" s="6" t="s">
        <v>2906</v>
      </c>
      <c r="C1412" s="6">
        <v>2019</v>
      </c>
      <c r="D1412" s="6">
        <v>12</v>
      </c>
      <c r="E1412" s="7">
        <v>38</v>
      </c>
      <c r="F1412" s="6" t="s">
        <v>4121</v>
      </c>
      <c r="G1412" s="6" t="s">
        <v>2908</v>
      </c>
      <c r="H1412" s="6" t="s">
        <v>2909</v>
      </c>
      <c r="I1412" s="8">
        <v>351</v>
      </c>
      <c r="J1412" s="8"/>
      <c r="K1412" s="6" t="s">
        <v>3270</v>
      </c>
      <c r="L1412" s="6" t="s">
        <v>1035</v>
      </c>
      <c r="N1412" s="6" t="s">
        <v>1035</v>
      </c>
      <c r="O1412" s="29">
        <v>0</v>
      </c>
    </row>
    <row r="1413" s="1" customFormat="1" ht="16.35" hidden="1" customHeight="1" spans="1:15">
      <c r="A1413" s="5"/>
      <c r="B1413" s="6" t="s">
        <v>2906</v>
      </c>
      <c r="C1413" s="6">
        <v>2019</v>
      </c>
      <c r="D1413" s="6">
        <v>12</v>
      </c>
      <c r="E1413" s="7">
        <v>38</v>
      </c>
      <c r="F1413" s="6" t="s">
        <v>4121</v>
      </c>
      <c r="G1413" s="6" t="s">
        <v>2908</v>
      </c>
      <c r="H1413" s="6" t="s">
        <v>2909</v>
      </c>
      <c r="I1413" s="8">
        <v>476</v>
      </c>
      <c r="J1413" s="8"/>
      <c r="K1413" s="6" t="s">
        <v>3271</v>
      </c>
      <c r="L1413" s="6" t="s">
        <v>1037</v>
      </c>
      <c r="N1413" s="6" t="s">
        <v>1037</v>
      </c>
      <c r="O1413" s="29">
        <v>0</v>
      </c>
    </row>
    <row r="1414" s="1" customFormat="1" ht="16.35" hidden="1" customHeight="1" spans="1:15">
      <c r="A1414" s="5"/>
      <c r="B1414" s="6" t="s">
        <v>2906</v>
      </c>
      <c r="C1414" s="6">
        <v>2019</v>
      </c>
      <c r="D1414" s="6">
        <v>12</v>
      </c>
      <c r="E1414" s="7">
        <v>38</v>
      </c>
      <c r="F1414" s="6" t="s">
        <v>4121</v>
      </c>
      <c r="G1414" s="6" t="s">
        <v>2908</v>
      </c>
      <c r="H1414" s="6" t="s">
        <v>2909</v>
      </c>
      <c r="I1414" s="8">
        <v>638</v>
      </c>
      <c r="J1414" s="8"/>
      <c r="K1414" s="6" t="s">
        <v>3272</v>
      </c>
      <c r="L1414" s="6" t="s">
        <v>1041</v>
      </c>
      <c r="N1414" s="6" t="s">
        <v>1041</v>
      </c>
      <c r="O1414" s="29">
        <v>0</v>
      </c>
    </row>
    <row r="1415" s="1" customFormat="1" ht="16.35" hidden="1" customHeight="1" spans="1:15">
      <c r="A1415" s="5"/>
      <c r="B1415" s="6" t="s">
        <v>2906</v>
      </c>
      <c r="C1415" s="6">
        <v>2019</v>
      </c>
      <c r="D1415" s="6">
        <v>12</v>
      </c>
      <c r="E1415" s="7">
        <v>38</v>
      </c>
      <c r="F1415" s="6" t="s">
        <v>4121</v>
      </c>
      <c r="G1415" s="6" t="s">
        <v>2908</v>
      </c>
      <c r="H1415" s="6" t="s">
        <v>2909</v>
      </c>
      <c r="I1415" s="8">
        <v>4762</v>
      </c>
      <c r="J1415" s="8"/>
      <c r="K1415" s="6" t="s">
        <v>3273</v>
      </c>
      <c r="L1415" s="6" t="s">
        <v>1063</v>
      </c>
      <c r="N1415" s="6" t="s">
        <v>1063</v>
      </c>
      <c r="O1415" s="29">
        <v>0</v>
      </c>
    </row>
    <row r="1416" s="1" customFormat="1" ht="16.35" hidden="1" customHeight="1" spans="1:15">
      <c r="A1416" s="5"/>
      <c r="B1416" s="6" t="s">
        <v>2906</v>
      </c>
      <c r="C1416" s="6">
        <v>2019</v>
      </c>
      <c r="D1416" s="6">
        <v>12</v>
      </c>
      <c r="E1416" s="7">
        <v>38</v>
      </c>
      <c r="F1416" s="6" t="s">
        <v>4121</v>
      </c>
      <c r="G1416" s="6" t="s">
        <v>2908</v>
      </c>
      <c r="H1416" s="6" t="s">
        <v>2909</v>
      </c>
      <c r="I1416" s="8">
        <v>229026</v>
      </c>
      <c r="J1416" s="8"/>
      <c r="K1416" s="6" t="s">
        <v>3274</v>
      </c>
      <c r="L1416" s="6" t="s">
        <v>1071</v>
      </c>
      <c r="N1416" s="6" t="s">
        <v>1071</v>
      </c>
      <c r="O1416" s="29">
        <v>0</v>
      </c>
    </row>
    <row r="1417" s="1" customFormat="1" ht="16.35" hidden="1" customHeight="1" spans="1:15">
      <c r="A1417" s="5"/>
      <c r="B1417" s="6" t="s">
        <v>2906</v>
      </c>
      <c r="C1417" s="6">
        <v>2019</v>
      </c>
      <c r="D1417" s="6">
        <v>12</v>
      </c>
      <c r="E1417" s="7">
        <v>38</v>
      </c>
      <c r="F1417" s="6" t="s">
        <v>4121</v>
      </c>
      <c r="G1417" s="6" t="s">
        <v>2908</v>
      </c>
      <c r="H1417" s="6" t="s">
        <v>2909</v>
      </c>
      <c r="I1417" s="8">
        <v>197003</v>
      </c>
      <c r="J1417" s="8"/>
      <c r="K1417" s="6" t="s">
        <v>3275</v>
      </c>
      <c r="L1417" s="6" t="s">
        <v>1073</v>
      </c>
      <c r="N1417" s="6" t="s">
        <v>1073</v>
      </c>
      <c r="O1417" s="29">
        <v>0</v>
      </c>
    </row>
    <row r="1418" s="1" customFormat="1" ht="16.35" hidden="1" customHeight="1" spans="1:15">
      <c r="A1418" s="5"/>
      <c r="B1418" s="6" t="s">
        <v>2906</v>
      </c>
      <c r="C1418" s="6">
        <v>2019</v>
      </c>
      <c r="D1418" s="6">
        <v>12</v>
      </c>
      <c r="E1418" s="7">
        <v>38</v>
      </c>
      <c r="F1418" s="6" t="s">
        <v>4121</v>
      </c>
      <c r="G1418" s="6" t="s">
        <v>2908</v>
      </c>
      <c r="H1418" s="6" t="s">
        <v>2909</v>
      </c>
      <c r="I1418" s="8">
        <v>161952</v>
      </c>
      <c r="J1418" s="8"/>
      <c r="K1418" s="6" t="s">
        <v>3652</v>
      </c>
      <c r="L1418" s="6" t="s">
        <v>1127</v>
      </c>
      <c r="N1418" s="6" t="s">
        <v>1127</v>
      </c>
      <c r="O1418" s="29">
        <v>0</v>
      </c>
    </row>
    <row r="1419" s="1" customFormat="1" ht="16.35" hidden="1" customHeight="1" spans="1:15">
      <c r="A1419" s="5"/>
      <c r="B1419" s="6" t="s">
        <v>2906</v>
      </c>
      <c r="C1419" s="6">
        <v>2019</v>
      </c>
      <c r="D1419" s="6">
        <v>12</v>
      </c>
      <c r="E1419" s="7">
        <v>38</v>
      </c>
      <c r="F1419" s="6" t="s">
        <v>4121</v>
      </c>
      <c r="G1419" s="6" t="s">
        <v>2908</v>
      </c>
      <c r="H1419" s="6" t="s">
        <v>2909</v>
      </c>
      <c r="I1419" s="8">
        <v>241615</v>
      </c>
      <c r="J1419" s="8"/>
      <c r="K1419" s="6" t="s">
        <v>3655</v>
      </c>
      <c r="L1419" s="6" t="s">
        <v>1135</v>
      </c>
      <c r="N1419" s="6" t="s">
        <v>1135</v>
      </c>
      <c r="O1419" s="29">
        <v>0</v>
      </c>
    </row>
    <row r="1420" s="1" customFormat="1" ht="16.35" hidden="1" customHeight="1" spans="1:15">
      <c r="A1420" s="5"/>
      <c r="B1420" s="6" t="s">
        <v>2906</v>
      </c>
      <c r="C1420" s="6">
        <v>2019</v>
      </c>
      <c r="D1420" s="6">
        <v>12</v>
      </c>
      <c r="E1420" s="7">
        <v>38</v>
      </c>
      <c r="F1420" s="6" t="s">
        <v>4121</v>
      </c>
      <c r="G1420" s="6" t="s">
        <v>2908</v>
      </c>
      <c r="H1420" s="6" t="s">
        <v>2909</v>
      </c>
      <c r="I1420" s="8">
        <v>9148</v>
      </c>
      <c r="J1420" s="8"/>
      <c r="K1420" s="6" t="s">
        <v>3657</v>
      </c>
      <c r="L1420" s="6" t="s">
        <v>1101</v>
      </c>
      <c r="N1420" s="6" t="s">
        <v>1101</v>
      </c>
      <c r="O1420" s="29">
        <v>0</v>
      </c>
    </row>
    <row r="1421" s="1" customFormat="1" ht="16.35" hidden="1" customHeight="1" spans="1:15">
      <c r="A1421" s="5"/>
      <c r="B1421" s="6" t="s">
        <v>2906</v>
      </c>
      <c r="C1421" s="6">
        <v>2019</v>
      </c>
      <c r="D1421" s="6">
        <v>12</v>
      </c>
      <c r="E1421" s="7">
        <v>38</v>
      </c>
      <c r="F1421" s="6" t="s">
        <v>4121</v>
      </c>
      <c r="G1421" s="6" t="s">
        <v>2908</v>
      </c>
      <c r="H1421" s="6" t="s">
        <v>2909</v>
      </c>
      <c r="I1421" s="8">
        <v>87649</v>
      </c>
      <c r="J1421" s="8"/>
      <c r="K1421" s="6" t="s">
        <v>3659</v>
      </c>
      <c r="L1421" s="6" t="s">
        <v>1591</v>
      </c>
      <c r="N1421" s="6" t="s">
        <v>1591</v>
      </c>
      <c r="O1421" s="29">
        <v>0</v>
      </c>
    </row>
    <row r="1422" s="1" customFormat="1" ht="16.35" hidden="1" customHeight="1" spans="1:15">
      <c r="A1422" s="5"/>
      <c r="B1422" s="6" t="s">
        <v>2906</v>
      </c>
      <c r="C1422" s="6">
        <v>2019</v>
      </c>
      <c r="D1422" s="6">
        <v>12</v>
      </c>
      <c r="E1422" s="7">
        <v>38</v>
      </c>
      <c r="F1422" s="6" t="s">
        <v>4121</v>
      </c>
      <c r="G1422" s="6" t="s">
        <v>2908</v>
      </c>
      <c r="H1422" s="6" t="s">
        <v>2909</v>
      </c>
      <c r="I1422" s="8">
        <v>1905</v>
      </c>
      <c r="J1422" s="8"/>
      <c r="K1422" s="6" t="s">
        <v>3661</v>
      </c>
      <c r="L1422" s="6" t="s">
        <v>1141</v>
      </c>
      <c r="N1422" s="6" t="s">
        <v>1141</v>
      </c>
      <c r="O1422" s="29">
        <v>0</v>
      </c>
    </row>
    <row r="1423" s="1" customFormat="1" ht="16.35" hidden="1" customHeight="1" spans="1:15">
      <c r="A1423" s="5"/>
      <c r="B1423" s="6" t="s">
        <v>2906</v>
      </c>
      <c r="C1423" s="6">
        <v>2019</v>
      </c>
      <c r="D1423" s="6">
        <v>12</v>
      </c>
      <c r="E1423" s="7">
        <v>38</v>
      </c>
      <c r="F1423" s="6" t="s">
        <v>4121</v>
      </c>
      <c r="G1423" s="6" t="s">
        <v>2908</v>
      </c>
      <c r="H1423" s="6" t="s">
        <v>2909</v>
      </c>
      <c r="I1423" s="8">
        <v>197952</v>
      </c>
      <c r="J1423" s="8"/>
      <c r="K1423" s="6" t="s">
        <v>3663</v>
      </c>
      <c r="L1423" s="6" t="s">
        <v>1170</v>
      </c>
      <c r="N1423" s="6" t="s">
        <v>1170</v>
      </c>
      <c r="O1423" s="29">
        <v>0</v>
      </c>
    </row>
    <row r="1424" s="1" customFormat="1" ht="16.35" hidden="1" customHeight="1" spans="1:15">
      <c r="A1424" s="5"/>
      <c r="B1424" s="6" t="s">
        <v>2906</v>
      </c>
      <c r="C1424" s="6">
        <v>2019</v>
      </c>
      <c r="D1424" s="6">
        <v>12</v>
      </c>
      <c r="E1424" s="7">
        <v>38</v>
      </c>
      <c r="F1424" s="6" t="s">
        <v>4121</v>
      </c>
      <c r="G1424" s="6" t="s">
        <v>2908</v>
      </c>
      <c r="H1424" s="6" t="s">
        <v>2909</v>
      </c>
      <c r="I1424" s="8">
        <v>9524</v>
      </c>
      <c r="J1424" s="8"/>
      <c r="K1424" s="6" t="s">
        <v>3665</v>
      </c>
      <c r="L1424" s="6" t="s">
        <v>1112</v>
      </c>
      <c r="N1424" s="6" t="s">
        <v>1112</v>
      </c>
      <c r="O1424" s="29">
        <v>0</v>
      </c>
    </row>
    <row r="1425" s="1" customFormat="1" ht="16.35" hidden="1" customHeight="1" spans="1:15">
      <c r="A1425" s="5"/>
      <c r="B1425" s="6" t="s">
        <v>2906</v>
      </c>
      <c r="C1425" s="6">
        <v>2019</v>
      </c>
      <c r="D1425" s="6">
        <v>12</v>
      </c>
      <c r="E1425" s="7">
        <v>38</v>
      </c>
      <c r="F1425" s="6" t="s">
        <v>4121</v>
      </c>
      <c r="G1425" s="6" t="s">
        <v>2908</v>
      </c>
      <c r="H1425" s="6" t="s">
        <v>2909</v>
      </c>
      <c r="I1425" s="8">
        <v>206991</v>
      </c>
      <c r="J1425" s="8"/>
      <c r="K1425" s="6" t="s">
        <v>3670</v>
      </c>
      <c r="L1425" s="6" t="s">
        <v>1306</v>
      </c>
      <c r="N1425" s="6" t="s">
        <v>1306</v>
      </c>
      <c r="O1425" s="29">
        <v>0</v>
      </c>
    </row>
    <row r="1426" s="1" customFormat="1" ht="16.35" hidden="1" customHeight="1" spans="1:15">
      <c r="A1426" s="5"/>
      <c r="B1426" s="6" t="s">
        <v>2906</v>
      </c>
      <c r="C1426" s="6">
        <v>2019</v>
      </c>
      <c r="D1426" s="6">
        <v>12</v>
      </c>
      <c r="E1426" s="7">
        <v>38</v>
      </c>
      <c r="F1426" s="6" t="s">
        <v>4121</v>
      </c>
      <c r="G1426" s="6" t="s">
        <v>2908</v>
      </c>
      <c r="H1426" s="6" t="s">
        <v>2909</v>
      </c>
      <c r="I1426" s="8">
        <v>50714</v>
      </c>
      <c r="J1426" s="8"/>
      <c r="K1426" s="6" t="s">
        <v>3673</v>
      </c>
      <c r="L1426" s="6" t="s">
        <v>1507</v>
      </c>
      <c r="N1426" s="6" t="s">
        <v>1507</v>
      </c>
      <c r="O1426" s="29">
        <v>0</v>
      </c>
    </row>
    <row r="1427" s="1" customFormat="1" ht="16.35" hidden="1" customHeight="1" spans="1:15">
      <c r="A1427" s="5"/>
      <c r="B1427" s="6" t="s">
        <v>2906</v>
      </c>
      <c r="C1427" s="6">
        <v>2019</v>
      </c>
      <c r="D1427" s="6">
        <v>12</v>
      </c>
      <c r="E1427" s="7">
        <v>38</v>
      </c>
      <c r="F1427" s="6" t="s">
        <v>4121</v>
      </c>
      <c r="G1427" s="6" t="s">
        <v>2908</v>
      </c>
      <c r="H1427" s="6" t="s">
        <v>2909</v>
      </c>
      <c r="I1427" s="8">
        <v>211045</v>
      </c>
      <c r="J1427" s="8"/>
      <c r="K1427" s="6" t="s">
        <v>3675</v>
      </c>
      <c r="L1427" s="6" t="s">
        <v>1501</v>
      </c>
      <c r="N1427" s="6" t="s">
        <v>1501</v>
      </c>
      <c r="O1427" s="29">
        <v>0</v>
      </c>
    </row>
    <row r="1428" s="1" customFormat="1" ht="16.35" hidden="1" customHeight="1" spans="1:15">
      <c r="A1428" s="5"/>
      <c r="B1428" s="6" t="s">
        <v>2906</v>
      </c>
      <c r="C1428" s="6">
        <v>2019</v>
      </c>
      <c r="D1428" s="6">
        <v>12</v>
      </c>
      <c r="E1428" s="7">
        <v>38</v>
      </c>
      <c r="F1428" s="6" t="s">
        <v>4121</v>
      </c>
      <c r="G1428" s="6" t="s">
        <v>2908</v>
      </c>
      <c r="H1428" s="6" t="s">
        <v>2909</v>
      </c>
      <c r="I1428" s="8">
        <v>211903</v>
      </c>
      <c r="J1428" s="8"/>
      <c r="K1428" s="6" t="s">
        <v>3677</v>
      </c>
      <c r="L1428" s="6" t="s">
        <v>1491</v>
      </c>
      <c r="N1428" s="6" t="s">
        <v>1491</v>
      </c>
      <c r="O1428" s="29">
        <v>0</v>
      </c>
    </row>
    <row r="1429" s="1" customFormat="1" ht="16.35" hidden="1" customHeight="1" spans="1:15">
      <c r="A1429" s="5"/>
      <c r="B1429" s="6" t="s">
        <v>2906</v>
      </c>
      <c r="C1429" s="6">
        <v>2019</v>
      </c>
      <c r="D1429" s="6">
        <v>12</v>
      </c>
      <c r="E1429" s="7">
        <v>38</v>
      </c>
      <c r="F1429" s="6" t="s">
        <v>4121</v>
      </c>
      <c r="G1429" s="6" t="s">
        <v>2908</v>
      </c>
      <c r="H1429" s="6" t="s">
        <v>2909</v>
      </c>
      <c r="I1429" s="8">
        <v>194666</v>
      </c>
      <c r="J1429" s="8"/>
      <c r="K1429" s="6" t="s">
        <v>3679</v>
      </c>
      <c r="L1429" s="6" t="s">
        <v>1029</v>
      </c>
      <c r="N1429" s="6" t="s">
        <v>1029</v>
      </c>
      <c r="O1429" s="29">
        <v>0</v>
      </c>
    </row>
    <row r="1430" s="1" customFormat="1" ht="16.35" hidden="1" customHeight="1" spans="1:15">
      <c r="A1430" s="5"/>
      <c r="B1430" s="6" t="s">
        <v>2906</v>
      </c>
      <c r="C1430" s="6">
        <v>2019</v>
      </c>
      <c r="D1430" s="6">
        <v>12</v>
      </c>
      <c r="E1430" s="7">
        <v>38</v>
      </c>
      <c r="F1430" s="6" t="s">
        <v>4121</v>
      </c>
      <c r="G1430" s="6" t="s">
        <v>2908</v>
      </c>
      <c r="H1430" s="6" t="s">
        <v>2909</v>
      </c>
      <c r="I1430" s="8">
        <v>162052</v>
      </c>
      <c r="J1430" s="8"/>
      <c r="K1430" s="6" t="s">
        <v>3681</v>
      </c>
      <c r="L1430" s="6" t="s">
        <v>1176</v>
      </c>
      <c r="N1430" s="6" t="s">
        <v>1176</v>
      </c>
      <c r="O1430" s="29">
        <v>0</v>
      </c>
    </row>
    <row r="1431" s="1" customFormat="1" ht="16.35" hidden="1" customHeight="1" spans="1:15">
      <c r="A1431" s="5"/>
      <c r="B1431" s="6" t="s">
        <v>2906</v>
      </c>
      <c r="C1431" s="6">
        <v>2019</v>
      </c>
      <c r="D1431" s="6">
        <v>12</v>
      </c>
      <c r="E1431" s="7">
        <v>38</v>
      </c>
      <c r="F1431" s="6" t="s">
        <v>4121</v>
      </c>
      <c r="G1431" s="6" t="s">
        <v>2908</v>
      </c>
      <c r="H1431" s="6" t="s">
        <v>2909</v>
      </c>
      <c r="I1431" s="8">
        <v>152406</v>
      </c>
      <c r="J1431" s="8"/>
      <c r="K1431" s="6" t="s">
        <v>3683</v>
      </c>
      <c r="L1431" s="6" t="s">
        <v>1200</v>
      </c>
      <c r="N1431" s="6" t="s">
        <v>1200</v>
      </c>
      <c r="O1431" s="29">
        <v>0</v>
      </c>
    </row>
    <row r="1432" s="1" customFormat="1" ht="16.35" hidden="1" customHeight="1" spans="1:15">
      <c r="A1432" s="5"/>
      <c r="B1432" s="6" t="s">
        <v>2906</v>
      </c>
      <c r="C1432" s="6">
        <v>2019</v>
      </c>
      <c r="D1432" s="6">
        <v>12</v>
      </c>
      <c r="E1432" s="7">
        <v>38</v>
      </c>
      <c r="F1432" s="6" t="s">
        <v>4121</v>
      </c>
      <c r="G1432" s="6" t="s">
        <v>2908</v>
      </c>
      <c r="H1432" s="6" t="s">
        <v>2909</v>
      </c>
      <c r="I1432" s="8">
        <v>152405</v>
      </c>
      <c r="J1432" s="8"/>
      <c r="K1432" s="6" t="s">
        <v>3686</v>
      </c>
      <c r="L1432" s="6" t="s">
        <v>1154</v>
      </c>
      <c r="N1432" s="6" t="s">
        <v>1154</v>
      </c>
      <c r="O1432" s="29">
        <v>0</v>
      </c>
    </row>
    <row r="1433" s="1" customFormat="1" ht="16.35" hidden="1" customHeight="1" spans="1:15">
      <c r="A1433" s="5"/>
      <c r="B1433" s="6" t="s">
        <v>2906</v>
      </c>
      <c r="C1433" s="6">
        <v>2019</v>
      </c>
      <c r="D1433" s="6">
        <v>12</v>
      </c>
      <c r="E1433" s="7">
        <v>38</v>
      </c>
      <c r="F1433" s="6" t="s">
        <v>4121</v>
      </c>
      <c r="G1433" s="6" t="s">
        <v>2908</v>
      </c>
      <c r="H1433" s="6" t="s">
        <v>2909</v>
      </c>
      <c r="I1433" s="8">
        <v>160930</v>
      </c>
      <c r="J1433" s="8"/>
      <c r="K1433" s="6" t="s">
        <v>3700</v>
      </c>
      <c r="L1433" s="6" t="s">
        <v>1178</v>
      </c>
      <c r="N1433" s="6" t="s">
        <v>1178</v>
      </c>
      <c r="O1433" s="29">
        <v>0</v>
      </c>
    </row>
    <row r="1434" s="1" customFormat="1" ht="16.35" hidden="1" customHeight="1" spans="1:15">
      <c r="A1434" s="5"/>
      <c r="B1434" s="6" t="s">
        <v>2906</v>
      </c>
      <c r="C1434" s="6">
        <v>2019</v>
      </c>
      <c r="D1434" s="6">
        <v>12</v>
      </c>
      <c r="E1434" s="7">
        <v>38</v>
      </c>
      <c r="F1434" s="6" t="s">
        <v>4121</v>
      </c>
      <c r="G1434" s="6" t="s">
        <v>2908</v>
      </c>
      <c r="H1434" s="6" t="s">
        <v>2909</v>
      </c>
      <c r="I1434" s="8">
        <v>218159</v>
      </c>
      <c r="J1434" s="8"/>
      <c r="K1434" s="6" t="s">
        <v>3703</v>
      </c>
      <c r="L1434" s="6" t="s">
        <v>1561</v>
      </c>
      <c r="N1434" s="6" t="s">
        <v>1561</v>
      </c>
      <c r="O1434" s="29">
        <v>0</v>
      </c>
    </row>
    <row r="1435" s="1" customFormat="1" ht="16.35" hidden="1" customHeight="1" spans="1:15">
      <c r="A1435" s="5"/>
      <c r="B1435" s="6" t="s">
        <v>2906</v>
      </c>
      <c r="C1435" s="6">
        <v>2019</v>
      </c>
      <c r="D1435" s="6">
        <v>12</v>
      </c>
      <c r="E1435" s="7">
        <v>38</v>
      </c>
      <c r="F1435" s="6" t="s">
        <v>4121</v>
      </c>
      <c r="G1435" s="6" t="s">
        <v>2908</v>
      </c>
      <c r="H1435" s="6" t="s">
        <v>2909</v>
      </c>
      <c r="I1435" s="8">
        <v>181001</v>
      </c>
      <c r="J1435" s="8"/>
      <c r="K1435" s="6" t="s">
        <v>3705</v>
      </c>
      <c r="L1435" s="6" t="s">
        <v>1519</v>
      </c>
      <c r="N1435" s="6" t="s">
        <v>1519</v>
      </c>
      <c r="O1435" s="29">
        <v>0</v>
      </c>
    </row>
    <row r="1436" s="1" customFormat="1" ht="16.35" hidden="1" customHeight="1" spans="1:15">
      <c r="A1436" s="5"/>
      <c r="B1436" s="6" t="s">
        <v>2906</v>
      </c>
      <c r="C1436" s="6">
        <v>2019</v>
      </c>
      <c r="D1436" s="6">
        <v>12</v>
      </c>
      <c r="E1436" s="7">
        <v>38</v>
      </c>
      <c r="F1436" s="6" t="s">
        <v>4121</v>
      </c>
      <c r="G1436" s="6" t="s">
        <v>2908</v>
      </c>
      <c r="H1436" s="6" t="s">
        <v>2909</v>
      </c>
      <c r="I1436" s="8">
        <v>206825</v>
      </c>
      <c r="J1436" s="8"/>
      <c r="K1436" s="6" t="s">
        <v>3707</v>
      </c>
      <c r="L1436" s="6" t="s">
        <v>1470</v>
      </c>
      <c r="N1436" s="6" t="s">
        <v>1470</v>
      </c>
      <c r="O1436" s="29">
        <v>0</v>
      </c>
    </row>
    <row r="1437" s="1" customFormat="1" ht="16.35" hidden="1" customHeight="1" spans="1:15">
      <c r="A1437" s="5"/>
      <c r="B1437" s="6" t="s">
        <v>2906</v>
      </c>
      <c r="C1437" s="6">
        <v>2019</v>
      </c>
      <c r="D1437" s="6">
        <v>12</v>
      </c>
      <c r="E1437" s="7">
        <v>38</v>
      </c>
      <c r="F1437" s="6" t="s">
        <v>4121</v>
      </c>
      <c r="G1437" s="6" t="s">
        <v>2908</v>
      </c>
      <c r="H1437" s="6" t="s">
        <v>2909</v>
      </c>
      <c r="I1437" s="8">
        <v>178013</v>
      </c>
      <c r="J1437" s="8"/>
      <c r="K1437" s="6" t="s">
        <v>3712</v>
      </c>
      <c r="L1437" s="6" t="s">
        <v>1099</v>
      </c>
      <c r="N1437" s="6" t="s">
        <v>1099</v>
      </c>
      <c r="O1437" s="29">
        <v>0</v>
      </c>
    </row>
    <row r="1438" s="1" customFormat="1" ht="16.35" hidden="1" customHeight="1" spans="1:15">
      <c r="A1438" s="5"/>
      <c r="B1438" s="6" t="s">
        <v>2906</v>
      </c>
      <c r="C1438" s="6">
        <v>2019</v>
      </c>
      <c r="D1438" s="6">
        <v>12</v>
      </c>
      <c r="E1438" s="7">
        <v>38</v>
      </c>
      <c r="F1438" s="6" t="s">
        <v>4121</v>
      </c>
      <c r="G1438" s="6" t="s">
        <v>2908</v>
      </c>
      <c r="H1438" s="6" t="s">
        <v>2909</v>
      </c>
      <c r="I1438" s="8">
        <v>217419</v>
      </c>
      <c r="J1438" s="8"/>
      <c r="K1438" s="6" t="s">
        <v>3714</v>
      </c>
      <c r="L1438" s="6" t="s">
        <v>1194</v>
      </c>
      <c r="N1438" s="6" t="s">
        <v>1194</v>
      </c>
      <c r="O1438" s="29">
        <v>0</v>
      </c>
    </row>
    <row r="1439" s="1" customFormat="1" ht="16.35" hidden="1" customHeight="1" spans="1:15">
      <c r="A1439" s="5"/>
      <c r="B1439" s="6" t="s">
        <v>2906</v>
      </c>
      <c r="C1439" s="6">
        <v>2019</v>
      </c>
      <c r="D1439" s="6">
        <v>12</v>
      </c>
      <c r="E1439" s="7">
        <v>38</v>
      </c>
      <c r="F1439" s="6" t="s">
        <v>4121</v>
      </c>
      <c r="G1439" s="6" t="s">
        <v>2908</v>
      </c>
      <c r="H1439" s="6" t="s">
        <v>2909</v>
      </c>
      <c r="I1439" s="8">
        <v>210477</v>
      </c>
      <c r="J1439" s="8"/>
      <c r="K1439" s="6" t="s">
        <v>3728</v>
      </c>
      <c r="L1439" s="6" t="s">
        <v>1365</v>
      </c>
      <c r="N1439" s="6" t="s">
        <v>1365</v>
      </c>
      <c r="O1439" s="29">
        <v>0</v>
      </c>
    </row>
    <row r="1440" s="1" customFormat="1" ht="16.35" hidden="1" customHeight="1" spans="1:15">
      <c r="A1440" s="5"/>
      <c r="B1440" s="6" t="s">
        <v>2906</v>
      </c>
      <c r="C1440" s="6">
        <v>2019</v>
      </c>
      <c r="D1440" s="6">
        <v>12</v>
      </c>
      <c r="E1440" s="7">
        <v>38</v>
      </c>
      <c r="F1440" s="6" t="s">
        <v>4121</v>
      </c>
      <c r="G1440" s="6" t="s">
        <v>2908</v>
      </c>
      <c r="H1440" s="6" t="s">
        <v>2909</v>
      </c>
      <c r="I1440" s="8">
        <v>43162</v>
      </c>
      <c r="J1440" s="8"/>
      <c r="K1440" s="6" t="s">
        <v>3742</v>
      </c>
      <c r="L1440" s="6" t="s">
        <v>1468</v>
      </c>
      <c r="N1440" s="6" t="s">
        <v>1468</v>
      </c>
      <c r="O1440" s="29">
        <v>0</v>
      </c>
    </row>
    <row r="1441" s="1" customFormat="1" ht="16.35" hidden="1" customHeight="1" spans="1:15">
      <c r="A1441" s="5"/>
      <c r="B1441" s="6" t="s">
        <v>2906</v>
      </c>
      <c r="C1441" s="6">
        <v>2019</v>
      </c>
      <c r="D1441" s="6">
        <v>12</v>
      </c>
      <c r="E1441" s="7">
        <v>38</v>
      </c>
      <c r="F1441" s="6" t="s">
        <v>4121</v>
      </c>
      <c r="G1441" s="6" t="s">
        <v>2908</v>
      </c>
      <c r="H1441" s="6" t="s">
        <v>2909</v>
      </c>
      <c r="I1441" s="8">
        <v>196048</v>
      </c>
      <c r="J1441" s="8"/>
      <c r="K1441" s="6" t="s">
        <v>3744</v>
      </c>
      <c r="L1441" s="6" t="s">
        <v>1146</v>
      </c>
      <c r="N1441" s="6" t="s">
        <v>1146</v>
      </c>
      <c r="O1441" s="29">
        <v>0</v>
      </c>
    </row>
    <row r="1442" s="1" customFormat="1" ht="16.35" hidden="1" customHeight="1" spans="1:15">
      <c r="A1442" s="5"/>
      <c r="B1442" s="6" t="s">
        <v>2906</v>
      </c>
      <c r="C1442" s="6">
        <v>2019</v>
      </c>
      <c r="D1442" s="6">
        <v>12</v>
      </c>
      <c r="E1442" s="7">
        <v>38</v>
      </c>
      <c r="F1442" s="6" t="s">
        <v>4121</v>
      </c>
      <c r="G1442" s="6" t="s">
        <v>2908</v>
      </c>
      <c r="H1442" s="6" t="s">
        <v>2909</v>
      </c>
      <c r="I1442" s="8">
        <v>199380</v>
      </c>
      <c r="J1442" s="8"/>
      <c r="K1442" s="6" t="s">
        <v>3758</v>
      </c>
      <c r="L1442" s="6" t="s">
        <v>1094</v>
      </c>
      <c r="N1442" s="6" t="s">
        <v>1094</v>
      </c>
      <c r="O1442" s="29">
        <v>0</v>
      </c>
    </row>
    <row r="1443" s="1" customFormat="1" ht="16.35" hidden="1" customHeight="1" spans="1:15">
      <c r="A1443" s="5"/>
      <c r="B1443" s="6" t="s">
        <v>2906</v>
      </c>
      <c r="C1443" s="6">
        <v>2019</v>
      </c>
      <c r="D1443" s="6">
        <v>12</v>
      </c>
      <c r="E1443" s="7">
        <v>38</v>
      </c>
      <c r="F1443" s="6" t="s">
        <v>4121</v>
      </c>
      <c r="G1443" s="6" t="s">
        <v>2908</v>
      </c>
      <c r="H1443" s="6" t="s">
        <v>2909</v>
      </c>
      <c r="I1443" s="8">
        <v>179000</v>
      </c>
      <c r="J1443" s="8"/>
      <c r="K1443" s="6" t="s">
        <v>3762</v>
      </c>
      <c r="L1443" s="6" t="s">
        <v>1150</v>
      </c>
      <c r="N1443" s="6" t="s">
        <v>1150</v>
      </c>
      <c r="O1443" s="29">
        <v>0</v>
      </c>
    </row>
    <row r="1444" s="1" customFormat="1" ht="16.35" hidden="1" customHeight="1" spans="1:15">
      <c r="A1444" s="5"/>
      <c r="B1444" s="6" t="s">
        <v>2906</v>
      </c>
      <c r="C1444" s="6">
        <v>2019</v>
      </c>
      <c r="D1444" s="6">
        <v>12</v>
      </c>
      <c r="E1444" s="7">
        <v>38</v>
      </c>
      <c r="F1444" s="6" t="s">
        <v>4121</v>
      </c>
      <c r="G1444" s="6" t="s">
        <v>2908</v>
      </c>
      <c r="H1444" s="6" t="s">
        <v>2909</v>
      </c>
      <c r="I1444" s="8">
        <v>218772</v>
      </c>
      <c r="J1444" s="8"/>
      <c r="K1444" s="6" t="s">
        <v>3766</v>
      </c>
      <c r="L1444" s="6" t="s">
        <v>1275</v>
      </c>
      <c r="N1444" s="6" t="s">
        <v>1275</v>
      </c>
      <c r="O1444" s="29">
        <v>0</v>
      </c>
    </row>
    <row r="1445" s="1" customFormat="1" ht="16.35" hidden="1" customHeight="1" spans="1:15">
      <c r="A1445" s="5"/>
      <c r="B1445" s="6" t="s">
        <v>2906</v>
      </c>
      <c r="C1445" s="6">
        <v>2019</v>
      </c>
      <c r="D1445" s="6">
        <v>12</v>
      </c>
      <c r="E1445" s="7">
        <v>38</v>
      </c>
      <c r="F1445" s="6" t="s">
        <v>4121</v>
      </c>
      <c r="G1445" s="6" t="s">
        <v>2908</v>
      </c>
      <c r="H1445" s="6" t="s">
        <v>2909</v>
      </c>
      <c r="I1445" s="8">
        <v>179000.34</v>
      </c>
      <c r="J1445" s="8"/>
      <c r="K1445" s="6" t="s">
        <v>3768</v>
      </c>
      <c r="L1445" s="6" t="s">
        <v>1174</v>
      </c>
      <c r="N1445" s="6" t="s">
        <v>1174</v>
      </c>
      <c r="O1445" s="29">
        <v>0</v>
      </c>
    </row>
    <row r="1446" s="1" customFormat="1" ht="16.35" hidden="1" customHeight="1" spans="1:15">
      <c r="A1446" s="5"/>
      <c r="B1446" s="6" t="s">
        <v>2906</v>
      </c>
      <c r="C1446" s="6">
        <v>2019</v>
      </c>
      <c r="D1446" s="6">
        <v>12</v>
      </c>
      <c r="E1446" s="7">
        <v>38</v>
      </c>
      <c r="F1446" s="6" t="s">
        <v>4121</v>
      </c>
      <c r="G1446" s="6" t="s">
        <v>2908</v>
      </c>
      <c r="H1446" s="6" t="s">
        <v>2909</v>
      </c>
      <c r="I1446" s="8">
        <v>179000</v>
      </c>
      <c r="J1446" s="8"/>
      <c r="K1446" s="6" t="s">
        <v>3771</v>
      </c>
      <c r="L1446" s="6" t="s">
        <v>1172</v>
      </c>
      <c r="N1446" s="6" t="s">
        <v>1172</v>
      </c>
      <c r="O1446" s="29">
        <v>0</v>
      </c>
    </row>
    <row r="1447" s="1" customFormat="1" ht="16.35" hidden="1" customHeight="1" spans="1:15">
      <c r="A1447" s="5"/>
      <c r="B1447" s="6" t="s">
        <v>2906</v>
      </c>
      <c r="C1447" s="6">
        <v>2019</v>
      </c>
      <c r="D1447" s="6">
        <v>12</v>
      </c>
      <c r="E1447" s="7">
        <v>38</v>
      </c>
      <c r="F1447" s="6" t="s">
        <v>4121</v>
      </c>
      <c r="G1447" s="6" t="s">
        <v>2908</v>
      </c>
      <c r="H1447" s="6" t="s">
        <v>2909</v>
      </c>
      <c r="I1447" s="8">
        <v>244953</v>
      </c>
      <c r="J1447" s="8"/>
      <c r="K1447" s="6" t="s">
        <v>3773</v>
      </c>
      <c r="L1447" s="6" t="s">
        <v>1086</v>
      </c>
      <c r="N1447" s="6" t="s">
        <v>1086</v>
      </c>
      <c r="O1447" s="29">
        <v>0</v>
      </c>
    </row>
    <row r="1448" s="1" customFormat="1" ht="16.35" hidden="1" customHeight="1" spans="1:15">
      <c r="A1448" s="5"/>
      <c r="B1448" s="6" t="s">
        <v>2906</v>
      </c>
      <c r="C1448" s="6">
        <v>2019</v>
      </c>
      <c r="D1448" s="6">
        <v>12</v>
      </c>
      <c r="E1448" s="7">
        <v>38</v>
      </c>
      <c r="F1448" s="6" t="s">
        <v>4121</v>
      </c>
      <c r="G1448" s="6" t="s">
        <v>2908</v>
      </c>
      <c r="H1448" s="6" t="s">
        <v>2909</v>
      </c>
      <c r="I1448" s="8">
        <v>179000</v>
      </c>
      <c r="J1448" s="8"/>
      <c r="K1448" s="6" t="s">
        <v>3776</v>
      </c>
      <c r="L1448" s="6" t="s">
        <v>1196</v>
      </c>
      <c r="N1448" s="6" t="s">
        <v>1196</v>
      </c>
      <c r="O1448" s="29">
        <v>0</v>
      </c>
    </row>
    <row r="1449" s="1" customFormat="1" ht="16.35" hidden="1" customHeight="1" spans="1:15">
      <c r="A1449" s="5"/>
      <c r="B1449" s="6" t="s">
        <v>2906</v>
      </c>
      <c r="C1449" s="6">
        <v>2019</v>
      </c>
      <c r="D1449" s="6">
        <v>12</v>
      </c>
      <c r="E1449" s="7">
        <v>38</v>
      </c>
      <c r="F1449" s="6" t="s">
        <v>4121</v>
      </c>
      <c r="G1449" s="6" t="s">
        <v>2908</v>
      </c>
      <c r="H1449" s="6" t="s">
        <v>2909</v>
      </c>
      <c r="I1449" s="8">
        <v>219915</v>
      </c>
      <c r="J1449" s="8"/>
      <c r="K1449" s="6" t="s">
        <v>3778</v>
      </c>
      <c r="L1449" s="6" t="s">
        <v>1188</v>
      </c>
      <c r="N1449" s="6" t="s">
        <v>1188</v>
      </c>
      <c r="O1449" s="29">
        <v>0</v>
      </c>
    </row>
    <row r="1450" s="1" customFormat="1" ht="16.35" hidden="1" customHeight="1" spans="1:15">
      <c r="A1450" s="5"/>
      <c r="B1450" s="6" t="s">
        <v>2906</v>
      </c>
      <c r="C1450" s="6">
        <v>2019</v>
      </c>
      <c r="D1450" s="6">
        <v>12</v>
      </c>
      <c r="E1450" s="7">
        <v>38</v>
      </c>
      <c r="F1450" s="6" t="s">
        <v>4121</v>
      </c>
      <c r="G1450" s="6" t="s">
        <v>2908</v>
      </c>
      <c r="H1450" s="6" t="s">
        <v>2909</v>
      </c>
      <c r="I1450" s="8">
        <v>9524</v>
      </c>
      <c r="J1450" s="8"/>
      <c r="K1450" s="6" t="s">
        <v>3784</v>
      </c>
      <c r="L1450" s="6" t="s">
        <v>1487</v>
      </c>
      <c r="N1450" s="6" t="s">
        <v>1487</v>
      </c>
      <c r="O1450" s="29">
        <v>0</v>
      </c>
    </row>
    <row r="1451" s="1" customFormat="1" ht="16.35" hidden="1" customHeight="1" spans="1:15">
      <c r="A1451" s="5"/>
      <c r="B1451" s="6" t="s">
        <v>2906</v>
      </c>
      <c r="C1451" s="6">
        <v>2019</v>
      </c>
      <c r="D1451" s="6">
        <v>12</v>
      </c>
      <c r="E1451" s="7">
        <v>38</v>
      </c>
      <c r="F1451" s="6" t="s">
        <v>4121</v>
      </c>
      <c r="G1451" s="6" t="s">
        <v>2908</v>
      </c>
      <c r="H1451" s="6" t="s">
        <v>2909</v>
      </c>
      <c r="I1451" s="8">
        <v>224957</v>
      </c>
      <c r="J1451" s="8"/>
      <c r="K1451" s="6" t="s">
        <v>3787</v>
      </c>
      <c r="L1451" s="6" t="s">
        <v>1511</v>
      </c>
      <c r="N1451" s="6" t="s">
        <v>1511</v>
      </c>
      <c r="O1451" s="29">
        <v>0</v>
      </c>
    </row>
    <row r="1452" s="1" customFormat="1" ht="16.35" hidden="1" customHeight="1" spans="1:15">
      <c r="A1452" s="5"/>
      <c r="B1452" s="6" t="s">
        <v>2906</v>
      </c>
      <c r="C1452" s="6">
        <v>2019</v>
      </c>
      <c r="D1452" s="6">
        <v>12</v>
      </c>
      <c r="E1452" s="7">
        <v>38</v>
      </c>
      <c r="F1452" s="6" t="s">
        <v>4121</v>
      </c>
      <c r="G1452" s="6" t="s">
        <v>2908</v>
      </c>
      <c r="H1452" s="6" t="s">
        <v>2909</v>
      </c>
      <c r="I1452" s="8">
        <v>1905</v>
      </c>
      <c r="J1452" s="8"/>
      <c r="K1452" s="6" t="s">
        <v>3789</v>
      </c>
      <c r="L1452" s="6" t="s">
        <v>1489</v>
      </c>
      <c r="N1452" s="6" t="s">
        <v>1489</v>
      </c>
      <c r="O1452" s="29">
        <v>0</v>
      </c>
    </row>
    <row r="1453" s="1" customFormat="1" ht="16.35" hidden="1" customHeight="1" spans="1:15">
      <c r="A1453" s="5"/>
      <c r="B1453" s="6" t="s">
        <v>2906</v>
      </c>
      <c r="C1453" s="6">
        <v>2019</v>
      </c>
      <c r="D1453" s="6">
        <v>12</v>
      </c>
      <c r="E1453" s="7">
        <v>38</v>
      </c>
      <c r="F1453" s="6" t="s">
        <v>4121</v>
      </c>
      <c r="G1453" s="6" t="s">
        <v>2908</v>
      </c>
      <c r="H1453" s="6" t="s">
        <v>2909</v>
      </c>
      <c r="I1453" s="8">
        <v>200896</v>
      </c>
      <c r="J1453" s="8"/>
      <c r="K1453" s="6" t="s">
        <v>3797</v>
      </c>
      <c r="L1453" s="6" t="s">
        <v>1005</v>
      </c>
      <c r="N1453" s="6" t="s">
        <v>1005</v>
      </c>
      <c r="O1453" s="29">
        <v>0</v>
      </c>
    </row>
    <row r="1454" s="1" customFormat="1" ht="16.35" hidden="1" customHeight="1" spans="1:15">
      <c r="A1454" s="5"/>
      <c r="B1454" s="6" t="s">
        <v>2906</v>
      </c>
      <c r="C1454" s="6">
        <v>2019</v>
      </c>
      <c r="D1454" s="6">
        <v>12</v>
      </c>
      <c r="E1454" s="7">
        <v>38</v>
      </c>
      <c r="F1454" s="6" t="s">
        <v>4121</v>
      </c>
      <c r="G1454" s="6" t="s">
        <v>2908</v>
      </c>
      <c r="H1454" s="6" t="s">
        <v>2909</v>
      </c>
      <c r="I1454" s="8">
        <v>203370</v>
      </c>
      <c r="J1454" s="8"/>
      <c r="K1454" s="6" t="s">
        <v>3799</v>
      </c>
      <c r="L1454" s="6" t="s">
        <v>980</v>
      </c>
      <c r="N1454" s="6" t="s">
        <v>980</v>
      </c>
      <c r="O1454" s="29">
        <v>0</v>
      </c>
    </row>
    <row r="1455" s="1" customFormat="1" ht="16.35" hidden="1" customHeight="1" spans="1:15">
      <c r="A1455" s="5"/>
      <c r="B1455" s="6" t="s">
        <v>2906</v>
      </c>
      <c r="C1455" s="6">
        <v>2019</v>
      </c>
      <c r="D1455" s="6">
        <v>12</v>
      </c>
      <c r="E1455" s="7">
        <v>38</v>
      </c>
      <c r="F1455" s="6" t="s">
        <v>4121</v>
      </c>
      <c r="G1455" s="6" t="s">
        <v>2908</v>
      </c>
      <c r="H1455" s="6" t="s">
        <v>2909</v>
      </c>
      <c r="I1455" s="8">
        <v>196048</v>
      </c>
      <c r="J1455" s="8"/>
      <c r="K1455" s="6" t="s">
        <v>3810</v>
      </c>
      <c r="L1455" s="6" t="s">
        <v>1168</v>
      </c>
      <c r="N1455" s="6" t="s">
        <v>1168</v>
      </c>
      <c r="O1455" s="29">
        <v>0</v>
      </c>
    </row>
    <row r="1456" s="1" customFormat="1" ht="16.35" hidden="1" customHeight="1" spans="1:15">
      <c r="A1456" s="5"/>
      <c r="B1456" s="6" t="s">
        <v>2906</v>
      </c>
      <c r="C1456" s="6">
        <v>2019</v>
      </c>
      <c r="D1456" s="6">
        <v>12</v>
      </c>
      <c r="E1456" s="7">
        <v>38</v>
      </c>
      <c r="F1456" s="6" t="s">
        <v>4121</v>
      </c>
      <c r="G1456" s="6" t="s">
        <v>2908</v>
      </c>
      <c r="H1456" s="6" t="s">
        <v>2909</v>
      </c>
      <c r="I1456" s="8">
        <v>196048</v>
      </c>
      <c r="J1456" s="8"/>
      <c r="K1456" s="6" t="s">
        <v>3812</v>
      </c>
      <c r="L1456" s="6" t="s">
        <v>1192</v>
      </c>
      <c r="N1456" s="6" t="s">
        <v>1192</v>
      </c>
      <c r="O1456" s="29">
        <v>0</v>
      </c>
    </row>
    <row r="1457" s="1" customFormat="1" ht="16.35" hidden="1" customHeight="1" spans="1:15">
      <c r="A1457" s="5"/>
      <c r="B1457" s="6" t="s">
        <v>2906</v>
      </c>
      <c r="C1457" s="6">
        <v>2019</v>
      </c>
      <c r="D1457" s="6">
        <v>12</v>
      </c>
      <c r="E1457" s="7">
        <v>38</v>
      </c>
      <c r="F1457" s="6" t="s">
        <v>4121</v>
      </c>
      <c r="G1457" s="6" t="s">
        <v>2908</v>
      </c>
      <c r="H1457" s="6" t="s">
        <v>2909</v>
      </c>
      <c r="I1457" s="8">
        <v>219737</v>
      </c>
      <c r="J1457" s="8"/>
      <c r="K1457" s="6" t="s">
        <v>3816</v>
      </c>
      <c r="L1457" s="6" t="s">
        <v>1446</v>
      </c>
      <c r="N1457" s="6" t="s">
        <v>1446</v>
      </c>
      <c r="O1457" s="29">
        <v>0</v>
      </c>
    </row>
    <row r="1458" s="1" customFormat="1" ht="16.35" hidden="1" customHeight="1" spans="1:15">
      <c r="A1458" s="5"/>
      <c r="B1458" s="6" t="s">
        <v>2906</v>
      </c>
      <c r="C1458" s="6">
        <v>2019</v>
      </c>
      <c r="D1458" s="6">
        <v>12</v>
      </c>
      <c r="E1458" s="7">
        <v>38</v>
      </c>
      <c r="F1458" s="6" t="s">
        <v>4121</v>
      </c>
      <c r="G1458" s="6" t="s">
        <v>2908</v>
      </c>
      <c r="H1458" s="6" t="s">
        <v>2909</v>
      </c>
      <c r="I1458" s="8">
        <v>220579</v>
      </c>
      <c r="J1458" s="8"/>
      <c r="K1458" s="6" t="s">
        <v>3821</v>
      </c>
      <c r="L1458" s="6" t="s">
        <v>1445</v>
      </c>
      <c r="N1458" s="6" t="s">
        <v>1445</v>
      </c>
      <c r="O1458" s="29">
        <v>0</v>
      </c>
    </row>
    <row r="1459" s="1" customFormat="1" ht="16.35" hidden="1" customHeight="1" spans="1:15">
      <c r="A1459" s="5"/>
      <c r="B1459" s="6" t="s">
        <v>2906</v>
      </c>
      <c r="C1459" s="6">
        <v>2019</v>
      </c>
      <c r="D1459" s="6">
        <v>12</v>
      </c>
      <c r="E1459" s="7">
        <v>38</v>
      </c>
      <c r="F1459" s="6" t="s">
        <v>4121</v>
      </c>
      <c r="G1459" s="6" t="s">
        <v>2908</v>
      </c>
      <c r="H1459" s="6" t="s">
        <v>2909</v>
      </c>
      <c r="I1459" s="8">
        <v>219736</v>
      </c>
      <c r="J1459" s="8"/>
      <c r="K1459" s="6" t="s">
        <v>3831</v>
      </c>
      <c r="L1459" s="6" t="s">
        <v>1429</v>
      </c>
      <c r="N1459" s="6" t="s">
        <v>1429</v>
      </c>
      <c r="O1459" s="29">
        <v>0</v>
      </c>
    </row>
    <row r="1460" s="1" customFormat="1" ht="16.35" hidden="1" customHeight="1" spans="1:15">
      <c r="A1460" s="5"/>
      <c r="B1460" s="6" t="s">
        <v>2906</v>
      </c>
      <c r="C1460" s="6">
        <v>2019</v>
      </c>
      <c r="D1460" s="6">
        <v>12</v>
      </c>
      <c r="E1460" s="7">
        <v>38</v>
      </c>
      <c r="F1460" s="6" t="s">
        <v>4121</v>
      </c>
      <c r="G1460" s="6" t="s">
        <v>2908</v>
      </c>
      <c r="H1460" s="6" t="s">
        <v>2909</v>
      </c>
      <c r="I1460" s="8">
        <v>248750</v>
      </c>
      <c r="J1460" s="8"/>
      <c r="K1460" s="6" t="s">
        <v>3829</v>
      </c>
      <c r="L1460" s="6" t="s">
        <v>1190</v>
      </c>
      <c r="N1460" s="6" t="s">
        <v>1190</v>
      </c>
      <c r="O1460" s="29">
        <v>0</v>
      </c>
    </row>
    <row r="1461" s="1" customFormat="1" ht="16.35" hidden="1" customHeight="1" spans="1:15">
      <c r="A1461" s="5"/>
      <c r="B1461" s="6" t="s">
        <v>2906</v>
      </c>
      <c r="C1461" s="6">
        <v>2019</v>
      </c>
      <c r="D1461" s="6">
        <v>12</v>
      </c>
      <c r="E1461" s="7">
        <v>38</v>
      </c>
      <c r="F1461" s="6" t="s">
        <v>4121</v>
      </c>
      <c r="G1461" s="6" t="s">
        <v>2908</v>
      </c>
      <c r="H1461" s="6" t="s">
        <v>2909</v>
      </c>
      <c r="I1461" s="8">
        <v>247180</v>
      </c>
      <c r="J1461" s="8"/>
      <c r="K1461" s="6" t="s">
        <v>3836</v>
      </c>
      <c r="L1461" s="6" t="s">
        <v>1649</v>
      </c>
      <c r="N1461" s="6" t="s">
        <v>1649</v>
      </c>
      <c r="O1461" s="29">
        <v>0</v>
      </c>
    </row>
    <row r="1462" s="1" customFormat="1" ht="16.35" hidden="1" customHeight="1" spans="1:15">
      <c r="A1462" s="5"/>
      <c r="B1462" s="6" t="s">
        <v>2906</v>
      </c>
      <c r="C1462" s="6">
        <v>2019</v>
      </c>
      <c r="D1462" s="6">
        <v>12</v>
      </c>
      <c r="E1462" s="7">
        <v>38</v>
      </c>
      <c r="F1462" s="6" t="s">
        <v>4121</v>
      </c>
      <c r="G1462" s="6" t="s">
        <v>2908</v>
      </c>
      <c r="H1462" s="6" t="s">
        <v>2909</v>
      </c>
      <c r="I1462" s="8">
        <v>292817</v>
      </c>
      <c r="J1462" s="8"/>
      <c r="K1462" s="6" t="s">
        <v>3839</v>
      </c>
      <c r="L1462" s="6" t="s">
        <v>1613</v>
      </c>
      <c r="N1462" s="6" t="s">
        <v>1613</v>
      </c>
      <c r="O1462" s="29">
        <v>0</v>
      </c>
    </row>
    <row r="1463" s="1" customFormat="1" ht="16.35" hidden="1" customHeight="1" spans="1:15">
      <c r="A1463" s="5"/>
      <c r="B1463" s="6" t="s">
        <v>2906</v>
      </c>
      <c r="C1463" s="6">
        <v>2019</v>
      </c>
      <c r="D1463" s="6">
        <v>12</v>
      </c>
      <c r="E1463" s="7">
        <v>38</v>
      </c>
      <c r="F1463" s="6" t="s">
        <v>4121</v>
      </c>
      <c r="G1463" s="6" t="s">
        <v>2908</v>
      </c>
      <c r="H1463" s="6" t="s">
        <v>2909</v>
      </c>
      <c r="I1463" s="8">
        <v>207109</v>
      </c>
      <c r="J1463" s="8"/>
      <c r="K1463" s="6" t="s">
        <v>3844</v>
      </c>
      <c r="L1463" s="6" t="s">
        <v>1443</v>
      </c>
      <c r="N1463" s="6" t="s">
        <v>1443</v>
      </c>
      <c r="O1463" s="29">
        <v>0</v>
      </c>
    </row>
    <row r="1464" s="1" customFormat="1" ht="16.35" hidden="1" customHeight="1" spans="1:15">
      <c r="A1464" s="5"/>
      <c r="B1464" s="6" t="s">
        <v>2906</v>
      </c>
      <c r="C1464" s="6">
        <v>2019</v>
      </c>
      <c r="D1464" s="6">
        <v>12</v>
      </c>
      <c r="E1464" s="7">
        <v>38</v>
      </c>
      <c r="F1464" s="6" t="s">
        <v>4121</v>
      </c>
      <c r="G1464" s="6" t="s">
        <v>2908</v>
      </c>
      <c r="H1464" s="6" t="s">
        <v>2909</v>
      </c>
      <c r="I1464" s="8">
        <v>953</v>
      </c>
      <c r="J1464" s="8"/>
      <c r="K1464" s="6" t="s">
        <v>3866</v>
      </c>
      <c r="L1464" s="6" t="s">
        <v>1104</v>
      </c>
      <c r="N1464" s="6" t="s">
        <v>1104</v>
      </c>
      <c r="O1464" s="29">
        <v>0</v>
      </c>
    </row>
    <row r="1465" s="1" customFormat="1" ht="16.35" hidden="1" customHeight="1" spans="1:15">
      <c r="A1465" s="5"/>
      <c r="B1465" s="6" t="s">
        <v>2906</v>
      </c>
      <c r="C1465" s="6">
        <v>2019</v>
      </c>
      <c r="D1465" s="6">
        <v>12</v>
      </c>
      <c r="E1465" s="7">
        <v>38</v>
      </c>
      <c r="F1465" s="6" t="s">
        <v>4121</v>
      </c>
      <c r="G1465" s="6" t="s">
        <v>2908</v>
      </c>
      <c r="H1465" s="6" t="s">
        <v>2909</v>
      </c>
      <c r="I1465" s="8">
        <v>247564</v>
      </c>
      <c r="J1465" s="8"/>
      <c r="K1465" s="6" t="s">
        <v>3862</v>
      </c>
      <c r="L1465" s="6" t="s">
        <v>1131</v>
      </c>
      <c r="N1465" s="6" t="s">
        <v>1131</v>
      </c>
      <c r="O1465" s="29">
        <v>0</v>
      </c>
    </row>
    <row r="1466" s="1" customFormat="1" ht="16.35" hidden="1" customHeight="1" spans="1:15">
      <c r="A1466" s="5"/>
      <c r="B1466" s="6" t="s">
        <v>2906</v>
      </c>
      <c r="C1466" s="6">
        <v>2019</v>
      </c>
      <c r="D1466" s="6">
        <v>12</v>
      </c>
      <c r="E1466" s="7">
        <v>38</v>
      </c>
      <c r="F1466" s="6" t="s">
        <v>4121</v>
      </c>
      <c r="G1466" s="6" t="s">
        <v>2908</v>
      </c>
      <c r="H1466" s="6" t="s">
        <v>2909</v>
      </c>
      <c r="I1466" s="8">
        <v>210101</v>
      </c>
      <c r="J1466" s="8"/>
      <c r="K1466" s="6" t="s">
        <v>3864</v>
      </c>
      <c r="L1466" s="6" t="s">
        <v>1505</v>
      </c>
      <c r="N1466" s="6" t="s">
        <v>1505</v>
      </c>
      <c r="O1466" s="29">
        <v>0</v>
      </c>
    </row>
    <row r="1467" s="1" customFormat="1" ht="16.35" hidden="1" customHeight="1" spans="1:15">
      <c r="A1467" s="5"/>
      <c r="B1467" s="6" t="s">
        <v>2906</v>
      </c>
      <c r="C1467" s="6">
        <v>2019</v>
      </c>
      <c r="D1467" s="6">
        <v>12</v>
      </c>
      <c r="E1467" s="7">
        <v>38</v>
      </c>
      <c r="F1467" s="6" t="s">
        <v>4121</v>
      </c>
      <c r="G1467" s="6" t="s">
        <v>2908</v>
      </c>
      <c r="H1467" s="6" t="s">
        <v>2909</v>
      </c>
      <c r="I1467" s="8">
        <v>199379</v>
      </c>
      <c r="J1467" s="8"/>
      <c r="K1467" s="6" t="s">
        <v>3834</v>
      </c>
      <c r="L1467" s="6" t="s">
        <v>1198</v>
      </c>
      <c r="N1467" s="6" t="s">
        <v>1198</v>
      </c>
      <c r="O1467" s="29">
        <v>0</v>
      </c>
    </row>
    <row r="1468" s="1" customFormat="1" ht="16.35" hidden="1" customHeight="1" spans="1:15">
      <c r="A1468" s="5"/>
      <c r="B1468" s="6" t="s">
        <v>2906</v>
      </c>
      <c r="C1468" s="6">
        <v>2019</v>
      </c>
      <c r="D1468" s="6">
        <v>12</v>
      </c>
      <c r="E1468" s="7">
        <v>38</v>
      </c>
      <c r="F1468" s="6" t="s">
        <v>4121</v>
      </c>
      <c r="G1468" s="6" t="s">
        <v>2908</v>
      </c>
      <c r="H1468" s="6" t="s">
        <v>2909</v>
      </c>
      <c r="I1468" s="8">
        <v>218210</v>
      </c>
      <c r="J1468" s="8"/>
      <c r="K1468" s="6" t="s">
        <v>3871</v>
      </c>
      <c r="L1468" s="6" t="s">
        <v>1164</v>
      </c>
      <c r="N1468" s="6" t="s">
        <v>1164</v>
      </c>
      <c r="O1468" s="29">
        <v>0</v>
      </c>
    </row>
    <row r="1469" s="1" customFormat="1" ht="16.35" hidden="1" customHeight="1" spans="1:15">
      <c r="A1469" s="5"/>
      <c r="B1469" s="6" t="s">
        <v>2906</v>
      </c>
      <c r="C1469" s="6">
        <v>2019</v>
      </c>
      <c r="D1469" s="6">
        <v>12</v>
      </c>
      <c r="E1469" s="7">
        <v>38</v>
      </c>
      <c r="F1469" s="6" t="s">
        <v>4121</v>
      </c>
      <c r="G1469" s="6" t="s">
        <v>2908</v>
      </c>
      <c r="H1469" s="6" t="s">
        <v>2909</v>
      </c>
      <c r="I1469" s="8">
        <v>218210</v>
      </c>
      <c r="J1469" s="8"/>
      <c r="K1469" s="6" t="s">
        <v>3873</v>
      </c>
      <c r="L1469" s="6" t="s">
        <v>1166</v>
      </c>
      <c r="N1469" s="6" t="s">
        <v>1166</v>
      </c>
      <c r="O1469" s="29">
        <v>0</v>
      </c>
    </row>
    <row r="1470" s="1" customFormat="1" ht="16.35" hidden="1" customHeight="1" spans="1:15">
      <c r="A1470" s="5"/>
      <c r="B1470" s="6" t="s">
        <v>2906</v>
      </c>
      <c r="C1470" s="6">
        <v>2019</v>
      </c>
      <c r="D1470" s="6">
        <v>12</v>
      </c>
      <c r="E1470" s="7">
        <v>38</v>
      </c>
      <c r="F1470" s="6" t="s">
        <v>4121</v>
      </c>
      <c r="G1470" s="6" t="s">
        <v>2908</v>
      </c>
      <c r="H1470" s="6" t="s">
        <v>2909</v>
      </c>
      <c r="I1470" s="8">
        <v>218210</v>
      </c>
      <c r="J1470" s="8"/>
      <c r="K1470" s="6" t="s">
        <v>3875</v>
      </c>
      <c r="L1470" s="6" t="s">
        <v>1114</v>
      </c>
      <c r="N1470" s="6" t="s">
        <v>1114</v>
      </c>
      <c r="O1470" s="29">
        <v>0</v>
      </c>
    </row>
    <row r="1471" s="1" customFormat="1" ht="16.35" hidden="1" customHeight="1" spans="1:15">
      <c r="A1471" s="5"/>
      <c r="B1471" s="6" t="s">
        <v>2906</v>
      </c>
      <c r="C1471" s="6">
        <v>2019</v>
      </c>
      <c r="D1471" s="6">
        <v>12</v>
      </c>
      <c r="E1471" s="7">
        <v>38</v>
      </c>
      <c r="F1471" s="6" t="s">
        <v>4121</v>
      </c>
      <c r="G1471" s="6" t="s">
        <v>2908</v>
      </c>
      <c r="H1471" s="6" t="s">
        <v>2909</v>
      </c>
      <c r="I1471" s="8">
        <v>179253</v>
      </c>
      <c r="J1471" s="8"/>
      <c r="K1471" s="6" t="s">
        <v>3881</v>
      </c>
      <c r="L1471" s="6" t="s">
        <v>1202</v>
      </c>
      <c r="N1471" s="6" t="s">
        <v>1202</v>
      </c>
      <c r="O1471" s="29">
        <v>0</v>
      </c>
    </row>
    <row r="1472" s="1" customFormat="1" ht="16.35" hidden="1" customHeight="1" spans="1:15">
      <c r="A1472" s="5"/>
      <c r="B1472" s="6" t="s">
        <v>2906</v>
      </c>
      <c r="C1472" s="6">
        <v>2019</v>
      </c>
      <c r="D1472" s="6">
        <v>12</v>
      </c>
      <c r="E1472" s="7">
        <v>38</v>
      </c>
      <c r="F1472" s="6" t="s">
        <v>4121</v>
      </c>
      <c r="G1472" s="6" t="s">
        <v>2908</v>
      </c>
      <c r="H1472" s="6" t="s">
        <v>2909</v>
      </c>
      <c r="I1472" s="8">
        <v>202890</v>
      </c>
      <c r="J1472" s="8"/>
      <c r="K1472" s="6" t="s">
        <v>3889</v>
      </c>
      <c r="L1472" s="6" t="s">
        <v>1148</v>
      </c>
      <c r="N1472" s="6" t="s">
        <v>1148</v>
      </c>
      <c r="O1472" s="29">
        <v>0</v>
      </c>
    </row>
    <row r="1473" s="1" customFormat="1" ht="16.35" hidden="1" customHeight="1" spans="1:15">
      <c r="A1473" s="5"/>
      <c r="B1473" s="6" t="s">
        <v>2906</v>
      </c>
      <c r="C1473" s="6">
        <v>2019</v>
      </c>
      <c r="D1473" s="6">
        <v>12</v>
      </c>
      <c r="E1473" s="7">
        <v>38</v>
      </c>
      <c r="F1473" s="6" t="s">
        <v>4121</v>
      </c>
      <c r="G1473" s="6" t="s">
        <v>2908</v>
      </c>
      <c r="H1473" s="6" t="s">
        <v>2909</v>
      </c>
      <c r="I1473" s="8">
        <v>188840</v>
      </c>
      <c r="J1473" s="8"/>
      <c r="K1473" s="6" t="s">
        <v>3893</v>
      </c>
      <c r="L1473" s="6" t="s">
        <v>1474</v>
      </c>
      <c r="N1473" s="6" t="s">
        <v>1474</v>
      </c>
      <c r="O1473" s="29">
        <v>0</v>
      </c>
    </row>
    <row r="1474" s="1" customFormat="1" ht="16.35" hidden="1" customHeight="1" spans="1:15">
      <c r="A1474" s="5"/>
      <c r="B1474" s="6" t="s">
        <v>2906</v>
      </c>
      <c r="C1474" s="6">
        <v>2019</v>
      </c>
      <c r="D1474" s="6">
        <v>12</v>
      </c>
      <c r="E1474" s="7">
        <v>38</v>
      </c>
      <c r="F1474" s="6" t="s">
        <v>4121</v>
      </c>
      <c r="G1474" s="6" t="s">
        <v>2908</v>
      </c>
      <c r="H1474" s="6" t="s">
        <v>2909</v>
      </c>
      <c r="I1474" s="8">
        <v>286</v>
      </c>
      <c r="J1474" s="8"/>
      <c r="K1474" s="6" t="s">
        <v>3895</v>
      </c>
      <c r="L1474" s="6" t="s">
        <v>1007</v>
      </c>
      <c r="N1474" s="6" t="s">
        <v>1007</v>
      </c>
      <c r="O1474" s="29">
        <v>0</v>
      </c>
    </row>
    <row r="1475" s="1" customFormat="1" ht="16.35" hidden="1" customHeight="1" spans="1:15">
      <c r="A1475" s="5"/>
      <c r="B1475" s="6" t="s">
        <v>2906</v>
      </c>
      <c r="C1475" s="6">
        <v>2019</v>
      </c>
      <c r="D1475" s="6">
        <v>12</v>
      </c>
      <c r="E1475" s="7">
        <v>38</v>
      </c>
      <c r="F1475" s="6" t="s">
        <v>4121</v>
      </c>
      <c r="G1475" s="6" t="s">
        <v>2908</v>
      </c>
      <c r="H1475" s="6" t="s">
        <v>2909</v>
      </c>
      <c r="I1475" s="8">
        <v>210766</v>
      </c>
      <c r="J1475" s="8"/>
      <c r="K1475" s="6" t="s">
        <v>3909</v>
      </c>
      <c r="L1475" s="6" t="s">
        <v>1464</v>
      </c>
      <c r="N1475" s="6" t="s">
        <v>1464</v>
      </c>
      <c r="O1475" s="29">
        <v>0</v>
      </c>
    </row>
    <row r="1476" s="1" customFormat="1" ht="16.35" hidden="1" customHeight="1" spans="1:15">
      <c r="A1476" s="5"/>
      <c r="B1476" s="6" t="s">
        <v>2906</v>
      </c>
      <c r="C1476" s="6">
        <v>2019</v>
      </c>
      <c r="D1476" s="6">
        <v>12</v>
      </c>
      <c r="E1476" s="7">
        <v>38</v>
      </c>
      <c r="F1476" s="6" t="s">
        <v>4121</v>
      </c>
      <c r="G1476" s="6" t="s">
        <v>2908</v>
      </c>
      <c r="H1476" s="6" t="s">
        <v>2909</v>
      </c>
      <c r="I1476" s="8">
        <v>188477</v>
      </c>
      <c r="J1476" s="8"/>
      <c r="K1476" s="6" t="s">
        <v>3920</v>
      </c>
      <c r="L1476" s="6" t="s">
        <v>1125</v>
      </c>
      <c r="N1476" s="6" t="s">
        <v>1125</v>
      </c>
      <c r="O1476" s="29">
        <v>0</v>
      </c>
    </row>
    <row r="1477" s="1" customFormat="1" ht="16.35" hidden="1" customHeight="1" spans="1:15">
      <c r="A1477" s="5"/>
      <c r="B1477" s="6" t="s">
        <v>2906</v>
      </c>
      <c r="C1477" s="6">
        <v>2019</v>
      </c>
      <c r="D1477" s="6">
        <v>12</v>
      </c>
      <c r="E1477" s="7">
        <v>38</v>
      </c>
      <c r="F1477" s="6" t="s">
        <v>4121</v>
      </c>
      <c r="G1477" s="6" t="s">
        <v>2908</v>
      </c>
      <c r="H1477" s="6" t="s">
        <v>2909</v>
      </c>
      <c r="I1477" s="8">
        <v>203374</v>
      </c>
      <c r="J1477" s="8"/>
      <c r="K1477" s="6" t="s">
        <v>3922</v>
      </c>
      <c r="L1477" s="6" t="s">
        <v>1290</v>
      </c>
      <c r="N1477" s="6" t="s">
        <v>1290</v>
      </c>
      <c r="O1477" s="29">
        <v>0</v>
      </c>
    </row>
    <row r="1478" s="1" customFormat="1" ht="16.35" hidden="1" customHeight="1" spans="1:15">
      <c r="A1478" s="5"/>
      <c r="B1478" s="6" t="s">
        <v>2906</v>
      </c>
      <c r="C1478" s="6">
        <v>2019</v>
      </c>
      <c r="D1478" s="6">
        <v>12</v>
      </c>
      <c r="E1478" s="7">
        <v>38</v>
      </c>
      <c r="F1478" s="6" t="s">
        <v>4121</v>
      </c>
      <c r="G1478" s="6" t="s">
        <v>2908</v>
      </c>
      <c r="H1478" s="6" t="s">
        <v>2909</v>
      </c>
      <c r="I1478" s="8">
        <v>115243</v>
      </c>
      <c r="J1478" s="8"/>
      <c r="K1478" s="6" t="s">
        <v>3926</v>
      </c>
      <c r="L1478" s="6" t="s">
        <v>979</v>
      </c>
      <c r="N1478" s="6" t="s">
        <v>979</v>
      </c>
      <c r="O1478" s="29">
        <v>0</v>
      </c>
    </row>
    <row r="1479" s="1" customFormat="1" ht="16.35" hidden="1" customHeight="1" spans="1:16">
      <c r="A1479" s="5"/>
      <c r="B1479" s="6" t="s">
        <v>2906</v>
      </c>
      <c r="C1479" s="6">
        <v>2019</v>
      </c>
      <c r="D1479" s="6">
        <v>12</v>
      </c>
      <c r="E1479" s="7">
        <v>38</v>
      </c>
      <c r="F1479" s="6" t="s">
        <v>4121</v>
      </c>
      <c r="G1479" s="6" t="s">
        <v>2908</v>
      </c>
      <c r="H1479" s="6" t="s">
        <v>2909</v>
      </c>
      <c r="I1479" s="8">
        <v>195429</v>
      </c>
      <c r="J1479" s="8"/>
      <c r="K1479" s="6" t="s">
        <v>3929</v>
      </c>
      <c r="L1479" s="6" t="s">
        <v>1483</v>
      </c>
      <c r="N1479" s="6" t="s">
        <v>1483</v>
      </c>
      <c r="O1479" s="29">
        <v>0</v>
      </c>
      <c r="P1479" s="1">
        <f>O1479-J1479</f>
        <v>0</v>
      </c>
    </row>
    <row r="1480" s="1" customFormat="1" ht="16.35" hidden="1" customHeight="1" spans="1:16">
      <c r="A1480" s="5"/>
      <c r="B1480" s="6" t="s">
        <v>2906</v>
      </c>
      <c r="C1480" s="6">
        <v>2019</v>
      </c>
      <c r="D1480" s="6">
        <v>12</v>
      </c>
      <c r="E1480" s="7">
        <v>38</v>
      </c>
      <c r="F1480" s="6" t="s">
        <v>4121</v>
      </c>
      <c r="G1480" s="6" t="s">
        <v>2908</v>
      </c>
      <c r="H1480" s="6" t="s">
        <v>2909</v>
      </c>
      <c r="I1480" s="8">
        <v>952</v>
      </c>
      <c r="J1480" s="8"/>
      <c r="K1480" s="6" t="s">
        <v>3931</v>
      </c>
      <c r="L1480" s="6" t="s">
        <v>1523</v>
      </c>
      <c r="N1480" s="6" t="s">
        <v>1523</v>
      </c>
      <c r="O1480" s="29">
        <v>0</v>
      </c>
      <c r="P1480" s="1">
        <f>O1480-J1480</f>
        <v>0</v>
      </c>
    </row>
    <row r="1481" s="1" customFormat="1" ht="16.35" hidden="1" customHeight="1" spans="1:15">
      <c r="A1481" s="5"/>
      <c r="B1481" s="6" t="s">
        <v>2906</v>
      </c>
      <c r="C1481" s="6">
        <v>2019</v>
      </c>
      <c r="D1481" s="6">
        <v>12</v>
      </c>
      <c r="E1481" s="7">
        <v>38</v>
      </c>
      <c r="F1481" s="6" t="s">
        <v>4121</v>
      </c>
      <c r="G1481" s="6" t="s">
        <v>2908</v>
      </c>
      <c r="H1481" s="6" t="s">
        <v>2909</v>
      </c>
      <c r="I1481" s="8">
        <v>203740</v>
      </c>
      <c r="J1481" s="8"/>
      <c r="K1481" s="6" t="s">
        <v>3933</v>
      </c>
      <c r="L1481" s="6" t="s">
        <v>1385</v>
      </c>
      <c r="N1481" s="6" t="s">
        <v>1385</v>
      </c>
      <c r="O1481" s="29">
        <v>0</v>
      </c>
    </row>
    <row r="1482" s="1" customFormat="1" ht="16.35" hidden="1" customHeight="1" spans="1:16">
      <c r="A1482" s="5"/>
      <c r="B1482" s="6" t="s">
        <v>2906</v>
      </c>
      <c r="C1482" s="6">
        <v>2019</v>
      </c>
      <c r="D1482" s="6">
        <v>12</v>
      </c>
      <c r="E1482" s="7">
        <v>38</v>
      </c>
      <c r="F1482" s="6" t="s">
        <v>4121</v>
      </c>
      <c r="G1482" s="6" t="s">
        <v>2908</v>
      </c>
      <c r="H1482" s="6" t="s">
        <v>2909</v>
      </c>
      <c r="I1482" s="8">
        <v>165337</v>
      </c>
      <c r="J1482" s="8"/>
      <c r="K1482" s="6" t="s">
        <v>3936</v>
      </c>
      <c r="L1482" s="6" t="s">
        <v>1152</v>
      </c>
      <c r="N1482" s="6" t="s">
        <v>1152</v>
      </c>
      <c r="O1482" s="29">
        <v>0</v>
      </c>
      <c r="P1482" s="1">
        <f>O1482-J1482</f>
        <v>0</v>
      </c>
    </row>
    <row r="1483" s="1" customFormat="1" ht="16.35" hidden="1" customHeight="1" spans="1:15">
      <c r="A1483" s="5"/>
      <c r="B1483" s="6" t="s">
        <v>2906</v>
      </c>
      <c r="C1483" s="6">
        <v>2019</v>
      </c>
      <c r="D1483" s="6">
        <v>12</v>
      </c>
      <c r="E1483" s="7">
        <v>38</v>
      </c>
      <c r="F1483" s="6" t="s">
        <v>4121</v>
      </c>
      <c r="G1483" s="6" t="s">
        <v>2908</v>
      </c>
      <c r="H1483" s="6" t="s">
        <v>2909</v>
      </c>
      <c r="I1483" s="8">
        <v>155812</v>
      </c>
      <c r="J1483" s="8"/>
      <c r="K1483" s="6" t="s">
        <v>3938</v>
      </c>
      <c r="L1483" s="6" t="s">
        <v>1129</v>
      </c>
      <c r="N1483" s="6" t="s">
        <v>1129</v>
      </c>
      <c r="O1483" s="29">
        <v>0</v>
      </c>
    </row>
    <row r="1484" s="1" customFormat="1" ht="16.35" hidden="1" customHeight="1" spans="1:15">
      <c r="A1484" s="5"/>
      <c r="B1484" s="6" t="s">
        <v>2906</v>
      </c>
      <c r="C1484" s="6">
        <v>2019</v>
      </c>
      <c r="D1484" s="6">
        <v>12</v>
      </c>
      <c r="E1484" s="7">
        <v>38</v>
      </c>
      <c r="F1484" s="6" t="s">
        <v>4121</v>
      </c>
      <c r="G1484" s="6" t="s">
        <v>2908</v>
      </c>
      <c r="H1484" s="6" t="s">
        <v>2909</v>
      </c>
      <c r="I1484" s="8">
        <v>206849</v>
      </c>
      <c r="J1484" s="8"/>
      <c r="K1484" s="6" t="s">
        <v>3941</v>
      </c>
      <c r="L1484" s="6" t="s">
        <v>1509</v>
      </c>
      <c r="N1484" s="6" t="s">
        <v>1509</v>
      </c>
      <c r="O1484" s="29">
        <v>0</v>
      </c>
    </row>
    <row r="1485" s="1" customFormat="1" ht="16.35" hidden="1" customHeight="1" spans="1:15">
      <c r="A1485" s="5"/>
      <c r="B1485" s="6" t="s">
        <v>2906</v>
      </c>
      <c r="C1485" s="6">
        <v>2019</v>
      </c>
      <c r="D1485" s="6">
        <v>12</v>
      </c>
      <c r="E1485" s="7">
        <v>38</v>
      </c>
      <c r="F1485" s="6" t="s">
        <v>4121</v>
      </c>
      <c r="G1485" s="6" t="s">
        <v>2908</v>
      </c>
      <c r="H1485" s="6" t="s">
        <v>2909</v>
      </c>
      <c r="I1485" s="8">
        <v>209524</v>
      </c>
      <c r="J1485" s="8"/>
      <c r="K1485" s="6" t="s">
        <v>3969</v>
      </c>
      <c r="L1485" s="6" t="s">
        <v>1521</v>
      </c>
      <c r="N1485" s="6" t="s">
        <v>1521</v>
      </c>
      <c r="O1485" s="29">
        <v>0</v>
      </c>
    </row>
    <row r="1486" s="1" customFormat="1" ht="16.35" hidden="1" customHeight="1" spans="1:16">
      <c r="A1486" s="5"/>
      <c r="B1486" s="6" t="s">
        <v>2906</v>
      </c>
      <c r="C1486" s="6">
        <v>2019</v>
      </c>
      <c r="D1486" s="6">
        <v>12</v>
      </c>
      <c r="E1486" s="7">
        <v>38</v>
      </c>
      <c r="F1486" s="6" t="s">
        <v>4121</v>
      </c>
      <c r="G1486" s="6" t="s">
        <v>2908</v>
      </c>
      <c r="H1486" s="6" t="s">
        <v>2909</v>
      </c>
      <c r="I1486" s="8">
        <v>171428</v>
      </c>
      <c r="J1486" s="8"/>
      <c r="K1486" s="6" t="s">
        <v>4006</v>
      </c>
      <c r="L1486" s="6" t="s">
        <v>1254</v>
      </c>
      <c r="N1486" s="6" t="s">
        <v>1254</v>
      </c>
      <c r="O1486" s="29">
        <v>0</v>
      </c>
      <c r="P1486" s="1">
        <f>O1486-J1486</f>
        <v>0</v>
      </c>
    </row>
    <row r="1487" s="1" customFormat="1" ht="16.35" hidden="1" customHeight="1" spans="1:15">
      <c r="A1487" s="5"/>
      <c r="B1487" s="6" t="s">
        <v>2906</v>
      </c>
      <c r="C1487" s="6">
        <v>2019</v>
      </c>
      <c r="D1487" s="6">
        <v>12</v>
      </c>
      <c r="E1487" s="7">
        <v>38</v>
      </c>
      <c r="F1487" s="6" t="s">
        <v>4121</v>
      </c>
      <c r="G1487" s="6" t="s">
        <v>2908</v>
      </c>
      <c r="H1487" s="6" t="s">
        <v>2909</v>
      </c>
      <c r="I1487" s="8">
        <v>464190</v>
      </c>
      <c r="J1487" s="8"/>
      <c r="K1487" s="6" t="s">
        <v>3999</v>
      </c>
      <c r="L1487" s="6" t="s">
        <v>1917</v>
      </c>
      <c r="N1487" s="6" t="s">
        <v>1917</v>
      </c>
      <c r="O1487" s="29">
        <v>0</v>
      </c>
    </row>
    <row r="1488" s="1" customFormat="1" ht="16.35" hidden="1" customHeight="1" spans="1:15">
      <c r="A1488" s="5"/>
      <c r="B1488" s="6" t="s">
        <v>2906</v>
      </c>
      <c r="C1488" s="6">
        <v>2019</v>
      </c>
      <c r="D1488" s="6">
        <v>12</v>
      </c>
      <c r="E1488" s="7">
        <v>38</v>
      </c>
      <c r="F1488" s="6" t="s">
        <v>4121</v>
      </c>
      <c r="G1488" s="6" t="s">
        <v>2908</v>
      </c>
      <c r="H1488" s="6" t="s">
        <v>2909</v>
      </c>
      <c r="I1488" s="8">
        <v>232092</v>
      </c>
      <c r="J1488" s="8"/>
      <c r="K1488" s="6" t="s">
        <v>4092</v>
      </c>
      <c r="L1488" s="6" t="s">
        <v>1116</v>
      </c>
      <c r="N1488" s="6" t="s">
        <v>1116</v>
      </c>
      <c r="O1488" s="29">
        <v>0</v>
      </c>
    </row>
    <row r="1489" s="1" customFormat="1" ht="16.35" hidden="1" customHeight="1" spans="1:15">
      <c r="A1489" s="5"/>
      <c r="B1489" s="6" t="s">
        <v>2906</v>
      </c>
      <c r="C1489" s="6">
        <v>2019</v>
      </c>
      <c r="D1489" s="6">
        <v>12</v>
      </c>
      <c r="E1489" s="7">
        <v>38</v>
      </c>
      <c r="F1489" s="6" t="s">
        <v>4121</v>
      </c>
      <c r="G1489" s="6" t="s">
        <v>2908</v>
      </c>
      <c r="H1489" s="6" t="s">
        <v>2909</v>
      </c>
      <c r="I1489" s="8">
        <v>95238</v>
      </c>
      <c r="J1489" s="8"/>
      <c r="K1489" s="6" t="s">
        <v>4112</v>
      </c>
      <c r="L1489" s="6" t="s">
        <v>4113</v>
      </c>
      <c r="N1489" s="6" t="s">
        <v>1240</v>
      </c>
      <c r="O1489" s="29">
        <v>0</v>
      </c>
    </row>
    <row r="1490" s="1" customFormat="1" ht="16.35" hidden="1" customHeight="1" spans="1:16">
      <c r="A1490" s="5"/>
      <c r="B1490" s="6" t="s">
        <v>2906</v>
      </c>
      <c r="C1490" s="6">
        <v>2019</v>
      </c>
      <c r="D1490" s="6">
        <v>12</v>
      </c>
      <c r="E1490" s="7">
        <v>38</v>
      </c>
      <c r="F1490" s="6" t="s">
        <v>4121</v>
      </c>
      <c r="G1490" s="6" t="s">
        <v>2908</v>
      </c>
      <c r="H1490" s="6" t="s">
        <v>2909</v>
      </c>
      <c r="I1490" s="8">
        <v>52857</v>
      </c>
      <c r="J1490" s="8"/>
      <c r="K1490" s="6" t="s">
        <v>4116</v>
      </c>
      <c r="L1490" s="6" t="s">
        <v>1427</v>
      </c>
      <c r="N1490" s="6" t="s">
        <v>1427</v>
      </c>
      <c r="O1490" s="29">
        <v>0</v>
      </c>
      <c r="P1490" s="1">
        <f>O1490-J1490</f>
        <v>0</v>
      </c>
    </row>
    <row r="1491" s="1" customFormat="1" ht="16.35" hidden="1" customHeight="1" spans="1:15">
      <c r="A1491" s="5"/>
      <c r="B1491" s="6" t="s">
        <v>2906</v>
      </c>
      <c r="C1491" s="6">
        <v>2019</v>
      </c>
      <c r="D1491" s="6">
        <v>12</v>
      </c>
      <c r="E1491" s="7">
        <v>38</v>
      </c>
      <c r="F1491" s="6" t="s">
        <v>4121</v>
      </c>
      <c r="G1491" s="6" t="s">
        <v>2908</v>
      </c>
      <c r="H1491" s="6" t="s">
        <v>2909</v>
      </c>
      <c r="I1491" s="8">
        <v>213095</v>
      </c>
      <c r="J1491" s="8"/>
      <c r="K1491" s="6" t="s">
        <v>3947</v>
      </c>
      <c r="L1491" s="6" t="s">
        <v>1156</v>
      </c>
      <c r="N1491" s="6" t="s">
        <v>1156</v>
      </c>
      <c r="O1491" s="29">
        <v>0</v>
      </c>
    </row>
    <row r="1492" s="1" customFormat="1" ht="16.35" hidden="1" customHeight="1" spans="1:15">
      <c r="A1492" s="5"/>
      <c r="B1492" s="6" t="s">
        <v>2906</v>
      </c>
      <c r="C1492" s="6">
        <v>2019</v>
      </c>
      <c r="D1492" s="6">
        <v>12</v>
      </c>
      <c r="E1492" s="7">
        <v>38</v>
      </c>
      <c r="F1492" s="6" t="s">
        <v>4121</v>
      </c>
      <c r="G1492" s="6" t="s">
        <v>2908</v>
      </c>
      <c r="H1492" s="6" t="s">
        <v>2909</v>
      </c>
      <c r="I1492" s="8">
        <v>205935</v>
      </c>
      <c r="J1492" s="8"/>
      <c r="K1492" s="6" t="s">
        <v>3951</v>
      </c>
      <c r="L1492" s="6" t="s">
        <v>1180</v>
      </c>
      <c r="N1492" s="6" t="s">
        <v>1180</v>
      </c>
      <c r="O1492" s="29">
        <v>0</v>
      </c>
    </row>
    <row r="1493" s="1" customFormat="1" ht="16.35" hidden="1" customHeight="1" spans="1:15">
      <c r="A1493" s="5"/>
      <c r="B1493" s="6" t="s">
        <v>2906</v>
      </c>
      <c r="C1493" s="6">
        <v>2019</v>
      </c>
      <c r="D1493" s="6">
        <v>12</v>
      </c>
      <c r="E1493" s="7">
        <v>38</v>
      </c>
      <c r="F1493" s="6" t="s">
        <v>4121</v>
      </c>
      <c r="G1493" s="6" t="s">
        <v>2908</v>
      </c>
      <c r="H1493" s="6" t="s">
        <v>2909</v>
      </c>
      <c r="I1493" s="8">
        <v>224667</v>
      </c>
      <c r="J1493" s="8"/>
      <c r="K1493" s="6" t="s">
        <v>3953</v>
      </c>
      <c r="L1493" s="6" t="s">
        <v>1308</v>
      </c>
      <c r="N1493" s="6" t="s">
        <v>1308</v>
      </c>
      <c r="O1493" s="29">
        <v>0</v>
      </c>
    </row>
    <row r="1494" s="1" customFormat="1" ht="16.35" hidden="1" customHeight="1" spans="1:15">
      <c r="A1494" s="5"/>
      <c r="B1494" s="6" t="s">
        <v>2906</v>
      </c>
      <c r="C1494" s="6">
        <v>2019</v>
      </c>
      <c r="D1494" s="6">
        <v>12</v>
      </c>
      <c r="E1494" s="7">
        <v>38</v>
      </c>
      <c r="F1494" s="6" t="s">
        <v>4121</v>
      </c>
      <c r="G1494" s="6" t="s">
        <v>2908</v>
      </c>
      <c r="H1494" s="6" t="s">
        <v>2909</v>
      </c>
      <c r="I1494" s="8">
        <v>952</v>
      </c>
      <c r="J1494" s="8"/>
      <c r="K1494" s="6" t="s">
        <v>3959</v>
      </c>
      <c r="L1494" s="6" t="s">
        <v>1139</v>
      </c>
      <c r="N1494" s="6" t="s">
        <v>1139</v>
      </c>
      <c r="O1494" s="29">
        <v>0</v>
      </c>
    </row>
    <row r="1495" s="1" customFormat="1" ht="16.35" hidden="1" customHeight="1" spans="1:15">
      <c r="A1495" s="5"/>
      <c r="B1495" s="6" t="s">
        <v>2906</v>
      </c>
      <c r="C1495" s="6">
        <v>2019</v>
      </c>
      <c r="D1495" s="6">
        <v>12</v>
      </c>
      <c r="E1495" s="7">
        <v>38</v>
      </c>
      <c r="F1495" s="6" t="s">
        <v>4121</v>
      </c>
      <c r="G1495" s="6" t="s">
        <v>2908</v>
      </c>
      <c r="H1495" s="6" t="s">
        <v>2909</v>
      </c>
      <c r="I1495" s="8">
        <v>208834</v>
      </c>
      <c r="J1495" s="8"/>
      <c r="K1495" s="6" t="s">
        <v>3962</v>
      </c>
      <c r="L1495" s="6" t="s">
        <v>1158</v>
      </c>
      <c r="N1495" s="6" t="s">
        <v>1158</v>
      </c>
      <c r="O1495" s="29">
        <v>0</v>
      </c>
    </row>
    <row r="1496" s="1" customFormat="1" ht="16.35" hidden="1" customHeight="1" spans="1:16">
      <c r="A1496" s="5"/>
      <c r="B1496" s="6" t="s">
        <v>2906</v>
      </c>
      <c r="C1496" s="6">
        <v>2019</v>
      </c>
      <c r="D1496" s="6">
        <v>12</v>
      </c>
      <c r="E1496" s="7">
        <v>38</v>
      </c>
      <c r="F1496" s="6" t="s">
        <v>4121</v>
      </c>
      <c r="G1496" s="6" t="s">
        <v>2908</v>
      </c>
      <c r="H1496" s="6" t="s">
        <v>2909</v>
      </c>
      <c r="I1496" s="8">
        <v>152100</v>
      </c>
      <c r="J1496" s="8"/>
      <c r="K1496" s="6" t="s">
        <v>3972</v>
      </c>
      <c r="L1496" s="6" t="s">
        <v>1247</v>
      </c>
      <c r="N1496" s="6" t="s">
        <v>1247</v>
      </c>
      <c r="O1496" s="29">
        <v>0</v>
      </c>
      <c r="P1496" s="1">
        <f>O1496-J1496</f>
        <v>0</v>
      </c>
    </row>
    <row r="1497" s="1" customFormat="1" ht="16.35" hidden="1" customHeight="1" spans="1:15">
      <c r="A1497" s="5"/>
      <c r="B1497" s="6" t="s">
        <v>2906</v>
      </c>
      <c r="C1497" s="6">
        <v>2019</v>
      </c>
      <c r="D1497" s="6">
        <v>12</v>
      </c>
      <c r="E1497" s="7">
        <v>38</v>
      </c>
      <c r="F1497" s="6" t="s">
        <v>4121</v>
      </c>
      <c r="G1497" s="6" t="s">
        <v>2908</v>
      </c>
      <c r="H1497" s="6" t="s">
        <v>2909</v>
      </c>
      <c r="I1497" s="8">
        <v>224676</v>
      </c>
      <c r="J1497" s="8"/>
      <c r="K1497" s="6" t="s">
        <v>3993</v>
      </c>
      <c r="L1497" s="6" t="s">
        <v>1337</v>
      </c>
      <c r="N1497" s="6" t="s">
        <v>1337</v>
      </c>
      <c r="O1497" s="29">
        <v>0</v>
      </c>
    </row>
    <row r="1498" s="1" customFormat="1" ht="16.35" hidden="1" customHeight="1" spans="1:15">
      <c r="A1498" s="5"/>
      <c r="B1498" s="6" t="s">
        <v>2906</v>
      </c>
      <c r="C1498" s="6">
        <v>2019</v>
      </c>
      <c r="D1498" s="6">
        <v>12</v>
      </c>
      <c r="E1498" s="7">
        <v>38</v>
      </c>
      <c r="F1498" s="6" t="s">
        <v>4121</v>
      </c>
      <c r="G1498" s="6" t="s">
        <v>2908</v>
      </c>
      <c r="H1498" s="6" t="s">
        <v>2909</v>
      </c>
      <c r="I1498" s="8">
        <v>221052</v>
      </c>
      <c r="J1498" s="8"/>
      <c r="K1498" s="6" t="s">
        <v>3992</v>
      </c>
      <c r="L1498" s="6" t="s">
        <v>1335</v>
      </c>
      <c r="N1498" s="6" t="s">
        <v>1335</v>
      </c>
      <c r="O1498" s="29">
        <v>0</v>
      </c>
    </row>
    <row r="1499" s="1" customFormat="1" ht="16.35" hidden="1" customHeight="1" spans="1:15">
      <c r="A1499" s="5"/>
      <c r="B1499" s="6" t="s">
        <v>2906</v>
      </c>
      <c r="C1499" s="6">
        <v>2019</v>
      </c>
      <c r="D1499" s="6">
        <v>12</v>
      </c>
      <c r="E1499" s="7">
        <v>38</v>
      </c>
      <c r="F1499" s="6" t="s">
        <v>4121</v>
      </c>
      <c r="G1499" s="6" t="s">
        <v>2908</v>
      </c>
      <c r="H1499" s="6" t="s">
        <v>2909</v>
      </c>
      <c r="I1499" s="8">
        <v>88324</v>
      </c>
      <c r="J1499" s="8"/>
      <c r="K1499" s="6" t="s">
        <v>3981</v>
      </c>
      <c r="L1499" s="6" t="s">
        <v>1240</v>
      </c>
      <c r="N1499" s="6" t="s">
        <v>1240</v>
      </c>
      <c r="O1499" s="29">
        <v>0</v>
      </c>
    </row>
    <row r="1500" s="1" customFormat="1" ht="16.35" hidden="1" customHeight="1" spans="1:15">
      <c r="A1500" s="5"/>
      <c r="B1500" s="6" t="s">
        <v>2906</v>
      </c>
      <c r="C1500" s="6">
        <v>2019</v>
      </c>
      <c r="D1500" s="6">
        <v>12</v>
      </c>
      <c r="E1500" s="7">
        <v>38</v>
      </c>
      <c r="F1500" s="6" t="s">
        <v>4121</v>
      </c>
      <c r="G1500" s="6" t="s">
        <v>2908</v>
      </c>
      <c r="H1500" s="6" t="s">
        <v>2909</v>
      </c>
      <c r="I1500" s="8">
        <v>97847</v>
      </c>
      <c r="J1500" s="8"/>
      <c r="K1500" s="6" t="s">
        <v>3983</v>
      </c>
      <c r="L1500" s="6" t="s">
        <v>1243</v>
      </c>
      <c r="N1500" s="6" t="s">
        <v>1243</v>
      </c>
      <c r="O1500" s="29">
        <v>0</v>
      </c>
    </row>
    <row r="1501" s="1" customFormat="1" ht="16.35" hidden="1" customHeight="1" spans="1:16">
      <c r="A1501" s="5"/>
      <c r="B1501" s="6" t="s">
        <v>2906</v>
      </c>
      <c r="C1501" s="6">
        <v>2019</v>
      </c>
      <c r="D1501" s="6">
        <v>12</v>
      </c>
      <c r="E1501" s="7">
        <v>38</v>
      </c>
      <c r="F1501" s="6" t="s">
        <v>4121</v>
      </c>
      <c r="G1501" s="6" t="s">
        <v>2908</v>
      </c>
      <c r="H1501" s="6" t="s">
        <v>2909</v>
      </c>
      <c r="I1501" s="8">
        <v>195239</v>
      </c>
      <c r="J1501" s="8"/>
      <c r="K1501" s="6" t="s">
        <v>3985</v>
      </c>
      <c r="L1501" s="6" t="s">
        <v>1257</v>
      </c>
      <c r="N1501" s="6" t="s">
        <v>1257</v>
      </c>
      <c r="O1501" s="29">
        <v>0</v>
      </c>
      <c r="P1501" s="1">
        <f>O1501-J1501</f>
        <v>0</v>
      </c>
    </row>
    <row r="1502" s="1" customFormat="1" ht="16.35" hidden="1" customHeight="1" spans="1:15">
      <c r="A1502" s="5"/>
      <c r="B1502" s="6" t="s">
        <v>2906</v>
      </c>
      <c r="C1502" s="6">
        <v>2019</v>
      </c>
      <c r="D1502" s="6">
        <v>12</v>
      </c>
      <c r="E1502" s="7">
        <v>38</v>
      </c>
      <c r="F1502" s="6" t="s">
        <v>4121</v>
      </c>
      <c r="G1502" s="6" t="s">
        <v>2908</v>
      </c>
      <c r="H1502" s="6" t="s">
        <v>2909</v>
      </c>
      <c r="I1502" s="8">
        <v>199522</v>
      </c>
      <c r="J1502" s="8"/>
      <c r="K1502" s="6" t="s">
        <v>3975</v>
      </c>
      <c r="L1502" s="6" t="s">
        <v>1250</v>
      </c>
      <c r="N1502" s="6" t="s">
        <v>1250</v>
      </c>
      <c r="O1502" s="29">
        <v>0</v>
      </c>
    </row>
    <row r="1503" s="1" customFormat="1" ht="16.35" hidden="1" customHeight="1" spans="1:15">
      <c r="A1503" s="5"/>
      <c r="B1503" s="6" t="s">
        <v>2906</v>
      </c>
      <c r="C1503" s="6">
        <v>2019</v>
      </c>
      <c r="D1503" s="6">
        <v>12</v>
      </c>
      <c r="E1503" s="7">
        <v>38</v>
      </c>
      <c r="F1503" s="6" t="s">
        <v>4121</v>
      </c>
      <c r="G1503" s="6" t="s">
        <v>2908</v>
      </c>
      <c r="H1503" s="6" t="s">
        <v>2909</v>
      </c>
      <c r="I1503" s="8">
        <v>196304</v>
      </c>
      <c r="J1503" s="8"/>
      <c r="K1503" s="6" t="s">
        <v>3976</v>
      </c>
      <c r="L1503" s="6" t="s">
        <v>1251</v>
      </c>
      <c r="N1503" s="6" t="s">
        <v>1251</v>
      </c>
      <c r="O1503" s="29">
        <v>0</v>
      </c>
    </row>
    <row r="1504" s="1" customFormat="1" ht="16.35" hidden="1" customHeight="1" spans="1:15">
      <c r="A1504" s="5"/>
      <c r="B1504" s="6" t="s">
        <v>2906</v>
      </c>
      <c r="C1504" s="6">
        <v>2019</v>
      </c>
      <c r="D1504" s="6">
        <v>12</v>
      </c>
      <c r="E1504" s="7">
        <v>38</v>
      </c>
      <c r="F1504" s="6" t="s">
        <v>4121</v>
      </c>
      <c r="G1504" s="6" t="s">
        <v>2908</v>
      </c>
      <c r="H1504" s="6" t="s">
        <v>2909</v>
      </c>
      <c r="I1504" s="8">
        <v>224880</v>
      </c>
      <c r="J1504" s="8"/>
      <c r="K1504" s="6" t="s">
        <v>3977</v>
      </c>
      <c r="L1504" s="6" t="s">
        <v>1248</v>
      </c>
      <c r="N1504" s="6" t="s">
        <v>1248</v>
      </c>
      <c r="O1504" s="29">
        <v>0</v>
      </c>
    </row>
    <row r="1505" s="1" customFormat="1" ht="16.35" hidden="1" customHeight="1" spans="1:15">
      <c r="A1505" s="5"/>
      <c r="B1505" s="6" t="s">
        <v>2906</v>
      </c>
      <c r="C1505" s="6">
        <v>2019</v>
      </c>
      <c r="D1505" s="6">
        <v>12</v>
      </c>
      <c r="E1505" s="7">
        <v>38</v>
      </c>
      <c r="F1505" s="6" t="s">
        <v>4121</v>
      </c>
      <c r="G1505" s="6" t="s">
        <v>2908</v>
      </c>
      <c r="H1505" s="6" t="s">
        <v>2909</v>
      </c>
      <c r="I1505" s="8">
        <v>207619</v>
      </c>
      <c r="J1505" s="8"/>
      <c r="K1505" s="6" t="s">
        <v>3988</v>
      </c>
      <c r="L1505" s="6" t="s">
        <v>1267</v>
      </c>
      <c r="N1505" s="6" t="s">
        <v>1267</v>
      </c>
      <c r="O1505" s="29">
        <v>0</v>
      </c>
    </row>
    <row r="1506" s="1" customFormat="1" ht="16.35" hidden="1" customHeight="1" spans="1:15">
      <c r="A1506" s="5"/>
      <c r="B1506" s="6" t="s">
        <v>2906</v>
      </c>
      <c r="C1506" s="6">
        <v>2019</v>
      </c>
      <c r="D1506" s="6">
        <v>12</v>
      </c>
      <c r="E1506" s="7">
        <v>38</v>
      </c>
      <c r="F1506" s="6" t="s">
        <v>4121</v>
      </c>
      <c r="G1506" s="6" t="s">
        <v>2908</v>
      </c>
      <c r="H1506" s="6" t="s">
        <v>2909</v>
      </c>
      <c r="I1506" s="8">
        <v>229525</v>
      </c>
      <c r="J1506" s="8"/>
      <c r="K1506" s="6" t="s">
        <v>3990</v>
      </c>
      <c r="L1506" s="6" t="s">
        <v>1599</v>
      </c>
      <c r="N1506" s="6" t="s">
        <v>1599</v>
      </c>
      <c r="O1506" s="29">
        <v>0</v>
      </c>
    </row>
    <row r="1507" s="1" customFormat="1" ht="16.35" customHeight="1" spans="1:15">
      <c r="A1507" s="5"/>
      <c r="B1507" s="6" t="s">
        <v>2906</v>
      </c>
      <c r="C1507" s="6">
        <v>2019</v>
      </c>
      <c r="D1507" s="6">
        <v>12</v>
      </c>
      <c r="E1507" s="7">
        <v>38</v>
      </c>
      <c r="F1507" s="6" t="s">
        <v>4121</v>
      </c>
      <c r="G1507" s="6" t="s">
        <v>2908</v>
      </c>
      <c r="H1507" s="6" t="s">
        <v>2909</v>
      </c>
      <c r="I1507" s="8">
        <v>638666</v>
      </c>
      <c r="J1507" s="8"/>
      <c r="K1507" s="6" t="s">
        <v>3995</v>
      </c>
      <c r="L1507" s="6" t="s">
        <v>1909</v>
      </c>
      <c r="N1507" s="6" t="s">
        <v>1909</v>
      </c>
      <c r="O1507" s="29">
        <v>0</v>
      </c>
    </row>
    <row r="1508" s="1" customFormat="1" ht="16.35" hidden="1" customHeight="1" spans="1:15">
      <c r="A1508" s="5"/>
      <c r="B1508" s="6" t="s">
        <v>2906</v>
      </c>
      <c r="C1508" s="6">
        <v>2019</v>
      </c>
      <c r="D1508" s="6">
        <v>12</v>
      </c>
      <c r="E1508" s="7">
        <v>38</v>
      </c>
      <c r="F1508" s="6" t="s">
        <v>4121</v>
      </c>
      <c r="G1508" s="6" t="s">
        <v>2908</v>
      </c>
      <c r="H1508" s="6" t="s">
        <v>2909</v>
      </c>
      <c r="I1508" s="8">
        <v>142857</v>
      </c>
      <c r="J1508" s="8"/>
      <c r="K1508" s="6" t="s">
        <v>3997</v>
      </c>
      <c r="L1508" s="6" t="s">
        <v>1244</v>
      </c>
      <c r="N1508" s="6" t="s">
        <v>1244</v>
      </c>
      <c r="O1508" s="29">
        <v>0</v>
      </c>
    </row>
    <row r="1509" s="1" customFormat="1" ht="16.35" hidden="1" customHeight="1" spans="1:15">
      <c r="A1509" s="5"/>
      <c r="B1509" s="6" t="s">
        <v>2906</v>
      </c>
      <c r="C1509" s="6">
        <v>2019</v>
      </c>
      <c r="D1509" s="6">
        <v>12</v>
      </c>
      <c r="E1509" s="7">
        <v>38</v>
      </c>
      <c r="F1509" s="6" t="s">
        <v>4121</v>
      </c>
      <c r="G1509" s="6" t="s">
        <v>2908</v>
      </c>
      <c r="H1509" s="6" t="s">
        <v>2909</v>
      </c>
      <c r="I1509" s="8">
        <v>945760</v>
      </c>
      <c r="J1509" s="8"/>
      <c r="K1509" s="6" t="s">
        <v>4042</v>
      </c>
      <c r="L1509" s="6" t="s">
        <v>1912</v>
      </c>
      <c r="N1509" s="6" t="s">
        <v>1912</v>
      </c>
      <c r="O1509" s="29">
        <v>0</v>
      </c>
    </row>
    <row r="1510" s="1" customFormat="1" ht="16.35" hidden="1" customHeight="1" spans="1:15">
      <c r="A1510" s="5"/>
      <c r="B1510" s="6" t="s">
        <v>2906</v>
      </c>
      <c r="C1510" s="6">
        <v>2019</v>
      </c>
      <c r="D1510" s="6">
        <v>12</v>
      </c>
      <c r="E1510" s="7">
        <v>38</v>
      </c>
      <c r="F1510" s="6" t="s">
        <v>4121</v>
      </c>
      <c r="G1510" s="6" t="s">
        <v>2908</v>
      </c>
      <c r="H1510" s="6" t="s">
        <v>2909</v>
      </c>
      <c r="I1510" s="8">
        <v>200000</v>
      </c>
      <c r="J1510" s="8"/>
      <c r="K1510" s="6" t="s">
        <v>4001</v>
      </c>
      <c r="L1510" s="6" t="s">
        <v>1261</v>
      </c>
      <c r="N1510" s="6" t="s">
        <v>1261</v>
      </c>
      <c r="O1510" s="29">
        <v>0</v>
      </c>
    </row>
    <row r="1511" s="1" customFormat="1" ht="16.35" hidden="1" customHeight="1" spans="1:15">
      <c r="A1511" s="5"/>
      <c r="B1511" s="6" t="s">
        <v>2906</v>
      </c>
      <c r="C1511" s="6">
        <v>2019</v>
      </c>
      <c r="D1511" s="6">
        <v>12</v>
      </c>
      <c r="E1511" s="7">
        <v>38</v>
      </c>
      <c r="F1511" s="6" t="s">
        <v>4121</v>
      </c>
      <c r="G1511" s="6" t="s">
        <v>2908</v>
      </c>
      <c r="H1511" s="6" t="s">
        <v>2909</v>
      </c>
      <c r="I1511" s="8">
        <v>204070</v>
      </c>
      <c r="J1511" s="8"/>
      <c r="K1511" s="6" t="s">
        <v>4019</v>
      </c>
      <c r="L1511" s="6" t="s">
        <v>1252</v>
      </c>
      <c r="N1511" s="6" t="s">
        <v>1252</v>
      </c>
      <c r="O1511" s="29">
        <v>0</v>
      </c>
    </row>
    <row r="1512" s="1" customFormat="1" ht="16.35" hidden="1" customHeight="1" spans="1:15">
      <c r="A1512" s="5"/>
      <c r="B1512" s="6" t="s">
        <v>2906</v>
      </c>
      <c r="C1512" s="6">
        <v>2019</v>
      </c>
      <c r="D1512" s="6">
        <v>12</v>
      </c>
      <c r="E1512" s="7">
        <v>38</v>
      </c>
      <c r="F1512" s="6" t="s">
        <v>4121</v>
      </c>
      <c r="G1512" s="6" t="s">
        <v>2908</v>
      </c>
      <c r="H1512" s="6" t="s">
        <v>2909</v>
      </c>
      <c r="I1512" s="8">
        <v>213943</v>
      </c>
      <c r="J1512" s="8"/>
      <c r="K1512" s="6" t="s">
        <v>4021</v>
      </c>
      <c r="L1512" s="6" t="s">
        <v>1263</v>
      </c>
      <c r="N1512" s="6" t="s">
        <v>1263</v>
      </c>
      <c r="O1512" s="29">
        <v>0</v>
      </c>
    </row>
    <row r="1513" s="1" customFormat="1" ht="16.35" hidden="1" customHeight="1" spans="1:15">
      <c r="A1513" s="5"/>
      <c r="B1513" s="6" t="s">
        <v>2906</v>
      </c>
      <c r="C1513" s="6">
        <v>2019</v>
      </c>
      <c r="D1513" s="6">
        <v>12</v>
      </c>
      <c r="E1513" s="7">
        <v>38</v>
      </c>
      <c r="F1513" s="6" t="s">
        <v>4121</v>
      </c>
      <c r="G1513" s="6" t="s">
        <v>2908</v>
      </c>
      <c r="H1513" s="6" t="s">
        <v>2909</v>
      </c>
      <c r="I1513" s="8">
        <v>183810</v>
      </c>
      <c r="J1513" s="8"/>
      <c r="K1513" s="6" t="s">
        <v>4029</v>
      </c>
      <c r="L1513" s="6" t="s">
        <v>1238</v>
      </c>
      <c r="N1513" s="6" t="s">
        <v>1238</v>
      </c>
      <c r="O1513" s="29">
        <v>0</v>
      </c>
    </row>
    <row r="1514" s="1" customFormat="1" ht="16.35" hidden="1" customHeight="1" spans="1:16">
      <c r="A1514" s="5"/>
      <c r="B1514" s="6" t="s">
        <v>2906</v>
      </c>
      <c r="C1514" s="6">
        <v>2019</v>
      </c>
      <c r="D1514" s="6">
        <v>12</v>
      </c>
      <c r="E1514" s="7">
        <v>38</v>
      </c>
      <c r="F1514" s="6" t="s">
        <v>4121</v>
      </c>
      <c r="G1514" s="6" t="s">
        <v>2908</v>
      </c>
      <c r="H1514" s="6" t="s">
        <v>2909</v>
      </c>
      <c r="I1514" s="8">
        <v>175238</v>
      </c>
      <c r="J1514" s="8"/>
      <c r="K1514" s="6" t="s">
        <v>4031</v>
      </c>
      <c r="L1514" s="6" t="s">
        <v>1259</v>
      </c>
      <c r="N1514" s="6" t="s">
        <v>1259</v>
      </c>
      <c r="O1514" s="29">
        <v>0</v>
      </c>
      <c r="P1514" s="1">
        <f>O1514-J1514</f>
        <v>0</v>
      </c>
    </row>
    <row r="1515" s="1" customFormat="1" ht="16.35" hidden="1" customHeight="1" spans="1:15">
      <c r="A1515" s="5"/>
      <c r="B1515" s="6" t="s">
        <v>2906</v>
      </c>
      <c r="C1515" s="6">
        <v>2019</v>
      </c>
      <c r="D1515" s="6">
        <v>12</v>
      </c>
      <c r="E1515" s="7">
        <v>38</v>
      </c>
      <c r="F1515" s="6" t="s">
        <v>4121</v>
      </c>
      <c r="G1515" s="6" t="s">
        <v>2908</v>
      </c>
      <c r="H1515" s="6" t="s">
        <v>2909</v>
      </c>
      <c r="I1515" s="8">
        <v>199310</v>
      </c>
      <c r="J1515" s="8"/>
      <c r="K1515" s="6" t="s">
        <v>4034</v>
      </c>
      <c r="L1515" s="6" t="s">
        <v>1418</v>
      </c>
      <c r="N1515" s="6" t="s">
        <v>1418</v>
      </c>
      <c r="O1515" s="29">
        <v>0</v>
      </c>
    </row>
    <row r="1516" s="1" customFormat="1" ht="16.35" hidden="1" customHeight="1" spans="1:15">
      <c r="A1516" s="5"/>
      <c r="B1516" s="6" t="s">
        <v>2906</v>
      </c>
      <c r="C1516" s="6">
        <v>2019</v>
      </c>
      <c r="D1516" s="6">
        <v>12</v>
      </c>
      <c r="E1516" s="7">
        <v>38</v>
      </c>
      <c r="F1516" s="6" t="s">
        <v>4121</v>
      </c>
      <c r="G1516" s="6" t="s">
        <v>2908</v>
      </c>
      <c r="H1516" s="6" t="s">
        <v>2909</v>
      </c>
      <c r="I1516" s="8">
        <v>210181</v>
      </c>
      <c r="J1516" s="8"/>
      <c r="K1516" s="6" t="s">
        <v>4036</v>
      </c>
      <c r="L1516" s="6" t="s">
        <v>1416</v>
      </c>
      <c r="N1516" s="6" t="s">
        <v>1416</v>
      </c>
      <c r="O1516" s="29">
        <v>0</v>
      </c>
    </row>
    <row r="1517" s="1" customFormat="1" ht="16.35" hidden="1" customHeight="1" spans="1:15">
      <c r="A1517" s="5"/>
      <c r="B1517" s="6" t="s">
        <v>2906</v>
      </c>
      <c r="C1517" s="6">
        <v>2019</v>
      </c>
      <c r="D1517" s="6">
        <v>12</v>
      </c>
      <c r="E1517" s="7">
        <v>38</v>
      </c>
      <c r="F1517" s="6" t="s">
        <v>4121</v>
      </c>
      <c r="G1517" s="6" t="s">
        <v>2908</v>
      </c>
      <c r="H1517" s="6" t="s">
        <v>2909</v>
      </c>
      <c r="I1517" s="8">
        <v>380952</v>
      </c>
      <c r="J1517" s="8"/>
      <c r="K1517" s="6" t="s">
        <v>4038</v>
      </c>
      <c r="L1517" s="6" t="s">
        <v>1421</v>
      </c>
      <c r="N1517" s="6" t="s">
        <v>1421</v>
      </c>
      <c r="O1517" s="29">
        <v>0</v>
      </c>
    </row>
    <row r="1518" s="1" customFormat="1" ht="16.35" hidden="1" customHeight="1" spans="1:15">
      <c r="A1518" s="5"/>
      <c r="B1518" s="6" t="s">
        <v>2906</v>
      </c>
      <c r="C1518" s="6">
        <v>2019</v>
      </c>
      <c r="D1518" s="6">
        <v>12</v>
      </c>
      <c r="E1518" s="7">
        <v>38</v>
      </c>
      <c r="F1518" s="6" t="s">
        <v>4121</v>
      </c>
      <c r="G1518" s="6" t="s">
        <v>2908</v>
      </c>
      <c r="H1518" s="6" t="s">
        <v>2909</v>
      </c>
      <c r="I1518" s="8">
        <v>68571</v>
      </c>
      <c r="J1518" s="8"/>
      <c r="K1518" s="6" t="s">
        <v>4040</v>
      </c>
      <c r="L1518" s="6" t="s">
        <v>1920</v>
      </c>
      <c r="N1518" s="6" t="s">
        <v>1920</v>
      </c>
      <c r="O1518" s="29">
        <v>0</v>
      </c>
    </row>
    <row r="1519" s="1" customFormat="1" ht="16.35" hidden="1" customHeight="1" spans="1:15">
      <c r="A1519" s="5"/>
      <c r="B1519" s="6" t="s">
        <v>2906</v>
      </c>
      <c r="C1519" s="6">
        <v>2019</v>
      </c>
      <c r="D1519" s="6">
        <v>12</v>
      </c>
      <c r="E1519" s="7">
        <v>38</v>
      </c>
      <c r="F1519" s="6" t="s">
        <v>4121</v>
      </c>
      <c r="G1519" s="6" t="s">
        <v>2908</v>
      </c>
      <c r="H1519" s="6" t="s">
        <v>2909</v>
      </c>
      <c r="I1519" s="8">
        <v>196271</v>
      </c>
      <c r="J1519" s="8"/>
      <c r="K1519" s="6" t="s">
        <v>4044</v>
      </c>
      <c r="L1519" s="6" t="s">
        <v>1224</v>
      </c>
      <c r="N1519" s="6" t="s">
        <v>1224</v>
      </c>
      <c r="O1519" s="29">
        <v>0</v>
      </c>
    </row>
    <row r="1520" s="1" customFormat="1" ht="16.35" hidden="1" customHeight="1" spans="1:16">
      <c r="A1520" s="5"/>
      <c r="B1520" s="6" t="s">
        <v>2906</v>
      </c>
      <c r="C1520" s="6">
        <v>2019</v>
      </c>
      <c r="D1520" s="6">
        <v>12</v>
      </c>
      <c r="E1520" s="7">
        <v>38</v>
      </c>
      <c r="F1520" s="6" t="s">
        <v>4121</v>
      </c>
      <c r="G1520" s="6" t="s">
        <v>2908</v>
      </c>
      <c r="H1520" s="6" t="s">
        <v>2909</v>
      </c>
      <c r="I1520" s="8">
        <v>397481</v>
      </c>
      <c r="J1520" s="8"/>
      <c r="K1520" s="6" t="s">
        <v>4046</v>
      </c>
      <c r="L1520" s="6" t="s">
        <v>1907</v>
      </c>
      <c r="N1520" s="6" t="s">
        <v>1907</v>
      </c>
      <c r="O1520" s="29">
        <v>0</v>
      </c>
      <c r="P1520" s="1">
        <f>O1520-J1520</f>
        <v>0</v>
      </c>
    </row>
    <row r="1521" s="1" customFormat="1" ht="16.35" hidden="1" customHeight="1" spans="1:15">
      <c r="A1521" s="5"/>
      <c r="B1521" s="6" t="s">
        <v>2906</v>
      </c>
      <c r="C1521" s="6">
        <v>2019</v>
      </c>
      <c r="D1521" s="6">
        <v>12</v>
      </c>
      <c r="E1521" s="7">
        <v>38</v>
      </c>
      <c r="F1521" s="6" t="s">
        <v>4121</v>
      </c>
      <c r="G1521" s="6" t="s">
        <v>2908</v>
      </c>
      <c r="H1521" s="6" t="s">
        <v>2909</v>
      </c>
      <c r="I1521" s="8">
        <v>250158</v>
      </c>
      <c r="J1521" s="8"/>
      <c r="K1521" s="6" t="s">
        <v>4058</v>
      </c>
      <c r="L1521" s="6" t="s">
        <v>1339</v>
      </c>
      <c r="N1521" s="6" t="s">
        <v>1339</v>
      </c>
      <c r="O1521" s="29">
        <v>0</v>
      </c>
    </row>
    <row r="1522" s="1" customFormat="1" ht="16.35" hidden="1" customHeight="1" spans="1:15">
      <c r="A1522" s="5"/>
      <c r="B1522" s="6" t="s">
        <v>2906</v>
      </c>
      <c r="C1522" s="6">
        <v>2019</v>
      </c>
      <c r="D1522" s="6">
        <v>12</v>
      </c>
      <c r="E1522" s="7">
        <v>38</v>
      </c>
      <c r="F1522" s="6" t="s">
        <v>4121</v>
      </c>
      <c r="G1522" s="6" t="s">
        <v>2908</v>
      </c>
      <c r="H1522" s="6" t="s">
        <v>2909</v>
      </c>
      <c r="I1522" s="8">
        <v>194102</v>
      </c>
      <c r="J1522" s="8"/>
      <c r="K1522" s="6" t="s">
        <v>4062</v>
      </c>
      <c r="L1522" s="6" t="s">
        <v>1292</v>
      </c>
      <c r="N1522" s="6" t="s">
        <v>1292</v>
      </c>
      <c r="O1522" s="29">
        <v>0</v>
      </c>
    </row>
    <row r="1523" s="1" customFormat="1" ht="16.35" hidden="1" customHeight="1" spans="1:15">
      <c r="A1523" s="5"/>
      <c r="B1523" s="6" t="s">
        <v>2906</v>
      </c>
      <c r="C1523" s="6">
        <v>2019</v>
      </c>
      <c r="D1523" s="6">
        <v>12</v>
      </c>
      <c r="E1523" s="7">
        <v>38</v>
      </c>
      <c r="F1523" s="6" t="s">
        <v>4121</v>
      </c>
      <c r="G1523" s="6" t="s">
        <v>2908</v>
      </c>
      <c r="H1523" s="6" t="s">
        <v>2909</v>
      </c>
      <c r="I1523" s="8">
        <v>9524</v>
      </c>
      <c r="J1523" s="8"/>
      <c r="K1523" s="6" t="s">
        <v>4066</v>
      </c>
      <c r="L1523" s="6" t="s">
        <v>1229</v>
      </c>
      <c r="N1523" s="6" t="s">
        <v>1229</v>
      </c>
      <c r="O1523" s="29">
        <v>0</v>
      </c>
    </row>
    <row r="1524" s="1" customFormat="1" ht="16.35" hidden="1" customHeight="1" spans="1:16">
      <c r="A1524" s="5"/>
      <c r="B1524" s="6" t="s">
        <v>2906</v>
      </c>
      <c r="C1524" s="6">
        <v>2019</v>
      </c>
      <c r="D1524" s="6">
        <v>12</v>
      </c>
      <c r="E1524" s="7">
        <v>38</v>
      </c>
      <c r="F1524" s="6" t="s">
        <v>4121</v>
      </c>
      <c r="G1524" s="6" t="s">
        <v>2908</v>
      </c>
      <c r="H1524" s="6" t="s">
        <v>2909</v>
      </c>
      <c r="I1524" s="8">
        <v>71714</v>
      </c>
      <c r="J1524" s="8"/>
      <c r="K1524" s="6" t="s">
        <v>4068</v>
      </c>
      <c r="L1524" s="6" t="s">
        <v>1503</v>
      </c>
      <c r="N1524" s="6" t="s">
        <v>1503</v>
      </c>
      <c r="O1524" s="29">
        <v>0</v>
      </c>
      <c r="P1524" s="1">
        <f>O1524-J1524</f>
        <v>0</v>
      </c>
    </row>
    <row r="1525" s="1" customFormat="1" ht="16.35" hidden="1" customHeight="1" spans="1:15">
      <c r="A1525" s="5"/>
      <c r="B1525" s="6" t="s">
        <v>2906</v>
      </c>
      <c r="C1525" s="6">
        <v>2019</v>
      </c>
      <c r="D1525" s="6">
        <v>12</v>
      </c>
      <c r="E1525" s="7">
        <v>38</v>
      </c>
      <c r="F1525" s="6" t="s">
        <v>4121</v>
      </c>
      <c r="G1525" s="6" t="s">
        <v>2908</v>
      </c>
      <c r="H1525" s="6" t="s">
        <v>2909</v>
      </c>
      <c r="I1525" s="8">
        <v>142857</v>
      </c>
      <c r="J1525" s="8"/>
      <c r="K1525" s="6" t="s">
        <v>4071</v>
      </c>
      <c r="L1525" s="6" t="s">
        <v>1403</v>
      </c>
      <c r="N1525" s="6" t="s">
        <v>1403</v>
      </c>
      <c r="O1525" s="29">
        <v>0</v>
      </c>
    </row>
    <row r="1526" s="1" customFormat="1" ht="16.35" hidden="1" customHeight="1" spans="1:15">
      <c r="A1526" s="5"/>
      <c r="B1526" s="6" t="s">
        <v>2906</v>
      </c>
      <c r="C1526" s="6">
        <v>2019</v>
      </c>
      <c r="D1526" s="6">
        <v>12</v>
      </c>
      <c r="E1526" s="7">
        <v>38</v>
      </c>
      <c r="F1526" s="6" t="s">
        <v>4121</v>
      </c>
      <c r="G1526" s="6" t="s">
        <v>2908</v>
      </c>
      <c r="H1526" s="6" t="s">
        <v>2909</v>
      </c>
      <c r="I1526" s="8">
        <v>202933</v>
      </c>
      <c r="J1526" s="8"/>
      <c r="K1526" s="6" t="s">
        <v>4073</v>
      </c>
      <c r="L1526" s="6" t="s">
        <v>1404</v>
      </c>
      <c r="N1526" s="6" t="s">
        <v>1404</v>
      </c>
      <c r="O1526" s="29">
        <v>0</v>
      </c>
    </row>
    <row r="1527" s="1" customFormat="1" ht="16.35" hidden="1" customHeight="1" spans="1:15">
      <c r="A1527" s="5"/>
      <c r="B1527" s="6" t="s">
        <v>2906</v>
      </c>
      <c r="C1527" s="6">
        <v>2019</v>
      </c>
      <c r="D1527" s="6">
        <v>12</v>
      </c>
      <c r="E1527" s="7">
        <v>38</v>
      </c>
      <c r="F1527" s="6" t="s">
        <v>4121</v>
      </c>
      <c r="G1527" s="6" t="s">
        <v>2908</v>
      </c>
      <c r="H1527" s="6" t="s">
        <v>2909</v>
      </c>
      <c r="I1527" s="8">
        <v>205325</v>
      </c>
      <c r="J1527" s="8"/>
      <c r="K1527" s="6" t="s">
        <v>4078</v>
      </c>
      <c r="L1527" s="6" t="s">
        <v>1543</v>
      </c>
      <c r="N1527" s="6" t="s">
        <v>1543</v>
      </c>
      <c r="O1527" s="29">
        <v>0</v>
      </c>
    </row>
    <row r="1528" s="1" customFormat="1" ht="16.35" hidden="1" customHeight="1" spans="1:15">
      <c r="A1528" s="5"/>
      <c r="B1528" s="6" t="s">
        <v>2906</v>
      </c>
      <c r="C1528" s="6">
        <v>2019</v>
      </c>
      <c r="D1528" s="6">
        <v>12</v>
      </c>
      <c r="E1528" s="7">
        <v>38</v>
      </c>
      <c r="F1528" s="6" t="s">
        <v>4121</v>
      </c>
      <c r="G1528" s="6" t="s">
        <v>2908</v>
      </c>
      <c r="H1528" s="6" t="s">
        <v>2909</v>
      </c>
      <c r="I1528" s="8">
        <v>185714</v>
      </c>
      <c r="J1528" s="8"/>
      <c r="K1528" s="6" t="s">
        <v>4083</v>
      </c>
      <c r="L1528" s="6" t="s">
        <v>1266</v>
      </c>
      <c r="N1528" s="6" t="s">
        <v>1266</v>
      </c>
      <c r="O1528" s="29">
        <v>0</v>
      </c>
    </row>
    <row r="1529" s="1" customFormat="1" ht="16.35" hidden="1" customHeight="1" spans="1:15">
      <c r="A1529" s="5"/>
      <c r="B1529" s="6" t="s">
        <v>2906</v>
      </c>
      <c r="C1529" s="6">
        <v>2019</v>
      </c>
      <c r="D1529" s="6">
        <v>12</v>
      </c>
      <c r="E1529" s="7">
        <v>38</v>
      </c>
      <c r="F1529" s="6" t="s">
        <v>4121</v>
      </c>
      <c r="G1529" s="6" t="s">
        <v>2908</v>
      </c>
      <c r="H1529" s="6" t="s">
        <v>2909</v>
      </c>
      <c r="I1529" s="8">
        <v>190476</v>
      </c>
      <c r="J1529" s="8"/>
      <c r="K1529" s="6" t="s">
        <v>4085</v>
      </c>
      <c r="L1529" s="6" t="s">
        <v>1265</v>
      </c>
      <c r="N1529" s="6" t="s">
        <v>1265</v>
      </c>
      <c r="O1529" s="29">
        <v>0</v>
      </c>
    </row>
    <row r="1530" s="1" customFormat="1" ht="16.35" hidden="1" customHeight="1" spans="1:15">
      <c r="A1530" s="5"/>
      <c r="B1530" s="6" t="s">
        <v>2906</v>
      </c>
      <c r="C1530" s="6">
        <v>2019</v>
      </c>
      <c r="D1530" s="6">
        <v>12</v>
      </c>
      <c r="E1530" s="7">
        <v>38</v>
      </c>
      <c r="F1530" s="6" t="s">
        <v>4121</v>
      </c>
      <c r="G1530" s="6" t="s">
        <v>2908</v>
      </c>
      <c r="H1530" s="6" t="s">
        <v>2909</v>
      </c>
      <c r="I1530" s="8">
        <v>190476</v>
      </c>
      <c r="J1530" s="8"/>
      <c r="K1530" s="6" t="s">
        <v>4090</v>
      </c>
      <c r="L1530" s="6" t="s">
        <v>1236</v>
      </c>
      <c r="N1530" s="6" t="s">
        <v>1236</v>
      </c>
      <c r="O1530" s="29">
        <v>0</v>
      </c>
    </row>
    <row r="1531" s="1" customFormat="1" ht="16.35" hidden="1" customHeight="1" spans="1:15">
      <c r="A1531" s="5"/>
      <c r="B1531" s="6" t="s">
        <v>2906</v>
      </c>
      <c r="C1531" s="6">
        <v>2019</v>
      </c>
      <c r="D1531" s="6">
        <v>12</v>
      </c>
      <c r="E1531" s="7">
        <v>38</v>
      </c>
      <c r="F1531" s="6" t="s">
        <v>4121</v>
      </c>
      <c r="G1531" s="6" t="s">
        <v>2908</v>
      </c>
      <c r="H1531" s="6" t="s">
        <v>2909</v>
      </c>
      <c r="I1531" s="8">
        <v>183333</v>
      </c>
      <c r="J1531" s="8"/>
      <c r="K1531" s="6" t="s">
        <v>4094</v>
      </c>
      <c r="L1531" s="6" t="s">
        <v>1233</v>
      </c>
      <c r="N1531" s="6" t="s">
        <v>1233</v>
      </c>
      <c r="O1531" s="29">
        <v>0</v>
      </c>
    </row>
    <row r="1532" s="1" customFormat="1" ht="16.35" hidden="1" customHeight="1" spans="1:15">
      <c r="A1532" s="5"/>
      <c r="B1532" s="6" t="s">
        <v>2906</v>
      </c>
      <c r="C1532" s="6">
        <v>2019</v>
      </c>
      <c r="D1532" s="6">
        <v>12</v>
      </c>
      <c r="E1532" s="7">
        <v>38</v>
      </c>
      <c r="F1532" s="6" t="s">
        <v>4121</v>
      </c>
      <c r="G1532" s="6" t="s">
        <v>2908</v>
      </c>
      <c r="H1532" s="6" t="s">
        <v>2909</v>
      </c>
      <c r="I1532" s="8">
        <v>183333</v>
      </c>
      <c r="J1532" s="8"/>
      <c r="K1532" s="6" t="s">
        <v>4096</v>
      </c>
      <c r="L1532" s="6" t="s">
        <v>1235</v>
      </c>
      <c r="N1532" s="6" t="s">
        <v>1235</v>
      </c>
      <c r="O1532" s="29">
        <v>0</v>
      </c>
    </row>
    <row r="1533" s="1" customFormat="1" ht="16.35" hidden="1" customHeight="1" spans="1:15">
      <c r="A1533" s="5"/>
      <c r="B1533" s="6" t="s">
        <v>2906</v>
      </c>
      <c r="C1533" s="6">
        <v>2019</v>
      </c>
      <c r="D1533" s="6">
        <v>12</v>
      </c>
      <c r="E1533" s="7">
        <v>38</v>
      </c>
      <c r="F1533" s="6" t="s">
        <v>4121</v>
      </c>
      <c r="G1533" s="6" t="s">
        <v>2908</v>
      </c>
      <c r="H1533" s="6" t="s">
        <v>2909</v>
      </c>
      <c r="I1533" s="8">
        <v>176995</v>
      </c>
      <c r="J1533" s="8"/>
      <c r="K1533" s="6" t="s">
        <v>4099</v>
      </c>
      <c r="L1533" s="6" t="s">
        <v>4100</v>
      </c>
      <c r="N1533" s="6" t="s">
        <v>4100</v>
      </c>
      <c r="O1533" s="29">
        <v>0</v>
      </c>
    </row>
    <row r="1534" s="1" customFormat="1" ht="16.35" hidden="1" customHeight="1" spans="1:15">
      <c r="A1534" s="5"/>
      <c r="B1534" s="6" t="s">
        <v>2906</v>
      </c>
      <c r="C1534" s="6">
        <v>2019</v>
      </c>
      <c r="D1534" s="6">
        <v>12</v>
      </c>
      <c r="E1534" s="7">
        <v>38</v>
      </c>
      <c r="F1534" s="6" t="s">
        <v>4121</v>
      </c>
      <c r="G1534" s="6" t="s">
        <v>2908</v>
      </c>
      <c r="H1534" s="6" t="s">
        <v>2909</v>
      </c>
      <c r="I1534" s="8">
        <v>176995</v>
      </c>
      <c r="J1534" s="8"/>
      <c r="K1534" s="6" t="s">
        <v>4102</v>
      </c>
      <c r="L1534" s="6" t="s">
        <v>4103</v>
      </c>
      <c r="N1534" s="6" t="s">
        <v>4103</v>
      </c>
      <c r="O1534" s="29">
        <v>0</v>
      </c>
    </row>
    <row r="1535" s="1" customFormat="1" ht="16.35" hidden="1" customHeight="1" spans="1:15">
      <c r="A1535" s="5"/>
      <c r="B1535" s="6" t="s">
        <v>2906</v>
      </c>
      <c r="C1535" s="6">
        <v>2019</v>
      </c>
      <c r="D1535" s="6">
        <v>12</v>
      </c>
      <c r="E1535" s="7">
        <v>38</v>
      </c>
      <c r="F1535" s="6" t="s">
        <v>4121</v>
      </c>
      <c r="G1535" s="6" t="s">
        <v>2908</v>
      </c>
      <c r="H1535" s="6" t="s">
        <v>2909</v>
      </c>
      <c r="I1535" s="8">
        <v>275368</v>
      </c>
      <c r="J1535" s="8"/>
      <c r="K1535" s="6" t="s">
        <v>2949</v>
      </c>
      <c r="L1535" s="6" t="s">
        <v>1033</v>
      </c>
      <c r="N1535" s="6" t="s">
        <v>1033</v>
      </c>
      <c r="O1535" s="29">
        <v>0</v>
      </c>
    </row>
    <row r="1536" s="1" customFormat="1" ht="16.35" hidden="1" customHeight="1" spans="1:15">
      <c r="A1536" s="5"/>
      <c r="B1536" s="6"/>
      <c r="C1536" s="6" t="s">
        <v>4123</v>
      </c>
      <c r="D1536" s="6" t="s">
        <v>4124</v>
      </c>
      <c r="E1536" s="7">
        <v>3</v>
      </c>
      <c r="F1536" s="6" t="s">
        <v>4125</v>
      </c>
      <c r="G1536" s="6"/>
      <c r="H1536" s="6"/>
      <c r="I1536" s="8"/>
      <c r="J1536" s="8">
        <v>150476</v>
      </c>
      <c r="K1536" s="6"/>
      <c r="L1536" s="6" t="s">
        <v>1507</v>
      </c>
      <c r="N1536" s="6" t="s">
        <v>1507</v>
      </c>
      <c r="O1536" s="29">
        <v>157999.8</v>
      </c>
    </row>
    <row r="1537" s="1" customFormat="1" ht="16.35" hidden="1" customHeight="1" spans="1:15">
      <c r="A1537" s="5"/>
      <c r="B1537" s="6"/>
      <c r="C1537" s="6" t="s">
        <v>4123</v>
      </c>
      <c r="D1537" s="6" t="s">
        <v>4124</v>
      </c>
      <c r="E1537" s="7">
        <v>6</v>
      </c>
      <c r="F1537" s="6" t="s">
        <v>4126</v>
      </c>
      <c r="G1537" s="6"/>
      <c r="H1537" s="6"/>
      <c r="I1537" s="8"/>
      <c r="J1537" s="8">
        <v>19048</v>
      </c>
      <c r="K1537" s="6"/>
      <c r="L1537" s="6" t="s">
        <v>1184</v>
      </c>
      <c r="N1537" s="6" t="s">
        <v>1184</v>
      </c>
      <c r="O1537" s="29">
        <v>20000.4</v>
      </c>
    </row>
    <row r="1538" s="1" customFormat="1" ht="16.35" hidden="1" customHeight="1" spans="1:16">
      <c r="A1538" s="5"/>
      <c r="B1538" s="6"/>
      <c r="C1538" s="6" t="s">
        <v>4123</v>
      </c>
      <c r="D1538" s="6" t="s">
        <v>4124</v>
      </c>
      <c r="E1538" s="7">
        <v>7</v>
      </c>
      <c r="F1538" s="6" t="s">
        <v>4127</v>
      </c>
      <c r="G1538" s="6"/>
      <c r="H1538" s="6"/>
      <c r="I1538" s="8"/>
      <c r="J1538" s="8">
        <v>2857</v>
      </c>
      <c r="K1538" s="6"/>
      <c r="L1538" s="6" t="s">
        <v>1152</v>
      </c>
      <c r="N1538" s="6" t="s">
        <v>1152</v>
      </c>
      <c r="O1538" s="29">
        <v>3000</v>
      </c>
      <c r="P1538" s="1">
        <f>O1538-J1538</f>
        <v>143</v>
      </c>
    </row>
    <row r="1539" s="1" customFormat="1" ht="16.35" hidden="1" customHeight="1" spans="1:15">
      <c r="A1539" s="5"/>
      <c r="B1539" s="6"/>
      <c r="C1539" s="6" t="s">
        <v>4123</v>
      </c>
      <c r="D1539" s="6" t="s">
        <v>4124</v>
      </c>
      <c r="E1539" s="7">
        <v>4</v>
      </c>
      <c r="F1539" s="6" t="s">
        <v>4128</v>
      </c>
      <c r="G1539" s="6"/>
      <c r="H1539" s="6"/>
      <c r="I1539" s="8"/>
      <c r="J1539" s="8">
        <v>142857</v>
      </c>
      <c r="K1539" s="6"/>
      <c r="L1539" s="6" t="s">
        <v>1509</v>
      </c>
      <c r="N1539" s="6" t="s">
        <v>1509</v>
      </c>
      <c r="O1539" s="29">
        <v>149999.85</v>
      </c>
    </row>
    <row r="1540" s="1" customFormat="1" ht="16.35" hidden="1" customHeight="1" spans="1:15">
      <c r="A1540" s="5"/>
      <c r="B1540" s="6"/>
      <c r="C1540" s="6" t="s">
        <v>4123</v>
      </c>
      <c r="D1540" s="6" t="s">
        <v>4124</v>
      </c>
      <c r="E1540" s="7">
        <v>5</v>
      </c>
      <c r="F1540" s="6" t="s">
        <v>4129</v>
      </c>
      <c r="G1540" s="6"/>
      <c r="H1540" s="6"/>
      <c r="I1540" s="8"/>
      <c r="J1540" s="8">
        <v>-142857</v>
      </c>
      <c r="K1540" s="6"/>
      <c r="L1540" s="6" t="s">
        <v>1509</v>
      </c>
      <c r="N1540" s="6" t="s">
        <v>1509</v>
      </c>
      <c r="O1540" s="29">
        <v>-149999.85</v>
      </c>
    </row>
    <row r="1541" s="1" customFormat="1" ht="16.35" hidden="1" customHeight="1" spans="1:16">
      <c r="A1541" s="5"/>
      <c r="B1541" s="6"/>
      <c r="C1541" s="6" t="s">
        <v>4123</v>
      </c>
      <c r="D1541" s="6" t="s">
        <v>4130</v>
      </c>
      <c r="E1541" s="7">
        <v>9</v>
      </c>
      <c r="F1541" s="6" t="s">
        <v>4131</v>
      </c>
      <c r="G1541" s="6"/>
      <c r="H1541" s="6"/>
      <c r="I1541" s="8"/>
      <c r="J1541" s="8">
        <v>57143</v>
      </c>
      <c r="K1541" s="6"/>
      <c r="L1541" s="6" t="s">
        <v>1244</v>
      </c>
      <c r="N1541" s="6" t="s">
        <v>1244</v>
      </c>
      <c r="O1541" s="29">
        <v>60000.15</v>
      </c>
      <c r="P1541" s="1">
        <f>O1541-J1541</f>
        <v>2857.15</v>
      </c>
    </row>
    <row r="1542" s="1" customFormat="1" ht="16.35" hidden="1" customHeight="1" spans="1:16">
      <c r="A1542" s="5"/>
      <c r="B1542" s="6"/>
      <c r="C1542" s="6" t="s">
        <v>4123</v>
      </c>
      <c r="D1542" s="6" t="s">
        <v>4130</v>
      </c>
      <c r="E1542" s="7">
        <v>6</v>
      </c>
      <c r="F1542" s="6" t="s">
        <v>4132</v>
      </c>
      <c r="G1542" s="6"/>
      <c r="H1542" s="6"/>
      <c r="I1542" s="8"/>
      <c r="J1542" s="8">
        <v>19048</v>
      </c>
      <c r="K1542" s="6"/>
      <c r="L1542" s="6" t="s">
        <v>1259</v>
      </c>
      <c r="N1542" s="6" t="s">
        <v>1259</v>
      </c>
      <c r="O1542" s="29">
        <v>20000.4</v>
      </c>
      <c r="P1542" s="1">
        <f>O1542-J1542</f>
        <v>952.400000000001</v>
      </c>
    </row>
    <row r="1543" s="1" customFormat="1" ht="16.35" hidden="1" customHeight="1" spans="1:15">
      <c r="A1543" s="5"/>
      <c r="B1543" s="6"/>
      <c r="C1543" s="6" t="s">
        <v>4123</v>
      </c>
      <c r="D1543" s="6" t="s">
        <v>4130</v>
      </c>
      <c r="E1543" s="7">
        <v>3</v>
      </c>
      <c r="F1543" s="6" t="s">
        <v>4133</v>
      </c>
      <c r="G1543" s="6"/>
      <c r="H1543" s="6"/>
      <c r="I1543" s="8"/>
      <c r="J1543" s="8">
        <v>256305</v>
      </c>
      <c r="K1543" s="6"/>
      <c r="L1543" s="6" t="s">
        <v>1338</v>
      </c>
      <c r="N1543" s="6" t="s">
        <v>1338</v>
      </c>
      <c r="O1543" s="29">
        <v>269120.25</v>
      </c>
    </row>
    <row r="1544" s="1" customFormat="1" ht="16.35" hidden="1" customHeight="1" spans="1:15">
      <c r="A1544" s="5"/>
      <c r="B1544" s="6"/>
      <c r="C1544" s="6" t="s">
        <v>4123</v>
      </c>
      <c r="D1544" s="6" t="s">
        <v>4130</v>
      </c>
      <c r="E1544" s="7">
        <v>4</v>
      </c>
      <c r="F1544" s="6" t="s">
        <v>4133</v>
      </c>
      <c r="G1544" s="6"/>
      <c r="H1544" s="6"/>
      <c r="I1544" s="8"/>
      <c r="J1544" s="8">
        <v>2743</v>
      </c>
      <c r="K1544" s="6"/>
      <c r="L1544" s="6" t="s">
        <v>1338</v>
      </c>
      <c r="N1544" s="6" t="s">
        <v>1338</v>
      </c>
      <c r="O1544" s="29">
        <v>2880.15</v>
      </c>
    </row>
    <row r="1545" s="1" customFormat="1" ht="16.35" hidden="1" customHeight="1" spans="1:15">
      <c r="A1545" s="5"/>
      <c r="B1545" s="6"/>
      <c r="C1545" s="6" t="s">
        <v>4123</v>
      </c>
      <c r="D1545" s="6" t="s">
        <v>4130</v>
      </c>
      <c r="E1545" s="7">
        <v>11</v>
      </c>
      <c r="F1545" s="6" t="s">
        <v>4134</v>
      </c>
      <c r="G1545" s="6"/>
      <c r="H1545" s="6"/>
      <c r="I1545" s="8"/>
      <c r="J1545" s="8">
        <v>180952</v>
      </c>
      <c r="K1545" s="6"/>
      <c r="L1545" s="6" t="s">
        <v>1391</v>
      </c>
      <c r="N1545" s="6" t="s">
        <v>1391</v>
      </c>
      <c r="O1545" s="29">
        <v>189999.6</v>
      </c>
    </row>
    <row r="1546" s="1" customFormat="1" ht="16.35" hidden="1" customHeight="1" spans="1:16">
      <c r="A1546" s="5"/>
      <c r="B1546" s="6"/>
      <c r="C1546" s="6" t="s">
        <v>4123</v>
      </c>
      <c r="D1546" s="6" t="s">
        <v>4130</v>
      </c>
      <c r="E1546" s="7">
        <v>29</v>
      </c>
      <c r="F1546" s="6" t="s">
        <v>4135</v>
      </c>
      <c r="G1546" s="6"/>
      <c r="H1546" s="6"/>
      <c r="I1546" s="8"/>
      <c r="J1546" s="8">
        <v>28571</v>
      </c>
      <c r="K1546" s="6"/>
      <c r="L1546" s="6" t="s">
        <v>1503</v>
      </c>
      <c r="N1546" s="6" t="s">
        <v>1503</v>
      </c>
      <c r="O1546" s="29">
        <v>30000</v>
      </c>
      <c r="P1546" s="1">
        <f t="shared" ref="P1546:P1551" si="1">O1546-J1546</f>
        <v>1429</v>
      </c>
    </row>
    <row r="1547" s="1" customFormat="1" ht="16.35" hidden="1" customHeight="1" spans="1:16">
      <c r="A1547" s="5"/>
      <c r="B1547" s="6"/>
      <c r="C1547" s="6" t="s">
        <v>4123</v>
      </c>
      <c r="D1547" s="6" t="s">
        <v>4130</v>
      </c>
      <c r="E1547" s="7">
        <v>13</v>
      </c>
      <c r="F1547" s="6" t="s">
        <v>4136</v>
      </c>
      <c r="G1547" s="6"/>
      <c r="H1547" s="6"/>
      <c r="I1547" s="8"/>
      <c r="J1547" s="8">
        <v>29135</v>
      </c>
      <c r="K1547" s="6"/>
      <c r="L1547" s="6" t="s">
        <v>1523</v>
      </c>
      <c r="N1547" s="6" t="s">
        <v>1523</v>
      </c>
      <c r="O1547" s="29">
        <v>30591.75</v>
      </c>
      <c r="P1547" s="1">
        <f t="shared" si="1"/>
        <v>1456.75</v>
      </c>
    </row>
    <row r="1548" s="1" customFormat="1" ht="16.35" hidden="1" customHeight="1" spans="1:16">
      <c r="A1548" s="5"/>
      <c r="B1548" s="6"/>
      <c r="C1548" s="6" t="s">
        <v>4123</v>
      </c>
      <c r="D1548" s="6" t="s">
        <v>4130</v>
      </c>
      <c r="E1548" s="7">
        <v>14</v>
      </c>
      <c r="F1548" s="6" t="s">
        <v>4137</v>
      </c>
      <c r="G1548" s="6"/>
      <c r="H1548" s="6"/>
      <c r="I1548" s="8"/>
      <c r="J1548" s="8">
        <v>4762</v>
      </c>
      <c r="K1548" s="6"/>
      <c r="L1548" s="6" t="s">
        <v>1523</v>
      </c>
      <c r="N1548" s="6" t="s">
        <v>1523</v>
      </c>
      <c r="O1548" s="29">
        <v>5000.1</v>
      </c>
      <c r="P1548" s="1">
        <f t="shared" si="1"/>
        <v>238.1</v>
      </c>
    </row>
    <row r="1549" s="1" customFormat="1" ht="16.35" hidden="1" customHeight="1" spans="1:16">
      <c r="A1549" s="5"/>
      <c r="B1549" s="6"/>
      <c r="C1549" s="6" t="s">
        <v>4123</v>
      </c>
      <c r="D1549" s="6" t="s">
        <v>4130</v>
      </c>
      <c r="E1549" s="7">
        <v>1</v>
      </c>
      <c r="F1549" s="6" t="s">
        <v>4138</v>
      </c>
      <c r="G1549" s="6"/>
      <c r="H1549" s="6"/>
      <c r="I1549" s="8"/>
      <c r="J1549" s="8">
        <v>1542</v>
      </c>
      <c r="K1549" s="6"/>
      <c r="L1549" s="6" t="s">
        <v>1143</v>
      </c>
      <c r="N1549" s="6" t="s">
        <v>1143</v>
      </c>
      <c r="O1549" s="29">
        <v>1619.1</v>
      </c>
      <c r="P1549" s="1">
        <f t="shared" si="1"/>
        <v>77.0999999999999</v>
      </c>
    </row>
    <row r="1550" s="1" customFormat="1" ht="16.35" hidden="1" customHeight="1" spans="1:16">
      <c r="A1550" s="5"/>
      <c r="B1550" s="6"/>
      <c r="C1550" s="6" t="s">
        <v>4123</v>
      </c>
      <c r="D1550" s="6" t="s">
        <v>4130</v>
      </c>
      <c r="E1550" s="7">
        <v>2</v>
      </c>
      <c r="F1550" s="6" t="s">
        <v>4139</v>
      </c>
      <c r="G1550" s="6"/>
      <c r="H1550" s="6"/>
      <c r="I1550" s="8"/>
      <c r="J1550" s="8">
        <v>28571</v>
      </c>
      <c r="K1550" s="6"/>
      <c r="L1550" s="6" t="s">
        <v>1143</v>
      </c>
      <c r="N1550" s="6" t="s">
        <v>1143</v>
      </c>
      <c r="O1550" s="29">
        <v>29999.55</v>
      </c>
      <c r="P1550" s="1">
        <f t="shared" si="1"/>
        <v>1428.55</v>
      </c>
    </row>
    <row r="1551" s="1" customFormat="1" ht="16.35" hidden="1" customHeight="1" spans="1:16">
      <c r="A1551" s="5"/>
      <c r="B1551" s="6"/>
      <c r="C1551" s="6" t="s">
        <v>4123</v>
      </c>
      <c r="D1551" s="6" t="s">
        <v>4130</v>
      </c>
      <c r="E1551" s="7">
        <v>28</v>
      </c>
      <c r="F1551" s="6" t="s">
        <v>4140</v>
      </c>
      <c r="G1551" s="6"/>
      <c r="H1551" s="6"/>
      <c r="I1551" s="8"/>
      <c r="J1551" s="8">
        <v>9524</v>
      </c>
      <c r="K1551" s="6"/>
      <c r="L1551" s="6" t="s">
        <v>1143</v>
      </c>
      <c r="N1551" s="6" t="s">
        <v>1143</v>
      </c>
      <c r="O1551" s="29">
        <v>10000.2</v>
      </c>
      <c r="P1551" s="1">
        <f t="shared" si="1"/>
        <v>476.200000000001</v>
      </c>
    </row>
    <row r="1552" s="1" customFormat="1" ht="16.35" hidden="1" customHeight="1" spans="1:15">
      <c r="A1552" s="5"/>
      <c r="B1552" s="6"/>
      <c r="C1552" s="6" t="s">
        <v>4123</v>
      </c>
      <c r="D1552" s="6" t="s">
        <v>4130</v>
      </c>
      <c r="E1552" s="7">
        <v>8</v>
      </c>
      <c r="F1552" s="6" t="s">
        <v>4141</v>
      </c>
      <c r="G1552" s="6"/>
      <c r="H1552" s="6"/>
      <c r="I1552" s="8"/>
      <c r="J1552" s="8">
        <v>19048</v>
      </c>
      <c r="K1552" s="6"/>
      <c r="L1552" s="6" t="s">
        <v>1229</v>
      </c>
      <c r="N1552" s="6" t="s">
        <v>1229</v>
      </c>
      <c r="O1552" s="29">
        <v>20000.4</v>
      </c>
    </row>
    <row r="1553" s="1" customFormat="1" ht="16.35" hidden="1" customHeight="1" spans="1:15">
      <c r="A1553" s="5"/>
      <c r="B1553" s="6"/>
      <c r="C1553" s="6" t="s">
        <v>4123</v>
      </c>
      <c r="D1553" s="6" t="s">
        <v>4130</v>
      </c>
      <c r="E1553" s="7">
        <v>15</v>
      </c>
      <c r="F1553" s="6" t="s">
        <v>4142</v>
      </c>
      <c r="G1553" s="6"/>
      <c r="H1553" s="6"/>
      <c r="I1553" s="8"/>
      <c r="J1553" s="8">
        <v>57143</v>
      </c>
      <c r="K1553" s="6"/>
      <c r="L1553" s="6" t="s">
        <v>1231</v>
      </c>
      <c r="N1553" s="6" t="s">
        <v>1231</v>
      </c>
      <c r="O1553" s="29">
        <v>60000.15</v>
      </c>
    </row>
    <row r="1554" s="1" customFormat="1" ht="16.35" hidden="1" customHeight="1" spans="1:15">
      <c r="A1554" s="5"/>
      <c r="B1554" s="6"/>
      <c r="C1554" s="6" t="s">
        <v>4123</v>
      </c>
      <c r="D1554" s="6" t="s">
        <v>4130</v>
      </c>
      <c r="E1554" s="7">
        <v>16</v>
      </c>
      <c r="F1554" s="6" t="s">
        <v>4142</v>
      </c>
      <c r="G1554" s="6"/>
      <c r="H1554" s="6"/>
      <c r="I1554" s="8"/>
      <c r="J1554" s="8">
        <v>28571</v>
      </c>
      <c r="K1554" s="6"/>
      <c r="L1554" s="6" t="s">
        <v>1231</v>
      </c>
      <c r="N1554" s="6" t="s">
        <v>1231</v>
      </c>
      <c r="O1554" s="29">
        <v>29999.55</v>
      </c>
    </row>
    <row r="1555" s="1" customFormat="1" ht="16.35" hidden="1" customHeight="1" spans="1:15">
      <c r="A1555" s="5"/>
      <c r="B1555" s="6"/>
      <c r="C1555" s="6" t="s">
        <v>4123</v>
      </c>
      <c r="D1555" s="6" t="s">
        <v>4130</v>
      </c>
      <c r="E1555" s="7">
        <v>12</v>
      </c>
      <c r="F1555" s="6" t="s">
        <v>4143</v>
      </c>
      <c r="G1555" s="6"/>
      <c r="H1555" s="6"/>
      <c r="I1555" s="8"/>
      <c r="J1555" s="8">
        <v>120000</v>
      </c>
      <c r="K1555" s="6"/>
      <c r="L1555" s="6" t="s">
        <v>4144</v>
      </c>
      <c r="N1555" s="6" t="s">
        <v>4144</v>
      </c>
      <c r="O1555" s="29">
        <v>126000</v>
      </c>
    </row>
    <row r="1556" s="1" customFormat="1" ht="16.35" hidden="1" customHeight="1" spans="1:15">
      <c r="A1556" s="5"/>
      <c r="B1556" s="6"/>
      <c r="C1556" s="6" t="s">
        <v>4123</v>
      </c>
      <c r="D1556" s="6" t="s">
        <v>4130</v>
      </c>
      <c r="E1556" s="7">
        <v>25</v>
      </c>
      <c r="F1556" s="6" t="s">
        <v>4145</v>
      </c>
      <c r="G1556" s="6"/>
      <c r="H1556" s="6"/>
      <c r="I1556" s="8"/>
      <c r="J1556" s="8">
        <v>70476</v>
      </c>
      <c r="K1556" s="6"/>
      <c r="L1556" s="6" t="s">
        <v>4144</v>
      </c>
      <c r="N1556" s="6" t="s">
        <v>4144</v>
      </c>
      <c r="O1556" s="29">
        <v>73999.8</v>
      </c>
    </row>
    <row r="1557" s="1" customFormat="1" ht="16.35" hidden="1" customHeight="1" spans="1:15">
      <c r="A1557" s="5"/>
      <c r="B1557" s="6"/>
      <c r="C1557" s="6" t="s">
        <v>4123</v>
      </c>
      <c r="D1557" s="6" t="s">
        <v>4130</v>
      </c>
      <c r="E1557" s="7">
        <v>5</v>
      </c>
      <c r="F1557" s="6" t="s">
        <v>4146</v>
      </c>
      <c r="G1557" s="6"/>
      <c r="H1557" s="6"/>
      <c r="I1557" s="8"/>
      <c r="J1557" s="8">
        <v>218637</v>
      </c>
      <c r="K1557" s="6"/>
      <c r="L1557" s="6" t="s">
        <v>4147</v>
      </c>
      <c r="N1557" s="6" t="s">
        <v>4147</v>
      </c>
      <c r="O1557" s="29">
        <v>229568.85</v>
      </c>
    </row>
    <row r="1558" s="1" customFormat="1" ht="16.35" hidden="1" customHeight="1" spans="1:16">
      <c r="A1558" s="5"/>
      <c r="B1558" s="6"/>
      <c r="C1558" s="6" t="s">
        <v>4123</v>
      </c>
      <c r="D1558" s="6" t="s">
        <v>4130</v>
      </c>
      <c r="E1558" s="7">
        <v>7</v>
      </c>
      <c r="F1558" s="6" t="s">
        <v>4148</v>
      </c>
      <c r="G1558" s="6"/>
      <c r="H1558" s="6"/>
      <c r="I1558" s="8"/>
      <c r="J1558" s="8">
        <v>47773</v>
      </c>
      <c r="K1558" s="6"/>
      <c r="L1558" s="6" t="s">
        <v>1466</v>
      </c>
      <c r="N1558" s="6" t="s">
        <v>1466</v>
      </c>
      <c r="O1558" s="29">
        <v>50161.65</v>
      </c>
      <c r="P1558" s="1">
        <f>O1558-J1558</f>
        <v>2388.65</v>
      </c>
    </row>
    <row r="1559" s="1" customFormat="1" ht="16.35" hidden="1" customHeight="1" spans="1:15">
      <c r="A1559" s="5"/>
      <c r="B1559" s="6"/>
      <c r="C1559" s="6" t="s">
        <v>4123</v>
      </c>
      <c r="D1559" s="6" t="s">
        <v>4130</v>
      </c>
      <c r="E1559" s="7">
        <v>10</v>
      </c>
      <c r="F1559" s="6" t="s">
        <v>4149</v>
      </c>
      <c r="G1559" s="6"/>
      <c r="H1559" s="6"/>
      <c r="I1559" s="8"/>
      <c r="J1559" s="8">
        <v>60076</v>
      </c>
      <c r="K1559" s="6"/>
      <c r="L1559" s="6" t="s">
        <v>1403</v>
      </c>
      <c r="N1559" s="6" t="s">
        <v>1403</v>
      </c>
      <c r="O1559" s="29">
        <v>63079.8</v>
      </c>
    </row>
    <row r="1560" s="1" customFormat="1" ht="16.35" hidden="1" customHeight="1" spans="1:15">
      <c r="A1560" s="5"/>
      <c r="B1560" s="6"/>
      <c r="C1560" s="6" t="s">
        <v>4123</v>
      </c>
      <c r="D1560" s="6" t="s">
        <v>4150</v>
      </c>
      <c r="E1560" s="7">
        <v>2</v>
      </c>
      <c r="F1560" s="6" t="s">
        <v>4151</v>
      </c>
      <c r="G1560" s="6"/>
      <c r="H1560" s="6"/>
      <c r="I1560" s="8"/>
      <c r="J1560" s="8">
        <v>9524</v>
      </c>
      <c r="K1560" s="6"/>
      <c r="L1560" s="6" t="s">
        <v>1507</v>
      </c>
      <c r="N1560" s="6" t="s">
        <v>1507</v>
      </c>
      <c r="O1560" s="29">
        <v>10000.2</v>
      </c>
    </row>
    <row r="1561" s="1" customFormat="1" ht="16.35" hidden="1" customHeight="1" spans="1:15">
      <c r="A1561" s="5"/>
      <c r="B1561" s="6"/>
      <c r="C1561" s="6" t="s">
        <v>4123</v>
      </c>
      <c r="D1561" s="6" t="s">
        <v>4150</v>
      </c>
      <c r="E1561" s="7">
        <v>11</v>
      </c>
      <c r="F1561" s="6" t="s">
        <v>4152</v>
      </c>
      <c r="G1561" s="6"/>
      <c r="H1561" s="6"/>
      <c r="I1561" s="8"/>
      <c r="J1561" s="8">
        <v>9524</v>
      </c>
      <c r="K1561" s="6"/>
      <c r="L1561" s="6" t="s">
        <v>1507</v>
      </c>
      <c r="N1561" s="6" t="s">
        <v>1507</v>
      </c>
      <c r="O1561" s="29">
        <v>10000.2</v>
      </c>
    </row>
    <row r="1562" s="1" customFormat="1" ht="16.35" hidden="1" customHeight="1" spans="1:15">
      <c r="A1562" s="5"/>
      <c r="B1562" s="6"/>
      <c r="C1562" s="6" t="s">
        <v>4123</v>
      </c>
      <c r="D1562" s="6" t="s">
        <v>4150</v>
      </c>
      <c r="E1562" s="7">
        <v>38</v>
      </c>
      <c r="F1562" s="6" t="s">
        <v>4153</v>
      </c>
      <c r="G1562" s="6"/>
      <c r="H1562" s="6"/>
      <c r="I1562" s="8"/>
      <c r="J1562" s="8">
        <v>-4762</v>
      </c>
      <c r="K1562" s="6"/>
      <c r="L1562" s="6" t="s">
        <v>1507</v>
      </c>
      <c r="N1562" s="6" t="s">
        <v>1507</v>
      </c>
      <c r="O1562" s="29">
        <v>-5000.1</v>
      </c>
    </row>
    <row r="1563" s="1" customFormat="1" ht="16.35" hidden="1" customHeight="1" spans="1:16">
      <c r="A1563" s="5"/>
      <c r="B1563" s="6"/>
      <c r="C1563" s="6" t="s">
        <v>4123</v>
      </c>
      <c r="D1563" s="6" t="s">
        <v>4150</v>
      </c>
      <c r="E1563" s="7">
        <v>13</v>
      </c>
      <c r="F1563" s="6" t="s">
        <v>4154</v>
      </c>
      <c r="G1563" s="6"/>
      <c r="H1563" s="6"/>
      <c r="I1563" s="8"/>
      <c r="J1563" s="8">
        <v>158757</v>
      </c>
      <c r="K1563" s="6"/>
      <c r="L1563" s="6" t="s">
        <v>1208</v>
      </c>
      <c r="N1563" s="6" t="s">
        <v>1208</v>
      </c>
      <c r="O1563" s="29">
        <v>166694.85</v>
      </c>
      <c r="P1563" s="1">
        <f>O1563-J1563</f>
        <v>7937.85000000001</v>
      </c>
    </row>
    <row r="1564" s="1" customFormat="1" ht="16.35" hidden="1" customHeight="1" spans="1:15">
      <c r="A1564" s="5"/>
      <c r="B1564" s="6"/>
      <c r="C1564" s="6" t="s">
        <v>4123</v>
      </c>
      <c r="D1564" s="6" t="s">
        <v>4150</v>
      </c>
      <c r="E1564" s="7">
        <v>5</v>
      </c>
      <c r="F1564" s="6" t="s">
        <v>4155</v>
      </c>
      <c r="G1564" s="6"/>
      <c r="H1564" s="6"/>
      <c r="I1564" s="8"/>
      <c r="J1564" s="8">
        <v>76528</v>
      </c>
      <c r="K1564" s="6"/>
      <c r="L1564" s="6" t="s">
        <v>1387</v>
      </c>
      <c r="N1564" s="6" t="s">
        <v>1387</v>
      </c>
      <c r="O1564" s="29">
        <v>80354.4</v>
      </c>
    </row>
    <row r="1565" s="1" customFormat="1" ht="16.35" hidden="1" customHeight="1" spans="1:15">
      <c r="A1565" s="5"/>
      <c r="B1565" s="6"/>
      <c r="C1565" s="6" t="s">
        <v>4123</v>
      </c>
      <c r="D1565" s="6" t="s">
        <v>4150</v>
      </c>
      <c r="E1565" s="7">
        <v>18</v>
      </c>
      <c r="F1565" s="6" t="s">
        <v>4156</v>
      </c>
      <c r="G1565" s="6"/>
      <c r="H1565" s="6"/>
      <c r="I1565" s="8"/>
      <c r="J1565" s="8">
        <v>120952</v>
      </c>
      <c r="K1565" s="6"/>
      <c r="L1565" s="6" t="s">
        <v>1387</v>
      </c>
      <c r="N1565" s="6" t="s">
        <v>1387</v>
      </c>
      <c r="O1565" s="29">
        <v>126999.6</v>
      </c>
    </row>
    <row r="1566" s="1" customFormat="1" ht="16.35" hidden="1" customHeight="1" spans="1:16">
      <c r="A1566" s="5"/>
      <c r="B1566" s="6"/>
      <c r="C1566" s="6" t="s">
        <v>4123</v>
      </c>
      <c r="D1566" s="6" t="s">
        <v>4150</v>
      </c>
      <c r="E1566" s="7">
        <v>17</v>
      </c>
      <c r="F1566" s="6" t="s">
        <v>4157</v>
      </c>
      <c r="G1566" s="6"/>
      <c r="H1566" s="6"/>
      <c r="I1566" s="8"/>
      <c r="J1566" s="8">
        <v>142857</v>
      </c>
      <c r="K1566" s="6"/>
      <c r="L1566" s="6" t="s">
        <v>1523</v>
      </c>
      <c r="N1566" s="6" t="s">
        <v>1523</v>
      </c>
      <c r="O1566" s="29">
        <v>149999.85</v>
      </c>
      <c r="P1566" s="1">
        <f>O1566-J1566</f>
        <v>7142.85000000001</v>
      </c>
    </row>
    <row r="1567" s="1" customFormat="1" ht="16.35" hidden="1" customHeight="1" spans="1:16">
      <c r="A1567" s="5"/>
      <c r="B1567" s="6"/>
      <c r="C1567" s="6" t="s">
        <v>4123</v>
      </c>
      <c r="D1567" s="6" t="s">
        <v>4150</v>
      </c>
      <c r="E1567" s="7">
        <v>3</v>
      </c>
      <c r="F1567" s="6" t="s">
        <v>4158</v>
      </c>
      <c r="G1567" s="6"/>
      <c r="H1567" s="6"/>
      <c r="I1567" s="8"/>
      <c r="J1567" s="8">
        <v>42677</v>
      </c>
      <c r="K1567" s="6"/>
      <c r="L1567" s="6" t="s">
        <v>1653</v>
      </c>
      <c r="N1567" s="6" t="s">
        <v>1653</v>
      </c>
      <c r="O1567" s="29">
        <v>44810.85</v>
      </c>
      <c r="P1567" s="1">
        <f>O1567-J1567</f>
        <v>2133.85</v>
      </c>
    </row>
    <row r="1568" s="1" customFormat="1" ht="16.35" hidden="1" customHeight="1" spans="1:16">
      <c r="A1568" s="5"/>
      <c r="B1568" s="6"/>
      <c r="C1568" s="6" t="s">
        <v>4123</v>
      </c>
      <c r="D1568" s="6" t="s">
        <v>4150</v>
      </c>
      <c r="E1568" s="7">
        <v>4</v>
      </c>
      <c r="F1568" s="6" t="s">
        <v>4159</v>
      </c>
      <c r="G1568" s="6"/>
      <c r="H1568" s="6"/>
      <c r="I1568" s="8"/>
      <c r="J1568" s="8">
        <v>4762</v>
      </c>
      <c r="K1568" s="6"/>
      <c r="L1568" s="6" t="s">
        <v>1653</v>
      </c>
      <c r="N1568" s="6" t="s">
        <v>1653</v>
      </c>
      <c r="O1568" s="29">
        <v>5000.1</v>
      </c>
      <c r="P1568" s="1">
        <f>O1568-J1568</f>
        <v>238.1</v>
      </c>
    </row>
    <row r="1569" s="1" customFormat="1" ht="16.35" hidden="1" customHeight="1" spans="1:16">
      <c r="A1569" s="5"/>
      <c r="B1569" s="6"/>
      <c r="C1569" s="6" t="s">
        <v>4123</v>
      </c>
      <c r="D1569" s="6" t="s">
        <v>4150</v>
      </c>
      <c r="E1569" s="7">
        <v>14</v>
      </c>
      <c r="F1569" s="6" t="s">
        <v>4160</v>
      </c>
      <c r="G1569" s="6"/>
      <c r="H1569" s="6"/>
      <c r="I1569" s="8"/>
      <c r="J1569" s="8">
        <v>141905</v>
      </c>
      <c r="K1569" s="6"/>
      <c r="L1569" s="6" t="s">
        <v>1653</v>
      </c>
      <c r="N1569" s="6" t="s">
        <v>1653</v>
      </c>
      <c r="O1569" s="29">
        <v>149000.25</v>
      </c>
      <c r="P1569" s="1">
        <f>O1569-J1569</f>
        <v>7095.25</v>
      </c>
    </row>
    <row r="1570" s="1" customFormat="1" ht="16.35" hidden="1" customHeight="1" spans="1:16">
      <c r="A1570" s="5"/>
      <c r="B1570" s="6"/>
      <c r="C1570" s="6" t="s">
        <v>4123</v>
      </c>
      <c r="D1570" s="6" t="s">
        <v>4150</v>
      </c>
      <c r="E1570" s="7">
        <v>7</v>
      </c>
      <c r="F1570" s="6" t="s">
        <v>4161</v>
      </c>
      <c r="G1570" s="6"/>
      <c r="H1570" s="6"/>
      <c r="I1570" s="8"/>
      <c r="J1570" s="8">
        <v>12381</v>
      </c>
      <c r="K1570" s="6"/>
      <c r="L1570" s="6" t="s">
        <v>1129</v>
      </c>
      <c r="N1570" s="6" t="s">
        <v>1129</v>
      </c>
      <c r="O1570" s="29">
        <v>13000.05</v>
      </c>
      <c r="P1570" s="1">
        <f>O1570-J1570</f>
        <v>619.049999999999</v>
      </c>
    </row>
    <row r="1571" s="1" customFormat="1" ht="16.35" hidden="1" customHeight="1" spans="1:15">
      <c r="A1571" s="5"/>
      <c r="B1571" s="6"/>
      <c r="C1571" s="6" t="s">
        <v>4123</v>
      </c>
      <c r="D1571" s="6" t="s">
        <v>4150</v>
      </c>
      <c r="E1571" s="7">
        <v>15</v>
      </c>
      <c r="F1571" s="6" t="s">
        <v>4162</v>
      </c>
      <c r="G1571" s="6"/>
      <c r="H1571" s="6"/>
      <c r="I1571" s="8"/>
      <c r="J1571" s="8">
        <v>4762</v>
      </c>
      <c r="K1571" s="6"/>
      <c r="L1571" s="6" t="s">
        <v>1139</v>
      </c>
      <c r="N1571" s="6" t="s">
        <v>1139</v>
      </c>
      <c r="O1571" s="29">
        <v>5000.1</v>
      </c>
    </row>
    <row r="1572" s="1" customFormat="1" ht="16.35" hidden="1" customHeight="1" spans="1:15">
      <c r="A1572" s="5"/>
      <c r="B1572" s="6"/>
      <c r="C1572" s="6" t="s">
        <v>4123</v>
      </c>
      <c r="D1572" s="6" t="s">
        <v>4150</v>
      </c>
      <c r="E1572" s="7">
        <v>9</v>
      </c>
      <c r="F1572" s="6" t="s">
        <v>4163</v>
      </c>
      <c r="G1572" s="6"/>
      <c r="H1572" s="6"/>
      <c r="I1572" s="8"/>
      <c r="J1572" s="8">
        <v>68429</v>
      </c>
      <c r="K1572" s="6"/>
      <c r="L1572" s="6" t="s">
        <v>1139</v>
      </c>
      <c r="N1572" s="6" t="s">
        <v>1139</v>
      </c>
      <c r="O1572" s="29">
        <v>71850.45</v>
      </c>
    </row>
    <row r="1573" s="1" customFormat="1" ht="16.35" hidden="1" customHeight="1" spans="1:15">
      <c r="A1573" s="5"/>
      <c r="B1573" s="6"/>
      <c r="C1573" s="6" t="s">
        <v>4123</v>
      </c>
      <c r="D1573" s="6" t="s">
        <v>4150</v>
      </c>
      <c r="E1573" s="7">
        <v>12</v>
      </c>
      <c r="F1573" s="6" t="s">
        <v>4164</v>
      </c>
      <c r="G1573" s="6"/>
      <c r="H1573" s="6"/>
      <c r="I1573" s="8"/>
      <c r="J1573" s="8">
        <v>81562</v>
      </c>
      <c r="K1573" s="6"/>
      <c r="L1573" s="6" t="s">
        <v>1206</v>
      </c>
      <c r="N1573" s="6" t="s">
        <v>1206</v>
      </c>
      <c r="O1573" s="29">
        <v>85640.1</v>
      </c>
    </row>
    <row r="1574" s="1" customFormat="1" ht="16.35" hidden="1" customHeight="1" spans="1:15">
      <c r="A1574" s="5"/>
      <c r="B1574" s="6"/>
      <c r="C1574" s="6" t="s">
        <v>4123</v>
      </c>
      <c r="D1574" s="6" t="s">
        <v>4150</v>
      </c>
      <c r="E1574" s="7">
        <v>10</v>
      </c>
      <c r="F1574" s="6" t="s">
        <v>4165</v>
      </c>
      <c r="G1574" s="6"/>
      <c r="H1574" s="6"/>
      <c r="I1574" s="8"/>
      <c r="J1574" s="8">
        <v>9524</v>
      </c>
      <c r="K1574" s="6"/>
      <c r="L1574" s="6" t="s">
        <v>1231</v>
      </c>
      <c r="N1574" s="6" t="s">
        <v>1231</v>
      </c>
      <c r="O1574" s="29">
        <v>10000.2</v>
      </c>
    </row>
    <row r="1575" s="1" customFormat="1" ht="16.35" hidden="1" customHeight="1" spans="1:16">
      <c r="A1575" s="5"/>
      <c r="B1575" s="6"/>
      <c r="C1575" s="6" t="s">
        <v>4123</v>
      </c>
      <c r="D1575" s="6" t="s">
        <v>4150</v>
      </c>
      <c r="E1575" s="7">
        <v>19</v>
      </c>
      <c r="F1575" s="6" t="s">
        <v>4166</v>
      </c>
      <c r="G1575" s="6"/>
      <c r="H1575" s="6"/>
      <c r="I1575" s="8"/>
      <c r="J1575" s="8">
        <v>155238</v>
      </c>
      <c r="K1575" s="6"/>
      <c r="L1575" s="6" t="s">
        <v>1466</v>
      </c>
      <c r="N1575" s="6" t="s">
        <v>1466</v>
      </c>
      <c r="O1575" s="29">
        <v>162999.9</v>
      </c>
      <c r="P1575" s="1">
        <f>O1575-J1575</f>
        <v>7761.89999999999</v>
      </c>
    </row>
    <row r="1576" s="1" customFormat="1" ht="16.35" hidden="1" customHeight="1" spans="1:16">
      <c r="A1576" s="5"/>
      <c r="B1576" s="6"/>
      <c r="C1576" s="6" t="s">
        <v>4123</v>
      </c>
      <c r="D1576" s="6" t="s">
        <v>4150</v>
      </c>
      <c r="E1576" s="7">
        <v>38</v>
      </c>
      <c r="F1576" s="6" t="s">
        <v>4153</v>
      </c>
      <c r="G1576" s="6"/>
      <c r="H1576" s="6"/>
      <c r="I1576" s="8"/>
      <c r="J1576" s="8">
        <v>4762</v>
      </c>
      <c r="K1576" s="6"/>
      <c r="L1576" s="6" t="s">
        <v>1466</v>
      </c>
      <c r="N1576" s="6" t="s">
        <v>1466</v>
      </c>
      <c r="O1576" s="29">
        <v>5000.1</v>
      </c>
      <c r="P1576" s="1">
        <f>O1576-J1576</f>
        <v>238.1</v>
      </c>
    </row>
    <row r="1577" s="1" customFormat="1" ht="16.35" hidden="1" customHeight="1" spans="1:16">
      <c r="A1577" s="5"/>
      <c r="B1577" s="6"/>
      <c r="C1577" s="6" t="s">
        <v>4123</v>
      </c>
      <c r="D1577" s="6" t="s">
        <v>4150</v>
      </c>
      <c r="E1577" s="7">
        <v>8</v>
      </c>
      <c r="F1577" s="6" t="s">
        <v>4167</v>
      </c>
      <c r="G1577" s="6"/>
      <c r="H1577" s="6"/>
      <c r="I1577" s="8"/>
      <c r="J1577" s="8">
        <v>790</v>
      </c>
      <c r="K1577" s="6"/>
      <c r="L1577" s="6" t="s">
        <v>1427</v>
      </c>
      <c r="N1577" s="6" t="s">
        <v>1427</v>
      </c>
      <c r="O1577" s="29">
        <v>829.5</v>
      </c>
      <c r="P1577" s="1">
        <f>O1577-J1577</f>
        <v>39.5</v>
      </c>
    </row>
    <row r="1578" s="1" customFormat="1" ht="16.35" hidden="1" customHeight="1" spans="1:16">
      <c r="A1578" s="5"/>
      <c r="B1578" s="6"/>
      <c r="C1578" s="6" t="s">
        <v>4123</v>
      </c>
      <c r="D1578" s="6" t="s">
        <v>4150</v>
      </c>
      <c r="E1578" s="7">
        <v>16</v>
      </c>
      <c r="F1578" s="6" t="s">
        <v>4168</v>
      </c>
      <c r="G1578" s="6"/>
      <c r="H1578" s="6"/>
      <c r="I1578" s="8"/>
      <c r="J1578" s="8">
        <v>152381</v>
      </c>
      <c r="K1578" s="6"/>
      <c r="L1578" s="6" t="s">
        <v>1427</v>
      </c>
      <c r="N1578" s="6" t="s">
        <v>1427</v>
      </c>
      <c r="O1578" s="29">
        <v>160000.05</v>
      </c>
      <c r="P1578" s="1">
        <f>O1578-J1578</f>
        <v>7619.04999999999</v>
      </c>
    </row>
    <row r="1579" s="1" customFormat="1" ht="16.35" hidden="1" customHeight="1" spans="1:15">
      <c r="A1579" s="5"/>
      <c r="B1579" s="6"/>
      <c r="C1579" s="6" t="s">
        <v>4123</v>
      </c>
      <c r="D1579" s="6" t="s">
        <v>4150</v>
      </c>
      <c r="E1579" s="7">
        <v>6</v>
      </c>
      <c r="F1579" s="6" t="s">
        <v>4169</v>
      </c>
      <c r="G1579" s="6"/>
      <c r="H1579" s="6"/>
      <c r="I1579" s="8"/>
      <c r="J1579" s="8">
        <v>4762</v>
      </c>
      <c r="K1579" s="6"/>
      <c r="L1579" s="6" t="s">
        <v>1464</v>
      </c>
      <c r="N1579" s="6" t="s">
        <v>1464</v>
      </c>
      <c r="O1579" s="29">
        <v>5000.1</v>
      </c>
    </row>
    <row r="1580" s="1" customFormat="1" ht="16.35" hidden="1" customHeight="1" spans="1:16">
      <c r="A1580" s="5"/>
      <c r="B1580" s="6"/>
      <c r="C1580" s="6" t="s">
        <v>4123</v>
      </c>
      <c r="D1580" s="6" t="s">
        <v>4150</v>
      </c>
      <c r="E1580" s="7">
        <v>1</v>
      </c>
      <c r="F1580" s="6" t="s">
        <v>4170</v>
      </c>
      <c r="G1580" s="6"/>
      <c r="H1580" s="6"/>
      <c r="I1580" s="8"/>
      <c r="J1580" s="8">
        <v>19048</v>
      </c>
      <c r="K1580" s="6"/>
      <c r="L1580" s="6" t="s">
        <v>1609</v>
      </c>
      <c r="N1580" s="6" t="s">
        <v>1609</v>
      </c>
      <c r="O1580" s="29">
        <v>20000.4</v>
      </c>
      <c r="P1580" s="1">
        <f>O1580-J1580</f>
        <v>952.400000000001</v>
      </c>
    </row>
    <row r="1581" s="1" customFormat="1" ht="16.35" hidden="1" customHeight="1" spans="1:15">
      <c r="A1581" s="5"/>
      <c r="B1581" s="6"/>
      <c r="C1581" s="6" t="s">
        <v>4123</v>
      </c>
      <c r="D1581" s="6" t="s">
        <v>4171</v>
      </c>
      <c r="E1581" s="7">
        <v>7</v>
      </c>
      <c r="F1581" s="6" t="s">
        <v>4172</v>
      </c>
      <c r="G1581" s="6"/>
      <c r="H1581" s="6"/>
      <c r="I1581" s="8"/>
      <c r="J1581" s="8">
        <v>96038</v>
      </c>
      <c r="K1581" s="6"/>
      <c r="L1581" s="6" t="s">
        <v>1434</v>
      </c>
      <c r="N1581" s="6" t="s">
        <v>1434</v>
      </c>
      <c r="O1581" s="29">
        <v>100839.9</v>
      </c>
    </row>
    <row r="1582" s="1" customFormat="1" ht="16.35" hidden="1" customHeight="1" spans="1:15">
      <c r="A1582" s="5"/>
      <c r="B1582" s="6"/>
      <c r="C1582" s="6" t="s">
        <v>4123</v>
      </c>
      <c r="D1582" s="6" t="s">
        <v>4171</v>
      </c>
      <c r="E1582" s="7">
        <v>1</v>
      </c>
      <c r="F1582" s="6" t="s">
        <v>4173</v>
      </c>
      <c r="G1582" s="6"/>
      <c r="H1582" s="6"/>
      <c r="I1582" s="8"/>
      <c r="J1582" s="8">
        <v>-95238</v>
      </c>
      <c r="K1582" s="6"/>
      <c r="L1582" s="6" t="s">
        <v>3792</v>
      </c>
      <c r="N1582" s="6" t="s">
        <v>3792</v>
      </c>
      <c r="O1582" s="29">
        <v>-99999.9</v>
      </c>
    </row>
    <row r="1583" s="1" customFormat="1" ht="16.35" hidden="1" customHeight="1" spans="1:16">
      <c r="A1583" s="5"/>
      <c r="B1583" s="6"/>
      <c r="C1583" s="6" t="s">
        <v>4123</v>
      </c>
      <c r="D1583" s="6" t="s">
        <v>4171</v>
      </c>
      <c r="E1583" s="7">
        <v>13</v>
      </c>
      <c r="F1583" s="6" t="s">
        <v>4174</v>
      </c>
      <c r="G1583" s="6"/>
      <c r="H1583" s="6"/>
      <c r="I1583" s="8"/>
      <c r="J1583" s="8" t="s">
        <v>30</v>
      </c>
      <c r="K1583" s="6"/>
      <c r="L1583" s="6" t="s">
        <v>1208</v>
      </c>
      <c r="N1583" s="6" t="s">
        <v>1208</v>
      </c>
      <c r="O1583" s="29">
        <v>165000.15</v>
      </c>
      <c r="P1583" s="1" t="e">
        <f>O1583-J1583</f>
        <v>#VALUE!</v>
      </c>
    </row>
    <row r="1584" s="1" customFormat="1" ht="16.35" hidden="1" customHeight="1" spans="1:16">
      <c r="A1584" s="5"/>
      <c r="B1584" s="6"/>
      <c r="C1584" s="6" t="s">
        <v>4123</v>
      </c>
      <c r="D1584" s="6" t="s">
        <v>4171</v>
      </c>
      <c r="E1584" s="7">
        <v>8</v>
      </c>
      <c r="F1584" s="6" t="s">
        <v>4175</v>
      </c>
      <c r="G1584" s="6"/>
      <c r="H1584" s="6"/>
      <c r="I1584" s="8"/>
      <c r="J1584" s="8">
        <v>47619</v>
      </c>
      <c r="K1584" s="6"/>
      <c r="L1584" s="6" t="s">
        <v>1247</v>
      </c>
      <c r="N1584" s="6" t="s">
        <v>1247</v>
      </c>
      <c r="O1584" s="29">
        <v>49999.95</v>
      </c>
      <c r="P1584" s="1">
        <f>O1584-J1584</f>
        <v>2380.95</v>
      </c>
    </row>
    <row r="1585" s="1" customFormat="1" ht="16.35" hidden="1" customHeight="1" spans="1:16">
      <c r="A1585" s="5"/>
      <c r="B1585" s="6"/>
      <c r="C1585" s="6" t="s">
        <v>4123</v>
      </c>
      <c r="D1585" s="6" t="s">
        <v>4171</v>
      </c>
      <c r="E1585" s="7">
        <v>10</v>
      </c>
      <c r="F1585" s="6" t="s">
        <v>4176</v>
      </c>
      <c r="G1585" s="6"/>
      <c r="H1585" s="6"/>
      <c r="I1585" s="8"/>
      <c r="J1585" s="8">
        <v>190667</v>
      </c>
      <c r="K1585" s="6"/>
      <c r="L1585" s="6" t="s">
        <v>1487</v>
      </c>
      <c r="N1585" s="6" t="s">
        <v>1487</v>
      </c>
      <c r="O1585" s="29">
        <v>200200.35</v>
      </c>
      <c r="P1585" s="1">
        <f>O1585-J1585</f>
        <v>9533.35000000001</v>
      </c>
    </row>
    <row r="1586" s="1" customFormat="1" ht="16.35" hidden="1" customHeight="1" spans="1:16">
      <c r="A1586" s="5"/>
      <c r="B1586" s="6"/>
      <c r="C1586" s="6" t="s">
        <v>4123</v>
      </c>
      <c r="D1586" s="6" t="s">
        <v>4171</v>
      </c>
      <c r="E1586" s="7">
        <v>22</v>
      </c>
      <c r="F1586" s="6" t="s">
        <v>4177</v>
      </c>
      <c r="G1586" s="6"/>
      <c r="H1586" s="6"/>
      <c r="I1586" s="8"/>
      <c r="J1586" s="8">
        <v>159048</v>
      </c>
      <c r="K1586" s="6"/>
      <c r="L1586" s="6" t="s">
        <v>1143</v>
      </c>
      <c r="N1586" s="6" t="s">
        <v>1143</v>
      </c>
      <c r="O1586" s="29">
        <v>167000.4</v>
      </c>
      <c r="P1586" s="1">
        <f>O1586-J1586</f>
        <v>7952.39999999999</v>
      </c>
    </row>
    <row r="1587" s="1" customFormat="1" ht="16.35" hidden="1" customHeight="1" spans="1:16">
      <c r="A1587" s="5"/>
      <c r="B1587" s="6"/>
      <c r="C1587" s="6" t="s">
        <v>4123</v>
      </c>
      <c r="D1587" s="6" t="s">
        <v>4171</v>
      </c>
      <c r="E1587" s="7">
        <v>4</v>
      </c>
      <c r="F1587" s="6" t="s">
        <v>4178</v>
      </c>
      <c r="G1587" s="6"/>
      <c r="H1587" s="6"/>
      <c r="I1587" s="8"/>
      <c r="J1587" s="8">
        <v>2857</v>
      </c>
      <c r="K1587" s="6"/>
      <c r="L1587" s="6" t="s">
        <v>1143</v>
      </c>
      <c r="N1587" s="6" t="s">
        <v>1143</v>
      </c>
      <c r="O1587" s="29">
        <v>2999.85</v>
      </c>
      <c r="P1587" s="1">
        <f>O1587-J1587</f>
        <v>142.85</v>
      </c>
    </row>
    <row r="1588" s="1" customFormat="1" ht="16.35" hidden="1" customHeight="1" spans="1:15">
      <c r="A1588" s="5"/>
      <c r="B1588" s="6"/>
      <c r="C1588" s="6" t="s">
        <v>4123</v>
      </c>
      <c r="D1588" s="6" t="s">
        <v>4171</v>
      </c>
      <c r="E1588" s="7">
        <v>11</v>
      </c>
      <c r="F1588" s="6" t="s">
        <v>4179</v>
      </c>
      <c r="G1588" s="6"/>
      <c r="H1588" s="6"/>
      <c r="I1588" s="8"/>
      <c r="J1588" s="8">
        <v>168571</v>
      </c>
      <c r="K1588" s="6"/>
      <c r="L1588" s="6" t="s">
        <v>1139</v>
      </c>
      <c r="N1588" s="6" t="s">
        <v>1139</v>
      </c>
      <c r="O1588" s="29">
        <v>176999.55</v>
      </c>
    </row>
    <row r="1589" s="1" customFormat="1" ht="16.35" hidden="1" customHeight="1" spans="1:15">
      <c r="A1589" s="5"/>
      <c r="B1589" s="6"/>
      <c r="C1589" s="6" t="s">
        <v>4123</v>
      </c>
      <c r="D1589" s="6" t="s">
        <v>4171</v>
      </c>
      <c r="E1589" s="7">
        <v>6</v>
      </c>
      <c r="F1589" s="6" t="s">
        <v>4180</v>
      </c>
      <c r="G1589" s="6"/>
      <c r="H1589" s="6"/>
      <c r="I1589" s="8"/>
      <c r="J1589" s="8">
        <v>95238</v>
      </c>
      <c r="K1589" s="6"/>
      <c r="L1589" s="6" t="s">
        <v>1110</v>
      </c>
      <c r="N1589" s="6" t="s">
        <v>1110</v>
      </c>
      <c r="O1589" s="29">
        <v>99999.9</v>
      </c>
    </row>
    <row r="1590" s="1" customFormat="1" ht="16.35" hidden="1" customHeight="1" spans="1:15">
      <c r="A1590" s="5"/>
      <c r="B1590" s="6"/>
      <c r="C1590" s="6" t="s">
        <v>4123</v>
      </c>
      <c r="D1590" s="6" t="s">
        <v>4171</v>
      </c>
      <c r="E1590" s="7">
        <v>12</v>
      </c>
      <c r="F1590" s="6" t="s">
        <v>4181</v>
      </c>
      <c r="G1590" s="6"/>
      <c r="H1590" s="6"/>
      <c r="I1590" s="8"/>
      <c r="J1590" s="8">
        <v>80952</v>
      </c>
      <c r="K1590" s="6"/>
      <c r="L1590" s="6" t="s">
        <v>1206</v>
      </c>
      <c r="N1590" s="6" t="s">
        <v>1206</v>
      </c>
      <c r="O1590" s="29">
        <v>84999.6</v>
      </c>
    </row>
    <row r="1591" s="1" customFormat="1" ht="16.35" hidden="1" customHeight="1" spans="1:15">
      <c r="A1591" s="5"/>
      <c r="B1591" s="6"/>
      <c r="C1591" s="6" t="s">
        <v>4123</v>
      </c>
      <c r="D1591" s="6" t="s">
        <v>4171</v>
      </c>
      <c r="E1591" s="7">
        <v>9</v>
      </c>
      <c r="F1591" s="6" t="s">
        <v>4182</v>
      </c>
      <c r="G1591" s="6"/>
      <c r="H1591" s="6"/>
      <c r="I1591" s="8"/>
      <c r="J1591" s="8">
        <v>7619</v>
      </c>
      <c r="K1591" s="6"/>
      <c r="L1591" s="6" t="s">
        <v>4144</v>
      </c>
      <c r="N1591" s="6" t="s">
        <v>4144</v>
      </c>
      <c r="O1591" s="29">
        <v>7999.95</v>
      </c>
    </row>
    <row r="1592" s="1" customFormat="1" ht="16.35" hidden="1" customHeight="1" spans="1:15">
      <c r="A1592" s="5"/>
      <c r="B1592" s="6"/>
      <c r="C1592" s="6" t="s">
        <v>4123</v>
      </c>
      <c r="D1592" s="6" t="s">
        <v>4171</v>
      </c>
      <c r="E1592" s="7">
        <v>5</v>
      </c>
      <c r="F1592" s="6" t="s">
        <v>4183</v>
      </c>
      <c r="G1592" s="6"/>
      <c r="H1592" s="6"/>
      <c r="I1592" s="8"/>
      <c r="J1592" s="8">
        <v>3810</v>
      </c>
      <c r="K1592" s="6"/>
      <c r="L1592" s="6" t="s">
        <v>4144</v>
      </c>
      <c r="N1592" s="6" t="s">
        <v>4144</v>
      </c>
      <c r="O1592" s="29">
        <v>4000.5</v>
      </c>
    </row>
    <row r="1593" s="1" customFormat="1" ht="16.35" hidden="1" customHeight="1" spans="1:16">
      <c r="A1593" s="5"/>
      <c r="B1593" s="6"/>
      <c r="C1593" s="6" t="s">
        <v>4123</v>
      </c>
      <c r="D1593" s="6" t="s">
        <v>4171</v>
      </c>
      <c r="E1593" s="7">
        <v>2</v>
      </c>
      <c r="F1593" s="6" t="s">
        <v>4184</v>
      </c>
      <c r="G1593" s="6"/>
      <c r="H1593" s="6"/>
      <c r="I1593" s="8"/>
      <c r="J1593" s="8">
        <v>1905</v>
      </c>
      <c r="K1593" s="6"/>
      <c r="L1593" s="6" t="s">
        <v>1466</v>
      </c>
      <c r="N1593" s="6" t="s">
        <v>1466</v>
      </c>
      <c r="O1593" s="29">
        <v>2000.25</v>
      </c>
      <c r="P1593" s="1">
        <f>O1593-J1593</f>
        <v>95.25</v>
      </c>
    </row>
    <row r="1594" s="1" customFormat="1" ht="16.35" hidden="1" customHeight="1" spans="1:15">
      <c r="A1594" s="5"/>
      <c r="B1594" s="6"/>
      <c r="C1594" s="6" t="s">
        <v>4123</v>
      </c>
      <c r="D1594" s="6" t="s">
        <v>4171</v>
      </c>
      <c r="E1594" s="7">
        <v>3</v>
      </c>
      <c r="F1594" s="6" t="s">
        <v>4185</v>
      </c>
      <c r="G1594" s="6"/>
      <c r="H1594" s="6"/>
      <c r="I1594" s="8"/>
      <c r="J1594" s="8">
        <v>9524</v>
      </c>
      <c r="K1594" s="6"/>
      <c r="L1594" s="6" t="s">
        <v>1541</v>
      </c>
      <c r="N1594" s="6" t="s">
        <v>1541</v>
      </c>
      <c r="O1594" s="29">
        <v>10000.2</v>
      </c>
    </row>
    <row r="1595" s="1" customFormat="1" ht="16.35" hidden="1" customHeight="1" spans="1:16">
      <c r="A1595" s="5"/>
      <c r="B1595" s="6"/>
      <c r="C1595" s="6" t="s">
        <v>4123</v>
      </c>
      <c r="D1595" s="6" t="s">
        <v>4186</v>
      </c>
      <c r="E1595" s="7">
        <v>3</v>
      </c>
      <c r="F1595" s="6" t="s">
        <v>4187</v>
      </c>
      <c r="G1595" s="6"/>
      <c r="H1595" s="6"/>
      <c r="I1595" s="8"/>
      <c r="J1595" s="8">
        <v>47619</v>
      </c>
      <c r="K1595" s="6"/>
      <c r="L1595" s="6" t="s">
        <v>1243</v>
      </c>
      <c r="N1595" s="6" t="s">
        <v>1243</v>
      </c>
      <c r="O1595" s="29">
        <v>50000</v>
      </c>
      <c r="P1595" s="1">
        <f>O1595-J1595</f>
        <v>2381</v>
      </c>
    </row>
    <row r="1596" s="1" customFormat="1" ht="16.35" hidden="1" customHeight="1" spans="1:15">
      <c r="A1596" s="5"/>
      <c r="B1596" s="6"/>
      <c r="C1596" s="6" t="s">
        <v>4123</v>
      </c>
      <c r="D1596" s="6" t="s">
        <v>4186</v>
      </c>
      <c r="E1596" s="7">
        <v>10</v>
      </c>
      <c r="F1596" s="6" t="s">
        <v>4188</v>
      </c>
      <c r="G1596" s="6"/>
      <c r="H1596" s="6"/>
      <c r="I1596" s="8"/>
      <c r="J1596" s="8">
        <v>83810</v>
      </c>
      <c r="K1596" s="6"/>
      <c r="L1596" s="6" t="s">
        <v>1434</v>
      </c>
      <c r="N1596" s="6" t="s">
        <v>1434</v>
      </c>
      <c r="O1596" s="29">
        <v>88000.5</v>
      </c>
    </row>
    <row r="1597" s="1" customFormat="1" ht="16.35" hidden="1" customHeight="1" spans="1:15">
      <c r="A1597" s="5"/>
      <c r="B1597" s="6"/>
      <c r="C1597" s="6" t="s">
        <v>4123</v>
      </c>
      <c r="D1597" s="6" t="s">
        <v>4186</v>
      </c>
      <c r="E1597" s="7">
        <v>2</v>
      </c>
      <c r="F1597" s="6" t="s">
        <v>4189</v>
      </c>
      <c r="G1597" s="6"/>
      <c r="H1597" s="6"/>
      <c r="I1597" s="8"/>
      <c r="J1597" s="8">
        <v>22857</v>
      </c>
      <c r="K1597" s="6"/>
      <c r="L1597" s="6" t="s">
        <v>1387</v>
      </c>
      <c r="N1597" s="6" t="s">
        <v>1387</v>
      </c>
      <c r="O1597" s="29">
        <v>23999.85</v>
      </c>
    </row>
    <row r="1598" s="1" customFormat="1" ht="16.35" hidden="1" customHeight="1" spans="1:16">
      <c r="A1598" s="5"/>
      <c r="B1598" s="6"/>
      <c r="C1598" s="6" t="s">
        <v>4123</v>
      </c>
      <c r="D1598" s="6" t="s">
        <v>4186</v>
      </c>
      <c r="E1598" s="7">
        <v>8</v>
      </c>
      <c r="F1598" s="6" t="s">
        <v>4190</v>
      </c>
      <c r="G1598" s="6"/>
      <c r="H1598" s="6"/>
      <c r="I1598" s="8"/>
      <c r="J1598" s="8">
        <v>3810</v>
      </c>
      <c r="K1598" s="6"/>
      <c r="L1598" s="6" t="s">
        <v>1143</v>
      </c>
      <c r="N1598" s="6" t="s">
        <v>1143</v>
      </c>
      <c r="O1598" s="29">
        <v>4000.5</v>
      </c>
      <c r="P1598" s="1">
        <f>O1598-J1598</f>
        <v>190.5</v>
      </c>
    </row>
    <row r="1599" s="1" customFormat="1" ht="16.35" hidden="1" customHeight="1" spans="1:15">
      <c r="A1599" s="5"/>
      <c r="B1599" s="6"/>
      <c r="C1599" s="6" t="s">
        <v>4123</v>
      </c>
      <c r="D1599" s="6" t="s">
        <v>4186</v>
      </c>
      <c r="E1599" s="7">
        <v>6</v>
      </c>
      <c r="F1599" s="6" t="s">
        <v>4191</v>
      </c>
      <c r="G1599" s="6"/>
      <c r="H1599" s="6"/>
      <c r="I1599" s="8"/>
      <c r="J1599" s="8">
        <v>9524</v>
      </c>
      <c r="K1599" s="6"/>
      <c r="L1599" s="6" t="s">
        <v>1120</v>
      </c>
      <c r="N1599" s="6" t="s">
        <v>1120</v>
      </c>
      <c r="O1599" s="29">
        <v>10000.2</v>
      </c>
    </row>
    <row r="1600" s="1" customFormat="1" ht="16.35" hidden="1" customHeight="1" spans="1:15">
      <c r="A1600" s="5"/>
      <c r="B1600" s="6"/>
      <c r="C1600" s="6" t="s">
        <v>4123</v>
      </c>
      <c r="D1600" s="6" t="s">
        <v>4186</v>
      </c>
      <c r="E1600" s="7">
        <v>7</v>
      </c>
      <c r="F1600" s="6" t="s">
        <v>4191</v>
      </c>
      <c r="G1600" s="6"/>
      <c r="H1600" s="6"/>
      <c r="I1600" s="8"/>
      <c r="J1600" s="8">
        <v>9524</v>
      </c>
      <c r="K1600" s="6"/>
      <c r="L1600" s="6" t="s">
        <v>1120</v>
      </c>
      <c r="N1600" s="6" t="s">
        <v>1120</v>
      </c>
      <c r="O1600" s="29">
        <v>10000.2</v>
      </c>
    </row>
    <row r="1601" s="1" customFormat="1" ht="16.35" hidden="1" customHeight="1" spans="1:16">
      <c r="A1601" s="5"/>
      <c r="B1601" s="6"/>
      <c r="C1601" s="6" t="s">
        <v>4123</v>
      </c>
      <c r="D1601" s="6" t="s">
        <v>4186</v>
      </c>
      <c r="E1601" s="7">
        <v>11</v>
      </c>
      <c r="F1601" s="6" t="s">
        <v>4192</v>
      </c>
      <c r="G1601" s="6"/>
      <c r="H1601" s="6"/>
      <c r="I1601" s="8"/>
      <c r="J1601" s="8">
        <v>16533</v>
      </c>
      <c r="K1601" s="6"/>
      <c r="L1601" s="6" t="s">
        <v>1254</v>
      </c>
      <c r="N1601" s="6" t="s">
        <v>1254</v>
      </c>
      <c r="O1601" s="29">
        <v>17359.65</v>
      </c>
      <c r="P1601" s="1">
        <f>O1601-J1601</f>
        <v>826.650000000001</v>
      </c>
    </row>
    <row r="1602" s="1" customFormat="1" ht="16.35" hidden="1" customHeight="1" spans="1:15">
      <c r="A1602" s="5"/>
      <c r="B1602" s="6"/>
      <c r="C1602" s="6" t="s">
        <v>4123</v>
      </c>
      <c r="D1602" s="6" t="s">
        <v>4186</v>
      </c>
      <c r="E1602" s="7">
        <v>5</v>
      </c>
      <c r="F1602" s="6" t="s">
        <v>4193</v>
      </c>
      <c r="G1602" s="6"/>
      <c r="H1602" s="6"/>
      <c r="I1602" s="8"/>
      <c r="J1602" s="8">
        <v>247619</v>
      </c>
      <c r="K1602" s="6"/>
      <c r="L1602" s="6" t="s">
        <v>4194</v>
      </c>
      <c r="N1602" s="6" t="s">
        <v>4194</v>
      </c>
      <c r="O1602" s="29">
        <v>259999.95</v>
      </c>
    </row>
    <row r="1603" s="1" customFormat="1" ht="16.35" hidden="1" customHeight="1" spans="1:15">
      <c r="A1603" s="5"/>
      <c r="B1603" s="6"/>
      <c r="C1603" s="6" t="s">
        <v>4123</v>
      </c>
      <c r="D1603" s="6" t="s">
        <v>4186</v>
      </c>
      <c r="E1603" s="7">
        <v>9</v>
      </c>
      <c r="F1603" s="6" t="s">
        <v>4195</v>
      </c>
      <c r="G1603" s="6"/>
      <c r="H1603" s="6"/>
      <c r="I1603" s="8"/>
      <c r="J1603" s="8">
        <v>7619</v>
      </c>
      <c r="K1603" s="6"/>
      <c r="L1603" s="6" t="s">
        <v>1468</v>
      </c>
      <c r="N1603" s="6" t="s">
        <v>1468</v>
      </c>
      <c r="O1603" s="29">
        <v>7999.95</v>
      </c>
    </row>
    <row r="1604" s="1" customFormat="1" ht="16.35" hidden="1" customHeight="1" spans="1:15">
      <c r="A1604" s="5"/>
      <c r="B1604" s="6"/>
      <c r="C1604" s="6" t="s">
        <v>4123</v>
      </c>
      <c r="D1604" s="6" t="s">
        <v>4186</v>
      </c>
      <c r="E1604" s="7">
        <v>4</v>
      </c>
      <c r="F1604" s="6" t="s">
        <v>4196</v>
      </c>
      <c r="G1604" s="6"/>
      <c r="H1604" s="6"/>
      <c r="I1604" s="8"/>
      <c r="J1604" s="8">
        <v>52945</v>
      </c>
      <c r="K1604" s="6"/>
      <c r="L1604" s="6" t="s">
        <v>1541</v>
      </c>
      <c r="N1604" s="6" t="s">
        <v>1541</v>
      </c>
      <c r="O1604" s="29">
        <v>55592.25</v>
      </c>
    </row>
    <row r="1605" s="1" customFormat="1" ht="16.35" hidden="1" customHeight="1" spans="1:15">
      <c r="A1605" s="5"/>
      <c r="B1605" s="6"/>
      <c r="C1605" s="6" t="s">
        <v>4123</v>
      </c>
      <c r="D1605" s="6" t="s">
        <v>4197</v>
      </c>
      <c r="E1605" s="7">
        <v>4</v>
      </c>
      <c r="F1605" s="6" t="s">
        <v>4198</v>
      </c>
      <c r="G1605" s="6"/>
      <c r="H1605" s="6"/>
      <c r="I1605" s="8"/>
      <c r="J1605" s="8">
        <v>54095</v>
      </c>
      <c r="K1605" s="6"/>
      <c r="L1605" s="6" t="s">
        <v>1436</v>
      </c>
      <c r="N1605" s="6" t="s">
        <v>1436</v>
      </c>
      <c r="O1605" s="29">
        <v>56799.75</v>
      </c>
    </row>
    <row r="1606" s="1" customFormat="1" ht="16.35" hidden="1" customHeight="1" spans="1:15">
      <c r="A1606" s="5"/>
      <c r="B1606" s="6"/>
      <c r="C1606" s="6" t="s">
        <v>4123</v>
      </c>
      <c r="D1606" s="6" t="s">
        <v>4197</v>
      </c>
      <c r="E1606" s="7">
        <v>20</v>
      </c>
      <c r="F1606" s="6" t="s">
        <v>4199</v>
      </c>
      <c r="G1606" s="6"/>
      <c r="H1606" s="6"/>
      <c r="I1606" s="8"/>
      <c r="J1606" s="8">
        <v>114286</v>
      </c>
      <c r="K1606" s="6"/>
      <c r="L1606" s="6" t="s">
        <v>1436</v>
      </c>
      <c r="N1606" s="6" t="s">
        <v>1436</v>
      </c>
      <c r="O1606" s="29">
        <v>120000.3</v>
      </c>
    </row>
    <row r="1607" s="1" customFormat="1" ht="16.35" hidden="1" customHeight="1" spans="1:16">
      <c r="A1607" s="5"/>
      <c r="B1607" s="6"/>
      <c r="C1607" s="6" t="s">
        <v>4123</v>
      </c>
      <c r="D1607" s="6" t="s">
        <v>4197</v>
      </c>
      <c r="E1607" s="7">
        <v>23</v>
      </c>
      <c r="F1607" s="6" t="s">
        <v>4200</v>
      </c>
      <c r="G1607" s="6"/>
      <c r="H1607" s="6"/>
      <c r="I1607" s="8"/>
      <c r="J1607" s="8">
        <v>-531</v>
      </c>
      <c r="K1607" s="6"/>
      <c r="L1607" s="6" t="s">
        <v>1373</v>
      </c>
      <c r="N1607" s="6" t="s">
        <v>1373</v>
      </c>
      <c r="O1607" s="29">
        <v>-557.55</v>
      </c>
      <c r="P1607" s="1">
        <f>O1607-J1607</f>
        <v>-26.55</v>
      </c>
    </row>
    <row r="1608" s="1" customFormat="1" ht="16.35" hidden="1" customHeight="1" spans="1:15">
      <c r="A1608" s="5"/>
      <c r="B1608" s="6"/>
      <c r="C1608" s="6" t="s">
        <v>4123</v>
      </c>
      <c r="D1608" s="6" t="s">
        <v>4197</v>
      </c>
      <c r="E1608" s="7">
        <v>6</v>
      </c>
      <c r="F1608" s="6" t="s">
        <v>4201</v>
      </c>
      <c r="G1608" s="6"/>
      <c r="H1608" s="6"/>
      <c r="I1608" s="8"/>
      <c r="J1608" s="8">
        <v>4762</v>
      </c>
      <c r="K1608" s="6"/>
      <c r="L1608" s="6" t="s">
        <v>1489</v>
      </c>
      <c r="N1608" s="6" t="s">
        <v>1489</v>
      </c>
      <c r="O1608" s="29">
        <v>5000.1</v>
      </c>
    </row>
    <row r="1609" s="1" customFormat="1" ht="16.35" hidden="1" customHeight="1" spans="1:17">
      <c r="A1609" s="5"/>
      <c r="B1609" s="6"/>
      <c r="C1609" s="6" t="s">
        <v>4123</v>
      </c>
      <c r="D1609" s="6" t="s">
        <v>4197</v>
      </c>
      <c r="E1609" s="7">
        <v>8</v>
      </c>
      <c r="F1609" s="6" t="s">
        <v>4202</v>
      </c>
      <c r="G1609" s="6"/>
      <c r="H1609" s="6"/>
      <c r="I1609" s="8"/>
      <c r="J1609" s="8">
        <v>4762</v>
      </c>
      <c r="K1609" s="6"/>
      <c r="L1609" s="6" t="s">
        <v>1497</v>
      </c>
      <c r="N1609" s="6" t="s">
        <v>1497</v>
      </c>
      <c r="O1609" s="29">
        <v>5000.1</v>
      </c>
      <c r="Q1609" s="1">
        <f>O1609-J1609</f>
        <v>238.1</v>
      </c>
    </row>
    <row r="1610" s="1" customFormat="1" ht="16.35" hidden="1" customHeight="1" spans="1:16">
      <c r="A1610" s="5"/>
      <c r="B1610" s="6"/>
      <c r="C1610" s="6" t="s">
        <v>4123</v>
      </c>
      <c r="D1610" s="6" t="s">
        <v>4197</v>
      </c>
      <c r="E1610" s="7">
        <v>3</v>
      </c>
      <c r="F1610" s="6" t="s">
        <v>4203</v>
      </c>
      <c r="G1610" s="6"/>
      <c r="H1610" s="6"/>
      <c r="I1610" s="8"/>
      <c r="J1610" s="8">
        <v>14286</v>
      </c>
      <c r="K1610" s="6"/>
      <c r="L1610" s="6" t="s">
        <v>1653</v>
      </c>
      <c r="N1610" s="6" t="s">
        <v>1653</v>
      </c>
      <c r="O1610" s="29">
        <v>15000.3</v>
      </c>
      <c r="P1610" s="1">
        <f>O1610-J1610</f>
        <v>714.299999999999</v>
      </c>
    </row>
    <row r="1611" s="1" customFormat="1" ht="16.35" hidden="1" customHeight="1" spans="1:16">
      <c r="A1611" s="5"/>
      <c r="B1611" s="6"/>
      <c r="C1611" s="6" t="s">
        <v>4123</v>
      </c>
      <c r="D1611" s="6" t="s">
        <v>4197</v>
      </c>
      <c r="E1611" s="7">
        <v>2</v>
      </c>
      <c r="F1611" s="6" t="s">
        <v>4204</v>
      </c>
      <c r="G1611" s="6"/>
      <c r="H1611" s="6"/>
      <c r="I1611" s="8"/>
      <c r="J1611" s="8">
        <v>3810</v>
      </c>
      <c r="K1611" s="6"/>
      <c r="L1611" s="6" t="s">
        <v>1083</v>
      </c>
      <c r="N1611" s="6" t="s">
        <v>1083</v>
      </c>
      <c r="O1611" s="29">
        <v>4000.5</v>
      </c>
      <c r="P1611" s="30">
        <f>O1611-J1611</f>
        <v>190.5</v>
      </c>
    </row>
    <row r="1612" s="1" customFormat="1" ht="16.35" hidden="1" customHeight="1" spans="1:15">
      <c r="A1612" s="5"/>
      <c r="B1612" s="6"/>
      <c r="C1612" s="6" t="s">
        <v>4123</v>
      </c>
      <c r="D1612" s="6" t="s">
        <v>4197</v>
      </c>
      <c r="E1612" s="7">
        <v>19</v>
      </c>
      <c r="F1612" s="6" t="s">
        <v>4205</v>
      </c>
      <c r="G1612" s="6"/>
      <c r="H1612" s="6"/>
      <c r="I1612" s="8"/>
      <c r="J1612" s="8">
        <v>4762</v>
      </c>
      <c r="K1612" s="6"/>
      <c r="L1612" s="6" t="s">
        <v>1133</v>
      </c>
      <c r="N1612" s="6" t="s">
        <v>1133</v>
      </c>
      <c r="O1612" s="29">
        <v>5000.1</v>
      </c>
    </row>
    <row r="1613" s="1" customFormat="1" ht="16.35" hidden="1" customHeight="1" spans="1:15">
      <c r="A1613" s="5"/>
      <c r="B1613" s="6"/>
      <c r="C1613" s="6" t="s">
        <v>4123</v>
      </c>
      <c r="D1613" s="6" t="s">
        <v>4197</v>
      </c>
      <c r="E1613" s="7">
        <v>10</v>
      </c>
      <c r="F1613" s="6" t="s">
        <v>4206</v>
      </c>
      <c r="G1613" s="6"/>
      <c r="H1613" s="6"/>
      <c r="I1613" s="8"/>
      <c r="J1613" s="8">
        <v>52381</v>
      </c>
      <c r="K1613" s="6"/>
      <c r="L1613" s="6" t="s">
        <v>1231</v>
      </c>
      <c r="N1613" s="6" t="s">
        <v>1231</v>
      </c>
      <c r="O1613" s="29">
        <v>55000.05</v>
      </c>
    </row>
    <row r="1614" s="1" customFormat="1" ht="16.35" hidden="1" customHeight="1" spans="1:15">
      <c r="A1614" s="5"/>
      <c r="B1614" s="6"/>
      <c r="C1614" s="6" t="s">
        <v>4123</v>
      </c>
      <c r="D1614" s="6" t="s">
        <v>4197</v>
      </c>
      <c r="E1614" s="7">
        <v>16</v>
      </c>
      <c r="F1614" s="6" t="s">
        <v>4206</v>
      </c>
      <c r="G1614" s="6"/>
      <c r="H1614" s="6"/>
      <c r="I1614" s="8"/>
      <c r="J1614" s="8">
        <v>24</v>
      </c>
      <c r="K1614" s="6"/>
      <c r="L1614" s="6" t="s">
        <v>1231</v>
      </c>
      <c r="N1614" s="6" t="s">
        <v>1231</v>
      </c>
      <c r="O1614" s="29">
        <v>25.2</v>
      </c>
    </row>
    <row r="1615" s="1" customFormat="1" ht="16.35" hidden="1" customHeight="1" spans="1:16">
      <c r="A1615" s="5"/>
      <c r="B1615" s="6"/>
      <c r="C1615" s="6" t="s">
        <v>4123</v>
      </c>
      <c r="D1615" s="6" t="s">
        <v>4197</v>
      </c>
      <c r="E1615" s="7">
        <v>13</v>
      </c>
      <c r="F1615" s="6" t="s">
        <v>4207</v>
      </c>
      <c r="G1615" s="6"/>
      <c r="H1615" s="6"/>
      <c r="I1615" s="8"/>
      <c r="J1615" s="8">
        <v>121262</v>
      </c>
      <c r="K1615" s="6"/>
      <c r="L1615" s="6" t="s">
        <v>1329</v>
      </c>
      <c r="N1615" s="6" t="s">
        <v>1329</v>
      </c>
      <c r="O1615" s="29">
        <v>127325.1</v>
      </c>
      <c r="P1615" s="1">
        <f>O1615-J1615</f>
        <v>6063.10000000001</v>
      </c>
    </row>
    <row r="1616" s="1" customFormat="1" ht="16.35" hidden="1" customHeight="1" spans="1:16">
      <c r="A1616" s="5"/>
      <c r="B1616" s="6"/>
      <c r="C1616" s="6" t="s">
        <v>4123</v>
      </c>
      <c r="D1616" s="6" t="s">
        <v>4197</v>
      </c>
      <c r="E1616" s="7">
        <v>12</v>
      </c>
      <c r="F1616" s="6" t="s">
        <v>4184</v>
      </c>
      <c r="G1616" s="6"/>
      <c r="H1616" s="6"/>
      <c r="I1616" s="8"/>
      <c r="J1616" s="8">
        <v>3810</v>
      </c>
      <c r="K1616" s="6"/>
      <c r="L1616" s="6" t="s">
        <v>1466</v>
      </c>
      <c r="N1616" s="6" t="s">
        <v>1466</v>
      </c>
      <c r="O1616" s="29">
        <v>4000.5</v>
      </c>
      <c r="P1616" s="1">
        <f>O1616-J1616</f>
        <v>190.5</v>
      </c>
    </row>
    <row r="1617" s="1" customFormat="1" ht="16.35" hidden="1" customHeight="1" spans="1:16">
      <c r="A1617" s="5"/>
      <c r="B1617" s="6"/>
      <c r="C1617" s="6" t="s">
        <v>4123</v>
      </c>
      <c r="D1617" s="6" t="s">
        <v>4197</v>
      </c>
      <c r="E1617" s="7">
        <v>17</v>
      </c>
      <c r="F1617" s="6" t="s">
        <v>4208</v>
      </c>
      <c r="G1617" s="6"/>
      <c r="H1617" s="6"/>
      <c r="I1617" s="8"/>
      <c r="J1617" s="8">
        <v>7619</v>
      </c>
      <c r="K1617" s="6"/>
      <c r="L1617" s="6" t="s">
        <v>1427</v>
      </c>
      <c r="N1617" s="6" t="s">
        <v>1427</v>
      </c>
      <c r="O1617" s="29">
        <v>7999.95</v>
      </c>
      <c r="P1617" s="1">
        <f>O1617-J1617</f>
        <v>380.95</v>
      </c>
    </row>
    <row r="1618" s="1" customFormat="1" ht="16.35" hidden="1" customHeight="1" spans="1:15">
      <c r="A1618" s="5"/>
      <c r="B1618" s="6"/>
      <c r="C1618" s="6" t="s">
        <v>4123</v>
      </c>
      <c r="D1618" s="6" t="s">
        <v>4197</v>
      </c>
      <c r="E1618" s="7">
        <v>11</v>
      </c>
      <c r="F1618" s="6" t="s">
        <v>4209</v>
      </c>
      <c r="G1618" s="6"/>
      <c r="H1618" s="6"/>
      <c r="I1618" s="8"/>
      <c r="J1618" s="8">
        <v>4762</v>
      </c>
      <c r="K1618" s="6"/>
      <c r="L1618" s="6" t="s">
        <v>1686</v>
      </c>
      <c r="N1618" s="6" t="s">
        <v>1686</v>
      </c>
      <c r="O1618" s="29">
        <v>5000.1</v>
      </c>
    </row>
    <row r="1619" s="1" customFormat="1" ht="16.35" hidden="1" customHeight="1" spans="1:16">
      <c r="A1619" s="5"/>
      <c r="B1619" s="6"/>
      <c r="C1619" s="6" t="s">
        <v>4123</v>
      </c>
      <c r="D1619" s="6" t="s">
        <v>4197</v>
      </c>
      <c r="E1619" s="7">
        <v>18</v>
      </c>
      <c r="F1619" s="6" t="s">
        <v>4210</v>
      </c>
      <c r="G1619" s="6"/>
      <c r="H1619" s="6"/>
      <c r="I1619" s="8"/>
      <c r="J1619" s="8">
        <v>9524</v>
      </c>
      <c r="K1619" s="6"/>
      <c r="L1619" s="6" t="s">
        <v>1700</v>
      </c>
      <c r="N1619" s="6" t="s">
        <v>1700</v>
      </c>
      <c r="O1619" s="29">
        <v>10000.2</v>
      </c>
      <c r="P1619" s="1">
        <f>O1619-J1619</f>
        <v>476.200000000001</v>
      </c>
    </row>
    <row r="1620" s="1" customFormat="1" ht="16.35" hidden="1" customHeight="1" spans="1:15">
      <c r="A1620" s="5"/>
      <c r="B1620" s="6"/>
      <c r="C1620" s="6" t="s">
        <v>4123</v>
      </c>
      <c r="D1620" s="6" t="s">
        <v>4197</v>
      </c>
      <c r="E1620" s="7">
        <v>5</v>
      </c>
      <c r="F1620" s="6" t="s">
        <v>4211</v>
      </c>
      <c r="G1620" s="6"/>
      <c r="H1620" s="6"/>
      <c r="I1620" s="8"/>
      <c r="J1620" s="8">
        <v>4762</v>
      </c>
      <c r="K1620" s="6"/>
      <c r="L1620" s="6" t="s">
        <v>1160</v>
      </c>
      <c r="N1620" s="6" t="s">
        <v>1160</v>
      </c>
      <c r="O1620" s="29">
        <v>5000.1</v>
      </c>
    </row>
    <row r="1621" s="1" customFormat="1" ht="16.35" hidden="1" customHeight="1" spans="1:16">
      <c r="A1621" s="5"/>
      <c r="B1621" s="6"/>
      <c r="C1621" s="6" t="s">
        <v>4123</v>
      </c>
      <c r="D1621" s="6" t="s">
        <v>4197</v>
      </c>
      <c r="E1621" s="7">
        <v>9</v>
      </c>
      <c r="F1621" s="6" t="s">
        <v>4212</v>
      </c>
      <c r="G1621" s="6"/>
      <c r="H1621" s="6"/>
      <c r="I1621" s="8"/>
      <c r="J1621" s="8">
        <v>61905</v>
      </c>
      <c r="K1621" s="6"/>
      <c r="L1621" s="6" t="s">
        <v>1112</v>
      </c>
      <c r="N1621" s="6" t="s">
        <v>1112</v>
      </c>
      <c r="O1621" s="29">
        <v>65000.25</v>
      </c>
      <c r="P1621" s="1" t="s">
        <v>3666</v>
      </c>
    </row>
    <row r="1622" s="1" customFormat="1" ht="16.35" hidden="1" customHeight="1" spans="1:15">
      <c r="A1622" s="5"/>
      <c r="B1622" s="6"/>
      <c r="C1622" s="6" t="s">
        <v>4123</v>
      </c>
      <c r="D1622" s="6" t="s">
        <v>4197</v>
      </c>
      <c r="E1622" s="7">
        <v>15</v>
      </c>
      <c r="F1622" s="6" t="s">
        <v>4213</v>
      </c>
      <c r="G1622" s="6"/>
      <c r="H1622" s="6"/>
      <c r="I1622" s="8"/>
      <c r="J1622" s="8">
        <v>9524</v>
      </c>
      <c r="K1622" s="6"/>
      <c r="L1622" s="6" t="s">
        <v>1273</v>
      </c>
      <c r="N1622" s="6" t="s">
        <v>1273</v>
      </c>
      <c r="O1622" s="29">
        <v>10000.2</v>
      </c>
    </row>
    <row r="1623" s="1" customFormat="1" ht="16.35" hidden="1" customHeight="1" spans="1:15">
      <c r="A1623" s="5"/>
      <c r="B1623" s="6"/>
      <c r="C1623" s="6" t="s">
        <v>4123</v>
      </c>
      <c r="D1623" s="6" t="s">
        <v>4197</v>
      </c>
      <c r="E1623" s="7">
        <v>21</v>
      </c>
      <c r="F1623" s="6" t="s">
        <v>4214</v>
      </c>
      <c r="G1623" s="6"/>
      <c r="H1623" s="6"/>
      <c r="I1623" s="8"/>
      <c r="J1623" s="8">
        <v>142857</v>
      </c>
      <c r="K1623" s="6"/>
      <c r="L1623" s="6" t="s">
        <v>1541</v>
      </c>
      <c r="N1623" s="6" t="s">
        <v>1541</v>
      </c>
      <c r="O1623" s="29">
        <v>149999.85</v>
      </c>
    </row>
    <row r="1624" s="1" customFormat="1" ht="34" hidden="1" customHeight="1" spans="1:16">
      <c r="A1624" s="5"/>
      <c r="B1624" s="6"/>
      <c r="C1624" s="6" t="s">
        <v>4123</v>
      </c>
      <c r="D1624" s="6" t="s">
        <v>4197</v>
      </c>
      <c r="E1624" s="7">
        <v>7</v>
      </c>
      <c r="F1624" s="6" t="s">
        <v>4215</v>
      </c>
      <c r="G1624" s="6"/>
      <c r="H1624" s="6"/>
      <c r="I1624" s="8"/>
      <c r="J1624" s="8">
        <v>4762</v>
      </c>
      <c r="K1624" s="6"/>
      <c r="L1624" s="6" t="s">
        <v>1141</v>
      </c>
      <c r="N1624" s="6" t="s">
        <v>1141</v>
      </c>
      <c r="O1624" s="29">
        <v>5000</v>
      </c>
      <c r="P1624" s="1">
        <f>O1624-J1624</f>
        <v>238</v>
      </c>
    </row>
    <row r="1625" s="1" customFormat="1" ht="16.35" hidden="1" customHeight="1" spans="1:16">
      <c r="A1625" s="5"/>
      <c r="B1625" s="6"/>
      <c r="C1625" s="6" t="s">
        <v>4123</v>
      </c>
      <c r="D1625" s="6" t="s">
        <v>4197</v>
      </c>
      <c r="E1625" s="7">
        <v>14</v>
      </c>
      <c r="F1625" s="6" t="s">
        <v>4216</v>
      </c>
      <c r="G1625" s="6"/>
      <c r="H1625" s="6"/>
      <c r="I1625" s="8"/>
      <c r="J1625" s="8">
        <v>95238</v>
      </c>
      <c r="K1625" s="6"/>
      <c r="L1625" s="6" t="s">
        <v>1141</v>
      </c>
      <c r="N1625" s="6" t="s">
        <v>1141</v>
      </c>
      <c r="O1625" s="29">
        <v>100000</v>
      </c>
      <c r="P1625" s="1">
        <f>O1625-J1625</f>
        <v>4762</v>
      </c>
    </row>
    <row r="1626" s="1" customFormat="1" ht="16.35" hidden="1" customHeight="1" spans="1:15">
      <c r="A1626" s="5"/>
      <c r="B1626" s="6"/>
      <c r="C1626" s="6" t="s">
        <v>4123</v>
      </c>
      <c r="D1626" s="6" t="s">
        <v>4217</v>
      </c>
      <c r="E1626" s="7">
        <v>1</v>
      </c>
      <c r="F1626" s="6" t="s">
        <v>4218</v>
      </c>
      <c r="G1626" s="6"/>
      <c r="H1626" s="6"/>
      <c r="I1626" s="8"/>
      <c r="J1626" s="8">
        <v>208333</v>
      </c>
      <c r="K1626" s="6"/>
      <c r="L1626" s="6" t="s">
        <v>1133</v>
      </c>
      <c r="N1626" s="6" t="s">
        <v>1133</v>
      </c>
      <c r="O1626" s="29">
        <v>218749.65</v>
      </c>
    </row>
    <row r="1627" s="1" customFormat="1" ht="16.35" hidden="1" customHeight="1" spans="1:15">
      <c r="A1627" s="5"/>
      <c r="B1627" s="6"/>
      <c r="C1627" s="6" t="s">
        <v>4123</v>
      </c>
      <c r="D1627" s="6" t="s">
        <v>4217</v>
      </c>
      <c r="E1627" s="7">
        <v>3</v>
      </c>
      <c r="F1627" s="6" t="s">
        <v>4219</v>
      </c>
      <c r="G1627" s="6"/>
      <c r="H1627" s="6"/>
      <c r="I1627" s="8"/>
      <c r="J1627" s="8">
        <v>9524</v>
      </c>
      <c r="K1627" s="6"/>
      <c r="L1627" s="6" t="s">
        <v>1704</v>
      </c>
      <c r="N1627" s="6" t="s">
        <v>1704</v>
      </c>
      <c r="O1627" s="29">
        <v>10000.2</v>
      </c>
    </row>
    <row r="1628" s="1" customFormat="1" ht="16.35" hidden="1" customHeight="1" spans="1:15">
      <c r="A1628" s="5"/>
      <c r="B1628" s="6"/>
      <c r="C1628" s="6" t="s">
        <v>4123</v>
      </c>
      <c r="D1628" s="6" t="s">
        <v>4217</v>
      </c>
      <c r="E1628" s="7">
        <v>2</v>
      </c>
      <c r="F1628" s="6" t="s">
        <v>4220</v>
      </c>
      <c r="G1628" s="6"/>
      <c r="H1628" s="6"/>
      <c r="I1628" s="8"/>
      <c r="J1628" s="8">
        <v>193703</v>
      </c>
      <c r="K1628" s="6"/>
      <c r="L1628" s="6" t="s">
        <v>1120</v>
      </c>
      <c r="N1628" s="6" t="s">
        <v>1120</v>
      </c>
      <c r="O1628" s="29">
        <v>203388.15</v>
      </c>
    </row>
    <row r="1629" s="1" customFormat="1" ht="16.35" hidden="1" customHeight="1" spans="1:16">
      <c r="A1629" s="5"/>
      <c r="B1629" s="6"/>
      <c r="C1629" s="6" t="s">
        <v>4123</v>
      </c>
      <c r="D1629" s="6" t="s">
        <v>4221</v>
      </c>
      <c r="E1629" s="7">
        <v>6</v>
      </c>
      <c r="F1629" s="6" t="s">
        <v>4222</v>
      </c>
      <c r="G1629" s="6"/>
      <c r="H1629" s="6"/>
      <c r="I1629" s="8"/>
      <c r="J1629" s="8">
        <v>23810</v>
      </c>
      <c r="K1629" s="6"/>
      <c r="L1629" s="6" t="s">
        <v>1487</v>
      </c>
      <c r="N1629" s="6" t="s">
        <v>1487</v>
      </c>
      <c r="O1629" s="29">
        <v>25000.5</v>
      </c>
      <c r="P1629" s="1">
        <f>O1629-J1629</f>
        <v>1190.5</v>
      </c>
    </row>
    <row r="1630" s="1" customFormat="1" ht="16.35" hidden="1" customHeight="1" spans="1:15">
      <c r="A1630" s="5"/>
      <c r="B1630" s="6"/>
      <c r="C1630" s="6" t="s">
        <v>4123</v>
      </c>
      <c r="D1630" s="6" t="s">
        <v>4221</v>
      </c>
      <c r="E1630" s="7">
        <v>1</v>
      </c>
      <c r="F1630" s="6" t="s">
        <v>4223</v>
      </c>
      <c r="G1630" s="6"/>
      <c r="H1630" s="6"/>
      <c r="I1630" s="8"/>
      <c r="J1630" s="8">
        <v>4762</v>
      </c>
      <c r="K1630" s="6"/>
      <c r="L1630" s="6" t="s">
        <v>1101</v>
      </c>
      <c r="N1630" s="6" t="s">
        <v>1101</v>
      </c>
      <c r="O1630" s="29">
        <v>5000.1</v>
      </c>
    </row>
    <row r="1631" s="1" customFormat="1" ht="16.35" hidden="1" customHeight="1" spans="1:15">
      <c r="A1631" s="5"/>
      <c r="B1631" s="6"/>
      <c r="C1631" s="6" t="s">
        <v>4123</v>
      </c>
      <c r="D1631" s="6" t="s">
        <v>4221</v>
      </c>
      <c r="E1631" s="7">
        <v>11</v>
      </c>
      <c r="F1631" s="6" t="s">
        <v>4224</v>
      </c>
      <c r="G1631" s="6"/>
      <c r="H1631" s="6"/>
      <c r="I1631" s="8"/>
      <c r="J1631" s="8">
        <v>33333</v>
      </c>
      <c r="K1631" s="6"/>
      <c r="L1631" s="6" t="s">
        <v>1231</v>
      </c>
      <c r="N1631" s="6" t="s">
        <v>1231</v>
      </c>
      <c r="O1631" s="29">
        <v>34999.65</v>
      </c>
    </row>
    <row r="1632" s="1" customFormat="1" ht="16.35" hidden="1" customHeight="1" spans="1:15">
      <c r="A1632" s="5"/>
      <c r="B1632" s="6"/>
      <c r="C1632" s="6" t="s">
        <v>4123</v>
      </c>
      <c r="D1632" s="6" t="s">
        <v>4221</v>
      </c>
      <c r="E1632" s="7">
        <v>3</v>
      </c>
      <c r="F1632" s="6" t="s">
        <v>4225</v>
      </c>
      <c r="G1632" s="6"/>
      <c r="H1632" s="6"/>
      <c r="I1632" s="8"/>
      <c r="J1632" s="8">
        <v>14286</v>
      </c>
      <c r="K1632" s="6"/>
      <c r="L1632" s="6" t="s">
        <v>4144</v>
      </c>
      <c r="N1632" s="6" t="s">
        <v>4144</v>
      </c>
      <c r="O1632" s="29">
        <v>15000.3</v>
      </c>
    </row>
    <row r="1633" s="1" customFormat="1" ht="16.35" hidden="1" customHeight="1" spans="1:16">
      <c r="A1633" s="5"/>
      <c r="B1633" s="6"/>
      <c r="C1633" s="6" t="s">
        <v>4123</v>
      </c>
      <c r="D1633" s="6" t="s">
        <v>4221</v>
      </c>
      <c r="E1633" s="7">
        <v>12</v>
      </c>
      <c r="F1633" s="6" t="s">
        <v>4226</v>
      </c>
      <c r="G1633" s="6"/>
      <c r="H1633" s="6"/>
      <c r="I1633" s="8"/>
      <c r="J1633" s="8">
        <v>114286</v>
      </c>
      <c r="K1633" s="6"/>
      <c r="L1633" s="6" t="s">
        <v>1329</v>
      </c>
      <c r="N1633" s="6" t="s">
        <v>1329</v>
      </c>
      <c r="O1633" s="29">
        <v>120000.3</v>
      </c>
      <c r="P1633" s="1">
        <f>O1633-J1633</f>
        <v>5714.3</v>
      </c>
    </row>
    <row r="1634" s="1" customFormat="1" ht="16.35" hidden="1" customHeight="1" spans="1:16">
      <c r="A1634" s="5"/>
      <c r="B1634" s="6"/>
      <c r="C1634" s="6" t="s">
        <v>4123</v>
      </c>
      <c r="D1634" s="6" t="s">
        <v>4221</v>
      </c>
      <c r="E1634" s="7">
        <v>8</v>
      </c>
      <c r="F1634" s="6" t="s">
        <v>4227</v>
      </c>
      <c r="G1634" s="6"/>
      <c r="H1634" s="6"/>
      <c r="I1634" s="8"/>
      <c r="J1634" s="8">
        <v>9524</v>
      </c>
      <c r="K1634" s="6"/>
      <c r="L1634" s="6" t="s">
        <v>1466</v>
      </c>
      <c r="N1634" s="6" t="s">
        <v>1466</v>
      </c>
      <c r="O1634" s="29">
        <v>10000.2</v>
      </c>
      <c r="P1634" s="1">
        <f>O1634-J1634</f>
        <v>476.200000000001</v>
      </c>
    </row>
    <row r="1635" s="1" customFormat="1" ht="16.35" hidden="1" customHeight="1" spans="1:16">
      <c r="A1635" s="5"/>
      <c r="B1635" s="6"/>
      <c r="C1635" s="6" t="s">
        <v>4123</v>
      </c>
      <c r="D1635" s="6" t="s">
        <v>4221</v>
      </c>
      <c r="E1635" s="7">
        <v>4</v>
      </c>
      <c r="F1635" s="6" t="s">
        <v>4208</v>
      </c>
      <c r="G1635" s="6"/>
      <c r="H1635" s="6"/>
      <c r="I1635" s="8"/>
      <c r="J1635" s="8">
        <v>3810</v>
      </c>
      <c r="K1635" s="6"/>
      <c r="L1635" s="6" t="s">
        <v>1427</v>
      </c>
      <c r="N1635" s="6" t="s">
        <v>1427</v>
      </c>
      <c r="O1635" s="29">
        <v>4000.5</v>
      </c>
      <c r="P1635" s="1">
        <f>O1635-J1635</f>
        <v>190.5</v>
      </c>
    </row>
    <row r="1636" s="1" customFormat="1" ht="16.35" hidden="1" customHeight="1" spans="1:15">
      <c r="A1636" s="5"/>
      <c r="B1636" s="6"/>
      <c r="C1636" s="6" t="s">
        <v>4123</v>
      </c>
      <c r="D1636" s="6" t="s">
        <v>4221</v>
      </c>
      <c r="E1636" s="7">
        <v>9</v>
      </c>
      <c r="F1636" s="6" t="s">
        <v>4228</v>
      </c>
      <c r="G1636" s="6"/>
      <c r="H1636" s="6"/>
      <c r="I1636" s="8"/>
      <c r="J1636" s="8">
        <v>67449</v>
      </c>
      <c r="K1636" s="6"/>
      <c r="L1636" s="6" t="s">
        <v>1603</v>
      </c>
      <c r="N1636" s="6" t="s">
        <v>1603</v>
      </c>
      <c r="O1636" s="29">
        <v>70821.45</v>
      </c>
    </row>
    <row r="1637" s="1" customFormat="1" ht="16.35" hidden="1" customHeight="1" spans="1:16">
      <c r="A1637" s="5"/>
      <c r="B1637" s="6"/>
      <c r="C1637" s="6" t="s">
        <v>4123</v>
      </c>
      <c r="D1637" s="6" t="s">
        <v>4221</v>
      </c>
      <c r="E1637" s="7">
        <v>7</v>
      </c>
      <c r="F1637" s="6" t="s">
        <v>4229</v>
      </c>
      <c r="G1637" s="6"/>
      <c r="H1637" s="6"/>
      <c r="I1637" s="8"/>
      <c r="J1637" s="8">
        <v>26667</v>
      </c>
      <c r="K1637" s="6"/>
      <c r="L1637" s="6" t="s">
        <v>1096</v>
      </c>
      <c r="N1637" s="6" t="s">
        <v>1096</v>
      </c>
      <c r="O1637" s="29">
        <v>28000.35</v>
      </c>
      <c r="P1637" s="1">
        <f>O1637-J1637</f>
        <v>1333.35</v>
      </c>
    </row>
    <row r="1638" s="1" customFormat="1" ht="16.35" customHeight="1" spans="1:17">
      <c r="A1638" s="5"/>
      <c r="B1638" s="6"/>
      <c r="C1638" s="6" t="s">
        <v>4123</v>
      </c>
      <c r="D1638" s="6" t="s">
        <v>4221</v>
      </c>
      <c r="E1638" s="7">
        <v>14</v>
      </c>
      <c r="F1638" s="6" t="s">
        <v>4230</v>
      </c>
      <c r="G1638" s="6"/>
      <c r="H1638" s="6"/>
      <c r="I1638" s="8"/>
      <c r="J1638" s="8">
        <v>180952</v>
      </c>
      <c r="K1638" s="6"/>
      <c r="L1638" s="6" t="s">
        <v>1909</v>
      </c>
      <c r="N1638" s="6" t="s">
        <v>1909</v>
      </c>
      <c r="O1638" s="45">
        <v>190000</v>
      </c>
      <c r="P1638" s="6" t="s">
        <v>1909</v>
      </c>
      <c r="Q1638" s="1">
        <f>O1638-J1638</f>
        <v>9048</v>
      </c>
    </row>
    <row r="1639" s="1" customFormat="1" ht="16.35" hidden="1" customHeight="1" spans="1:15">
      <c r="A1639" s="5"/>
      <c r="B1639" s="6"/>
      <c r="C1639" s="6" t="s">
        <v>4123</v>
      </c>
      <c r="D1639" s="6" t="s">
        <v>4221</v>
      </c>
      <c r="E1639" s="7">
        <v>5</v>
      </c>
      <c r="F1639" s="6" t="s">
        <v>4231</v>
      </c>
      <c r="G1639" s="6"/>
      <c r="H1639" s="6"/>
      <c r="I1639" s="8"/>
      <c r="J1639" s="8">
        <v>58000</v>
      </c>
      <c r="K1639" s="6"/>
      <c r="L1639" s="6" t="s">
        <v>1273</v>
      </c>
      <c r="N1639" s="6" t="s">
        <v>1273</v>
      </c>
      <c r="O1639" s="29">
        <v>60900</v>
      </c>
    </row>
    <row r="1640" s="1" customFormat="1" ht="16.35" hidden="1" customHeight="1" spans="1:15">
      <c r="A1640" s="5"/>
      <c r="B1640" s="6"/>
      <c r="C1640" s="6" t="s">
        <v>4123</v>
      </c>
      <c r="D1640" s="6" t="s">
        <v>4221</v>
      </c>
      <c r="E1640" s="7">
        <v>13</v>
      </c>
      <c r="F1640" s="6" t="s">
        <v>4232</v>
      </c>
      <c r="G1640" s="6"/>
      <c r="H1640" s="6"/>
      <c r="I1640" s="8"/>
      <c r="J1640" s="8">
        <v>157143</v>
      </c>
      <c r="K1640" s="6"/>
      <c r="L1640" s="6" t="s">
        <v>1273</v>
      </c>
      <c r="N1640" s="6" t="s">
        <v>1273</v>
      </c>
      <c r="O1640" s="29">
        <v>165000.15</v>
      </c>
    </row>
    <row r="1641" s="1" customFormat="1" ht="16.35" hidden="1" customHeight="1" spans="1:16">
      <c r="A1641" s="5"/>
      <c r="B1641" s="6"/>
      <c r="C1641" s="6" t="s">
        <v>4123</v>
      </c>
      <c r="D1641" s="6" t="s">
        <v>4221</v>
      </c>
      <c r="E1641" s="7">
        <v>2</v>
      </c>
      <c r="F1641" s="6" t="s">
        <v>4233</v>
      </c>
      <c r="G1641" s="6"/>
      <c r="H1641" s="6"/>
      <c r="I1641" s="8"/>
      <c r="J1641" s="8">
        <v>762</v>
      </c>
      <c r="K1641" s="6"/>
      <c r="L1641" s="6" t="s">
        <v>1141</v>
      </c>
      <c r="N1641" s="6" t="s">
        <v>1141</v>
      </c>
      <c r="O1641" s="29">
        <v>800</v>
      </c>
      <c r="P1641" s="1">
        <f>O1641-J1641</f>
        <v>38</v>
      </c>
    </row>
    <row r="1642" s="1" customFormat="1" ht="16.35" hidden="1" customHeight="1" spans="1:16">
      <c r="A1642" s="5"/>
      <c r="B1642" s="6"/>
      <c r="C1642" s="6" t="s">
        <v>4123</v>
      </c>
      <c r="D1642" s="6" t="s">
        <v>4221</v>
      </c>
      <c r="E1642" s="7">
        <v>10</v>
      </c>
      <c r="F1642" s="6" t="s">
        <v>4234</v>
      </c>
      <c r="G1642" s="6"/>
      <c r="H1642" s="6"/>
      <c r="I1642" s="8"/>
      <c r="J1642" s="8">
        <v>94286</v>
      </c>
      <c r="K1642" s="6"/>
      <c r="L1642" s="6" t="s">
        <v>1141</v>
      </c>
      <c r="N1642" s="6" t="s">
        <v>1141</v>
      </c>
      <c r="O1642" s="29">
        <v>99000</v>
      </c>
      <c r="P1642" s="1">
        <f>O1642-J1642</f>
        <v>4714</v>
      </c>
    </row>
    <row r="1643" s="1" customFormat="1" ht="16.35" hidden="1" customHeight="1" spans="1:16">
      <c r="A1643" s="5"/>
      <c r="B1643" s="6"/>
      <c r="C1643" s="6" t="s">
        <v>4123</v>
      </c>
      <c r="D1643" s="6" t="s">
        <v>4221</v>
      </c>
      <c r="E1643" s="7">
        <v>15</v>
      </c>
      <c r="F1643" s="6" t="s">
        <v>4235</v>
      </c>
      <c r="G1643" s="6"/>
      <c r="H1643" s="6"/>
      <c r="I1643" s="8"/>
      <c r="J1643" s="8">
        <v>371429</v>
      </c>
      <c r="K1643" s="6"/>
      <c r="L1643" s="6" t="s">
        <v>1907</v>
      </c>
      <c r="N1643" s="6" t="s">
        <v>1907</v>
      </c>
      <c r="O1643" s="29">
        <v>390000.45</v>
      </c>
      <c r="P1643" s="1">
        <f>O1643-J1643</f>
        <v>18571.45</v>
      </c>
    </row>
    <row r="1644" s="1" customFormat="1" ht="16.35" hidden="1" customHeight="1" spans="1:15">
      <c r="A1644" s="5"/>
      <c r="B1644" s="6"/>
      <c r="C1644" s="6" t="s">
        <v>4123</v>
      </c>
      <c r="D1644" s="6" t="s">
        <v>4236</v>
      </c>
      <c r="E1644" s="7">
        <v>4</v>
      </c>
      <c r="F1644" s="6" t="s">
        <v>4237</v>
      </c>
      <c r="G1644" s="6"/>
      <c r="H1644" s="6"/>
      <c r="I1644" s="8"/>
      <c r="J1644" s="8">
        <v>4762</v>
      </c>
      <c r="K1644" s="6"/>
      <c r="L1644" s="6" t="s">
        <v>1581</v>
      </c>
      <c r="N1644" s="6" t="s">
        <v>1581</v>
      </c>
      <c r="O1644" s="29">
        <v>5000.1</v>
      </c>
    </row>
    <row r="1645" s="1" customFormat="1" ht="16.35" hidden="1" customHeight="1" spans="1:16">
      <c r="A1645" s="5"/>
      <c r="B1645" s="6"/>
      <c r="C1645" s="6" t="s">
        <v>4123</v>
      </c>
      <c r="D1645" s="6" t="s">
        <v>4236</v>
      </c>
      <c r="E1645" s="7">
        <v>3</v>
      </c>
      <c r="F1645" s="6" t="s">
        <v>4238</v>
      </c>
      <c r="G1645" s="6"/>
      <c r="H1645" s="6"/>
      <c r="I1645" s="8"/>
      <c r="J1645" s="8">
        <v>4762</v>
      </c>
      <c r="K1645" s="6"/>
      <c r="L1645" s="6" t="s">
        <v>1655</v>
      </c>
      <c r="N1645" s="6" t="s">
        <v>1655</v>
      </c>
      <c r="O1645" s="29">
        <v>5000.1</v>
      </c>
      <c r="P1645" s="30">
        <f>O1645-J1645</f>
        <v>238.1</v>
      </c>
    </row>
    <row r="1646" s="1" customFormat="1" ht="16.35" hidden="1" customHeight="1" spans="1:15">
      <c r="A1646" s="5"/>
      <c r="B1646" s="6"/>
      <c r="C1646" s="6" t="s">
        <v>4123</v>
      </c>
      <c r="D1646" s="6" t="s">
        <v>4236</v>
      </c>
      <c r="E1646" s="7">
        <v>8</v>
      </c>
      <c r="F1646" s="6" t="s">
        <v>4239</v>
      </c>
      <c r="G1646" s="6"/>
      <c r="H1646" s="6"/>
      <c r="I1646" s="8"/>
      <c r="J1646" s="8">
        <v>86762</v>
      </c>
      <c r="K1646" s="6"/>
      <c r="L1646" s="6" t="s">
        <v>1101</v>
      </c>
      <c r="N1646" s="6" t="s">
        <v>1101</v>
      </c>
      <c r="O1646" s="29">
        <v>91100.1</v>
      </c>
    </row>
    <row r="1647" s="1" customFormat="1" ht="16.35" hidden="1" customHeight="1" spans="1:15">
      <c r="A1647" s="5"/>
      <c r="B1647" s="6"/>
      <c r="C1647" s="6" t="s">
        <v>4123</v>
      </c>
      <c r="D1647" s="6" t="s">
        <v>4236</v>
      </c>
      <c r="E1647" s="7">
        <v>8</v>
      </c>
      <c r="F1647" s="6" t="s">
        <v>4240</v>
      </c>
      <c r="G1647" s="6"/>
      <c r="H1647" s="6"/>
      <c r="I1647" s="8"/>
      <c r="J1647" s="8">
        <v>28571</v>
      </c>
      <c r="K1647" s="6"/>
      <c r="L1647" s="6" t="s">
        <v>1101</v>
      </c>
      <c r="N1647" s="6" t="s">
        <v>1101</v>
      </c>
      <c r="O1647" s="29">
        <v>29999.55</v>
      </c>
    </row>
    <row r="1648" s="1" customFormat="1" ht="16.35" hidden="1" customHeight="1" spans="1:15">
      <c r="A1648" s="5"/>
      <c r="B1648" s="6"/>
      <c r="C1648" s="6" t="s">
        <v>4123</v>
      </c>
      <c r="D1648" s="6" t="s">
        <v>4236</v>
      </c>
      <c r="E1648" s="7">
        <v>9</v>
      </c>
      <c r="F1648" s="6" t="s">
        <v>4239</v>
      </c>
      <c r="G1648" s="6"/>
      <c r="H1648" s="6"/>
      <c r="I1648" s="8"/>
      <c r="J1648" s="8">
        <v>33333</v>
      </c>
      <c r="K1648" s="6"/>
      <c r="L1648" s="6" t="s">
        <v>1101</v>
      </c>
      <c r="N1648" s="6" t="s">
        <v>1101</v>
      </c>
      <c r="O1648" s="29">
        <v>34999.65</v>
      </c>
    </row>
    <row r="1649" s="1" customFormat="1" ht="16.35" hidden="1" customHeight="1" spans="1:16">
      <c r="A1649" s="5"/>
      <c r="B1649" s="6"/>
      <c r="C1649" s="6" t="s">
        <v>4123</v>
      </c>
      <c r="D1649" s="6" t="s">
        <v>4236</v>
      </c>
      <c r="E1649" s="7">
        <v>1</v>
      </c>
      <c r="F1649" s="6" t="s">
        <v>4208</v>
      </c>
      <c r="G1649" s="6"/>
      <c r="H1649" s="6"/>
      <c r="I1649" s="8"/>
      <c r="J1649" s="8">
        <v>952</v>
      </c>
      <c r="K1649" s="6"/>
      <c r="L1649" s="6" t="s">
        <v>1427</v>
      </c>
      <c r="N1649" s="6" t="s">
        <v>1427</v>
      </c>
      <c r="O1649" s="29">
        <v>999.6</v>
      </c>
      <c r="P1649" s="1">
        <f>O1649-J1649</f>
        <v>47.6</v>
      </c>
    </row>
    <row r="1650" s="1" customFormat="1" ht="16.35" hidden="1" customHeight="1" spans="1:16">
      <c r="A1650" s="5"/>
      <c r="B1650" s="6"/>
      <c r="C1650" s="6" t="s">
        <v>4123</v>
      </c>
      <c r="D1650" s="6" t="s">
        <v>4236</v>
      </c>
      <c r="E1650" s="7">
        <v>7</v>
      </c>
      <c r="F1650" s="6" t="s">
        <v>4208</v>
      </c>
      <c r="G1650" s="6"/>
      <c r="H1650" s="6"/>
      <c r="I1650" s="8"/>
      <c r="J1650" s="8">
        <v>1905</v>
      </c>
      <c r="K1650" s="6"/>
      <c r="L1650" s="6" t="s">
        <v>1427</v>
      </c>
      <c r="N1650" s="6" t="s">
        <v>1427</v>
      </c>
      <c r="O1650" s="29">
        <v>2000.25</v>
      </c>
      <c r="P1650" s="1">
        <f>O1650-J1650</f>
        <v>95.25</v>
      </c>
    </row>
    <row r="1651" s="1" customFormat="1" ht="16.35" hidden="1" customHeight="1" spans="1:15">
      <c r="A1651" s="5"/>
      <c r="B1651" s="6"/>
      <c r="C1651" s="6" t="s">
        <v>4123</v>
      </c>
      <c r="D1651" s="6" t="s">
        <v>4236</v>
      </c>
      <c r="E1651" s="7">
        <v>12</v>
      </c>
      <c r="F1651" s="6" t="s">
        <v>4241</v>
      </c>
      <c r="G1651" s="6"/>
      <c r="H1651" s="6"/>
      <c r="I1651" s="8"/>
      <c r="J1651" s="8">
        <v>173378</v>
      </c>
      <c r="K1651" s="6"/>
      <c r="L1651" s="6" t="s">
        <v>1686</v>
      </c>
      <c r="N1651" s="6" t="s">
        <v>1686</v>
      </c>
      <c r="O1651" s="29">
        <v>182046.9</v>
      </c>
    </row>
    <row r="1652" s="1" customFormat="1" ht="16.35" hidden="1" customHeight="1" spans="1:16">
      <c r="A1652" s="5"/>
      <c r="B1652" s="6"/>
      <c r="C1652" s="6" t="s">
        <v>4123</v>
      </c>
      <c r="D1652" s="6" t="s">
        <v>4236</v>
      </c>
      <c r="E1652" s="7">
        <v>10</v>
      </c>
      <c r="F1652" s="6" t="s">
        <v>4242</v>
      </c>
      <c r="G1652" s="6"/>
      <c r="H1652" s="6"/>
      <c r="I1652" s="8"/>
      <c r="J1652" s="8">
        <v>85714</v>
      </c>
      <c r="K1652" s="6"/>
      <c r="L1652" s="6" t="s">
        <v>1700</v>
      </c>
      <c r="N1652" s="6" t="s">
        <v>1700</v>
      </c>
      <c r="O1652" s="29">
        <v>89999.7</v>
      </c>
      <c r="P1652" s="1">
        <f>O1652-J1652</f>
        <v>4285.7</v>
      </c>
    </row>
    <row r="1653" s="1" customFormat="1" ht="16.35" hidden="1" customHeight="1" spans="1:16">
      <c r="A1653" s="5"/>
      <c r="B1653" s="6"/>
      <c r="C1653" s="6" t="s">
        <v>4123</v>
      </c>
      <c r="D1653" s="6" t="s">
        <v>4236</v>
      </c>
      <c r="E1653" s="7">
        <v>10</v>
      </c>
      <c r="F1653" s="6" t="s">
        <v>4243</v>
      </c>
      <c r="G1653" s="6"/>
      <c r="H1653" s="6"/>
      <c r="I1653" s="8"/>
      <c r="J1653" s="8">
        <v>145571</v>
      </c>
      <c r="K1653" s="6"/>
      <c r="L1653" s="6" t="s">
        <v>1700</v>
      </c>
      <c r="N1653" s="6" t="s">
        <v>1700</v>
      </c>
      <c r="O1653" s="29">
        <v>152849.55</v>
      </c>
      <c r="P1653" s="1">
        <f>O1653-J1653</f>
        <v>7278.54999999999</v>
      </c>
    </row>
    <row r="1654" s="1" customFormat="1" ht="16.35" hidden="1" customHeight="1" spans="1:15">
      <c r="A1654" s="5"/>
      <c r="B1654" s="6"/>
      <c r="C1654" s="6" t="s">
        <v>4123</v>
      </c>
      <c r="D1654" s="6" t="s">
        <v>4236</v>
      </c>
      <c r="E1654" s="7">
        <v>11</v>
      </c>
      <c r="F1654" s="6" t="s">
        <v>4244</v>
      </c>
      <c r="G1654" s="6"/>
      <c r="H1654" s="6"/>
      <c r="I1654" s="8"/>
      <c r="J1654" s="8">
        <v>69381</v>
      </c>
      <c r="K1654" s="6"/>
      <c r="L1654" s="6" t="s">
        <v>1704</v>
      </c>
      <c r="N1654" s="6" t="s">
        <v>1704</v>
      </c>
      <c r="O1654" s="29">
        <v>72850.05</v>
      </c>
    </row>
    <row r="1655" s="1" customFormat="1" ht="16.35" hidden="1" customHeight="1" spans="1:15">
      <c r="A1655" s="5"/>
      <c r="B1655" s="6"/>
      <c r="C1655" s="6" t="s">
        <v>4123</v>
      </c>
      <c r="D1655" s="6" t="s">
        <v>4236</v>
      </c>
      <c r="E1655" s="7">
        <v>2</v>
      </c>
      <c r="F1655" s="6" t="s">
        <v>4245</v>
      </c>
      <c r="G1655" s="6"/>
      <c r="H1655" s="6"/>
      <c r="I1655" s="8"/>
      <c r="J1655" s="8">
        <v>7619</v>
      </c>
      <c r="K1655" s="6"/>
      <c r="L1655" s="6" t="s">
        <v>1468</v>
      </c>
      <c r="N1655" s="6" t="s">
        <v>1468</v>
      </c>
      <c r="O1655" s="29">
        <v>7999.95</v>
      </c>
    </row>
    <row r="1656" s="1" customFormat="1" ht="16.35" hidden="1" customHeight="1" spans="1:17">
      <c r="A1656" s="5"/>
      <c r="B1656" s="6"/>
      <c r="C1656" s="6" t="s">
        <v>4123</v>
      </c>
      <c r="D1656" s="6" t="s">
        <v>4236</v>
      </c>
      <c r="E1656" s="7">
        <v>5</v>
      </c>
      <c r="F1656" s="6" t="s">
        <v>4246</v>
      </c>
      <c r="G1656" s="6"/>
      <c r="H1656" s="6"/>
      <c r="I1656" s="8"/>
      <c r="J1656" s="8">
        <v>4762</v>
      </c>
      <c r="K1656" s="6"/>
      <c r="L1656" s="6" t="s">
        <v>1586</v>
      </c>
      <c r="N1656" s="6" t="s">
        <v>1586</v>
      </c>
      <c r="O1656" s="29">
        <v>5000.1</v>
      </c>
      <c r="Q1656" s="1">
        <f>O1656-J1656</f>
        <v>238.1</v>
      </c>
    </row>
    <row r="1657" s="1" customFormat="1" ht="16.35" hidden="1" customHeight="1" spans="1:15">
      <c r="A1657" s="5"/>
      <c r="B1657" s="6"/>
      <c r="C1657" s="6" t="s">
        <v>4123</v>
      </c>
      <c r="D1657" s="6" t="s">
        <v>4236</v>
      </c>
      <c r="E1657" s="7">
        <v>6</v>
      </c>
      <c r="F1657" s="6" t="s">
        <v>4247</v>
      </c>
      <c r="G1657" s="6"/>
      <c r="H1657" s="6"/>
      <c r="I1657" s="8"/>
      <c r="J1657" s="8">
        <v>1905</v>
      </c>
      <c r="K1657" s="6"/>
      <c r="L1657" s="6" t="s">
        <v>1641</v>
      </c>
      <c r="N1657" s="6" t="s">
        <v>1641</v>
      </c>
      <c r="O1657" s="29">
        <v>2000.25</v>
      </c>
    </row>
    <row r="1658" s="1" customFormat="1" ht="16.35" hidden="1" customHeight="1" spans="1:16">
      <c r="A1658" s="5"/>
      <c r="B1658" s="6"/>
      <c r="C1658" s="6" t="s">
        <v>4123</v>
      </c>
      <c r="D1658" s="6" t="s">
        <v>4248</v>
      </c>
      <c r="E1658" s="7">
        <v>4</v>
      </c>
      <c r="F1658" s="6" t="s">
        <v>4249</v>
      </c>
      <c r="G1658" s="6"/>
      <c r="H1658" s="6"/>
      <c r="I1658" s="8"/>
      <c r="J1658" s="8">
        <v>1905</v>
      </c>
      <c r="K1658" s="6"/>
      <c r="L1658" s="6" t="s">
        <v>1625</v>
      </c>
      <c r="N1658" s="6" t="s">
        <v>1625</v>
      </c>
      <c r="O1658" s="29">
        <v>2000.25</v>
      </c>
      <c r="P1658" s="1">
        <f>O1658-J1658</f>
        <v>95.25</v>
      </c>
    </row>
    <row r="1659" s="1" customFormat="1" ht="16.35" hidden="1" customHeight="1" spans="1:16">
      <c r="A1659" s="5"/>
      <c r="B1659" s="6"/>
      <c r="C1659" s="6" t="s">
        <v>4123</v>
      </c>
      <c r="D1659" s="6" t="s">
        <v>4248</v>
      </c>
      <c r="E1659" s="7">
        <v>3</v>
      </c>
      <c r="F1659" s="6" t="s">
        <v>4250</v>
      </c>
      <c r="G1659" s="6"/>
      <c r="H1659" s="6"/>
      <c r="I1659" s="8"/>
      <c r="J1659" s="8">
        <v>14286</v>
      </c>
      <c r="K1659" s="6"/>
      <c r="L1659" s="6" t="s">
        <v>1523</v>
      </c>
      <c r="N1659" s="6" t="s">
        <v>1523</v>
      </c>
      <c r="O1659" s="29">
        <v>15000.3</v>
      </c>
      <c r="P1659" s="1">
        <f>O1659-J1659</f>
        <v>714.299999999999</v>
      </c>
    </row>
    <row r="1660" s="1" customFormat="1" ht="16.35" hidden="1" customHeight="1" spans="1:15">
      <c r="A1660" s="5"/>
      <c r="B1660" s="6"/>
      <c r="C1660" s="6" t="s">
        <v>4123</v>
      </c>
      <c r="D1660" s="6" t="s">
        <v>4248</v>
      </c>
      <c r="E1660" s="7">
        <v>1</v>
      </c>
      <c r="F1660" s="6" t="s">
        <v>4251</v>
      </c>
      <c r="G1660" s="6"/>
      <c r="H1660" s="6"/>
      <c r="I1660" s="8"/>
      <c r="J1660" s="8">
        <v>156190</v>
      </c>
      <c r="K1660" s="6"/>
      <c r="L1660" s="6" t="s">
        <v>1603</v>
      </c>
      <c r="N1660" s="6" t="s">
        <v>1603</v>
      </c>
      <c r="O1660" s="29">
        <v>163999.5</v>
      </c>
    </row>
    <row r="1661" s="1" customFormat="1" ht="16.35" hidden="1" customHeight="1" spans="1:15">
      <c r="A1661" s="5"/>
      <c r="B1661" s="6"/>
      <c r="C1661" s="6" t="s">
        <v>4123</v>
      </c>
      <c r="D1661" s="6" t="s">
        <v>4248</v>
      </c>
      <c r="E1661" s="7">
        <v>5</v>
      </c>
      <c r="F1661" s="6" t="s">
        <v>4245</v>
      </c>
      <c r="G1661" s="6"/>
      <c r="H1661" s="6"/>
      <c r="I1661" s="8"/>
      <c r="J1661" s="8">
        <v>7714</v>
      </c>
      <c r="K1661" s="6"/>
      <c r="L1661" s="6" t="s">
        <v>1468</v>
      </c>
      <c r="N1661" s="6" t="s">
        <v>1468</v>
      </c>
      <c r="O1661" s="29">
        <v>8099.7</v>
      </c>
    </row>
    <row r="1662" s="1" customFormat="1" ht="16.35" hidden="1" customHeight="1" spans="1:15">
      <c r="A1662" s="5"/>
      <c r="B1662" s="6"/>
      <c r="C1662" s="6" t="s">
        <v>4123</v>
      </c>
      <c r="D1662" s="6" t="s">
        <v>4248</v>
      </c>
      <c r="E1662" s="7">
        <v>2</v>
      </c>
      <c r="F1662" s="6" t="s">
        <v>4252</v>
      </c>
      <c r="G1662" s="6"/>
      <c r="H1662" s="6"/>
      <c r="I1662" s="8"/>
      <c r="J1662" s="8">
        <v>86644</v>
      </c>
      <c r="K1662" s="6"/>
      <c r="L1662" s="6" t="s">
        <v>1641</v>
      </c>
      <c r="N1662" s="6" t="s">
        <v>1641</v>
      </c>
      <c r="O1662" s="29">
        <v>90976.2</v>
      </c>
    </row>
    <row r="1663" s="1" customFormat="1" ht="16.35" hidden="1" customHeight="1" spans="1:15">
      <c r="A1663" s="5"/>
      <c r="B1663" s="6"/>
      <c r="C1663" s="6" t="s">
        <v>4123</v>
      </c>
      <c r="D1663" s="6" t="s">
        <v>4253</v>
      </c>
      <c r="E1663" s="7">
        <v>14</v>
      </c>
      <c r="F1663" s="6" t="s">
        <v>4254</v>
      </c>
      <c r="G1663" s="6"/>
      <c r="H1663" s="6"/>
      <c r="I1663" s="8">
        <v>180952</v>
      </c>
      <c r="J1663" s="8"/>
      <c r="K1663" s="6"/>
      <c r="L1663" s="6" t="s">
        <v>1391</v>
      </c>
      <c r="N1663" s="6" t="s">
        <v>1391</v>
      </c>
      <c r="O1663" s="29">
        <v>0</v>
      </c>
    </row>
    <row r="1664" s="1" customFormat="1" ht="16.35" hidden="1" customHeight="1" spans="1:15">
      <c r="A1664" s="5"/>
      <c r="B1664" s="6"/>
      <c r="C1664" s="6" t="s">
        <v>4123</v>
      </c>
      <c r="D1664" s="6" t="s">
        <v>4253</v>
      </c>
      <c r="E1664" s="7">
        <v>14</v>
      </c>
      <c r="F1664" s="6" t="s">
        <v>4255</v>
      </c>
      <c r="G1664" s="6"/>
      <c r="H1664" s="6"/>
      <c r="I1664" s="8">
        <v>179848</v>
      </c>
      <c r="J1664" s="8"/>
      <c r="K1664" s="6"/>
      <c r="L1664" s="6" t="s">
        <v>1434</v>
      </c>
      <c r="N1664" s="6" t="s">
        <v>1434</v>
      </c>
      <c r="O1664" s="29">
        <v>0</v>
      </c>
    </row>
    <row r="1665" s="1" customFormat="1" ht="16.35" hidden="1" customHeight="1" spans="1:15">
      <c r="A1665" s="5"/>
      <c r="B1665" s="6"/>
      <c r="C1665" s="6" t="s">
        <v>4123</v>
      </c>
      <c r="D1665" s="6" t="s">
        <v>4253</v>
      </c>
      <c r="E1665" s="7">
        <v>14</v>
      </c>
      <c r="F1665" s="6" t="s">
        <v>4256</v>
      </c>
      <c r="G1665" s="6"/>
      <c r="H1665" s="6"/>
      <c r="I1665" s="8">
        <v>168381</v>
      </c>
      <c r="J1665" s="8"/>
      <c r="K1665" s="6"/>
      <c r="L1665" s="6" t="s">
        <v>1436</v>
      </c>
      <c r="N1665" s="6" t="s">
        <v>1436</v>
      </c>
      <c r="O1665" s="29">
        <v>0</v>
      </c>
    </row>
    <row r="1666" s="1" customFormat="1" ht="16.35" hidden="1" customHeight="1" spans="1:16">
      <c r="A1666" s="5"/>
      <c r="B1666" s="6"/>
      <c r="C1666" s="6" t="s">
        <v>4123</v>
      </c>
      <c r="D1666" s="6" t="s">
        <v>4253</v>
      </c>
      <c r="E1666" s="7">
        <v>4</v>
      </c>
      <c r="F1666" s="6" t="s">
        <v>4257</v>
      </c>
      <c r="G1666" s="6"/>
      <c r="H1666" s="6"/>
      <c r="I1666" s="8"/>
      <c r="J1666" s="8">
        <v>102606</v>
      </c>
      <c r="K1666" s="6"/>
      <c r="L1666" s="6" t="s">
        <v>1655</v>
      </c>
      <c r="N1666" s="6" t="s">
        <v>1655</v>
      </c>
      <c r="O1666" s="29">
        <v>107736.3</v>
      </c>
      <c r="P1666" s="30">
        <f>O1666-J1666</f>
        <v>5130.3</v>
      </c>
    </row>
    <row r="1667" s="1" customFormat="1" ht="16.35" hidden="1" customHeight="1" spans="1:15">
      <c r="A1667" s="5"/>
      <c r="B1667" s="6"/>
      <c r="C1667" s="6" t="s">
        <v>4123</v>
      </c>
      <c r="D1667" s="6" t="s">
        <v>4253</v>
      </c>
      <c r="E1667" s="7">
        <v>14</v>
      </c>
      <c r="F1667" s="6" t="s">
        <v>4258</v>
      </c>
      <c r="G1667" s="6"/>
      <c r="H1667" s="6"/>
      <c r="I1667" s="8">
        <v>19048</v>
      </c>
      <c r="J1667" s="8"/>
      <c r="K1667" s="6"/>
      <c r="L1667" s="6" t="s">
        <v>1184</v>
      </c>
      <c r="N1667" s="6" t="s">
        <v>1184</v>
      </c>
      <c r="O1667" s="29">
        <v>0</v>
      </c>
    </row>
    <row r="1668" s="1" customFormat="1" ht="16.35" hidden="1" customHeight="1" spans="1:15">
      <c r="A1668" s="5"/>
      <c r="B1668" s="6"/>
      <c r="C1668" s="6" t="s">
        <v>4123</v>
      </c>
      <c r="D1668" s="6" t="s">
        <v>4253</v>
      </c>
      <c r="E1668" s="7">
        <v>14</v>
      </c>
      <c r="F1668" s="6" t="s">
        <v>4259</v>
      </c>
      <c r="G1668" s="6"/>
      <c r="H1668" s="6"/>
      <c r="I1668" s="8">
        <v>158757</v>
      </c>
      <c r="J1668" s="8"/>
      <c r="K1668" s="6"/>
      <c r="L1668" s="6" t="s">
        <v>1208</v>
      </c>
      <c r="N1668" s="6" t="s">
        <v>1208</v>
      </c>
      <c r="O1668" s="29">
        <v>0</v>
      </c>
    </row>
    <row r="1669" s="1" customFormat="1" ht="16.35" hidden="1" customHeight="1" spans="1:16">
      <c r="A1669" s="5"/>
      <c r="B1669" s="6"/>
      <c r="C1669" s="6" t="s">
        <v>4123</v>
      </c>
      <c r="D1669" s="6" t="s">
        <v>4253</v>
      </c>
      <c r="E1669" s="7">
        <v>14</v>
      </c>
      <c r="F1669" s="6" t="s">
        <v>4259</v>
      </c>
      <c r="G1669" s="6"/>
      <c r="H1669" s="6"/>
      <c r="I1669" s="8">
        <v>157143</v>
      </c>
      <c r="J1669" s="8"/>
      <c r="K1669" s="6"/>
      <c r="L1669" s="6" t="s">
        <v>1523</v>
      </c>
      <c r="N1669" s="6" t="s">
        <v>1523</v>
      </c>
      <c r="O1669" s="29">
        <v>0</v>
      </c>
      <c r="P1669" s="1">
        <f>O1669-J1669</f>
        <v>0</v>
      </c>
    </row>
    <row r="1670" s="1" customFormat="1" ht="16.35" hidden="1" customHeight="1" spans="1:16">
      <c r="A1670" s="5"/>
      <c r="B1670" s="6"/>
      <c r="C1670" s="6" t="s">
        <v>4123</v>
      </c>
      <c r="D1670" s="6" t="s">
        <v>4253</v>
      </c>
      <c r="E1670" s="7">
        <v>3</v>
      </c>
      <c r="F1670" s="6" t="s">
        <v>4260</v>
      </c>
      <c r="G1670" s="6"/>
      <c r="H1670" s="6"/>
      <c r="I1670" s="8"/>
      <c r="J1670" s="8">
        <v>2857</v>
      </c>
      <c r="K1670" s="6"/>
      <c r="L1670" s="6" t="s">
        <v>1143</v>
      </c>
      <c r="N1670" s="6" t="s">
        <v>1143</v>
      </c>
      <c r="O1670" s="29">
        <v>2999.85</v>
      </c>
      <c r="P1670" s="1">
        <f>O1670-J1670</f>
        <v>142.85</v>
      </c>
    </row>
    <row r="1671" s="1" customFormat="1" ht="16.35" hidden="1" customHeight="1" spans="1:15">
      <c r="A1671" s="5"/>
      <c r="B1671" s="6"/>
      <c r="C1671" s="6" t="s">
        <v>4123</v>
      </c>
      <c r="D1671" s="6" t="s">
        <v>4253</v>
      </c>
      <c r="E1671" s="7">
        <v>14</v>
      </c>
      <c r="F1671" s="6" t="s">
        <v>4261</v>
      </c>
      <c r="G1671" s="6"/>
      <c r="H1671" s="6"/>
      <c r="I1671" s="8">
        <v>241762</v>
      </c>
      <c r="J1671" s="8"/>
      <c r="K1671" s="6"/>
      <c r="L1671" s="6" t="s">
        <v>1139</v>
      </c>
      <c r="N1671" s="6" t="s">
        <v>1139</v>
      </c>
      <c r="O1671" s="29">
        <v>0</v>
      </c>
    </row>
    <row r="1672" s="1" customFormat="1" ht="16.35" hidden="1" customHeight="1" spans="1:15">
      <c r="A1672" s="5"/>
      <c r="B1672" s="6"/>
      <c r="C1672" s="6" t="s">
        <v>4123</v>
      </c>
      <c r="D1672" s="6" t="s">
        <v>4253</v>
      </c>
      <c r="E1672" s="7">
        <v>14</v>
      </c>
      <c r="F1672" s="6" t="s">
        <v>4262</v>
      </c>
      <c r="G1672" s="6"/>
      <c r="H1672" s="6"/>
      <c r="I1672" s="8">
        <v>153428</v>
      </c>
      <c r="J1672" s="8"/>
      <c r="K1672" s="6"/>
      <c r="L1672" s="6" t="s">
        <v>1101</v>
      </c>
      <c r="N1672" s="6" t="s">
        <v>1101</v>
      </c>
      <c r="O1672" s="29">
        <v>0</v>
      </c>
    </row>
    <row r="1673" s="1" customFormat="1" ht="16.35" hidden="1" customHeight="1" spans="1:15">
      <c r="A1673" s="5"/>
      <c r="B1673" s="6"/>
      <c r="C1673" s="6" t="s">
        <v>4123</v>
      </c>
      <c r="D1673" s="6" t="s">
        <v>4253</v>
      </c>
      <c r="E1673" s="7">
        <v>14</v>
      </c>
      <c r="F1673" s="6" t="s">
        <v>4263</v>
      </c>
      <c r="G1673" s="6"/>
      <c r="H1673" s="6"/>
      <c r="I1673" s="8">
        <v>81562</v>
      </c>
      <c r="J1673" s="8"/>
      <c r="K1673" s="6"/>
      <c r="L1673" s="6" t="s">
        <v>1206</v>
      </c>
      <c r="N1673" s="6" t="s">
        <v>1206</v>
      </c>
      <c r="O1673" s="29">
        <v>0</v>
      </c>
    </row>
    <row r="1674" s="1" customFormat="1" ht="16.35" hidden="1" customHeight="1" spans="1:15">
      <c r="A1674" s="5"/>
      <c r="B1674" s="6"/>
      <c r="C1674" s="6" t="s">
        <v>4123</v>
      </c>
      <c r="D1674" s="6" t="s">
        <v>4253</v>
      </c>
      <c r="E1674" s="7">
        <v>14</v>
      </c>
      <c r="F1674" s="6" t="s">
        <v>4263</v>
      </c>
      <c r="G1674" s="6"/>
      <c r="H1674" s="6"/>
      <c r="I1674" s="8">
        <v>80952</v>
      </c>
      <c r="J1674" s="8"/>
      <c r="K1674" s="6"/>
      <c r="L1674" s="6" t="s">
        <v>1206</v>
      </c>
      <c r="N1674" s="6" t="s">
        <v>1206</v>
      </c>
      <c r="O1674" s="29">
        <v>0</v>
      </c>
    </row>
    <row r="1675" s="1" customFormat="1" ht="16.35" hidden="1" customHeight="1" spans="1:16">
      <c r="A1675" s="5"/>
      <c r="B1675" s="6"/>
      <c r="C1675" s="6" t="s">
        <v>4123</v>
      </c>
      <c r="D1675" s="6" t="s">
        <v>4253</v>
      </c>
      <c r="E1675" s="7">
        <v>1</v>
      </c>
      <c r="F1675" s="6" t="s">
        <v>4264</v>
      </c>
      <c r="G1675" s="6"/>
      <c r="H1675" s="6"/>
      <c r="I1675" s="8"/>
      <c r="J1675" s="8">
        <v>19048</v>
      </c>
      <c r="K1675" s="6"/>
      <c r="L1675" s="6" t="s">
        <v>1483</v>
      </c>
      <c r="N1675" s="6" t="s">
        <v>1483</v>
      </c>
      <c r="O1675" s="29">
        <v>20000.4</v>
      </c>
      <c r="P1675" s="1">
        <f>O1675-J1675</f>
        <v>952.400000000001</v>
      </c>
    </row>
    <row r="1676" s="1" customFormat="1" ht="16.35" hidden="1" customHeight="1" spans="1:15">
      <c r="A1676" s="5"/>
      <c r="B1676" s="6"/>
      <c r="C1676" s="6" t="s">
        <v>4123</v>
      </c>
      <c r="D1676" s="6" t="s">
        <v>4253</v>
      </c>
      <c r="E1676" s="7">
        <v>14</v>
      </c>
      <c r="F1676" s="6" t="s">
        <v>4265</v>
      </c>
      <c r="G1676" s="6"/>
      <c r="H1676" s="6"/>
      <c r="I1676" s="8">
        <v>223639</v>
      </c>
      <c r="J1676" s="8"/>
      <c r="K1676" s="6"/>
      <c r="L1676" s="6" t="s">
        <v>1603</v>
      </c>
      <c r="N1676" s="6" t="s">
        <v>1603</v>
      </c>
      <c r="O1676" s="29">
        <v>0</v>
      </c>
    </row>
    <row r="1677" s="1" customFormat="1" ht="16.35" hidden="1" customHeight="1" spans="1:15">
      <c r="A1677" s="5"/>
      <c r="B1677" s="6"/>
      <c r="C1677" s="6" t="s">
        <v>4123</v>
      </c>
      <c r="D1677" s="6" t="s">
        <v>4253</v>
      </c>
      <c r="E1677" s="7">
        <v>14</v>
      </c>
      <c r="F1677" s="6" t="s">
        <v>4266</v>
      </c>
      <c r="G1677" s="6"/>
      <c r="H1677" s="6"/>
      <c r="I1677" s="8">
        <v>224667</v>
      </c>
      <c r="J1677" s="8"/>
      <c r="K1677" s="6"/>
      <c r="L1677" s="6" t="s">
        <v>1273</v>
      </c>
      <c r="N1677" s="6" t="s">
        <v>1273</v>
      </c>
      <c r="O1677" s="29">
        <v>0</v>
      </c>
    </row>
    <row r="1678" s="1" customFormat="1" ht="16.35" hidden="1" customHeight="1" spans="1:15">
      <c r="A1678" s="5"/>
      <c r="B1678" s="6"/>
      <c r="C1678" s="6" t="s">
        <v>4123</v>
      </c>
      <c r="D1678" s="6" t="s">
        <v>4253</v>
      </c>
      <c r="E1678" s="7">
        <v>14</v>
      </c>
      <c r="F1678" s="6" t="s">
        <v>4267</v>
      </c>
      <c r="G1678" s="6"/>
      <c r="H1678" s="6"/>
      <c r="I1678" s="8">
        <v>247619</v>
      </c>
      <c r="J1678" s="8"/>
      <c r="K1678" s="6"/>
      <c r="L1678" s="6" t="s">
        <v>4194</v>
      </c>
      <c r="N1678" s="6" t="s">
        <v>4194</v>
      </c>
      <c r="O1678" s="29">
        <v>0</v>
      </c>
    </row>
    <row r="1679" s="1" customFormat="1" ht="16.35" hidden="1" customHeight="1" spans="1:15">
      <c r="A1679" s="5"/>
      <c r="B1679" s="6"/>
      <c r="C1679" s="6" t="s">
        <v>4123</v>
      </c>
      <c r="D1679" s="6" t="s">
        <v>4253</v>
      </c>
      <c r="E1679" s="7">
        <v>14</v>
      </c>
      <c r="F1679" s="6" t="s">
        <v>4268</v>
      </c>
      <c r="G1679" s="6"/>
      <c r="H1679" s="6"/>
      <c r="I1679" s="8">
        <v>60076</v>
      </c>
      <c r="J1679" s="8"/>
      <c r="K1679" s="6"/>
      <c r="L1679" s="6" t="s">
        <v>1403</v>
      </c>
      <c r="N1679" s="6" t="s">
        <v>1403</v>
      </c>
      <c r="O1679" s="29">
        <v>0</v>
      </c>
    </row>
    <row r="1680" s="1" customFormat="1" ht="16.35" hidden="1" customHeight="1" spans="1:15">
      <c r="A1680" s="5"/>
      <c r="B1680" s="6"/>
      <c r="C1680" s="6" t="s">
        <v>4123</v>
      </c>
      <c r="D1680" s="6" t="s">
        <v>4253</v>
      </c>
      <c r="E1680" s="7">
        <v>2</v>
      </c>
      <c r="F1680" s="6" t="s">
        <v>4245</v>
      </c>
      <c r="G1680" s="6"/>
      <c r="H1680" s="6"/>
      <c r="I1680" s="8"/>
      <c r="J1680" s="8">
        <v>7714</v>
      </c>
      <c r="K1680" s="6"/>
      <c r="L1680" s="6" t="s">
        <v>1468</v>
      </c>
      <c r="N1680" s="6" t="s">
        <v>1468</v>
      </c>
      <c r="O1680" s="29">
        <v>8099.7</v>
      </c>
    </row>
    <row r="1681" s="1" customFormat="1" ht="16.35" hidden="1" customHeight="1" spans="1:15">
      <c r="A1681" s="5"/>
      <c r="B1681" s="6"/>
      <c r="C1681" s="6" t="s">
        <v>4123</v>
      </c>
      <c r="D1681" s="6" t="s">
        <v>4253</v>
      </c>
      <c r="E1681" s="7">
        <v>14</v>
      </c>
      <c r="F1681" s="6" t="s">
        <v>4269</v>
      </c>
      <c r="G1681" s="6"/>
      <c r="H1681" s="6"/>
      <c r="I1681" s="8">
        <v>205326</v>
      </c>
      <c r="J1681" s="8"/>
      <c r="K1681" s="6"/>
      <c r="L1681" s="6" t="s">
        <v>1541</v>
      </c>
      <c r="N1681" s="6" t="s">
        <v>1541</v>
      </c>
      <c r="O1681" s="29">
        <v>0</v>
      </c>
    </row>
    <row r="1682" s="1" customFormat="1" ht="16.35" hidden="1" customHeight="1" spans="1:15">
      <c r="A1682" s="5"/>
      <c r="B1682" s="6"/>
      <c r="C1682" s="6" t="s">
        <v>4123</v>
      </c>
      <c r="D1682" s="6" t="s">
        <v>4253</v>
      </c>
      <c r="E1682" s="7">
        <v>14</v>
      </c>
      <c r="F1682" s="6" t="s">
        <v>4270</v>
      </c>
      <c r="G1682" s="6"/>
      <c r="H1682" s="6"/>
      <c r="I1682" s="8">
        <v>195048</v>
      </c>
      <c r="J1682" s="8"/>
      <c r="K1682" s="6"/>
      <c r="L1682" s="6" t="s">
        <v>1141</v>
      </c>
      <c r="N1682" s="6" t="s">
        <v>1141</v>
      </c>
      <c r="O1682" s="29">
        <v>0</v>
      </c>
    </row>
    <row r="1683" s="1" customFormat="1" ht="16.35" hidden="1" customHeight="1" spans="1:15">
      <c r="A1683" s="5"/>
      <c r="B1683" s="6"/>
      <c r="C1683" s="6" t="s">
        <v>4271</v>
      </c>
      <c r="D1683" s="6" t="s">
        <v>4124</v>
      </c>
      <c r="E1683" s="7">
        <v>6</v>
      </c>
      <c r="F1683" s="6" t="s">
        <v>4272</v>
      </c>
      <c r="G1683" s="6"/>
      <c r="H1683" s="6"/>
      <c r="I1683" s="8"/>
      <c r="J1683" s="8">
        <v>44952.38</v>
      </c>
      <c r="K1683" s="6"/>
      <c r="L1683" s="6" t="s">
        <v>1489</v>
      </c>
      <c r="N1683" s="6" t="s">
        <v>1489</v>
      </c>
      <c r="O1683" s="29">
        <v>47199.999</v>
      </c>
    </row>
    <row r="1684" s="1" customFormat="1" ht="16.35" hidden="1" customHeight="1" spans="1:15">
      <c r="A1684" s="5"/>
      <c r="B1684" s="6"/>
      <c r="C1684" s="6" t="s">
        <v>4271</v>
      </c>
      <c r="D1684" s="6" t="s">
        <v>4124</v>
      </c>
      <c r="E1684" s="7">
        <v>1</v>
      </c>
      <c r="F1684" s="6" t="s">
        <v>4273</v>
      </c>
      <c r="G1684" s="6"/>
      <c r="H1684" s="6"/>
      <c r="I1684" s="8"/>
      <c r="J1684" s="8">
        <v>14285.71</v>
      </c>
      <c r="K1684" s="6"/>
      <c r="L1684" s="6" t="s">
        <v>1489</v>
      </c>
      <c r="N1684" s="6" t="s">
        <v>1489</v>
      </c>
      <c r="O1684" s="29">
        <v>14999.9955</v>
      </c>
    </row>
    <row r="1685" s="1" customFormat="1" ht="16.35" hidden="1" customHeight="1" spans="1:15">
      <c r="A1685" s="5"/>
      <c r="B1685" s="6"/>
      <c r="C1685" s="6" t="s">
        <v>4271</v>
      </c>
      <c r="D1685" s="6" t="s">
        <v>4124</v>
      </c>
      <c r="E1685" s="7">
        <v>2</v>
      </c>
      <c r="F1685" s="6" t="s">
        <v>4274</v>
      </c>
      <c r="G1685" s="6"/>
      <c r="H1685" s="6"/>
      <c r="I1685" s="8"/>
      <c r="J1685" s="8">
        <v>159333.33</v>
      </c>
      <c r="K1685" s="6"/>
      <c r="L1685" s="6" t="s">
        <v>1229</v>
      </c>
      <c r="N1685" s="6" t="s">
        <v>1229</v>
      </c>
      <c r="O1685" s="29">
        <v>167299.9965</v>
      </c>
    </row>
    <row r="1686" s="1" customFormat="1" ht="16.35" hidden="1" customHeight="1" spans="1:15">
      <c r="A1686" s="5"/>
      <c r="B1686" s="6"/>
      <c r="C1686" s="6" t="s">
        <v>4271</v>
      </c>
      <c r="D1686" s="6" t="s">
        <v>4124</v>
      </c>
      <c r="E1686" s="7">
        <v>4</v>
      </c>
      <c r="F1686" s="6" t="s">
        <v>4275</v>
      </c>
      <c r="G1686" s="6"/>
      <c r="H1686" s="6"/>
      <c r="I1686" s="8"/>
      <c r="J1686" s="8">
        <v>133333.33</v>
      </c>
      <c r="K1686" s="6"/>
      <c r="L1686" s="6" t="s">
        <v>4276</v>
      </c>
      <c r="N1686" s="6" t="s">
        <v>4276</v>
      </c>
      <c r="O1686" s="29">
        <v>139999.9965</v>
      </c>
    </row>
    <row r="1687" s="1" customFormat="1" ht="16.35" hidden="1" customHeight="1" spans="1:16">
      <c r="A1687" s="5"/>
      <c r="B1687" s="6"/>
      <c r="C1687" s="6" t="s">
        <v>4271</v>
      </c>
      <c r="D1687" s="6" t="s">
        <v>4124</v>
      </c>
      <c r="E1687" s="7">
        <v>3</v>
      </c>
      <c r="F1687" s="6" t="s">
        <v>4277</v>
      </c>
      <c r="G1687" s="6"/>
      <c r="H1687" s="6"/>
      <c r="I1687" s="8"/>
      <c r="J1687" s="8">
        <v>39047.62</v>
      </c>
      <c r="K1687" s="6"/>
      <c r="L1687" s="6" t="s">
        <v>1096</v>
      </c>
      <c r="N1687" s="6" t="s">
        <v>1096</v>
      </c>
      <c r="O1687" s="29">
        <v>41000.001</v>
      </c>
      <c r="P1687" s="1">
        <f>O1687-J1687</f>
        <v>1952.38099999999</v>
      </c>
    </row>
    <row r="1688" s="1" customFormat="1" ht="16.35" hidden="1" customHeight="1" spans="1:16">
      <c r="A1688" s="5"/>
      <c r="B1688" s="6"/>
      <c r="C1688" s="6" t="s">
        <v>4271</v>
      </c>
      <c r="D1688" s="6" t="s">
        <v>4124</v>
      </c>
      <c r="E1688" s="7">
        <v>5</v>
      </c>
      <c r="F1688" s="6" t="s">
        <v>4005</v>
      </c>
      <c r="G1688" s="6"/>
      <c r="H1688" s="6"/>
      <c r="I1688" s="8"/>
      <c r="J1688" s="8">
        <v>9523.81</v>
      </c>
      <c r="K1688" s="6"/>
      <c r="L1688" s="6" t="s">
        <v>1254</v>
      </c>
      <c r="N1688" s="6" t="s">
        <v>1254</v>
      </c>
      <c r="O1688" s="29">
        <v>10000.0005</v>
      </c>
      <c r="P1688" s="1">
        <f>O1688-J1688</f>
        <v>476.190500000001</v>
      </c>
    </row>
    <row r="1689" s="1" customFormat="1" ht="16.35" hidden="1" customHeight="1" spans="1:15">
      <c r="A1689" s="5"/>
      <c r="B1689" s="6"/>
      <c r="C1689" s="6" t="s">
        <v>4271</v>
      </c>
      <c r="D1689" s="6" t="s">
        <v>4124</v>
      </c>
      <c r="E1689" s="7">
        <v>7</v>
      </c>
      <c r="F1689" s="6" t="s">
        <v>4278</v>
      </c>
      <c r="G1689" s="6"/>
      <c r="H1689" s="6"/>
      <c r="I1689" s="8"/>
      <c r="J1689" s="8">
        <v>200000</v>
      </c>
      <c r="K1689" s="6"/>
      <c r="L1689" s="6" t="s">
        <v>1641</v>
      </c>
      <c r="N1689" s="6" t="s">
        <v>1641</v>
      </c>
      <c r="O1689" s="29">
        <v>210000</v>
      </c>
    </row>
    <row r="1690" s="1" customFormat="1" ht="16.35" hidden="1" customHeight="1" spans="1:16">
      <c r="A1690" s="5"/>
      <c r="B1690" s="6"/>
      <c r="C1690" s="6" t="s">
        <v>4271</v>
      </c>
      <c r="D1690" s="6" t="s">
        <v>4279</v>
      </c>
      <c r="E1690" s="7">
        <v>4</v>
      </c>
      <c r="F1690" s="6" t="s">
        <v>4280</v>
      </c>
      <c r="G1690" s="6"/>
      <c r="H1690" s="6"/>
      <c r="I1690" s="8"/>
      <c r="J1690" s="8">
        <v>123809.52</v>
      </c>
      <c r="K1690" s="6"/>
      <c r="L1690" s="6" t="s">
        <v>1655</v>
      </c>
      <c r="N1690" s="6" t="s">
        <v>1655</v>
      </c>
      <c r="O1690" s="29">
        <v>129999.996</v>
      </c>
      <c r="P1690" s="30">
        <f>O1690-J1690</f>
        <v>6190.476</v>
      </c>
    </row>
    <row r="1691" s="1" customFormat="1" ht="16.35" hidden="1" customHeight="1" spans="1:15">
      <c r="A1691" s="5"/>
      <c r="B1691" s="6"/>
      <c r="C1691" s="6" t="s">
        <v>4271</v>
      </c>
      <c r="D1691" s="6" t="s">
        <v>4279</v>
      </c>
      <c r="E1691" s="7">
        <v>5</v>
      </c>
      <c r="F1691" s="6" t="s">
        <v>4281</v>
      </c>
      <c r="G1691" s="6"/>
      <c r="H1691" s="6"/>
      <c r="I1691" s="8"/>
      <c r="J1691" s="8">
        <v>142857.14</v>
      </c>
      <c r="K1691" s="6"/>
      <c r="L1691" s="6" t="s">
        <v>1489</v>
      </c>
      <c r="N1691" s="6" t="s">
        <v>1489</v>
      </c>
      <c r="O1691" s="29">
        <v>149999.997</v>
      </c>
    </row>
    <row r="1692" s="1" customFormat="1" ht="16.35" hidden="1" customHeight="1" spans="1:17">
      <c r="A1692" s="5"/>
      <c r="B1692" s="6"/>
      <c r="C1692" s="6" t="s">
        <v>4271</v>
      </c>
      <c r="D1692" s="6" t="s">
        <v>4279</v>
      </c>
      <c r="E1692" s="7">
        <v>1</v>
      </c>
      <c r="F1692" s="6" t="s">
        <v>4282</v>
      </c>
      <c r="G1692" s="6"/>
      <c r="H1692" s="6"/>
      <c r="I1692" s="8"/>
      <c r="J1692" s="8">
        <v>44714.29</v>
      </c>
      <c r="K1692" s="6"/>
      <c r="L1692" s="6" t="s">
        <v>1497</v>
      </c>
      <c r="N1692" s="6" t="s">
        <v>1497</v>
      </c>
      <c r="O1692" s="29">
        <v>46950.0045</v>
      </c>
      <c r="Q1692" s="1">
        <f>O1692-J1692</f>
        <v>2235.7145</v>
      </c>
    </row>
    <row r="1693" s="1" customFormat="1" ht="16.35" hidden="1" customHeight="1" spans="1:16">
      <c r="A1693" s="5"/>
      <c r="B1693" s="6"/>
      <c r="C1693" s="6" t="s">
        <v>4271</v>
      </c>
      <c r="D1693" s="6" t="s">
        <v>4279</v>
      </c>
      <c r="E1693" s="7">
        <v>3</v>
      </c>
      <c r="F1693" s="6" t="s">
        <v>4283</v>
      </c>
      <c r="G1693" s="6"/>
      <c r="H1693" s="6"/>
      <c r="I1693" s="8"/>
      <c r="J1693" s="8">
        <v>952.38</v>
      </c>
      <c r="K1693" s="6"/>
      <c r="L1693" s="6" t="s">
        <v>1143</v>
      </c>
      <c r="N1693" s="6" t="s">
        <v>1143</v>
      </c>
      <c r="O1693" s="29">
        <v>999.999</v>
      </c>
      <c r="P1693" s="1">
        <f>O1693-J1693</f>
        <v>47.619</v>
      </c>
    </row>
    <row r="1694" s="1" customFormat="1" ht="16.35" hidden="1" customHeight="1" spans="1:15">
      <c r="A1694" s="5"/>
      <c r="B1694" s="6"/>
      <c r="C1694" s="6" t="s">
        <v>4271</v>
      </c>
      <c r="D1694" s="6" t="s">
        <v>4279</v>
      </c>
      <c r="E1694" s="7">
        <v>2</v>
      </c>
      <c r="F1694" s="6" t="s">
        <v>4284</v>
      </c>
      <c r="G1694" s="6"/>
      <c r="H1694" s="6"/>
      <c r="I1694" s="8"/>
      <c r="J1694" s="8">
        <v>142342.86</v>
      </c>
      <c r="K1694" s="6"/>
      <c r="L1694" s="6" t="s">
        <v>4285</v>
      </c>
      <c r="N1694" s="6" t="s">
        <v>4285</v>
      </c>
      <c r="O1694" s="29">
        <v>149460.003</v>
      </c>
    </row>
    <row r="1695" s="1" customFormat="1" ht="16.35" hidden="1" customHeight="1" spans="1:16">
      <c r="A1695" s="5"/>
      <c r="B1695" s="6"/>
      <c r="C1695" s="6" t="s">
        <v>4271</v>
      </c>
      <c r="D1695" s="6" t="s">
        <v>4279</v>
      </c>
      <c r="E1695" s="7">
        <v>6</v>
      </c>
      <c r="F1695" s="6" t="s">
        <v>4286</v>
      </c>
      <c r="G1695" s="6"/>
      <c r="H1695" s="6"/>
      <c r="I1695" s="8"/>
      <c r="J1695" s="8">
        <v>95517.14</v>
      </c>
      <c r="K1695" s="6"/>
      <c r="L1695" s="6" t="s">
        <v>1367</v>
      </c>
      <c r="N1695" s="6" t="s">
        <v>1367</v>
      </c>
      <c r="O1695" s="29">
        <v>100292.997</v>
      </c>
      <c r="P1695" s="1">
        <f>O1695-J1695</f>
        <v>4775.857</v>
      </c>
    </row>
    <row r="1696" s="1" customFormat="1" ht="16.35" hidden="1" customHeight="1" spans="1:16">
      <c r="A1696" s="5"/>
      <c r="B1696" s="6"/>
      <c r="C1696" s="6" t="s">
        <v>4271</v>
      </c>
      <c r="D1696" s="6" t="s">
        <v>4130</v>
      </c>
      <c r="E1696" s="7">
        <v>2</v>
      </c>
      <c r="F1696" s="6" t="s">
        <v>4287</v>
      </c>
      <c r="G1696" s="6"/>
      <c r="H1696" s="6"/>
      <c r="I1696" s="8"/>
      <c r="J1696" s="8">
        <v>19047.62</v>
      </c>
      <c r="K1696" s="6"/>
      <c r="L1696" s="6" t="s">
        <v>1244</v>
      </c>
      <c r="N1696" s="6" t="s">
        <v>1244</v>
      </c>
      <c r="O1696" s="29">
        <v>20000.001</v>
      </c>
      <c r="P1696" s="1">
        <f>O1696-J1696</f>
        <v>952.381000000001</v>
      </c>
    </row>
    <row r="1697" s="1" customFormat="1" ht="16.35" hidden="1" customHeight="1" spans="1:15">
      <c r="A1697" s="5"/>
      <c r="B1697" s="6"/>
      <c r="C1697" s="6" t="s">
        <v>4271</v>
      </c>
      <c r="D1697" s="6" t="s">
        <v>4130</v>
      </c>
      <c r="E1697" s="7">
        <v>18</v>
      </c>
      <c r="F1697" s="6" t="s">
        <v>4288</v>
      </c>
      <c r="G1697" s="6"/>
      <c r="H1697" s="6"/>
      <c r="I1697" s="8">
        <v>19047.62</v>
      </c>
      <c r="J1697" s="8"/>
      <c r="K1697" s="6"/>
      <c r="L1697" s="6" t="s">
        <v>1244</v>
      </c>
      <c r="N1697" s="6" t="s">
        <v>1244</v>
      </c>
      <c r="O1697" s="29">
        <v>0</v>
      </c>
    </row>
    <row r="1698" s="1" customFormat="1" ht="16.35" hidden="1" customHeight="1" spans="1:15">
      <c r="A1698" s="5"/>
      <c r="B1698" s="6"/>
      <c r="C1698" s="6" t="s">
        <v>4271</v>
      </c>
      <c r="D1698" s="6" t="s">
        <v>4130</v>
      </c>
      <c r="E1698" s="7">
        <v>18</v>
      </c>
      <c r="F1698" s="6" t="s">
        <v>4289</v>
      </c>
      <c r="G1698" s="6"/>
      <c r="H1698" s="6"/>
      <c r="I1698" s="8">
        <v>4761.81</v>
      </c>
      <c r="J1698" s="8"/>
      <c r="K1698" s="6"/>
      <c r="L1698" s="6" t="s">
        <v>1581</v>
      </c>
      <c r="N1698" s="6" t="s">
        <v>1581</v>
      </c>
      <c r="O1698" s="29">
        <v>0</v>
      </c>
    </row>
    <row r="1699" s="1" customFormat="1" ht="16.35" hidden="1" customHeight="1" spans="1:15">
      <c r="A1699" s="5"/>
      <c r="B1699" s="6"/>
      <c r="C1699" s="6" t="s">
        <v>4271</v>
      </c>
      <c r="D1699" s="6" t="s">
        <v>4130</v>
      </c>
      <c r="E1699" s="7">
        <v>18</v>
      </c>
      <c r="F1699" s="6" t="s">
        <v>4290</v>
      </c>
      <c r="G1699" s="6"/>
      <c r="H1699" s="6"/>
      <c r="I1699" s="8">
        <v>123809.52</v>
      </c>
      <c r="J1699" s="8"/>
      <c r="K1699" s="6"/>
      <c r="L1699" s="6" t="s">
        <v>1655</v>
      </c>
      <c r="N1699" s="6" t="s">
        <v>1655</v>
      </c>
      <c r="O1699" s="29">
        <v>0</v>
      </c>
    </row>
    <row r="1700" s="1" customFormat="1" ht="16.35" hidden="1" customHeight="1" spans="1:15">
      <c r="A1700" s="5"/>
      <c r="B1700" s="6"/>
      <c r="C1700" s="6" t="s">
        <v>4271</v>
      </c>
      <c r="D1700" s="6" t="s">
        <v>4130</v>
      </c>
      <c r="E1700" s="7">
        <v>18</v>
      </c>
      <c r="F1700" s="6" t="s">
        <v>4291</v>
      </c>
      <c r="G1700" s="6"/>
      <c r="H1700" s="6"/>
      <c r="I1700" s="8">
        <v>231177.14</v>
      </c>
      <c r="J1700" s="8"/>
      <c r="K1700" s="6"/>
      <c r="L1700" s="6" t="s">
        <v>1655</v>
      </c>
      <c r="N1700" s="6" t="s">
        <v>1655</v>
      </c>
      <c r="O1700" s="29">
        <v>0</v>
      </c>
    </row>
    <row r="1701" s="1" customFormat="1" ht="16.35" hidden="1" customHeight="1" spans="1:15">
      <c r="A1701" s="5"/>
      <c r="B1701" s="6"/>
      <c r="C1701" s="6" t="s">
        <v>4271</v>
      </c>
      <c r="D1701" s="6" t="s">
        <v>4130</v>
      </c>
      <c r="E1701" s="7">
        <v>18</v>
      </c>
      <c r="F1701" s="6" t="s">
        <v>4292</v>
      </c>
      <c r="G1701" s="6"/>
      <c r="H1701" s="6"/>
      <c r="I1701" s="8">
        <v>-123809.14</v>
      </c>
      <c r="J1701" s="8"/>
      <c r="K1701" s="6"/>
      <c r="L1701" s="6" t="s">
        <v>1655</v>
      </c>
      <c r="N1701" s="6" t="s">
        <v>1655</v>
      </c>
      <c r="O1701" s="29">
        <v>0</v>
      </c>
    </row>
    <row r="1702" s="1" customFormat="1" ht="16.35" hidden="1" customHeight="1" spans="1:15">
      <c r="A1702" s="5"/>
      <c r="B1702" s="6"/>
      <c r="C1702" s="6" t="s">
        <v>4271</v>
      </c>
      <c r="D1702" s="6" t="s">
        <v>4130</v>
      </c>
      <c r="E1702" s="7">
        <v>6</v>
      </c>
      <c r="F1702" s="6" t="s">
        <v>4293</v>
      </c>
      <c r="G1702" s="6"/>
      <c r="H1702" s="6"/>
      <c r="I1702" s="8"/>
      <c r="J1702" s="8">
        <v>9523.81</v>
      </c>
      <c r="K1702" s="6"/>
      <c r="L1702" s="6" t="s">
        <v>1007</v>
      </c>
      <c r="N1702" s="6" t="s">
        <v>1007</v>
      </c>
      <c r="O1702" s="29">
        <v>10000.0005</v>
      </c>
    </row>
    <row r="1703" s="1" customFormat="1" ht="16.35" hidden="1" customHeight="1" spans="1:15">
      <c r="A1703" s="5"/>
      <c r="B1703" s="6"/>
      <c r="C1703" s="6" t="s">
        <v>4271</v>
      </c>
      <c r="D1703" s="6" t="s">
        <v>4130</v>
      </c>
      <c r="E1703" s="7">
        <v>18</v>
      </c>
      <c r="F1703" s="6" t="s">
        <v>4294</v>
      </c>
      <c r="G1703" s="6"/>
      <c r="H1703" s="6"/>
      <c r="I1703" s="8">
        <v>1857.14</v>
      </c>
      <c r="J1703" s="8"/>
      <c r="K1703" s="6"/>
      <c r="L1703" s="6" t="s">
        <v>1915</v>
      </c>
      <c r="N1703" s="6" t="s">
        <v>1915</v>
      </c>
      <c r="O1703" s="29">
        <v>0</v>
      </c>
    </row>
    <row r="1704" s="1" customFormat="1" ht="16.35" hidden="1" customHeight="1" spans="1:16">
      <c r="A1704" s="5"/>
      <c r="B1704" s="6"/>
      <c r="C1704" s="6" t="s">
        <v>4271</v>
      </c>
      <c r="D1704" s="6" t="s">
        <v>4130</v>
      </c>
      <c r="E1704" s="7">
        <v>9</v>
      </c>
      <c r="F1704" s="6" t="s">
        <v>4295</v>
      </c>
      <c r="G1704" s="6"/>
      <c r="H1704" s="6"/>
      <c r="I1704" s="8"/>
      <c r="J1704" s="8">
        <v>1857.14</v>
      </c>
      <c r="K1704" s="6"/>
      <c r="L1704" s="6" t="s">
        <v>1915</v>
      </c>
      <c r="N1704" s="6" t="s">
        <v>1915</v>
      </c>
      <c r="O1704" s="45">
        <v>1949.997</v>
      </c>
      <c r="P1704" s="6" t="s">
        <v>1915</v>
      </c>
    </row>
    <row r="1705" s="1" customFormat="1" ht="16.35" hidden="1" customHeight="1" spans="1:16">
      <c r="A1705" s="5"/>
      <c r="B1705" s="6"/>
      <c r="C1705" s="6" t="s">
        <v>4271</v>
      </c>
      <c r="D1705" s="6" t="s">
        <v>4130</v>
      </c>
      <c r="E1705" s="7">
        <v>7</v>
      </c>
      <c r="F1705" s="6" t="s">
        <v>4296</v>
      </c>
      <c r="G1705" s="6"/>
      <c r="H1705" s="6"/>
      <c r="I1705" s="8"/>
      <c r="J1705" s="8">
        <v>47619.05</v>
      </c>
      <c r="K1705" s="6"/>
      <c r="L1705" s="6" t="s">
        <v>1240</v>
      </c>
      <c r="N1705" s="6" t="s">
        <v>1240</v>
      </c>
      <c r="O1705" s="29">
        <v>50000</v>
      </c>
      <c r="P1705" s="1">
        <f>O1705-J1705</f>
        <v>2380.95</v>
      </c>
    </row>
    <row r="1706" s="1" customFormat="1" ht="16.35" hidden="1" customHeight="1" spans="1:15">
      <c r="A1706" s="5"/>
      <c r="B1706" s="6"/>
      <c r="C1706" s="6" t="s">
        <v>4271</v>
      </c>
      <c r="D1706" s="6" t="s">
        <v>4130</v>
      </c>
      <c r="E1706" s="7">
        <v>18</v>
      </c>
      <c r="F1706" s="6" t="s">
        <v>4297</v>
      </c>
      <c r="G1706" s="6"/>
      <c r="H1706" s="6"/>
      <c r="I1706" s="8">
        <v>47619.05</v>
      </c>
      <c r="J1706" s="8"/>
      <c r="K1706" s="6"/>
      <c r="L1706" s="6" t="s">
        <v>1240</v>
      </c>
      <c r="N1706" s="6" t="s">
        <v>1240</v>
      </c>
      <c r="O1706" s="29">
        <v>0</v>
      </c>
    </row>
    <row r="1707" s="1" customFormat="1" ht="16.35" hidden="1" customHeight="1" spans="1:15">
      <c r="A1707" s="5"/>
      <c r="B1707" s="6"/>
      <c r="C1707" s="6" t="s">
        <v>4271</v>
      </c>
      <c r="D1707" s="6" t="s">
        <v>4130</v>
      </c>
      <c r="E1707" s="7">
        <v>18</v>
      </c>
      <c r="F1707" s="6" t="s">
        <v>4298</v>
      </c>
      <c r="G1707" s="6"/>
      <c r="H1707" s="6"/>
      <c r="I1707" s="8">
        <v>220337.14</v>
      </c>
      <c r="J1707" s="8"/>
      <c r="K1707" s="6"/>
      <c r="L1707" s="6" t="s">
        <v>1387</v>
      </c>
      <c r="N1707" s="6" t="s">
        <v>1387</v>
      </c>
      <c r="O1707" s="29">
        <v>0</v>
      </c>
    </row>
    <row r="1708" s="1" customFormat="1" ht="16.35" hidden="1" customHeight="1" spans="1:15">
      <c r="A1708" s="5"/>
      <c r="B1708" s="6"/>
      <c r="C1708" s="6" t="s">
        <v>4271</v>
      </c>
      <c r="D1708" s="6" t="s">
        <v>4130</v>
      </c>
      <c r="E1708" s="7">
        <v>18</v>
      </c>
      <c r="F1708" s="6" t="s">
        <v>4299</v>
      </c>
      <c r="G1708" s="6"/>
      <c r="H1708" s="6"/>
      <c r="I1708" s="8">
        <v>-0.14</v>
      </c>
      <c r="J1708" s="8"/>
      <c r="K1708" s="6"/>
      <c r="L1708" s="6" t="s">
        <v>1387</v>
      </c>
      <c r="N1708" s="6" t="s">
        <v>1387</v>
      </c>
      <c r="O1708" s="29">
        <v>0</v>
      </c>
    </row>
    <row r="1709" s="1" customFormat="1" ht="16.35" hidden="1" customHeight="1" spans="1:15">
      <c r="A1709" s="5"/>
      <c r="B1709" s="6"/>
      <c r="C1709" s="6" t="s">
        <v>4271</v>
      </c>
      <c r="D1709" s="6" t="s">
        <v>4130</v>
      </c>
      <c r="E1709" s="7">
        <v>18</v>
      </c>
      <c r="F1709" s="6" t="s">
        <v>4300</v>
      </c>
      <c r="G1709" s="6"/>
      <c r="H1709" s="6"/>
      <c r="I1709" s="8">
        <v>-531</v>
      </c>
      <c r="J1709" s="8"/>
      <c r="K1709" s="6"/>
      <c r="L1709" s="6" t="s">
        <v>1373</v>
      </c>
      <c r="N1709" s="6" t="s">
        <v>1373</v>
      </c>
      <c r="O1709" s="29">
        <v>0</v>
      </c>
    </row>
    <row r="1710" s="1" customFormat="1" ht="16.35" hidden="1" customHeight="1" spans="1:15">
      <c r="A1710" s="5"/>
      <c r="B1710" s="6"/>
      <c r="C1710" s="6" t="s">
        <v>4271</v>
      </c>
      <c r="D1710" s="6" t="s">
        <v>4130</v>
      </c>
      <c r="E1710" s="7">
        <v>18</v>
      </c>
      <c r="F1710" s="6" t="s">
        <v>4301</v>
      </c>
      <c r="G1710" s="6"/>
      <c r="H1710" s="6"/>
      <c r="I1710" s="8">
        <v>44952.38</v>
      </c>
      <c r="J1710" s="8"/>
      <c r="K1710" s="6"/>
      <c r="L1710" s="6" t="s">
        <v>1489</v>
      </c>
      <c r="N1710" s="6" t="s">
        <v>1489</v>
      </c>
      <c r="O1710" s="29">
        <v>0</v>
      </c>
    </row>
    <row r="1711" s="1" customFormat="1" ht="16.35" hidden="1" customHeight="1" spans="1:15">
      <c r="A1711" s="5"/>
      <c r="B1711" s="6"/>
      <c r="C1711" s="6" t="s">
        <v>4271</v>
      </c>
      <c r="D1711" s="6" t="s">
        <v>4130</v>
      </c>
      <c r="E1711" s="7">
        <v>18</v>
      </c>
      <c r="F1711" s="6" t="s">
        <v>4301</v>
      </c>
      <c r="G1711" s="6"/>
      <c r="H1711" s="6"/>
      <c r="I1711" s="8">
        <v>142857.14</v>
      </c>
      <c r="J1711" s="8"/>
      <c r="K1711" s="6"/>
      <c r="L1711" s="6" t="s">
        <v>1489</v>
      </c>
      <c r="N1711" s="6" t="s">
        <v>1489</v>
      </c>
      <c r="O1711" s="29">
        <v>0</v>
      </c>
    </row>
    <row r="1712" s="1" customFormat="1" ht="16.35" hidden="1" customHeight="1" spans="1:15">
      <c r="A1712" s="5"/>
      <c r="B1712" s="6"/>
      <c r="C1712" s="6" t="s">
        <v>4271</v>
      </c>
      <c r="D1712" s="6" t="s">
        <v>4130</v>
      </c>
      <c r="E1712" s="7">
        <v>18</v>
      </c>
      <c r="F1712" s="6" t="s">
        <v>4301</v>
      </c>
      <c r="G1712" s="6"/>
      <c r="H1712" s="6"/>
      <c r="I1712" s="8">
        <v>14285.71</v>
      </c>
      <c r="J1712" s="8"/>
      <c r="K1712" s="6"/>
      <c r="L1712" s="6" t="s">
        <v>1489</v>
      </c>
      <c r="N1712" s="6" t="s">
        <v>1489</v>
      </c>
      <c r="O1712" s="29">
        <v>0</v>
      </c>
    </row>
    <row r="1713" s="1" customFormat="1" ht="16.35" hidden="1" customHeight="1" spans="1:15">
      <c r="A1713" s="5"/>
      <c r="B1713" s="6"/>
      <c r="C1713" s="6" t="s">
        <v>4271</v>
      </c>
      <c r="D1713" s="6" t="s">
        <v>4130</v>
      </c>
      <c r="E1713" s="7">
        <v>18</v>
      </c>
      <c r="F1713" s="6" t="s">
        <v>4302</v>
      </c>
      <c r="G1713" s="6"/>
      <c r="H1713" s="6"/>
      <c r="I1713" s="8">
        <v>206857.14</v>
      </c>
      <c r="J1713" s="8"/>
      <c r="K1713" s="6"/>
      <c r="L1713" s="6" t="s">
        <v>1489</v>
      </c>
      <c r="N1713" s="6" t="s">
        <v>1489</v>
      </c>
      <c r="O1713" s="29">
        <v>0</v>
      </c>
    </row>
    <row r="1714" s="1" customFormat="1" ht="16.35" hidden="1" customHeight="1" spans="1:15">
      <c r="A1714" s="5"/>
      <c r="B1714" s="6"/>
      <c r="C1714" s="6" t="s">
        <v>4271</v>
      </c>
      <c r="D1714" s="6" t="s">
        <v>4130</v>
      </c>
      <c r="E1714" s="7">
        <v>18</v>
      </c>
      <c r="F1714" s="6" t="s">
        <v>4303</v>
      </c>
      <c r="G1714" s="6"/>
      <c r="H1714" s="6"/>
      <c r="I1714" s="8">
        <v>-202095.14</v>
      </c>
      <c r="J1714" s="8"/>
      <c r="K1714" s="6"/>
      <c r="L1714" s="6" t="s">
        <v>1489</v>
      </c>
      <c r="N1714" s="6" t="s">
        <v>1489</v>
      </c>
      <c r="O1714" s="29">
        <v>0</v>
      </c>
    </row>
    <row r="1715" s="1" customFormat="1" ht="16.35" hidden="1" customHeight="1" spans="1:17">
      <c r="A1715" s="5"/>
      <c r="B1715" s="6"/>
      <c r="C1715" s="6" t="s">
        <v>4271</v>
      </c>
      <c r="D1715" s="6" t="s">
        <v>4130</v>
      </c>
      <c r="E1715" s="7">
        <v>18</v>
      </c>
      <c r="F1715" s="6" t="s">
        <v>4304</v>
      </c>
      <c r="G1715" s="6"/>
      <c r="H1715" s="6"/>
      <c r="I1715" s="8">
        <v>44714.29</v>
      </c>
      <c r="J1715" s="8"/>
      <c r="K1715" s="6"/>
      <c r="L1715" s="6" t="s">
        <v>1497</v>
      </c>
      <c r="N1715" s="6" t="s">
        <v>1497</v>
      </c>
      <c r="O1715" s="29">
        <v>0</v>
      </c>
      <c r="Q1715" s="1">
        <f>O1715-J1715</f>
        <v>0</v>
      </c>
    </row>
    <row r="1716" s="1" customFormat="1" ht="16.35" hidden="1" customHeight="1" spans="1:15">
      <c r="A1716" s="5"/>
      <c r="B1716" s="6"/>
      <c r="C1716" s="6" t="s">
        <v>4271</v>
      </c>
      <c r="D1716" s="6" t="s">
        <v>4130</v>
      </c>
      <c r="E1716" s="7">
        <v>18</v>
      </c>
      <c r="F1716" s="6" t="s">
        <v>4305</v>
      </c>
      <c r="G1716" s="6"/>
      <c r="H1716" s="6"/>
      <c r="I1716" s="8">
        <v>246681.9</v>
      </c>
      <c r="J1716" s="8"/>
      <c r="K1716" s="6"/>
      <c r="L1716" s="6" t="s">
        <v>1692</v>
      </c>
      <c r="N1716" s="6" t="s">
        <v>1692</v>
      </c>
      <c r="O1716" s="29">
        <v>0</v>
      </c>
    </row>
    <row r="1717" s="1" customFormat="1" ht="16.35" hidden="1" customHeight="1" spans="1:15">
      <c r="A1717" s="5"/>
      <c r="B1717" s="6"/>
      <c r="C1717" s="6" t="s">
        <v>4271</v>
      </c>
      <c r="D1717" s="6" t="s">
        <v>4130</v>
      </c>
      <c r="E1717" s="7">
        <v>18</v>
      </c>
      <c r="F1717" s="6" t="s">
        <v>4306</v>
      </c>
      <c r="G1717" s="6"/>
      <c r="H1717" s="6"/>
      <c r="I1717" s="8">
        <v>-246681.9</v>
      </c>
      <c r="J1717" s="8"/>
      <c r="K1717" s="6"/>
      <c r="L1717" s="6" t="s">
        <v>1692</v>
      </c>
      <c r="N1717" s="6" t="s">
        <v>1692</v>
      </c>
      <c r="O1717" s="29">
        <v>0</v>
      </c>
    </row>
    <row r="1718" s="1" customFormat="1" ht="16.35" hidden="1" customHeight="1" spans="1:15">
      <c r="A1718" s="5"/>
      <c r="B1718" s="6"/>
      <c r="C1718" s="6" t="s">
        <v>4271</v>
      </c>
      <c r="D1718" s="6" t="s">
        <v>4130</v>
      </c>
      <c r="E1718" s="7">
        <v>18</v>
      </c>
      <c r="F1718" s="6" t="s">
        <v>4307</v>
      </c>
      <c r="G1718" s="6"/>
      <c r="H1718" s="6"/>
      <c r="I1718" s="8">
        <v>248378.1</v>
      </c>
      <c r="J1718" s="8"/>
      <c r="K1718" s="6"/>
      <c r="L1718" s="6" t="s">
        <v>1690</v>
      </c>
      <c r="N1718" s="6" t="s">
        <v>1690</v>
      </c>
      <c r="O1718" s="29">
        <v>0</v>
      </c>
    </row>
    <row r="1719" s="1" customFormat="1" ht="16.35" hidden="1" customHeight="1" spans="1:15">
      <c r="A1719" s="5"/>
      <c r="B1719" s="6"/>
      <c r="C1719" s="6" t="s">
        <v>4271</v>
      </c>
      <c r="D1719" s="6" t="s">
        <v>4130</v>
      </c>
      <c r="E1719" s="7">
        <v>18</v>
      </c>
      <c r="F1719" s="6" t="s">
        <v>4308</v>
      </c>
      <c r="G1719" s="6"/>
      <c r="H1719" s="6"/>
      <c r="I1719" s="8">
        <v>-248378.1</v>
      </c>
      <c r="J1719" s="8"/>
      <c r="K1719" s="6"/>
      <c r="L1719" s="6" t="s">
        <v>1690</v>
      </c>
      <c r="N1719" s="6" t="s">
        <v>1690</v>
      </c>
      <c r="O1719" s="29">
        <v>0</v>
      </c>
    </row>
    <row r="1720" s="1" customFormat="1" ht="16.35" hidden="1" customHeight="1" spans="1:16">
      <c r="A1720" s="5"/>
      <c r="B1720" s="6"/>
      <c r="C1720" s="6" t="s">
        <v>4271</v>
      </c>
      <c r="D1720" s="6" t="s">
        <v>4130</v>
      </c>
      <c r="E1720" s="7">
        <v>18</v>
      </c>
      <c r="F1720" s="6" t="s">
        <v>4309</v>
      </c>
      <c r="G1720" s="6"/>
      <c r="H1720" s="6"/>
      <c r="I1720" s="8">
        <v>952.38</v>
      </c>
      <c r="J1720" s="8"/>
      <c r="K1720" s="6"/>
      <c r="L1720" s="6" t="s">
        <v>1143</v>
      </c>
      <c r="N1720" s="6" t="s">
        <v>1143</v>
      </c>
      <c r="O1720" s="29">
        <v>0</v>
      </c>
      <c r="P1720" s="1">
        <f>O1720-J1720</f>
        <v>0</v>
      </c>
    </row>
    <row r="1721" s="1" customFormat="1" ht="16.35" hidden="1" customHeight="1" spans="1:15">
      <c r="A1721" s="5"/>
      <c r="B1721" s="6"/>
      <c r="C1721" s="6" t="s">
        <v>4271</v>
      </c>
      <c r="D1721" s="6" t="s">
        <v>4130</v>
      </c>
      <c r="E1721" s="7">
        <v>18</v>
      </c>
      <c r="F1721" s="6" t="s">
        <v>4310</v>
      </c>
      <c r="G1721" s="6"/>
      <c r="H1721" s="6"/>
      <c r="I1721" s="8">
        <v>159333.33</v>
      </c>
      <c r="J1721" s="8"/>
      <c r="K1721" s="6"/>
      <c r="L1721" s="6" t="s">
        <v>1229</v>
      </c>
      <c r="N1721" s="6" t="s">
        <v>1229</v>
      </c>
      <c r="O1721" s="29">
        <v>0</v>
      </c>
    </row>
    <row r="1722" s="1" customFormat="1" ht="16.35" hidden="1" customHeight="1" spans="1:15">
      <c r="A1722" s="5"/>
      <c r="B1722" s="6"/>
      <c r="C1722" s="6" t="s">
        <v>4271</v>
      </c>
      <c r="D1722" s="6" t="s">
        <v>4130</v>
      </c>
      <c r="E1722" s="7">
        <v>18</v>
      </c>
      <c r="F1722" s="6" t="s">
        <v>4311</v>
      </c>
      <c r="G1722" s="6"/>
      <c r="H1722" s="6"/>
      <c r="I1722" s="8">
        <v>133333.33</v>
      </c>
      <c r="J1722" s="8"/>
      <c r="K1722" s="6"/>
      <c r="L1722" s="6" t="s">
        <v>4276</v>
      </c>
      <c r="N1722" s="6" t="s">
        <v>4276</v>
      </c>
      <c r="O1722" s="29">
        <v>0</v>
      </c>
    </row>
    <row r="1723" s="1" customFormat="1" ht="16.35" hidden="1" customHeight="1" spans="1:15">
      <c r="A1723" s="5"/>
      <c r="B1723" s="6"/>
      <c r="C1723" s="6" t="s">
        <v>4271</v>
      </c>
      <c r="D1723" s="6" t="s">
        <v>4130</v>
      </c>
      <c r="E1723" s="7">
        <v>18</v>
      </c>
      <c r="F1723" s="6" t="s">
        <v>4311</v>
      </c>
      <c r="G1723" s="6"/>
      <c r="H1723" s="6"/>
      <c r="I1723" s="8">
        <v>84095.24</v>
      </c>
      <c r="J1723" s="8"/>
      <c r="K1723" s="6"/>
      <c r="L1723" s="6" t="s">
        <v>4276</v>
      </c>
      <c r="N1723" s="6" t="s">
        <v>4276</v>
      </c>
      <c r="O1723" s="29">
        <v>0</v>
      </c>
    </row>
    <row r="1724" s="1" customFormat="1" ht="16.35" hidden="1" customHeight="1" spans="1:15">
      <c r="A1724" s="5"/>
      <c r="B1724" s="6"/>
      <c r="C1724" s="6" t="s">
        <v>4271</v>
      </c>
      <c r="D1724" s="6" t="s">
        <v>4130</v>
      </c>
      <c r="E1724" s="7">
        <v>4</v>
      </c>
      <c r="F1724" s="6" t="s">
        <v>4312</v>
      </c>
      <c r="G1724" s="6"/>
      <c r="H1724" s="6"/>
      <c r="I1724" s="8"/>
      <c r="J1724" s="8">
        <v>84095.24</v>
      </c>
      <c r="K1724" s="6"/>
      <c r="L1724" s="6" t="s">
        <v>4276</v>
      </c>
      <c r="N1724" s="6" t="s">
        <v>4276</v>
      </c>
      <c r="O1724" s="29">
        <v>88300.002</v>
      </c>
    </row>
    <row r="1725" s="1" customFormat="1" ht="16.35" hidden="1" customHeight="1" spans="1:15">
      <c r="A1725" s="5"/>
      <c r="B1725" s="6"/>
      <c r="C1725" s="6" t="s">
        <v>4271</v>
      </c>
      <c r="D1725" s="6" t="s">
        <v>4130</v>
      </c>
      <c r="E1725" s="7">
        <v>18</v>
      </c>
      <c r="F1725" s="6" t="s">
        <v>4313</v>
      </c>
      <c r="G1725" s="6"/>
      <c r="H1725" s="6"/>
      <c r="I1725" s="8">
        <v>295881.9</v>
      </c>
      <c r="J1725" s="8"/>
      <c r="K1725" s="6"/>
      <c r="L1725" s="6" t="s">
        <v>1427</v>
      </c>
      <c r="N1725" s="6" t="s">
        <v>1427</v>
      </c>
      <c r="O1725" s="29">
        <v>0</v>
      </c>
    </row>
    <row r="1726" s="1" customFormat="1" ht="16.35" hidden="1" customHeight="1" spans="1:15">
      <c r="A1726" s="5"/>
      <c r="B1726" s="6"/>
      <c r="C1726" s="6" t="s">
        <v>4271</v>
      </c>
      <c r="D1726" s="6" t="s">
        <v>4130</v>
      </c>
      <c r="E1726" s="7">
        <v>18</v>
      </c>
      <c r="F1726" s="6" t="s">
        <v>4314</v>
      </c>
      <c r="G1726" s="6"/>
      <c r="H1726" s="6"/>
      <c r="I1726" s="8">
        <v>220313.33</v>
      </c>
      <c r="J1726" s="8"/>
      <c r="K1726" s="6"/>
      <c r="L1726" s="6" t="s">
        <v>1427</v>
      </c>
      <c r="N1726" s="6" t="s">
        <v>1427</v>
      </c>
      <c r="O1726" s="29">
        <v>0</v>
      </c>
    </row>
    <row r="1727" s="1" customFormat="1" ht="16.35" hidden="1" customHeight="1" spans="1:15">
      <c r="A1727" s="5"/>
      <c r="B1727" s="6"/>
      <c r="C1727" s="6" t="s">
        <v>4271</v>
      </c>
      <c r="D1727" s="6" t="s">
        <v>4130</v>
      </c>
      <c r="E1727" s="7">
        <v>18</v>
      </c>
      <c r="F1727" s="6" t="s">
        <v>4315</v>
      </c>
      <c r="G1727" s="6"/>
      <c r="H1727" s="6"/>
      <c r="I1727" s="8">
        <v>-348738.23</v>
      </c>
      <c r="J1727" s="8"/>
      <c r="K1727" s="6"/>
      <c r="L1727" s="6" t="s">
        <v>1427</v>
      </c>
      <c r="N1727" s="6" t="s">
        <v>1427</v>
      </c>
      <c r="O1727" s="29">
        <v>0</v>
      </c>
    </row>
    <row r="1728" s="1" customFormat="1" ht="16.35" hidden="1" customHeight="1" spans="1:15">
      <c r="A1728" s="5"/>
      <c r="B1728" s="6"/>
      <c r="C1728" s="6" t="s">
        <v>4271</v>
      </c>
      <c r="D1728" s="6" t="s">
        <v>4130</v>
      </c>
      <c r="E1728" s="7">
        <v>18</v>
      </c>
      <c r="F1728" s="6" t="s">
        <v>4316</v>
      </c>
      <c r="G1728" s="6"/>
      <c r="H1728" s="6"/>
      <c r="I1728" s="8">
        <v>178140</v>
      </c>
      <c r="J1728" s="8"/>
      <c r="K1728" s="6"/>
      <c r="L1728" s="6" t="s">
        <v>1686</v>
      </c>
      <c r="N1728" s="6" t="s">
        <v>1686</v>
      </c>
      <c r="O1728" s="29">
        <v>0</v>
      </c>
    </row>
    <row r="1729" s="1" customFormat="1" ht="16.35" hidden="1" customHeight="1" spans="1:15">
      <c r="A1729" s="5"/>
      <c r="B1729" s="6"/>
      <c r="C1729" s="6" t="s">
        <v>4271</v>
      </c>
      <c r="D1729" s="6" t="s">
        <v>4130</v>
      </c>
      <c r="E1729" s="7">
        <v>18</v>
      </c>
      <c r="F1729" s="6" t="s">
        <v>4317</v>
      </c>
      <c r="G1729" s="6"/>
      <c r="H1729" s="6"/>
      <c r="I1729" s="8">
        <v>248378.1</v>
      </c>
      <c r="J1729" s="8"/>
      <c r="K1729" s="6"/>
      <c r="L1729" s="6" t="s">
        <v>1711</v>
      </c>
      <c r="N1729" s="6" t="s">
        <v>1711</v>
      </c>
      <c r="O1729" s="29">
        <v>0</v>
      </c>
    </row>
    <row r="1730" s="1" customFormat="1" ht="16.35" hidden="1" customHeight="1" spans="1:15">
      <c r="A1730" s="5"/>
      <c r="B1730" s="6"/>
      <c r="C1730" s="6" t="s">
        <v>4271</v>
      </c>
      <c r="D1730" s="6" t="s">
        <v>4130</v>
      </c>
      <c r="E1730" s="7">
        <v>18</v>
      </c>
      <c r="F1730" s="6" t="s">
        <v>4318</v>
      </c>
      <c r="G1730" s="6"/>
      <c r="H1730" s="6"/>
      <c r="I1730" s="8">
        <v>-248378.1</v>
      </c>
      <c r="J1730" s="8"/>
      <c r="K1730" s="6"/>
      <c r="L1730" s="6" t="s">
        <v>1711</v>
      </c>
      <c r="N1730" s="6" t="s">
        <v>1711</v>
      </c>
      <c r="O1730" s="29">
        <v>0</v>
      </c>
    </row>
    <row r="1731" s="1" customFormat="1" ht="16.35" hidden="1" customHeight="1" spans="1:15">
      <c r="A1731" s="5"/>
      <c r="B1731" s="6"/>
      <c r="C1731" s="6" t="s">
        <v>4271</v>
      </c>
      <c r="D1731" s="6" t="s">
        <v>4130</v>
      </c>
      <c r="E1731" s="7">
        <v>18</v>
      </c>
      <c r="F1731" s="6" t="s">
        <v>4319</v>
      </c>
      <c r="G1731" s="6"/>
      <c r="H1731" s="6"/>
      <c r="I1731" s="8">
        <v>190864.76</v>
      </c>
      <c r="J1731" s="8"/>
      <c r="K1731" s="6"/>
      <c r="L1731" s="6" t="s">
        <v>1682</v>
      </c>
      <c r="N1731" s="6" t="s">
        <v>1682</v>
      </c>
      <c r="O1731" s="29">
        <v>0</v>
      </c>
    </row>
    <row r="1732" s="1" customFormat="1" ht="16.35" hidden="1" customHeight="1" spans="1:15">
      <c r="A1732" s="5"/>
      <c r="B1732" s="6"/>
      <c r="C1732" s="6" t="s">
        <v>4271</v>
      </c>
      <c r="D1732" s="6" t="s">
        <v>4130</v>
      </c>
      <c r="E1732" s="7">
        <v>18</v>
      </c>
      <c r="F1732" s="6" t="s">
        <v>4320</v>
      </c>
      <c r="G1732" s="6"/>
      <c r="H1732" s="6"/>
      <c r="I1732" s="8">
        <v>-190864.76</v>
      </c>
      <c r="J1732" s="8"/>
      <c r="K1732" s="6"/>
      <c r="L1732" s="6" t="s">
        <v>1682</v>
      </c>
      <c r="N1732" s="6" t="s">
        <v>1682</v>
      </c>
      <c r="O1732" s="29">
        <v>0</v>
      </c>
    </row>
    <row r="1733" s="1" customFormat="1" ht="16.35" hidden="1" customHeight="1" spans="1:15">
      <c r="A1733" s="5"/>
      <c r="B1733" s="6"/>
      <c r="C1733" s="6" t="s">
        <v>4271</v>
      </c>
      <c r="D1733" s="6" t="s">
        <v>4130</v>
      </c>
      <c r="E1733" s="7">
        <v>18</v>
      </c>
      <c r="F1733" s="6" t="s">
        <v>4321</v>
      </c>
      <c r="G1733" s="6"/>
      <c r="H1733" s="6"/>
      <c r="I1733" s="8">
        <v>212750.48</v>
      </c>
      <c r="J1733" s="8"/>
      <c r="K1733" s="6"/>
      <c r="L1733" s="6" t="s">
        <v>1120</v>
      </c>
      <c r="N1733" s="6" t="s">
        <v>1120</v>
      </c>
      <c r="O1733" s="29">
        <v>0</v>
      </c>
    </row>
    <row r="1734" s="1" customFormat="1" ht="16.35" hidden="1" customHeight="1" spans="1:16">
      <c r="A1734" s="5"/>
      <c r="B1734" s="6"/>
      <c r="C1734" s="6" t="s">
        <v>4271</v>
      </c>
      <c r="D1734" s="6" t="s">
        <v>4130</v>
      </c>
      <c r="E1734" s="7">
        <v>18</v>
      </c>
      <c r="F1734" s="6" t="s">
        <v>4322</v>
      </c>
      <c r="G1734" s="6"/>
      <c r="H1734" s="6"/>
      <c r="I1734" s="8">
        <v>39047.62</v>
      </c>
      <c r="J1734" s="8"/>
      <c r="K1734" s="6"/>
      <c r="L1734" s="6" t="s">
        <v>1096</v>
      </c>
      <c r="N1734" s="6" t="s">
        <v>1096</v>
      </c>
      <c r="O1734" s="29">
        <v>0</v>
      </c>
      <c r="P1734" s="1">
        <f>O1734-J1734</f>
        <v>0</v>
      </c>
    </row>
    <row r="1735" s="1" customFormat="1" ht="16.35" hidden="1" customHeight="1" spans="1:15">
      <c r="A1735" s="5"/>
      <c r="B1735" s="6"/>
      <c r="C1735" s="6" t="s">
        <v>4271</v>
      </c>
      <c r="D1735" s="6" t="s">
        <v>4130</v>
      </c>
      <c r="E1735" s="7">
        <v>8</v>
      </c>
      <c r="F1735" s="6" t="s">
        <v>4323</v>
      </c>
      <c r="G1735" s="6"/>
      <c r="H1735" s="6"/>
      <c r="I1735" s="8"/>
      <c r="J1735" s="8">
        <v>1809.52</v>
      </c>
      <c r="K1735" s="6"/>
      <c r="L1735" s="6" t="s">
        <v>1917</v>
      </c>
      <c r="N1735" s="6" t="s">
        <v>1917</v>
      </c>
      <c r="O1735" s="29">
        <v>1899.996</v>
      </c>
    </row>
    <row r="1736" s="1" customFormat="1" ht="16.35" hidden="1" customHeight="1" spans="1:15">
      <c r="A1736" s="5"/>
      <c r="B1736" s="6"/>
      <c r="C1736" s="6" t="s">
        <v>4271</v>
      </c>
      <c r="D1736" s="6" t="s">
        <v>4130</v>
      </c>
      <c r="E1736" s="7">
        <v>18</v>
      </c>
      <c r="F1736" s="6" t="s">
        <v>4324</v>
      </c>
      <c r="G1736" s="6"/>
      <c r="H1736" s="6"/>
      <c r="I1736" s="8">
        <v>1809.52</v>
      </c>
      <c r="J1736" s="8"/>
      <c r="K1736" s="6"/>
      <c r="L1736" s="6" t="s">
        <v>1917</v>
      </c>
      <c r="N1736" s="6" t="s">
        <v>1917</v>
      </c>
      <c r="O1736" s="29">
        <v>0</v>
      </c>
    </row>
    <row r="1737" s="1" customFormat="1" ht="16.35" hidden="1" customHeight="1" spans="1:15">
      <c r="A1737" s="5"/>
      <c r="B1737" s="6"/>
      <c r="C1737" s="6" t="s">
        <v>4271</v>
      </c>
      <c r="D1737" s="6" t="s">
        <v>4130</v>
      </c>
      <c r="E1737" s="7">
        <v>18</v>
      </c>
      <c r="F1737" s="6" t="s">
        <v>4325</v>
      </c>
      <c r="G1737" s="6"/>
      <c r="H1737" s="6"/>
      <c r="I1737" s="8">
        <v>466000</v>
      </c>
      <c r="J1737" s="8"/>
      <c r="K1737" s="6"/>
      <c r="L1737" s="6" t="s">
        <v>1917</v>
      </c>
      <c r="N1737" s="6" t="s">
        <v>1917</v>
      </c>
      <c r="O1737" s="29">
        <v>0</v>
      </c>
    </row>
    <row r="1738" s="1" customFormat="1" ht="16.35" hidden="1" customHeight="1" spans="1:15">
      <c r="A1738" s="5"/>
      <c r="B1738" s="6"/>
      <c r="C1738" s="6" t="s">
        <v>4271</v>
      </c>
      <c r="D1738" s="6" t="s">
        <v>4130</v>
      </c>
      <c r="E1738" s="7">
        <v>18</v>
      </c>
      <c r="F1738" s="6" t="s">
        <v>4326</v>
      </c>
      <c r="G1738" s="6"/>
      <c r="H1738" s="6"/>
      <c r="I1738" s="8">
        <v>-466000</v>
      </c>
      <c r="J1738" s="8"/>
      <c r="K1738" s="6"/>
      <c r="L1738" s="6" t="s">
        <v>1917</v>
      </c>
      <c r="N1738" s="6" t="s">
        <v>1917</v>
      </c>
      <c r="O1738" s="29">
        <v>0</v>
      </c>
    </row>
    <row r="1739" s="1" customFormat="1" ht="16.35" hidden="1" customHeight="1" spans="1:15">
      <c r="A1739" s="5"/>
      <c r="B1739" s="6"/>
      <c r="C1739" s="6" t="s">
        <v>4271</v>
      </c>
      <c r="D1739" s="6" t="s">
        <v>4130</v>
      </c>
      <c r="E1739" s="7">
        <v>18</v>
      </c>
      <c r="F1739" s="6" t="s">
        <v>4327</v>
      </c>
      <c r="G1739" s="6"/>
      <c r="H1739" s="6"/>
      <c r="I1739" s="8">
        <v>9523.81</v>
      </c>
      <c r="J1739" s="8"/>
      <c r="K1739" s="6"/>
      <c r="L1739" s="6" t="s">
        <v>1254</v>
      </c>
      <c r="N1739" s="6" t="s">
        <v>1254</v>
      </c>
      <c r="O1739" s="29">
        <v>0</v>
      </c>
    </row>
    <row r="1740" s="1" customFormat="1" ht="16.35" hidden="1" customHeight="1" spans="1:15">
      <c r="A1740" s="5"/>
      <c r="B1740" s="6"/>
      <c r="C1740" s="6" t="s">
        <v>4271</v>
      </c>
      <c r="D1740" s="6" t="s">
        <v>4130</v>
      </c>
      <c r="E1740" s="7">
        <v>18</v>
      </c>
      <c r="F1740" s="6" t="s">
        <v>4328</v>
      </c>
      <c r="G1740" s="6"/>
      <c r="H1740" s="6"/>
      <c r="I1740" s="8">
        <v>197485.71</v>
      </c>
      <c r="J1740" s="8"/>
      <c r="K1740" s="6"/>
      <c r="L1740" s="6" t="s">
        <v>1254</v>
      </c>
      <c r="N1740" s="6" t="s">
        <v>1254</v>
      </c>
      <c r="O1740" s="29">
        <v>0</v>
      </c>
    </row>
    <row r="1741" s="1" customFormat="1" ht="16.35" hidden="1" customHeight="1" spans="1:15">
      <c r="A1741" s="5"/>
      <c r="B1741" s="6"/>
      <c r="C1741" s="6" t="s">
        <v>4271</v>
      </c>
      <c r="D1741" s="6" t="s">
        <v>4130</v>
      </c>
      <c r="E1741" s="7">
        <v>18</v>
      </c>
      <c r="F1741" s="6" t="s">
        <v>4329</v>
      </c>
      <c r="G1741" s="6"/>
      <c r="H1741" s="6"/>
      <c r="I1741" s="8">
        <v>-180952.71</v>
      </c>
      <c r="J1741" s="8"/>
      <c r="K1741" s="6"/>
      <c r="L1741" s="6" t="s">
        <v>1254</v>
      </c>
      <c r="N1741" s="6" t="s">
        <v>1254</v>
      </c>
      <c r="O1741" s="29">
        <v>0</v>
      </c>
    </row>
    <row r="1742" s="1" customFormat="1" ht="16.35" hidden="1" customHeight="1" spans="1:15">
      <c r="A1742" s="5"/>
      <c r="B1742" s="6"/>
      <c r="C1742" s="6" t="s">
        <v>4271</v>
      </c>
      <c r="D1742" s="6" t="s">
        <v>4130</v>
      </c>
      <c r="E1742" s="7">
        <v>1</v>
      </c>
      <c r="F1742" s="6" t="s">
        <v>4330</v>
      </c>
      <c r="G1742" s="6"/>
      <c r="H1742" s="6"/>
      <c r="I1742" s="8"/>
      <c r="J1742" s="8">
        <v>56190.48</v>
      </c>
      <c r="K1742" s="6"/>
      <c r="L1742" s="6" t="s">
        <v>4285</v>
      </c>
      <c r="N1742" s="6" t="s">
        <v>4285</v>
      </c>
      <c r="O1742" s="29">
        <v>59000.004</v>
      </c>
    </row>
    <row r="1743" s="1" customFormat="1" ht="16.35" hidden="1" customHeight="1" spans="1:15">
      <c r="A1743" s="5"/>
      <c r="B1743" s="6"/>
      <c r="C1743" s="6" t="s">
        <v>4271</v>
      </c>
      <c r="D1743" s="6" t="s">
        <v>4130</v>
      </c>
      <c r="E1743" s="7">
        <v>18</v>
      </c>
      <c r="F1743" s="6" t="s">
        <v>4331</v>
      </c>
      <c r="G1743" s="6"/>
      <c r="H1743" s="6"/>
      <c r="I1743" s="8">
        <v>142342.86</v>
      </c>
      <c r="J1743" s="8"/>
      <c r="K1743" s="6"/>
      <c r="L1743" s="6" t="s">
        <v>4285</v>
      </c>
      <c r="N1743" s="6" t="s">
        <v>4285</v>
      </c>
      <c r="O1743" s="29">
        <v>0</v>
      </c>
    </row>
    <row r="1744" s="1" customFormat="1" ht="16.35" hidden="1" customHeight="1" spans="1:15">
      <c r="A1744" s="5"/>
      <c r="B1744" s="6"/>
      <c r="C1744" s="6" t="s">
        <v>4271</v>
      </c>
      <c r="D1744" s="6" t="s">
        <v>4130</v>
      </c>
      <c r="E1744" s="7">
        <v>18</v>
      </c>
      <c r="F1744" s="6" t="s">
        <v>4331</v>
      </c>
      <c r="G1744" s="6"/>
      <c r="H1744" s="6"/>
      <c r="I1744" s="8">
        <v>56190.48</v>
      </c>
      <c r="J1744" s="8"/>
      <c r="K1744" s="6"/>
      <c r="L1744" s="6" t="s">
        <v>4285</v>
      </c>
      <c r="N1744" s="6" t="s">
        <v>4285</v>
      </c>
      <c r="O1744" s="29">
        <v>0</v>
      </c>
    </row>
    <row r="1745" s="1" customFormat="1" ht="16.35" hidden="1" customHeight="1" spans="1:15">
      <c r="A1745" s="5"/>
      <c r="B1745" s="6"/>
      <c r="C1745" s="6" t="s">
        <v>4271</v>
      </c>
      <c r="D1745" s="6" t="s">
        <v>4130</v>
      </c>
      <c r="E1745" s="7">
        <v>18</v>
      </c>
      <c r="F1745" s="6" t="s">
        <v>4294</v>
      </c>
      <c r="G1745" s="6"/>
      <c r="H1745" s="6"/>
      <c r="I1745" s="8">
        <v>23809.52</v>
      </c>
      <c r="J1745" s="8"/>
      <c r="K1745" s="6"/>
      <c r="L1745" s="6" t="s">
        <v>4285</v>
      </c>
      <c r="N1745" s="6" t="s">
        <v>4285</v>
      </c>
      <c r="O1745" s="29">
        <v>0</v>
      </c>
    </row>
    <row r="1746" s="1" customFormat="1" ht="16.35" hidden="1" customHeight="1" spans="1:15">
      <c r="A1746" s="5"/>
      <c r="B1746" s="6"/>
      <c r="C1746" s="6" t="s">
        <v>4271</v>
      </c>
      <c r="D1746" s="6" t="s">
        <v>4130</v>
      </c>
      <c r="E1746" s="7">
        <v>10</v>
      </c>
      <c r="F1746" s="6" t="s">
        <v>4332</v>
      </c>
      <c r="G1746" s="6"/>
      <c r="H1746" s="6"/>
      <c r="I1746" s="8"/>
      <c r="J1746" s="8">
        <v>23809.52</v>
      </c>
      <c r="K1746" s="6"/>
      <c r="L1746" s="6" t="s">
        <v>4285</v>
      </c>
      <c r="N1746" s="6" t="s">
        <v>4285</v>
      </c>
      <c r="O1746" s="29">
        <v>24999.996</v>
      </c>
    </row>
    <row r="1747" s="1" customFormat="1" ht="16.35" hidden="1" customHeight="1" spans="1:16">
      <c r="A1747" s="5"/>
      <c r="B1747" s="6"/>
      <c r="C1747" s="6" t="s">
        <v>4271</v>
      </c>
      <c r="D1747" s="6" t="s">
        <v>4130</v>
      </c>
      <c r="E1747" s="7">
        <v>18</v>
      </c>
      <c r="F1747" s="6" t="s">
        <v>4333</v>
      </c>
      <c r="G1747" s="6"/>
      <c r="H1747" s="6"/>
      <c r="I1747" s="8">
        <v>95517.14</v>
      </c>
      <c r="J1747" s="8"/>
      <c r="K1747" s="6"/>
      <c r="L1747" s="6" t="s">
        <v>1367</v>
      </c>
      <c r="N1747" s="6" t="s">
        <v>1367</v>
      </c>
      <c r="O1747" s="29">
        <v>0</v>
      </c>
      <c r="P1747" s="1">
        <f>O1747-J1747</f>
        <v>0</v>
      </c>
    </row>
    <row r="1748" s="1" customFormat="1" ht="16.35" hidden="1" customHeight="1" spans="1:16">
      <c r="A1748" s="5"/>
      <c r="B1748" s="6"/>
      <c r="C1748" s="6" t="s">
        <v>4271</v>
      </c>
      <c r="D1748" s="6" t="s">
        <v>4130</v>
      </c>
      <c r="E1748" s="7">
        <v>18</v>
      </c>
      <c r="F1748" s="6" t="s">
        <v>4333</v>
      </c>
      <c r="G1748" s="6"/>
      <c r="H1748" s="6"/>
      <c r="I1748" s="8">
        <v>114285.71</v>
      </c>
      <c r="J1748" s="8"/>
      <c r="K1748" s="6"/>
      <c r="L1748" s="6" t="s">
        <v>1367</v>
      </c>
      <c r="N1748" s="6" t="s">
        <v>1367</v>
      </c>
      <c r="O1748" s="29">
        <v>0</v>
      </c>
      <c r="P1748" s="1">
        <f>O1748-J1748</f>
        <v>0</v>
      </c>
    </row>
    <row r="1749" s="1" customFormat="1" ht="16.35" hidden="1" customHeight="1" spans="1:16">
      <c r="A1749" s="5"/>
      <c r="B1749" s="6"/>
      <c r="C1749" s="6" t="s">
        <v>4271</v>
      </c>
      <c r="D1749" s="6" t="s">
        <v>4130</v>
      </c>
      <c r="E1749" s="7">
        <v>5</v>
      </c>
      <c r="F1749" s="6" t="s">
        <v>4334</v>
      </c>
      <c r="G1749" s="6"/>
      <c r="H1749" s="6"/>
      <c r="I1749" s="8"/>
      <c r="J1749" s="8">
        <v>114285.71</v>
      </c>
      <c r="K1749" s="6"/>
      <c r="L1749" s="6" t="s">
        <v>1367</v>
      </c>
      <c r="N1749" s="6" t="s">
        <v>1367</v>
      </c>
      <c r="O1749" s="29">
        <v>119999.9955</v>
      </c>
      <c r="P1749" s="1">
        <f>O1749-J1749</f>
        <v>5714.2855</v>
      </c>
    </row>
    <row r="1750" s="1" customFormat="1" ht="16.35" hidden="1" customHeight="1" spans="1:15">
      <c r="A1750" s="5"/>
      <c r="B1750" s="6"/>
      <c r="C1750" s="6" t="s">
        <v>4271</v>
      </c>
      <c r="D1750" s="6" t="s">
        <v>4130</v>
      </c>
      <c r="E1750" s="7">
        <v>18</v>
      </c>
      <c r="F1750" s="6" t="s">
        <v>4335</v>
      </c>
      <c r="G1750" s="6"/>
      <c r="H1750" s="6"/>
      <c r="I1750" s="8">
        <v>4762</v>
      </c>
      <c r="J1750" s="8"/>
      <c r="K1750" s="6"/>
      <c r="L1750" s="6" t="s">
        <v>1464</v>
      </c>
      <c r="N1750" s="6" t="s">
        <v>1464</v>
      </c>
      <c r="O1750" s="29">
        <v>0</v>
      </c>
    </row>
    <row r="1751" s="1" customFormat="1" ht="16.35" hidden="1" customHeight="1" spans="1:15">
      <c r="A1751" s="5"/>
      <c r="B1751" s="6"/>
      <c r="C1751" s="6" t="s">
        <v>4271</v>
      </c>
      <c r="D1751" s="6" t="s">
        <v>4130</v>
      </c>
      <c r="E1751" s="7">
        <v>3</v>
      </c>
      <c r="F1751" s="6" t="s">
        <v>4336</v>
      </c>
      <c r="G1751" s="6"/>
      <c r="H1751" s="6"/>
      <c r="I1751" s="8"/>
      <c r="J1751" s="8">
        <v>122804.76</v>
      </c>
      <c r="K1751" s="6"/>
      <c r="L1751" s="6" t="s">
        <v>1468</v>
      </c>
      <c r="N1751" s="6" t="s">
        <v>1468</v>
      </c>
      <c r="O1751" s="29">
        <v>128944.998</v>
      </c>
    </row>
    <row r="1752" s="1" customFormat="1" ht="16.35" hidden="1" customHeight="1" spans="1:15">
      <c r="A1752" s="5"/>
      <c r="B1752" s="6"/>
      <c r="C1752" s="6" t="s">
        <v>4271</v>
      </c>
      <c r="D1752" s="6" t="s">
        <v>4130</v>
      </c>
      <c r="E1752" s="7">
        <v>18</v>
      </c>
      <c r="F1752" s="6" t="s">
        <v>4337</v>
      </c>
      <c r="G1752" s="6"/>
      <c r="H1752" s="6"/>
      <c r="I1752" s="8">
        <v>122804.76</v>
      </c>
      <c r="J1752" s="8"/>
      <c r="K1752" s="6"/>
      <c r="L1752" s="6" t="s">
        <v>1468</v>
      </c>
      <c r="N1752" s="6" t="s">
        <v>1468</v>
      </c>
      <c r="O1752" s="29">
        <v>0</v>
      </c>
    </row>
    <row r="1753" s="1" customFormat="1" ht="16.35" hidden="1" customHeight="1" spans="1:15">
      <c r="A1753" s="5"/>
      <c r="B1753" s="6"/>
      <c r="C1753" s="6" t="s">
        <v>4271</v>
      </c>
      <c r="D1753" s="6" t="s">
        <v>4130</v>
      </c>
      <c r="E1753" s="7">
        <v>18</v>
      </c>
      <c r="F1753" s="6" t="s">
        <v>4338</v>
      </c>
      <c r="G1753" s="6"/>
      <c r="H1753" s="6"/>
      <c r="I1753" s="8">
        <v>193638.1</v>
      </c>
      <c r="J1753" s="8"/>
      <c r="K1753" s="6"/>
      <c r="L1753" s="6" t="s">
        <v>1468</v>
      </c>
      <c r="N1753" s="6" t="s">
        <v>1468</v>
      </c>
      <c r="O1753" s="29">
        <v>0</v>
      </c>
    </row>
    <row r="1754" s="1" customFormat="1" ht="16.35" hidden="1" customHeight="1" spans="1:15">
      <c r="A1754" s="5"/>
      <c r="B1754" s="6"/>
      <c r="C1754" s="6" t="s">
        <v>4271</v>
      </c>
      <c r="D1754" s="6" t="s">
        <v>4130</v>
      </c>
      <c r="E1754" s="7">
        <v>18</v>
      </c>
      <c r="F1754" s="6" t="s">
        <v>4339</v>
      </c>
      <c r="G1754" s="6"/>
      <c r="H1754" s="6"/>
      <c r="I1754" s="8">
        <v>-162972.1</v>
      </c>
      <c r="J1754" s="8"/>
      <c r="K1754" s="6"/>
      <c r="L1754" s="6" t="s">
        <v>1468</v>
      </c>
      <c r="N1754" s="6" t="s">
        <v>1468</v>
      </c>
      <c r="O1754" s="29">
        <v>0</v>
      </c>
    </row>
    <row r="1755" s="1" customFormat="1" ht="16.35" hidden="1" customHeight="1" spans="1:15">
      <c r="A1755" s="5"/>
      <c r="B1755" s="6"/>
      <c r="C1755" s="6" t="s">
        <v>4271</v>
      </c>
      <c r="D1755" s="6" t="s">
        <v>4130</v>
      </c>
      <c r="E1755" s="7">
        <v>18</v>
      </c>
      <c r="F1755" s="6" t="s">
        <v>4340</v>
      </c>
      <c r="G1755" s="6"/>
      <c r="H1755" s="6"/>
      <c r="I1755" s="8">
        <v>200000</v>
      </c>
      <c r="J1755" s="8"/>
      <c r="K1755" s="6"/>
      <c r="L1755" s="6" t="s">
        <v>1641</v>
      </c>
      <c r="N1755" s="6" t="s">
        <v>1641</v>
      </c>
      <c r="O1755" s="29">
        <v>0</v>
      </c>
    </row>
    <row r="1756" s="1" customFormat="1" ht="16.35" hidden="1" customHeight="1" spans="1:15">
      <c r="A1756" s="5"/>
      <c r="B1756" s="6"/>
      <c r="C1756" s="6" t="s">
        <v>4271</v>
      </c>
      <c r="D1756" s="6" t="s">
        <v>4130</v>
      </c>
      <c r="E1756" s="7">
        <v>18</v>
      </c>
      <c r="F1756" s="6" t="s">
        <v>4341</v>
      </c>
      <c r="G1756" s="6"/>
      <c r="H1756" s="6"/>
      <c r="I1756" s="8">
        <v>288377.14</v>
      </c>
      <c r="J1756" s="8"/>
      <c r="K1756" s="6"/>
      <c r="L1756" s="6" t="s">
        <v>1641</v>
      </c>
      <c r="N1756" s="6" t="s">
        <v>1641</v>
      </c>
      <c r="O1756" s="29">
        <v>0</v>
      </c>
    </row>
    <row r="1757" s="1" customFormat="1" ht="16.35" hidden="1" customHeight="1" spans="1:15">
      <c r="A1757" s="5"/>
      <c r="B1757" s="6"/>
      <c r="C1757" s="6" t="s">
        <v>4271</v>
      </c>
      <c r="D1757" s="6" t="s">
        <v>4130</v>
      </c>
      <c r="E1757" s="7">
        <v>18</v>
      </c>
      <c r="F1757" s="6" t="s">
        <v>4342</v>
      </c>
      <c r="G1757" s="6"/>
      <c r="H1757" s="6"/>
      <c r="I1757" s="8">
        <v>-199828.14</v>
      </c>
      <c r="J1757" s="8"/>
      <c r="K1757" s="6"/>
      <c r="L1757" s="6" t="s">
        <v>1641</v>
      </c>
      <c r="N1757" s="6" t="s">
        <v>1641</v>
      </c>
      <c r="O1757" s="29">
        <v>0</v>
      </c>
    </row>
    <row r="1758" s="1" customFormat="1" ht="16.35" hidden="1" customHeight="1" spans="1:15">
      <c r="A1758" s="5"/>
      <c r="B1758" s="6"/>
      <c r="C1758" s="6" t="s">
        <v>4271</v>
      </c>
      <c r="D1758" s="6" t="s">
        <v>4130</v>
      </c>
      <c r="E1758" s="7">
        <v>18</v>
      </c>
      <c r="F1758" s="6" t="s">
        <v>4343</v>
      </c>
      <c r="G1758" s="6"/>
      <c r="H1758" s="6"/>
      <c r="I1758" s="8">
        <v>121240</v>
      </c>
      <c r="J1758" s="8"/>
      <c r="K1758" s="6"/>
      <c r="L1758" s="6" t="s">
        <v>1075</v>
      </c>
      <c r="N1758" s="6" t="s">
        <v>1075</v>
      </c>
      <c r="O1758" s="29">
        <v>0</v>
      </c>
    </row>
    <row r="1759" s="1" customFormat="1" ht="16.35" hidden="1" customHeight="1" spans="1:15">
      <c r="A1759" s="5"/>
      <c r="B1759" s="6"/>
      <c r="C1759" s="6" t="s">
        <v>4271</v>
      </c>
      <c r="D1759" s="6" t="s">
        <v>4130</v>
      </c>
      <c r="E1759" s="7">
        <v>18</v>
      </c>
      <c r="F1759" s="6" t="s">
        <v>4344</v>
      </c>
      <c r="G1759" s="6"/>
      <c r="H1759" s="6"/>
      <c r="I1759" s="8">
        <v>-121240</v>
      </c>
      <c r="J1759" s="8"/>
      <c r="K1759" s="6"/>
      <c r="L1759" s="6" t="s">
        <v>1075</v>
      </c>
      <c r="N1759" s="6" t="s">
        <v>1075</v>
      </c>
      <c r="O1759" s="29">
        <v>0</v>
      </c>
    </row>
    <row r="1760" s="1" customFormat="1" ht="16.35" hidden="1" customHeight="1" spans="1:15">
      <c r="A1760" s="5"/>
      <c r="B1760" s="6"/>
      <c r="C1760" s="6" t="s">
        <v>4271</v>
      </c>
      <c r="D1760" s="6" t="s">
        <v>4150</v>
      </c>
      <c r="E1760" s="7">
        <v>16</v>
      </c>
      <c r="F1760" s="6" t="s">
        <v>4121</v>
      </c>
      <c r="G1760" s="6"/>
      <c r="H1760" s="6"/>
      <c r="I1760" s="8">
        <v>215476.19</v>
      </c>
      <c r="J1760" s="8"/>
      <c r="K1760" s="6"/>
      <c r="L1760" s="6" t="s">
        <v>1507</v>
      </c>
      <c r="N1760" s="6" t="s">
        <v>1507</v>
      </c>
      <c r="O1760" s="29">
        <v>0</v>
      </c>
    </row>
    <row r="1761" s="1" customFormat="1" ht="16.35" hidden="1" customHeight="1" spans="1:15">
      <c r="A1761" s="5"/>
      <c r="B1761" s="6"/>
      <c r="C1761" s="6" t="s">
        <v>4271</v>
      </c>
      <c r="D1761" s="6" t="s">
        <v>4150</v>
      </c>
      <c r="E1761" s="7">
        <v>16</v>
      </c>
      <c r="F1761" s="6" t="s">
        <v>4345</v>
      </c>
      <c r="G1761" s="6"/>
      <c r="H1761" s="6"/>
      <c r="I1761" s="8">
        <v>-50714.19</v>
      </c>
      <c r="J1761" s="8"/>
      <c r="K1761" s="6"/>
      <c r="L1761" s="6" t="s">
        <v>1507</v>
      </c>
      <c r="N1761" s="6" t="s">
        <v>1507</v>
      </c>
      <c r="O1761" s="29">
        <v>0</v>
      </c>
    </row>
    <row r="1762" s="1" customFormat="1" ht="16.35" hidden="1" customHeight="1" spans="1:15">
      <c r="A1762" s="5"/>
      <c r="B1762" s="6"/>
      <c r="C1762" s="6" t="s">
        <v>4271</v>
      </c>
      <c r="D1762" s="6" t="s">
        <v>4150</v>
      </c>
      <c r="E1762" s="7">
        <v>3</v>
      </c>
      <c r="F1762" s="6" t="s">
        <v>4346</v>
      </c>
      <c r="G1762" s="6"/>
      <c r="H1762" s="6"/>
      <c r="I1762" s="8"/>
      <c r="J1762" s="8">
        <v>380.95</v>
      </c>
      <c r="K1762" s="6"/>
      <c r="L1762" s="6" t="s">
        <v>1007</v>
      </c>
      <c r="N1762" s="6" t="s">
        <v>1007</v>
      </c>
      <c r="O1762" s="29">
        <v>399.9975</v>
      </c>
    </row>
    <row r="1763" s="1" customFormat="1" ht="16.35" hidden="1" customHeight="1" spans="1:16">
      <c r="A1763" s="5"/>
      <c r="B1763" s="6"/>
      <c r="C1763" s="6" t="s">
        <v>4271</v>
      </c>
      <c r="D1763" s="6" t="s">
        <v>4150</v>
      </c>
      <c r="E1763" s="7">
        <v>2</v>
      </c>
      <c r="F1763" s="6" t="s">
        <v>4347</v>
      </c>
      <c r="G1763" s="6"/>
      <c r="H1763" s="6"/>
      <c r="I1763" s="8"/>
      <c r="J1763" s="8">
        <v>19047.62</v>
      </c>
      <c r="K1763" s="6"/>
      <c r="L1763" s="6" t="s">
        <v>1247</v>
      </c>
      <c r="N1763" s="6" t="s">
        <v>1247</v>
      </c>
      <c r="O1763" s="29">
        <v>20000.001</v>
      </c>
      <c r="P1763" s="1">
        <f>O1763-J1763</f>
        <v>952.381000000001</v>
      </c>
    </row>
    <row r="1764" s="1" customFormat="1" ht="16.35" hidden="1" customHeight="1" spans="1:15">
      <c r="A1764" s="5"/>
      <c r="B1764" s="6"/>
      <c r="C1764" s="6" t="s">
        <v>4271</v>
      </c>
      <c r="D1764" s="6" t="s">
        <v>4150</v>
      </c>
      <c r="E1764" s="7">
        <v>1</v>
      </c>
      <c r="F1764" s="6" t="s">
        <v>4348</v>
      </c>
      <c r="G1764" s="6"/>
      <c r="H1764" s="6"/>
      <c r="I1764" s="8"/>
      <c r="J1764" s="8">
        <v>122095.24</v>
      </c>
      <c r="K1764" s="6"/>
      <c r="L1764" s="6" t="s">
        <v>4349</v>
      </c>
      <c r="N1764" s="6" t="s">
        <v>4349</v>
      </c>
      <c r="O1764" s="29">
        <v>128200.002</v>
      </c>
    </row>
    <row r="1765" s="1" customFormat="1" ht="16.35" hidden="1" customHeight="1" spans="1:17">
      <c r="A1765" s="5"/>
      <c r="B1765" s="6"/>
      <c r="C1765" s="6" t="s">
        <v>4271</v>
      </c>
      <c r="D1765" s="6" t="s">
        <v>4150</v>
      </c>
      <c r="E1765" s="7">
        <v>4</v>
      </c>
      <c r="F1765" s="6" t="s">
        <v>4350</v>
      </c>
      <c r="G1765" s="6"/>
      <c r="H1765" s="6"/>
      <c r="I1765" s="8"/>
      <c r="J1765" s="8">
        <v>114285.71</v>
      </c>
      <c r="K1765" s="6"/>
      <c r="L1765" s="6" t="s">
        <v>1497</v>
      </c>
      <c r="N1765" s="6" t="s">
        <v>1497</v>
      </c>
      <c r="O1765" s="29">
        <v>119999.9955</v>
      </c>
      <c r="Q1765" s="1">
        <f>O1765-J1765</f>
        <v>5714.2855</v>
      </c>
    </row>
    <row r="1766" s="1" customFormat="1" ht="16.35" hidden="1" customHeight="1" spans="1:15">
      <c r="A1766" s="5"/>
      <c r="B1766" s="6"/>
      <c r="C1766" s="6" t="s">
        <v>4271</v>
      </c>
      <c r="D1766" s="6" t="s">
        <v>4150</v>
      </c>
      <c r="E1766" s="7">
        <v>16</v>
      </c>
      <c r="F1766" s="6" t="s">
        <v>4121</v>
      </c>
      <c r="G1766" s="6"/>
      <c r="H1766" s="6"/>
      <c r="I1766" s="8">
        <v>199380</v>
      </c>
      <c r="J1766" s="8"/>
      <c r="K1766" s="6"/>
      <c r="L1766" s="6" t="s">
        <v>1094</v>
      </c>
      <c r="N1766" s="6" t="s">
        <v>1094</v>
      </c>
      <c r="O1766" s="29">
        <v>0</v>
      </c>
    </row>
    <row r="1767" s="1" customFormat="1" ht="16.35" hidden="1" customHeight="1" spans="1:15">
      <c r="A1767" s="5"/>
      <c r="B1767" s="6"/>
      <c r="C1767" s="6" t="s">
        <v>4271</v>
      </c>
      <c r="D1767" s="6" t="s">
        <v>4150</v>
      </c>
      <c r="E1767" s="7">
        <v>16</v>
      </c>
      <c r="F1767" s="6" t="s">
        <v>4345</v>
      </c>
      <c r="G1767" s="6"/>
      <c r="H1767" s="6"/>
      <c r="I1767" s="8">
        <v>-199380</v>
      </c>
      <c r="J1767" s="8"/>
      <c r="K1767" s="6"/>
      <c r="L1767" s="6" t="s">
        <v>1094</v>
      </c>
      <c r="N1767" s="6" t="s">
        <v>1094</v>
      </c>
      <c r="O1767" s="29">
        <v>0</v>
      </c>
    </row>
    <row r="1768" s="1" customFormat="1" ht="16.35" hidden="1" customHeight="1" spans="1:15">
      <c r="A1768" s="5"/>
      <c r="B1768" s="6"/>
      <c r="C1768" s="6" t="s">
        <v>4271</v>
      </c>
      <c r="D1768" s="6" t="s">
        <v>4150</v>
      </c>
      <c r="E1768" s="7">
        <v>16</v>
      </c>
      <c r="F1768" s="6" t="s">
        <v>4121</v>
      </c>
      <c r="G1768" s="6"/>
      <c r="H1768" s="6"/>
      <c r="I1768" s="8">
        <v>240809.52</v>
      </c>
      <c r="J1768" s="8"/>
      <c r="K1768" s="6"/>
      <c r="L1768" s="6" t="s">
        <v>1700</v>
      </c>
      <c r="N1768" s="6" t="s">
        <v>1700</v>
      </c>
      <c r="O1768" s="29">
        <v>0</v>
      </c>
    </row>
    <row r="1769" s="1" customFormat="1" ht="16.35" hidden="1" customHeight="1" spans="1:15">
      <c r="A1769" s="5"/>
      <c r="B1769" s="6"/>
      <c r="C1769" s="6" t="s">
        <v>4271</v>
      </c>
      <c r="D1769" s="6" t="s">
        <v>4150</v>
      </c>
      <c r="E1769" s="7">
        <v>16</v>
      </c>
      <c r="F1769" s="6" t="s">
        <v>4345</v>
      </c>
      <c r="G1769" s="6"/>
      <c r="H1769" s="6"/>
      <c r="I1769" s="8">
        <v>-0.52</v>
      </c>
      <c r="J1769" s="8"/>
      <c r="K1769" s="6"/>
      <c r="L1769" s="6" t="s">
        <v>1700</v>
      </c>
      <c r="N1769" s="6" t="s">
        <v>1700</v>
      </c>
      <c r="O1769" s="29">
        <v>0</v>
      </c>
    </row>
    <row r="1770" s="1" customFormat="1" ht="16.35" hidden="1" customHeight="1" spans="1:15">
      <c r="A1770" s="5"/>
      <c r="B1770" s="6"/>
      <c r="C1770" s="6" t="s">
        <v>4271</v>
      </c>
      <c r="D1770" s="6" t="s">
        <v>4150</v>
      </c>
      <c r="E1770" s="7">
        <v>16</v>
      </c>
      <c r="F1770" s="6" t="s">
        <v>4121</v>
      </c>
      <c r="G1770" s="6"/>
      <c r="H1770" s="6"/>
      <c r="I1770" s="8">
        <v>282036.19</v>
      </c>
      <c r="J1770" s="8"/>
      <c r="K1770" s="6"/>
      <c r="L1770" s="6" t="s">
        <v>1713</v>
      </c>
      <c r="N1770" s="6" t="s">
        <v>1713</v>
      </c>
      <c r="O1770" s="29">
        <v>0</v>
      </c>
    </row>
    <row r="1771" s="1" customFormat="1" ht="16.35" hidden="1" customHeight="1" spans="1:15">
      <c r="A1771" s="5"/>
      <c r="B1771" s="6"/>
      <c r="C1771" s="6" t="s">
        <v>4271</v>
      </c>
      <c r="D1771" s="6" t="s">
        <v>4150</v>
      </c>
      <c r="E1771" s="7">
        <v>16</v>
      </c>
      <c r="F1771" s="6" t="s">
        <v>4345</v>
      </c>
      <c r="G1771" s="6"/>
      <c r="H1771" s="6"/>
      <c r="I1771" s="8">
        <v>-282034.19</v>
      </c>
      <c r="J1771" s="8"/>
      <c r="K1771" s="6"/>
      <c r="L1771" s="6" t="s">
        <v>1713</v>
      </c>
      <c r="N1771" s="6" t="s">
        <v>1713</v>
      </c>
      <c r="O1771" s="29">
        <v>0</v>
      </c>
    </row>
    <row r="1772" s="1" customFormat="1" ht="16.35" hidden="1" customHeight="1" spans="1:15">
      <c r="A1772" s="5"/>
      <c r="B1772" s="6"/>
      <c r="C1772" s="6" t="s">
        <v>4271</v>
      </c>
      <c r="D1772" s="6" t="s">
        <v>4150</v>
      </c>
      <c r="E1772" s="7">
        <v>16</v>
      </c>
      <c r="F1772" s="6" t="s">
        <v>4121</v>
      </c>
      <c r="G1772" s="6"/>
      <c r="H1772" s="6"/>
      <c r="I1772" s="8">
        <v>286550.48</v>
      </c>
      <c r="J1772" s="8"/>
      <c r="K1772" s="6"/>
      <c r="L1772" s="6" t="s">
        <v>1702</v>
      </c>
      <c r="N1772" s="6" t="s">
        <v>1702</v>
      </c>
      <c r="O1772" s="29">
        <v>0</v>
      </c>
    </row>
    <row r="1773" s="1" customFormat="1" ht="16.35" hidden="1" customHeight="1" spans="1:15">
      <c r="A1773" s="5"/>
      <c r="B1773" s="6"/>
      <c r="C1773" s="6" t="s">
        <v>4271</v>
      </c>
      <c r="D1773" s="6" t="s">
        <v>4150</v>
      </c>
      <c r="E1773" s="7">
        <v>16</v>
      </c>
      <c r="F1773" s="6" t="s">
        <v>4345</v>
      </c>
      <c r="G1773" s="6"/>
      <c r="H1773" s="6"/>
      <c r="I1773" s="8">
        <v>-286550.48</v>
      </c>
      <c r="J1773" s="8"/>
      <c r="K1773" s="6"/>
      <c r="L1773" s="6" t="s">
        <v>1702</v>
      </c>
      <c r="N1773" s="6" t="s">
        <v>1702</v>
      </c>
      <c r="O1773" s="29">
        <v>0</v>
      </c>
    </row>
    <row r="1774" s="1" customFormat="1" ht="16.35" hidden="1" customHeight="1" spans="1:16">
      <c r="A1774" s="5"/>
      <c r="B1774" s="6"/>
      <c r="C1774" s="6" t="s">
        <v>4271</v>
      </c>
      <c r="D1774" s="6" t="s">
        <v>4150</v>
      </c>
      <c r="E1774" s="7">
        <v>16</v>
      </c>
      <c r="F1774" s="6" t="s">
        <v>4121</v>
      </c>
      <c r="G1774" s="6"/>
      <c r="H1774" s="6"/>
      <c r="I1774" s="8">
        <v>209802.86</v>
      </c>
      <c r="J1774" s="8"/>
      <c r="K1774" s="6"/>
      <c r="L1774" s="6" t="s">
        <v>1367</v>
      </c>
      <c r="N1774" s="6" t="s">
        <v>1367</v>
      </c>
      <c r="O1774" s="29">
        <v>0</v>
      </c>
      <c r="P1774" s="1">
        <f>O1774-J1774</f>
        <v>0</v>
      </c>
    </row>
    <row r="1775" s="1" customFormat="1" ht="16.35" hidden="1" customHeight="1" spans="1:16">
      <c r="A1775" s="5"/>
      <c r="B1775" s="6"/>
      <c r="C1775" s="6" t="s">
        <v>4271</v>
      </c>
      <c r="D1775" s="6" t="s">
        <v>4150</v>
      </c>
      <c r="E1775" s="7">
        <v>16</v>
      </c>
      <c r="F1775" s="6" t="s">
        <v>4345</v>
      </c>
      <c r="G1775" s="6"/>
      <c r="H1775" s="6"/>
      <c r="I1775" s="8">
        <v>-209802.86</v>
      </c>
      <c r="J1775" s="8"/>
      <c r="K1775" s="6"/>
      <c r="L1775" s="6" t="s">
        <v>1367</v>
      </c>
      <c r="N1775" s="6" t="s">
        <v>1367</v>
      </c>
      <c r="O1775" s="29">
        <v>0</v>
      </c>
      <c r="P1775" s="1">
        <f>O1775-J1775</f>
        <v>0</v>
      </c>
    </row>
    <row r="1776" s="1" customFormat="1" ht="16.35" hidden="1" customHeight="1" spans="1:15">
      <c r="A1776" s="5"/>
      <c r="B1776" s="6"/>
      <c r="C1776" s="6" t="s">
        <v>4271</v>
      </c>
      <c r="D1776" s="6" t="s">
        <v>4150</v>
      </c>
      <c r="E1776" s="7">
        <v>16</v>
      </c>
      <c r="F1776" s="6" t="s">
        <v>4121</v>
      </c>
      <c r="G1776" s="6"/>
      <c r="H1776" s="6"/>
      <c r="I1776" s="8">
        <v>218209.52</v>
      </c>
      <c r="J1776" s="8"/>
      <c r="K1776" s="6"/>
      <c r="L1776" s="6" t="s">
        <v>1166</v>
      </c>
      <c r="N1776" s="6" t="s">
        <v>1166</v>
      </c>
      <c r="O1776" s="29">
        <v>0</v>
      </c>
    </row>
    <row r="1777" s="1" customFormat="1" ht="16.35" hidden="1" customHeight="1" spans="1:15">
      <c r="A1777" s="5"/>
      <c r="B1777" s="6"/>
      <c r="C1777" s="6" t="s">
        <v>4271</v>
      </c>
      <c r="D1777" s="6" t="s">
        <v>4150</v>
      </c>
      <c r="E1777" s="7">
        <v>16</v>
      </c>
      <c r="F1777" s="6" t="s">
        <v>4345</v>
      </c>
      <c r="G1777" s="6"/>
      <c r="H1777" s="6"/>
      <c r="I1777" s="8">
        <v>-218209.52</v>
      </c>
      <c r="J1777" s="8"/>
      <c r="K1777" s="6"/>
      <c r="L1777" s="6" t="s">
        <v>1166</v>
      </c>
      <c r="N1777" s="6" t="s">
        <v>1166</v>
      </c>
      <c r="O1777" s="29">
        <v>0</v>
      </c>
    </row>
    <row r="1778" s="1" customFormat="1" ht="24" hidden="1" customHeight="1" spans="1:15">
      <c r="A1778" s="5"/>
      <c r="B1778" s="6"/>
      <c r="C1778" s="6" t="s">
        <v>4271</v>
      </c>
      <c r="D1778" s="6" t="s">
        <v>4171</v>
      </c>
      <c r="E1778" s="7">
        <v>17</v>
      </c>
      <c r="F1778" s="6" t="s">
        <v>4351</v>
      </c>
      <c r="G1778" s="6"/>
      <c r="H1778" s="6"/>
      <c r="I1778" s="8"/>
      <c r="J1778" s="8">
        <v>4762</v>
      </c>
      <c r="K1778" s="6"/>
      <c r="L1778" s="6" t="s">
        <v>1581</v>
      </c>
      <c r="N1778" s="6" t="s">
        <v>1581</v>
      </c>
      <c r="O1778" s="29">
        <v>5000.1</v>
      </c>
    </row>
    <row r="1779" s="1" customFormat="1" ht="16.35" hidden="1" customHeight="1" spans="1:15">
      <c r="A1779" s="5"/>
      <c r="B1779" s="6"/>
      <c r="C1779" s="6" t="s">
        <v>4271</v>
      </c>
      <c r="D1779" s="6" t="s">
        <v>4171</v>
      </c>
      <c r="E1779" s="7">
        <v>4</v>
      </c>
      <c r="F1779" s="6" t="s">
        <v>4352</v>
      </c>
      <c r="G1779" s="6"/>
      <c r="H1779" s="6"/>
      <c r="I1779" s="8"/>
      <c r="J1779" s="8">
        <v>74285.71</v>
      </c>
      <c r="K1779" s="6"/>
      <c r="L1779" s="6" t="s">
        <v>1007</v>
      </c>
      <c r="N1779" s="6" t="s">
        <v>1007</v>
      </c>
      <c r="O1779" s="29">
        <v>77999.9955</v>
      </c>
    </row>
    <row r="1780" s="1" customFormat="1" ht="16.35" hidden="1" customHeight="1" spans="1:15">
      <c r="A1780" s="5"/>
      <c r="B1780" s="6"/>
      <c r="C1780" s="6" t="s">
        <v>4271</v>
      </c>
      <c r="D1780" s="6" t="s">
        <v>4171</v>
      </c>
      <c r="E1780" s="7">
        <v>18</v>
      </c>
      <c r="F1780" s="6" t="s">
        <v>4353</v>
      </c>
      <c r="G1780" s="6"/>
      <c r="H1780" s="6"/>
      <c r="I1780" s="8"/>
      <c r="J1780" s="8">
        <v>-9523.81</v>
      </c>
      <c r="K1780" s="6"/>
      <c r="L1780" s="6" t="s">
        <v>1007</v>
      </c>
      <c r="N1780" s="6" t="s">
        <v>1007</v>
      </c>
      <c r="O1780" s="29">
        <v>-10000.0005</v>
      </c>
    </row>
    <row r="1781" s="1" customFormat="1" ht="16.35" hidden="1" customHeight="1" spans="1:16">
      <c r="A1781" s="5"/>
      <c r="B1781" s="6"/>
      <c r="C1781" s="6" t="s">
        <v>4271</v>
      </c>
      <c r="D1781" s="6" t="s">
        <v>4171</v>
      </c>
      <c r="E1781" s="7">
        <v>3</v>
      </c>
      <c r="F1781" s="6" t="s">
        <v>4354</v>
      </c>
      <c r="G1781" s="6"/>
      <c r="H1781" s="6"/>
      <c r="I1781" s="8"/>
      <c r="J1781" s="8">
        <v>23809.52</v>
      </c>
      <c r="K1781" s="6"/>
      <c r="L1781" s="6" t="s">
        <v>1247</v>
      </c>
      <c r="N1781" s="6" t="s">
        <v>1247</v>
      </c>
      <c r="O1781" s="29">
        <v>24999.996</v>
      </c>
      <c r="P1781" s="1">
        <f>O1781-J1781</f>
        <v>1190.476</v>
      </c>
    </row>
    <row r="1782" s="1" customFormat="1" ht="16.35" hidden="1" customHeight="1" spans="1:16">
      <c r="A1782" s="5"/>
      <c r="B1782" s="6"/>
      <c r="C1782" s="6" t="s">
        <v>4271</v>
      </c>
      <c r="D1782" s="6" t="s">
        <v>4171</v>
      </c>
      <c r="E1782" s="7">
        <v>8</v>
      </c>
      <c r="F1782" s="6" t="s">
        <v>4355</v>
      </c>
      <c r="G1782" s="6"/>
      <c r="H1782" s="6"/>
      <c r="I1782" s="8"/>
      <c r="J1782" s="8">
        <v>4761.9</v>
      </c>
      <c r="K1782" s="6"/>
      <c r="L1782" s="6" t="s">
        <v>1247</v>
      </c>
      <c r="N1782" s="6" t="s">
        <v>1247</v>
      </c>
      <c r="O1782" s="29">
        <v>4999.995</v>
      </c>
      <c r="P1782" s="1">
        <f>O1782-J1782</f>
        <v>238.095</v>
      </c>
    </row>
    <row r="1783" s="1" customFormat="1" ht="16.35" hidden="1" customHeight="1" spans="1:16">
      <c r="A1783" s="5"/>
      <c r="B1783" s="6"/>
      <c r="C1783" s="6" t="s">
        <v>4271</v>
      </c>
      <c r="D1783" s="6" t="s">
        <v>4171</v>
      </c>
      <c r="E1783" s="7">
        <v>7</v>
      </c>
      <c r="F1783" s="6" t="s">
        <v>4356</v>
      </c>
      <c r="G1783" s="6"/>
      <c r="H1783" s="6"/>
      <c r="I1783" s="8"/>
      <c r="J1783" s="8">
        <v>4761.9</v>
      </c>
      <c r="K1783" s="6"/>
      <c r="L1783" s="6" t="s">
        <v>1143</v>
      </c>
      <c r="N1783" s="6" t="s">
        <v>1143</v>
      </c>
      <c r="O1783" s="29">
        <v>4999.995</v>
      </c>
      <c r="P1783" s="1">
        <f>O1783-J1783</f>
        <v>238.095</v>
      </c>
    </row>
    <row r="1784" s="1" customFormat="1" ht="16.35" hidden="1" customHeight="1" spans="1:15">
      <c r="A1784" s="5"/>
      <c r="B1784" s="6"/>
      <c r="C1784" s="6" t="s">
        <v>4271</v>
      </c>
      <c r="D1784" s="6" t="s">
        <v>4171</v>
      </c>
      <c r="E1784" s="7">
        <v>19</v>
      </c>
      <c r="F1784" s="6" t="s">
        <v>4357</v>
      </c>
      <c r="G1784" s="6"/>
      <c r="H1784" s="6"/>
      <c r="I1784" s="8"/>
      <c r="J1784" s="8">
        <v>4761.9</v>
      </c>
      <c r="K1784" s="6"/>
      <c r="L1784" s="6" t="s">
        <v>1229</v>
      </c>
      <c r="N1784" s="6" t="s">
        <v>1229</v>
      </c>
      <c r="O1784" s="29">
        <v>4999.995</v>
      </c>
    </row>
    <row r="1785" s="1" customFormat="1" ht="16.35" hidden="1" customHeight="1" spans="1:15">
      <c r="A1785" s="5"/>
      <c r="B1785" s="6"/>
      <c r="C1785" s="6" t="s">
        <v>4271</v>
      </c>
      <c r="D1785" s="6" t="s">
        <v>4171</v>
      </c>
      <c r="E1785" s="7">
        <v>20</v>
      </c>
      <c r="F1785" s="6" t="s">
        <v>4358</v>
      </c>
      <c r="G1785" s="6"/>
      <c r="H1785" s="6"/>
      <c r="I1785" s="8"/>
      <c r="J1785" s="8">
        <v>4761.9</v>
      </c>
      <c r="K1785" s="6"/>
      <c r="L1785" s="6" t="s">
        <v>1229</v>
      </c>
      <c r="N1785" s="6" t="s">
        <v>1229</v>
      </c>
      <c r="O1785" s="29">
        <v>4999.995</v>
      </c>
    </row>
    <row r="1786" s="1" customFormat="1" ht="16.35" hidden="1" customHeight="1" spans="1:15">
      <c r="A1786" s="5"/>
      <c r="B1786" s="6"/>
      <c r="C1786" s="6" t="s">
        <v>4271</v>
      </c>
      <c r="D1786" s="6" t="s">
        <v>4171</v>
      </c>
      <c r="E1786" s="7">
        <v>21</v>
      </c>
      <c r="F1786" s="6" t="s">
        <v>4359</v>
      </c>
      <c r="G1786" s="6"/>
      <c r="H1786" s="6"/>
      <c r="I1786" s="8">
        <v>197428.57</v>
      </c>
      <c r="J1786" s="8"/>
      <c r="K1786" s="6"/>
      <c r="L1786" s="6" t="s">
        <v>1229</v>
      </c>
      <c r="N1786" s="6" t="s">
        <v>1229</v>
      </c>
      <c r="O1786" s="29">
        <v>0</v>
      </c>
    </row>
    <row r="1787" s="1" customFormat="1" ht="16.35" hidden="1" customHeight="1" spans="1:15">
      <c r="A1787" s="5"/>
      <c r="B1787" s="6"/>
      <c r="C1787" s="6" t="s">
        <v>4271</v>
      </c>
      <c r="D1787" s="6" t="s">
        <v>4171</v>
      </c>
      <c r="E1787" s="7">
        <v>21</v>
      </c>
      <c r="F1787" s="6" t="s">
        <v>4360</v>
      </c>
      <c r="G1787" s="6"/>
      <c r="H1787" s="6"/>
      <c r="I1787" s="8">
        <v>-168856.77</v>
      </c>
      <c r="J1787" s="8"/>
      <c r="K1787" s="6"/>
      <c r="L1787" s="6" t="s">
        <v>1229</v>
      </c>
      <c r="N1787" s="6" t="s">
        <v>1229</v>
      </c>
      <c r="O1787" s="29">
        <v>0</v>
      </c>
    </row>
    <row r="1788" s="1" customFormat="1" ht="16.35" hidden="1" customHeight="1" spans="1:15">
      <c r="A1788" s="5"/>
      <c r="B1788" s="6"/>
      <c r="C1788" s="6" t="s">
        <v>4271</v>
      </c>
      <c r="D1788" s="6" t="s">
        <v>4171</v>
      </c>
      <c r="E1788" s="7">
        <v>2</v>
      </c>
      <c r="F1788" s="6" t="s">
        <v>4361</v>
      </c>
      <c r="G1788" s="6"/>
      <c r="H1788" s="6"/>
      <c r="I1788" s="8"/>
      <c r="J1788" s="8">
        <v>28571.43</v>
      </c>
      <c r="K1788" s="6"/>
      <c r="L1788" s="6" t="s">
        <v>1160</v>
      </c>
      <c r="N1788" s="6" t="s">
        <v>1160</v>
      </c>
      <c r="O1788" s="29">
        <v>30000.0015</v>
      </c>
    </row>
    <row r="1789" s="1" customFormat="1" ht="16.35" hidden="1" customHeight="1" spans="1:16">
      <c r="A1789" s="5"/>
      <c r="B1789" s="6"/>
      <c r="C1789" s="6" t="s">
        <v>4271</v>
      </c>
      <c r="D1789" s="6" t="s">
        <v>4171</v>
      </c>
      <c r="E1789" s="7">
        <v>5</v>
      </c>
      <c r="F1789" s="6" t="s">
        <v>4362</v>
      </c>
      <c r="G1789" s="6"/>
      <c r="H1789" s="6"/>
      <c r="I1789" s="8"/>
      <c r="J1789" s="8">
        <v>9523.81</v>
      </c>
      <c r="K1789" s="6"/>
      <c r="L1789" s="6" t="s">
        <v>1096</v>
      </c>
      <c r="N1789" s="6" t="s">
        <v>1096</v>
      </c>
      <c r="O1789" s="29">
        <v>10000.0005</v>
      </c>
      <c r="P1789" s="1">
        <f>O1789-J1789</f>
        <v>476.190500000001</v>
      </c>
    </row>
    <row r="1790" s="1" customFormat="1" ht="16.35" hidden="1" customHeight="1" spans="1:15">
      <c r="A1790" s="5"/>
      <c r="B1790" s="6"/>
      <c r="C1790" s="6" t="s">
        <v>4271</v>
      </c>
      <c r="D1790" s="6" t="s">
        <v>4171</v>
      </c>
      <c r="E1790" s="7">
        <v>21</v>
      </c>
      <c r="F1790" s="6" t="s">
        <v>4363</v>
      </c>
      <c r="G1790" s="6"/>
      <c r="H1790" s="6"/>
      <c r="I1790" s="8">
        <v>170476.19</v>
      </c>
      <c r="J1790" s="8"/>
      <c r="K1790" s="6"/>
      <c r="L1790" s="6" t="s">
        <v>1096</v>
      </c>
      <c r="N1790" s="6" t="s">
        <v>1096</v>
      </c>
      <c r="O1790" s="29">
        <v>0</v>
      </c>
    </row>
    <row r="1791" s="1" customFormat="1" ht="16.35" hidden="1" customHeight="1" spans="1:15">
      <c r="A1791" s="5"/>
      <c r="B1791" s="6"/>
      <c r="C1791" s="6" t="s">
        <v>4271</v>
      </c>
      <c r="D1791" s="6" t="s">
        <v>4171</v>
      </c>
      <c r="E1791" s="7">
        <v>21</v>
      </c>
      <c r="F1791" s="6" t="s">
        <v>4364</v>
      </c>
      <c r="G1791" s="6"/>
      <c r="H1791" s="6"/>
      <c r="I1791" s="8">
        <v>-143809.19</v>
      </c>
      <c r="J1791" s="8"/>
      <c r="K1791" s="6"/>
      <c r="L1791" s="6" t="s">
        <v>1096</v>
      </c>
      <c r="N1791" s="6" t="s">
        <v>1096</v>
      </c>
      <c r="O1791" s="29">
        <v>0</v>
      </c>
    </row>
    <row r="1792" s="1" customFormat="1" ht="16.35" hidden="1" customHeight="1" spans="1:17">
      <c r="A1792" s="5"/>
      <c r="B1792" s="6"/>
      <c r="C1792" s="6" t="s">
        <v>4271</v>
      </c>
      <c r="D1792" s="6" t="s">
        <v>4171</v>
      </c>
      <c r="E1792" s="7">
        <v>1</v>
      </c>
      <c r="F1792" s="6" t="s">
        <v>4365</v>
      </c>
      <c r="G1792" s="6"/>
      <c r="H1792" s="6"/>
      <c r="I1792" s="8"/>
      <c r="J1792" s="8">
        <v>121539.05</v>
      </c>
      <c r="K1792" s="6"/>
      <c r="L1792" s="6" t="s">
        <v>1586</v>
      </c>
      <c r="N1792" s="6" t="s">
        <v>1586</v>
      </c>
      <c r="O1792" s="29">
        <v>127616.0025</v>
      </c>
      <c r="Q1792" s="1">
        <f>O1792-J1792</f>
        <v>6076.9525</v>
      </c>
    </row>
    <row r="1793" s="1" customFormat="1" ht="16.35" hidden="1" customHeight="1" spans="1:17">
      <c r="A1793" s="5"/>
      <c r="B1793" s="6"/>
      <c r="C1793" s="6" t="s">
        <v>4271</v>
      </c>
      <c r="D1793" s="6" t="s">
        <v>4171</v>
      </c>
      <c r="E1793" s="7">
        <v>6</v>
      </c>
      <c r="F1793" s="6" t="s">
        <v>4366</v>
      </c>
      <c r="G1793" s="6"/>
      <c r="H1793" s="6"/>
      <c r="I1793" s="8"/>
      <c r="J1793" s="8">
        <v>18095.24</v>
      </c>
      <c r="K1793" s="6"/>
      <c r="L1793" s="6" t="s">
        <v>1586</v>
      </c>
      <c r="N1793" s="6" t="s">
        <v>1586</v>
      </c>
      <c r="O1793" s="29">
        <v>19000.002</v>
      </c>
      <c r="Q1793" s="1">
        <f>O1793-J1793</f>
        <v>904.761999999999</v>
      </c>
    </row>
    <row r="1794" s="1" customFormat="1" ht="16.35" hidden="1" customHeight="1" spans="1:17">
      <c r="A1794" s="5"/>
      <c r="B1794" s="6"/>
      <c r="C1794" s="6" t="s">
        <v>4271</v>
      </c>
      <c r="D1794" s="6" t="s">
        <v>4171</v>
      </c>
      <c r="E1794" s="7">
        <v>17</v>
      </c>
      <c r="F1794" s="6" t="s">
        <v>4351</v>
      </c>
      <c r="G1794" s="6"/>
      <c r="H1794" s="6"/>
      <c r="I1794" s="8"/>
      <c r="J1794" s="8">
        <v>-4762</v>
      </c>
      <c r="K1794" s="6"/>
      <c r="L1794" s="6" t="s">
        <v>1586</v>
      </c>
      <c r="N1794" s="6" t="s">
        <v>1586</v>
      </c>
      <c r="O1794" s="29">
        <v>-5000.1</v>
      </c>
      <c r="Q1794" s="1">
        <f>O1794-J1794</f>
        <v>-238.1</v>
      </c>
    </row>
    <row r="1795" s="1" customFormat="1" ht="16.35" hidden="1" customHeight="1" spans="1:15">
      <c r="A1795" s="5"/>
      <c r="B1795" s="6"/>
      <c r="C1795" s="6" t="s">
        <v>4271</v>
      </c>
      <c r="D1795" s="6" t="s">
        <v>4171</v>
      </c>
      <c r="E1795" s="7">
        <v>21</v>
      </c>
      <c r="F1795" s="6" t="s">
        <v>4367</v>
      </c>
      <c r="G1795" s="6"/>
      <c r="H1795" s="6"/>
      <c r="I1795" s="8">
        <v>227993.33</v>
      </c>
      <c r="J1795" s="8"/>
      <c r="K1795" s="6"/>
      <c r="L1795" s="6" t="s">
        <v>1045</v>
      </c>
      <c r="N1795" s="6" t="s">
        <v>1045</v>
      </c>
      <c r="O1795" s="29">
        <v>0</v>
      </c>
    </row>
    <row r="1796" s="1" customFormat="1" ht="16.35" hidden="1" customHeight="1" spans="1:15">
      <c r="A1796" s="5"/>
      <c r="B1796" s="6"/>
      <c r="C1796" s="6" t="s">
        <v>4271</v>
      </c>
      <c r="D1796" s="6" t="s">
        <v>4171</v>
      </c>
      <c r="E1796" s="7">
        <v>21</v>
      </c>
      <c r="F1796" s="6" t="s">
        <v>4368</v>
      </c>
      <c r="G1796" s="6"/>
      <c r="H1796" s="6"/>
      <c r="I1796" s="8">
        <v>-227993.33</v>
      </c>
      <c r="J1796" s="8"/>
      <c r="K1796" s="6"/>
      <c r="L1796" s="6" t="s">
        <v>1045</v>
      </c>
      <c r="N1796" s="6" t="s">
        <v>1045</v>
      </c>
      <c r="O1796" s="29">
        <v>0</v>
      </c>
    </row>
    <row r="1797" s="1" customFormat="1" ht="16.35" hidden="1" customHeight="1" spans="1:15">
      <c r="A1797" s="5"/>
      <c r="B1797" s="6"/>
      <c r="C1797" s="6" t="s">
        <v>4271</v>
      </c>
      <c r="D1797" s="6" t="s">
        <v>4186</v>
      </c>
      <c r="E1797" s="7">
        <v>4</v>
      </c>
      <c r="F1797" s="6" t="s">
        <v>4369</v>
      </c>
      <c r="G1797" s="6"/>
      <c r="H1797" s="6"/>
      <c r="I1797" s="8"/>
      <c r="J1797" s="8">
        <v>120000</v>
      </c>
      <c r="K1797" s="6"/>
      <c r="L1797" s="6" t="s">
        <v>1007</v>
      </c>
      <c r="N1797" s="6" t="s">
        <v>1007</v>
      </c>
      <c r="O1797" s="29">
        <v>126000</v>
      </c>
    </row>
    <row r="1798" s="1" customFormat="1" ht="16.35" hidden="1" customHeight="1" spans="1:15">
      <c r="A1798" s="5"/>
      <c r="B1798" s="6"/>
      <c r="C1798" s="6" t="s">
        <v>4271</v>
      </c>
      <c r="D1798" s="6" t="s">
        <v>4186</v>
      </c>
      <c r="E1798" s="7">
        <v>11</v>
      </c>
      <c r="F1798" s="6" t="s">
        <v>4121</v>
      </c>
      <c r="G1798" s="6"/>
      <c r="H1798" s="6"/>
      <c r="I1798" s="8">
        <v>194666.67</v>
      </c>
      <c r="J1798" s="8"/>
      <c r="K1798" s="6"/>
      <c r="L1798" s="6" t="s">
        <v>1007</v>
      </c>
      <c r="N1798" s="6" t="s">
        <v>1007</v>
      </c>
      <c r="O1798" s="29">
        <v>0</v>
      </c>
    </row>
    <row r="1799" s="1" customFormat="1" ht="16.35" hidden="1" customHeight="1" spans="1:15">
      <c r="A1799" s="5"/>
      <c r="B1799" s="6"/>
      <c r="C1799" s="6" t="s">
        <v>4271</v>
      </c>
      <c r="D1799" s="6" t="s">
        <v>4186</v>
      </c>
      <c r="E1799" s="7">
        <v>11</v>
      </c>
      <c r="F1799" s="6" t="s">
        <v>4345</v>
      </c>
      <c r="G1799" s="6"/>
      <c r="H1799" s="6"/>
      <c r="I1799" s="8">
        <v>-0.01</v>
      </c>
      <c r="J1799" s="8"/>
      <c r="K1799" s="6"/>
      <c r="L1799" s="6" t="s">
        <v>1007</v>
      </c>
      <c r="N1799" s="6" t="s">
        <v>1007</v>
      </c>
      <c r="O1799" s="29">
        <v>0</v>
      </c>
    </row>
    <row r="1800" s="1" customFormat="1" ht="16.35" hidden="1" customHeight="1" spans="1:15">
      <c r="A1800" s="5"/>
      <c r="B1800" s="6"/>
      <c r="C1800" s="6" t="s">
        <v>4271</v>
      </c>
      <c r="D1800" s="6" t="s">
        <v>4186</v>
      </c>
      <c r="E1800" s="7">
        <v>11</v>
      </c>
      <c r="F1800" s="6" t="s">
        <v>4121</v>
      </c>
      <c r="G1800" s="6"/>
      <c r="H1800" s="6"/>
      <c r="I1800" s="8">
        <v>107924.76</v>
      </c>
      <c r="J1800" s="8"/>
      <c r="K1800" s="6"/>
      <c r="L1800" s="6" t="s">
        <v>1794</v>
      </c>
      <c r="N1800" s="6" t="s">
        <v>1794</v>
      </c>
      <c r="O1800" s="29">
        <v>0</v>
      </c>
    </row>
    <row r="1801" s="1" customFormat="1" ht="16.35" hidden="1" customHeight="1" spans="1:15">
      <c r="A1801" s="5"/>
      <c r="B1801" s="6"/>
      <c r="C1801" s="6" t="s">
        <v>4271</v>
      </c>
      <c r="D1801" s="6" t="s">
        <v>4186</v>
      </c>
      <c r="E1801" s="7">
        <v>11</v>
      </c>
      <c r="F1801" s="6" t="s">
        <v>4345</v>
      </c>
      <c r="G1801" s="6"/>
      <c r="H1801" s="6"/>
      <c r="I1801" s="8">
        <v>-107924.76</v>
      </c>
      <c r="J1801" s="8"/>
      <c r="K1801" s="6"/>
      <c r="L1801" s="6" t="s">
        <v>1794</v>
      </c>
      <c r="N1801" s="6" t="s">
        <v>1794</v>
      </c>
      <c r="O1801" s="29">
        <v>0</v>
      </c>
    </row>
    <row r="1802" s="1" customFormat="1" ht="16.35" hidden="1" customHeight="1" spans="1:15">
      <c r="A1802" s="5"/>
      <c r="B1802" s="6"/>
      <c r="C1802" s="6" t="s">
        <v>4271</v>
      </c>
      <c r="D1802" s="6" t="s">
        <v>4186</v>
      </c>
      <c r="E1802" s="7">
        <v>11</v>
      </c>
      <c r="F1802" s="6" t="s">
        <v>4121</v>
      </c>
      <c r="G1802" s="6"/>
      <c r="H1802" s="6"/>
      <c r="I1802" s="8">
        <v>213942.86</v>
      </c>
      <c r="J1802" s="8"/>
      <c r="K1802" s="6"/>
      <c r="L1802" s="6" t="s">
        <v>1263</v>
      </c>
      <c r="N1802" s="6" t="s">
        <v>1263</v>
      </c>
      <c r="O1802" s="29">
        <v>0</v>
      </c>
    </row>
    <row r="1803" s="1" customFormat="1" ht="16.35" hidden="1" customHeight="1" spans="1:15">
      <c r="A1803" s="5"/>
      <c r="B1803" s="6"/>
      <c r="C1803" s="6" t="s">
        <v>4271</v>
      </c>
      <c r="D1803" s="6" t="s">
        <v>4186</v>
      </c>
      <c r="E1803" s="7">
        <v>11</v>
      </c>
      <c r="F1803" s="6" t="s">
        <v>4345</v>
      </c>
      <c r="G1803" s="6"/>
      <c r="H1803" s="6"/>
      <c r="I1803" s="8">
        <v>-213942.86</v>
      </c>
      <c r="J1803" s="8"/>
      <c r="K1803" s="6"/>
      <c r="L1803" s="6" t="s">
        <v>1263</v>
      </c>
      <c r="N1803" s="6" t="s">
        <v>1263</v>
      </c>
      <c r="O1803" s="29">
        <v>0</v>
      </c>
    </row>
    <row r="1804" s="1" customFormat="1" ht="16.35" hidden="1" customHeight="1" spans="1:15">
      <c r="A1804" s="5"/>
      <c r="B1804" s="6"/>
      <c r="C1804" s="6" t="s">
        <v>4271</v>
      </c>
      <c r="D1804" s="6" t="s">
        <v>4186</v>
      </c>
      <c r="E1804" s="7">
        <v>11</v>
      </c>
      <c r="F1804" s="6" t="s">
        <v>4121</v>
      </c>
      <c r="G1804" s="6"/>
      <c r="H1804" s="6"/>
      <c r="I1804" s="8">
        <v>241142.86</v>
      </c>
      <c r="J1804" s="8"/>
      <c r="K1804" s="6"/>
      <c r="L1804" s="6" t="s">
        <v>4349</v>
      </c>
      <c r="N1804" s="6" t="s">
        <v>4349</v>
      </c>
      <c r="O1804" s="29">
        <v>0</v>
      </c>
    </row>
    <row r="1805" s="1" customFormat="1" ht="16.35" hidden="1" customHeight="1" spans="1:16">
      <c r="A1805" s="5"/>
      <c r="B1805" s="6"/>
      <c r="C1805" s="6" t="s">
        <v>4271</v>
      </c>
      <c r="D1805" s="6" t="s">
        <v>4186</v>
      </c>
      <c r="E1805" s="7">
        <v>1</v>
      </c>
      <c r="F1805" s="6" t="s">
        <v>4370</v>
      </c>
      <c r="G1805" s="6"/>
      <c r="H1805" s="6"/>
      <c r="I1805" s="8"/>
      <c r="J1805" s="8">
        <v>9523.81</v>
      </c>
      <c r="K1805" s="6"/>
      <c r="L1805" s="6" t="s">
        <v>1523</v>
      </c>
      <c r="N1805" s="6" t="s">
        <v>1523</v>
      </c>
      <c r="O1805" s="29">
        <v>10000.0005</v>
      </c>
      <c r="P1805" s="1">
        <f>O1805-J1805</f>
        <v>476.190500000001</v>
      </c>
    </row>
    <row r="1806" s="1" customFormat="1" ht="16.35" hidden="1" customHeight="1" spans="1:15">
      <c r="A1806" s="5"/>
      <c r="B1806" s="6"/>
      <c r="C1806" s="6" t="s">
        <v>4271</v>
      </c>
      <c r="D1806" s="6" t="s">
        <v>4186</v>
      </c>
      <c r="E1806" s="7">
        <v>2</v>
      </c>
      <c r="F1806" s="6" t="s">
        <v>4371</v>
      </c>
      <c r="G1806" s="6"/>
      <c r="H1806" s="6"/>
      <c r="I1806" s="8"/>
      <c r="J1806" s="8">
        <v>9523.81</v>
      </c>
      <c r="K1806" s="6"/>
      <c r="L1806" s="6" t="s">
        <v>4144</v>
      </c>
      <c r="N1806" s="6" t="s">
        <v>4144</v>
      </c>
      <c r="O1806" s="29">
        <v>10000.0005</v>
      </c>
    </row>
    <row r="1807" s="1" customFormat="1" ht="16.35" hidden="1" customHeight="1" spans="1:15">
      <c r="A1807" s="5"/>
      <c r="B1807" s="6"/>
      <c r="C1807" s="6" t="s">
        <v>4271</v>
      </c>
      <c r="D1807" s="6" t="s">
        <v>4186</v>
      </c>
      <c r="E1807" s="7">
        <v>3</v>
      </c>
      <c r="F1807" s="6" t="s">
        <v>4372</v>
      </c>
      <c r="G1807" s="6"/>
      <c r="H1807" s="6"/>
      <c r="I1807" s="8"/>
      <c r="J1807" s="8">
        <v>161714.29</v>
      </c>
      <c r="K1807" s="6"/>
      <c r="L1807" s="6" t="s">
        <v>1160</v>
      </c>
      <c r="N1807" s="6" t="s">
        <v>1160</v>
      </c>
      <c r="O1807" s="29">
        <v>169800.0045</v>
      </c>
    </row>
    <row r="1808" s="1" customFormat="1" ht="16.35" hidden="1" customHeight="1" spans="1:17">
      <c r="A1808" s="5"/>
      <c r="B1808" s="6"/>
      <c r="C1808" s="6" t="s">
        <v>4271</v>
      </c>
      <c r="D1808" s="6" t="s">
        <v>4186</v>
      </c>
      <c r="E1808" s="7">
        <v>5</v>
      </c>
      <c r="F1808" s="6" t="s">
        <v>4373</v>
      </c>
      <c r="G1808" s="6"/>
      <c r="H1808" s="6"/>
      <c r="I1808" s="8"/>
      <c r="J1808" s="8">
        <v>142857.14</v>
      </c>
      <c r="K1808" s="6"/>
      <c r="L1808" s="6" t="s">
        <v>1586</v>
      </c>
      <c r="N1808" s="6" t="s">
        <v>1586</v>
      </c>
      <c r="O1808" s="29">
        <v>149999.997</v>
      </c>
      <c r="Q1808" s="1">
        <f>O1808-J1808</f>
        <v>7142.85699999999</v>
      </c>
    </row>
    <row r="1809" s="1" customFormat="1" ht="16.35" hidden="1" customHeight="1" spans="1:17">
      <c r="A1809" s="5"/>
      <c r="B1809" s="6"/>
      <c r="C1809" s="6" t="s">
        <v>4271</v>
      </c>
      <c r="D1809" s="6" t="s">
        <v>4186</v>
      </c>
      <c r="E1809" s="7">
        <v>11</v>
      </c>
      <c r="F1809" s="6" t="s">
        <v>4121</v>
      </c>
      <c r="G1809" s="6"/>
      <c r="H1809" s="6"/>
      <c r="I1809" s="8">
        <v>282491.43</v>
      </c>
      <c r="J1809" s="8"/>
      <c r="K1809" s="6"/>
      <c r="L1809" s="6" t="s">
        <v>1586</v>
      </c>
      <c r="N1809" s="6" t="s">
        <v>1586</v>
      </c>
      <c r="O1809" s="29">
        <v>0</v>
      </c>
      <c r="Q1809" s="1">
        <f>O1809-J1809</f>
        <v>0</v>
      </c>
    </row>
    <row r="1810" s="1" customFormat="1" ht="16.35" hidden="1" customHeight="1" spans="1:15">
      <c r="A1810" s="5"/>
      <c r="B1810" s="6"/>
      <c r="C1810" s="6" t="s">
        <v>4271</v>
      </c>
      <c r="D1810" s="6" t="s">
        <v>4186</v>
      </c>
      <c r="E1810" s="7">
        <v>11</v>
      </c>
      <c r="F1810" s="6" t="s">
        <v>4121</v>
      </c>
      <c r="G1810" s="6"/>
      <c r="H1810" s="6"/>
      <c r="I1810" s="8">
        <v>194666.67</v>
      </c>
      <c r="J1810" s="8"/>
      <c r="K1810" s="6"/>
      <c r="L1810" s="6" t="s">
        <v>1039</v>
      </c>
      <c r="N1810" s="6" t="s">
        <v>1039</v>
      </c>
      <c r="O1810" s="29">
        <v>0</v>
      </c>
    </row>
    <row r="1811" s="1" customFormat="1" ht="16.35" hidden="1" customHeight="1" spans="1:15">
      <c r="A1811" s="5"/>
      <c r="B1811" s="6"/>
      <c r="C1811" s="6" t="s">
        <v>4271</v>
      </c>
      <c r="D1811" s="6" t="s">
        <v>4186</v>
      </c>
      <c r="E1811" s="7">
        <v>11</v>
      </c>
      <c r="F1811" s="6" t="s">
        <v>4345</v>
      </c>
      <c r="G1811" s="6"/>
      <c r="H1811" s="6"/>
      <c r="I1811" s="8">
        <v>-194666.67</v>
      </c>
      <c r="J1811" s="8"/>
      <c r="K1811" s="6"/>
      <c r="L1811" s="6" t="s">
        <v>1039</v>
      </c>
      <c r="N1811" s="6" t="s">
        <v>1039</v>
      </c>
      <c r="O1811" s="29">
        <v>0</v>
      </c>
    </row>
    <row r="1812" s="1" customFormat="1" ht="16.35" hidden="1" customHeight="1" spans="1:15">
      <c r="A1812" s="5"/>
      <c r="B1812" s="6"/>
      <c r="C1812" s="6" t="s">
        <v>4271</v>
      </c>
      <c r="D1812" s="6" t="s">
        <v>4197</v>
      </c>
      <c r="E1812" s="7">
        <v>7</v>
      </c>
      <c r="F1812" s="6" t="s">
        <v>4374</v>
      </c>
      <c r="G1812" s="6"/>
      <c r="H1812" s="6"/>
      <c r="I1812" s="8">
        <v>262665</v>
      </c>
      <c r="J1812" s="8"/>
      <c r="K1812" s="6"/>
      <c r="L1812" s="6" t="s">
        <v>1339</v>
      </c>
      <c r="N1812" s="6" t="s">
        <v>1339</v>
      </c>
      <c r="O1812" s="29">
        <v>0</v>
      </c>
    </row>
    <row r="1813" s="1" customFormat="1" ht="16.35" hidden="1" customHeight="1" spans="1:15">
      <c r="A1813" s="5"/>
      <c r="B1813" s="6"/>
      <c r="C1813" s="6" t="s">
        <v>4271</v>
      </c>
      <c r="D1813" s="6" t="s">
        <v>4197</v>
      </c>
      <c r="E1813" s="7">
        <v>7</v>
      </c>
      <c r="F1813" s="6" t="s">
        <v>4375</v>
      </c>
      <c r="G1813" s="6"/>
      <c r="H1813" s="6"/>
      <c r="I1813" s="8">
        <v>-262665</v>
      </c>
      <c r="J1813" s="8"/>
      <c r="K1813" s="6"/>
      <c r="L1813" s="6" t="s">
        <v>1339</v>
      </c>
      <c r="N1813" s="6" t="s">
        <v>1339</v>
      </c>
      <c r="O1813" s="29">
        <v>0</v>
      </c>
    </row>
    <row r="1814" s="1" customFormat="1" ht="16.35" hidden="1" customHeight="1" spans="1:15">
      <c r="A1814" s="5"/>
      <c r="B1814" s="6"/>
      <c r="C1814" s="6" t="s">
        <v>4271</v>
      </c>
      <c r="D1814" s="6" t="s">
        <v>4197</v>
      </c>
      <c r="E1814" s="7">
        <v>8</v>
      </c>
      <c r="F1814" s="6" t="s">
        <v>4376</v>
      </c>
      <c r="G1814" s="6"/>
      <c r="H1814" s="6"/>
      <c r="I1814" s="8"/>
      <c r="J1814" s="8">
        <v>185523.81</v>
      </c>
      <c r="K1814" s="6"/>
      <c r="L1814" s="6" t="s">
        <v>1104</v>
      </c>
      <c r="N1814" s="6" t="s">
        <v>1104</v>
      </c>
      <c r="O1814" s="29">
        <v>194800.0005</v>
      </c>
    </row>
    <row r="1815" s="1" customFormat="1" ht="16.35" hidden="1" customHeight="1" spans="1:15">
      <c r="A1815" s="5"/>
      <c r="B1815" s="6"/>
      <c r="C1815" s="6" t="s">
        <v>4271</v>
      </c>
      <c r="D1815" s="6" t="s">
        <v>4197</v>
      </c>
      <c r="E1815" s="7">
        <v>7</v>
      </c>
      <c r="F1815" s="6" t="s">
        <v>4377</v>
      </c>
      <c r="G1815" s="6"/>
      <c r="H1815" s="6"/>
      <c r="I1815" s="8">
        <v>276614</v>
      </c>
      <c r="J1815" s="8"/>
      <c r="K1815" s="6"/>
      <c r="L1815" s="6" t="s">
        <v>985</v>
      </c>
      <c r="N1815" s="6" t="s">
        <v>985</v>
      </c>
      <c r="O1815" s="29">
        <v>0</v>
      </c>
    </row>
    <row r="1816" s="1" customFormat="1" ht="16.35" hidden="1" customHeight="1" spans="1:15">
      <c r="A1816" s="5"/>
      <c r="B1816" s="6"/>
      <c r="C1816" s="6" t="s">
        <v>4271</v>
      </c>
      <c r="D1816" s="6" t="s">
        <v>4197</v>
      </c>
      <c r="E1816" s="7">
        <v>7</v>
      </c>
      <c r="F1816" s="6" t="s">
        <v>4378</v>
      </c>
      <c r="G1816" s="6"/>
      <c r="H1816" s="6"/>
      <c r="I1816" s="8">
        <v>-276614</v>
      </c>
      <c r="J1816" s="8"/>
      <c r="K1816" s="6"/>
      <c r="L1816" s="6" t="s">
        <v>985</v>
      </c>
      <c r="N1816" s="6" t="s">
        <v>985</v>
      </c>
      <c r="O1816" s="29">
        <v>0</v>
      </c>
    </row>
    <row r="1817" s="1" customFormat="1" ht="16.35" hidden="1" customHeight="1" spans="1:15">
      <c r="A1817" s="5"/>
      <c r="B1817" s="6"/>
      <c r="C1817" s="6" t="s">
        <v>4271</v>
      </c>
      <c r="D1817" s="6" t="s">
        <v>4197</v>
      </c>
      <c r="E1817" s="7">
        <v>7</v>
      </c>
      <c r="F1817" s="6" t="s">
        <v>4379</v>
      </c>
      <c r="G1817" s="6"/>
      <c r="H1817" s="6"/>
      <c r="I1817" s="8">
        <v>196900</v>
      </c>
      <c r="J1817" s="8"/>
      <c r="K1817" s="6"/>
      <c r="L1817" s="6" t="s">
        <v>1092</v>
      </c>
      <c r="N1817" s="6" t="s">
        <v>1092</v>
      </c>
      <c r="O1817" s="29">
        <v>0</v>
      </c>
    </row>
    <row r="1818" s="1" customFormat="1" ht="16.35" hidden="1" customHeight="1" spans="1:15">
      <c r="A1818" s="5"/>
      <c r="B1818" s="6"/>
      <c r="C1818" s="6" t="s">
        <v>4271</v>
      </c>
      <c r="D1818" s="6" t="s">
        <v>4197</v>
      </c>
      <c r="E1818" s="7">
        <v>7</v>
      </c>
      <c r="F1818" s="6" t="s">
        <v>4380</v>
      </c>
      <c r="G1818" s="6"/>
      <c r="H1818" s="6"/>
      <c r="I1818" s="8">
        <v>-196900</v>
      </c>
      <c r="J1818" s="8"/>
      <c r="K1818" s="6"/>
      <c r="L1818" s="6" t="s">
        <v>1092</v>
      </c>
      <c r="N1818" s="6" t="s">
        <v>1092</v>
      </c>
      <c r="O1818" s="29">
        <v>0</v>
      </c>
    </row>
    <row r="1819" s="1" customFormat="1" ht="16.35" hidden="1" customHeight="1" spans="1:16">
      <c r="A1819" s="5"/>
      <c r="B1819" s="6"/>
      <c r="C1819" s="6" t="s">
        <v>4271</v>
      </c>
      <c r="D1819" s="6" t="s">
        <v>4197</v>
      </c>
      <c r="E1819" s="7">
        <v>9</v>
      </c>
      <c r="F1819" s="6" t="s">
        <v>4381</v>
      </c>
      <c r="G1819" s="6"/>
      <c r="H1819" s="6"/>
      <c r="I1819" s="8"/>
      <c r="J1819" s="8">
        <v>119047.62</v>
      </c>
      <c r="K1819" s="6"/>
      <c r="L1819" s="6" t="s">
        <v>1401</v>
      </c>
      <c r="N1819" s="6" t="s">
        <v>1401</v>
      </c>
      <c r="O1819" s="29">
        <v>125000.001</v>
      </c>
      <c r="P1819" s="1">
        <f>O1819-J1819</f>
        <v>5952.38100000001</v>
      </c>
    </row>
    <row r="1820" s="1" customFormat="1" ht="16.35" hidden="1" customHeight="1" spans="1:15">
      <c r="A1820" s="5"/>
      <c r="B1820" s="6"/>
      <c r="C1820" s="6" t="s">
        <v>4271</v>
      </c>
      <c r="D1820" s="6" t="s">
        <v>4197</v>
      </c>
      <c r="E1820" s="7">
        <v>7</v>
      </c>
      <c r="F1820" s="6" t="s">
        <v>4382</v>
      </c>
      <c r="G1820" s="6"/>
      <c r="H1820" s="6"/>
      <c r="I1820" s="8">
        <v>214800</v>
      </c>
      <c r="J1820" s="8"/>
      <c r="K1820" s="6"/>
      <c r="L1820" s="6" t="s">
        <v>1160</v>
      </c>
      <c r="N1820" s="6" t="s">
        <v>1160</v>
      </c>
      <c r="O1820" s="29">
        <v>0</v>
      </c>
    </row>
    <row r="1821" s="1" customFormat="1" ht="16.35" hidden="1" customHeight="1" spans="1:15">
      <c r="A1821" s="5"/>
      <c r="B1821" s="6"/>
      <c r="C1821" s="6" t="s">
        <v>4271</v>
      </c>
      <c r="D1821" s="6" t="s">
        <v>4197</v>
      </c>
      <c r="E1821" s="7">
        <v>7</v>
      </c>
      <c r="F1821" s="6" t="s">
        <v>4383</v>
      </c>
      <c r="G1821" s="6"/>
      <c r="H1821" s="6"/>
      <c r="I1821" s="8">
        <v>-19752.28</v>
      </c>
      <c r="J1821" s="8"/>
      <c r="K1821" s="6"/>
      <c r="L1821" s="6" t="s">
        <v>1160</v>
      </c>
      <c r="N1821" s="6" t="s">
        <v>1160</v>
      </c>
      <c r="O1821" s="29">
        <v>0</v>
      </c>
    </row>
    <row r="1822" s="1" customFormat="1" ht="16.35" hidden="1" customHeight="1" spans="1:15">
      <c r="A1822" s="5"/>
      <c r="B1822" s="6"/>
      <c r="C1822" s="6" t="s">
        <v>4271</v>
      </c>
      <c r="D1822" s="6" t="s">
        <v>4197</v>
      </c>
      <c r="E1822" s="7">
        <v>7</v>
      </c>
      <c r="F1822" s="6" t="s">
        <v>4384</v>
      </c>
      <c r="G1822" s="6"/>
      <c r="H1822" s="6"/>
      <c r="I1822" s="8">
        <v>223034</v>
      </c>
      <c r="J1822" s="8"/>
      <c r="K1822" s="6"/>
      <c r="L1822" s="6" t="s">
        <v>1079</v>
      </c>
      <c r="N1822" s="6" t="s">
        <v>1079</v>
      </c>
      <c r="O1822" s="29">
        <v>0</v>
      </c>
    </row>
    <row r="1823" s="1" customFormat="1" ht="16.35" hidden="1" customHeight="1" spans="1:15">
      <c r="A1823" s="5"/>
      <c r="B1823" s="6"/>
      <c r="C1823" s="6" t="s">
        <v>4271</v>
      </c>
      <c r="D1823" s="6" t="s">
        <v>4197</v>
      </c>
      <c r="E1823" s="7">
        <v>7</v>
      </c>
      <c r="F1823" s="6" t="s">
        <v>4385</v>
      </c>
      <c r="G1823" s="6"/>
      <c r="H1823" s="6"/>
      <c r="I1823" s="8">
        <v>-223034</v>
      </c>
      <c r="J1823" s="8"/>
      <c r="K1823" s="6"/>
      <c r="L1823" s="6" t="s">
        <v>1079</v>
      </c>
      <c r="N1823" s="6" t="s">
        <v>1079</v>
      </c>
      <c r="O1823" s="29">
        <v>0</v>
      </c>
    </row>
    <row r="1824" s="1" customFormat="1" ht="16.35" hidden="1" customHeight="1" spans="1:15">
      <c r="A1824" s="5"/>
      <c r="B1824" s="6"/>
      <c r="C1824" s="6" t="s">
        <v>4271</v>
      </c>
      <c r="D1824" s="6" t="s">
        <v>4197</v>
      </c>
      <c r="E1824" s="7">
        <v>7</v>
      </c>
      <c r="F1824" s="6" t="s">
        <v>4386</v>
      </c>
      <c r="G1824" s="6"/>
      <c r="H1824" s="6"/>
      <c r="I1824" s="8">
        <v>299988</v>
      </c>
      <c r="J1824" s="8"/>
      <c r="K1824" s="6"/>
      <c r="L1824" s="6" t="s">
        <v>1678</v>
      </c>
      <c r="N1824" s="6" t="s">
        <v>1678</v>
      </c>
      <c r="O1824" s="29">
        <v>0</v>
      </c>
    </row>
    <row r="1825" s="1" customFormat="1" ht="16.35" hidden="1" customHeight="1" spans="1:15">
      <c r="A1825" s="5"/>
      <c r="B1825" s="6"/>
      <c r="C1825" s="6" t="s">
        <v>4271</v>
      </c>
      <c r="D1825" s="6" t="s">
        <v>4197</v>
      </c>
      <c r="E1825" s="7">
        <v>7</v>
      </c>
      <c r="F1825" s="6" t="s">
        <v>4387</v>
      </c>
      <c r="G1825" s="6"/>
      <c r="H1825" s="6"/>
      <c r="I1825" s="8">
        <v>-299988</v>
      </c>
      <c r="J1825" s="8"/>
      <c r="K1825" s="6"/>
      <c r="L1825" s="6" t="s">
        <v>1678</v>
      </c>
      <c r="N1825" s="6" t="s">
        <v>1678</v>
      </c>
      <c r="O1825" s="29">
        <v>0</v>
      </c>
    </row>
    <row r="1826" s="1" customFormat="1" ht="16.35" hidden="1" customHeight="1" spans="1:15">
      <c r="A1826" s="5"/>
      <c r="B1826" s="6"/>
      <c r="C1826" s="6" t="s">
        <v>4271</v>
      </c>
      <c r="D1826" s="6" t="s">
        <v>4217</v>
      </c>
      <c r="E1826" s="7">
        <v>1</v>
      </c>
      <c r="F1826" s="6" t="s">
        <v>4388</v>
      </c>
      <c r="G1826" s="6"/>
      <c r="H1826" s="6"/>
      <c r="I1826" s="8"/>
      <c r="J1826" s="8">
        <v>19048</v>
      </c>
      <c r="K1826" s="6"/>
      <c r="L1826" s="6" t="s">
        <v>1104</v>
      </c>
      <c r="N1826" s="6" t="s">
        <v>1104</v>
      </c>
      <c r="O1826" s="29">
        <v>20000.4</v>
      </c>
    </row>
    <row r="1827" s="1" customFormat="1" ht="16.35" hidden="1" customHeight="1" spans="1:16">
      <c r="A1827" s="5"/>
      <c r="B1827" s="6"/>
      <c r="C1827" s="6" t="s">
        <v>4271</v>
      </c>
      <c r="D1827" s="6" t="s">
        <v>4217</v>
      </c>
      <c r="E1827" s="7">
        <v>1</v>
      </c>
      <c r="F1827" s="6" t="s">
        <v>4388</v>
      </c>
      <c r="G1827" s="6"/>
      <c r="H1827" s="6"/>
      <c r="I1827" s="8"/>
      <c r="J1827" s="8">
        <v>-19048</v>
      </c>
      <c r="K1827" s="6"/>
      <c r="L1827" s="6" t="s">
        <v>1367</v>
      </c>
      <c r="N1827" s="6" t="s">
        <v>1367</v>
      </c>
      <c r="O1827" s="29">
        <v>-20000.4</v>
      </c>
      <c r="P1827" s="1">
        <f>O1827-J1827</f>
        <v>-952.400000000001</v>
      </c>
    </row>
    <row r="1828" s="1" customFormat="1" ht="16.35" hidden="1" customHeight="1" spans="1:15">
      <c r="A1828" s="5"/>
      <c r="B1828" s="6"/>
      <c r="C1828" s="6" t="s">
        <v>4271</v>
      </c>
      <c r="D1828" s="6" t="s">
        <v>4221</v>
      </c>
      <c r="E1828" s="7">
        <v>15</v>
      </c>
      <c r="F1828" s="6" t="s">
        <v>4389</v>
      </c>
      <c r="G1828" s="6"/>
      <c r="H1828" s="6"/>
      <c r="I1828" s="8">
        <v>204571.43</v>
      </c>
      <c r="J1828" s="8"/>
      <c r="K1828" s="6"/>
      <c r="L1828" s="6" t="s">
        <v>1104</v>
      </c>
      <c r="N1828" s="6" t="s">
        <v>1104</v>
      </c>
      <c r="O1828" s="29">
        <v>0</v>
      </c>
    </row>
    <row r="1829" s="1" customFormat="1" ht="16.35" hidden="1" customHeight="1" spans="1:15">
      <c r="A1829" s="5"/>
      <c r="B1829" s="6"/>
      <c r="C1829" s="6" t="s">
        <v>4271</v>
      </c>
      <c r="D1829" s="6" t="s">
        <v>4221</v>
      </c>
      <c r="E1829" s="7">
        <v>15</v>
      </c>
      <c r="F1829" s="6" t="s">
        <v>4390</v>
      </c>
      <c r="G1829" s="6"/>
      <c r="H1829" s="6"/>
      <c r="I1829" s="8">
        <v>0.38</v>
      </c>
      <c r="J1829" s="8"/>
      <c r="K1829" s="6"/>
      <c r="L1829" s="6" t="s">
        <v>1104</v>
      </c>
      <c r="N1829" s="6" t="s">
        <v>1104</v>
      </c>
      <c r="O1829" s="29">
        <v>0</v>
      </c>
    </row>
    <row r="1830" s="1" customFormat="1" ht="16.35" hidden="1" customHeight="1" spans="1:15">
      <c r="A1830" s="5"/>
      <c r="B1830" s="6"/>
      <c r="C1830" s="6" t="s">
        <v>4271</v>
      </c>
      <c r="D1830" s="6" t="s">
        <v>4221</v>
      </c>
      <c r="E1830" s="7">
        <v>16</v>
      </c>
      <c r="F1830" s="6" t="s">
        <v>4391</v>
      </c>
      <c r="G1830" s="6"/>
      <c r="H1830" s="6"/>
      <c r="I1830" s="8">
        <v>111893.33</v>
      </c>
      <c r="J1830" s="8"/>
      <c r="K1830" s="6"/>
      <c r="L1830" s="6" t="s">
        <v>1842</v>
      </c>
      <c r="N1830" s="6" t="s">
        <v>1842</v>
      </c>
      <c r="O1830" s="29">
        <v>0</v>
      </c>
    </row>
    <row r="1831" s="1" customFormat="1" ht="16.35" hidden="1" customHeight="1" spans="1:15">
      <c r="A1831" s="5"/>
      <c r="B1831" s="6"/>
      <c r="C1831" s="6" t="s">
        <v>4271</v>
      </c>
      <c r="D1831" s="6" t="s">
        <v>4221</v>
      </c>
      <c r="E1831" s="7">
        <v>16</v>
      </c>
      <c r="F1831" s="6" t="s">
        <v>4392</v>
      </c>
      <c r="G1831" s="6"/>
      <c r="H1831" s="6"/>
      <c r="I1831" s="8">
        <v>-111893.33</v>
      </c>
      <c r="J1831" s="8"/>
      <c r="K1831" s="6"/>
      <c r="L1831" s="6" t="s">
        <v>1842</v>
      </c>
      <c r="N1831" s="6" t="s">
        <v>1842</v>
      </c>
      <c r="O1831" s="29">
        <v>0</v>
      </c>
    </row>
    <row r="1832" s="1" customFormat="1" ht="16.35" hidden="1" customHeight="1" spans="1:15">
      <c r="A1832" s="5"/>
      <c r="B1832" s="6"/>
      <c r="C1832" s="6" t="s">
        <v>4271</v>
      </c>
      <c r="D1832" s="6" t="s">
        <v>4221</v>
      </c>
      <c r="E1832" s="7">
        <v>15</v>
      </c>
      <c r="F1832" s="6" t="s">
        <v>4393</v>
      </c>
      <c r="G1832" s="6"/>
      <c r="H1832" s="6"/>
      <c r="I1832" s="8">
        <v>225714.29</v>
      </c>
      <c r="J1832" s="8"/>
      <c r="K1832" s="6"/>
      <c r="L1832" s="6" t="s">
        <v>4144</v>
      </c>
      <c r="N1832" s="6" t="s">
        <v>4144</v>
      </c>
      <c r="O1832" s="29">
        <v>0</v>
      </c>
    </row>
    <row r="1833" s="1" customFormat="1" ht="16.35" hidden="1" customHeight="1" spans="1:15">
      <c r="A1833" s="5"/>
      <c r="B1833" s="6"/>
      <c r="C1833" s="6" t="s">
        <v>4271</v>
      </c>
      <c r="D1833" s="6" t="s">
        <v>4221</v>
      </c>
      <c r="E1833" s="7">
        <v>15</v>
      </c>
      <c r="F1833" s="6" t="s">
        <v>4394</v>
      </c>
      <c r="G1833" s="6"/>
      <c r="H1833" s="6"/>
      <c r="I1833" s="8">
        <v>0.52</v>
      </c>
      <c r="J1833" s="8"/>
      <c r="K1833" s="6"/>
      <c r="L1833" s="6" t="s">
        <v>4144</v>
      </c>
      <c r="N1833" s="6" t="s">
        <v>4144</v>
      </c>
      <c r="O1833" s="29">
        <v>0</v>
      </c>
    </row>
    <row r="1834" s="1" customFormat="1" ht="16.35" hidden="1" customHeight="1" spans="1:15">
      <c r="A1834" s="5"/>
      <c r="B1834" s="6"/>
      <c r="C1834" s="6" t="s">
        <v>4271</v>
      </c>
      <c r="D1834" s="6" t="s">
        <v>4236</v>
      </c>
      <c r="E1834" s="7">
        <v>1</v>
      </c>
      <c r="F1834" s="6" t="s">
        <v>4395</v>
      </c>
      <c r="G1834" s="6"/>
      <c r="H1834" s="6"/>
      <c r="I1834" s="8"/>
      <c r="J1834" s="8">
        <v>600054</v>
      </c>
      <c r="K1834" s="6"/>
      <c r="L1834" s="6" t="s">
        <v>4396</v>
      </c>
      <c r="N1834" s="6" t="s">
        <v>4396</v>
      </c>
      <c r="O1834" s="29">
        <v>600054</v>
      </c>
    </row>
    <row r="1835" s="1" customFormat="1" ht="16.35" hidden="1" customHeight="1" spans="1:15">
      <c r="A1835" s="5"/>
      <c r="B1835" s="6"/>
      <c r="C1835" s="6" t="s">
        <v>4271</v>
      </c>
      <c r="D1835" s="6" t="s">
        <v>4253</v>
      </c>
      <c r="E1835" s="7">
        <v>11</v>
      </c>
      <c r="F1835" s="6" t="s">
        <v>4397</v>
      </c>
      <c r="G1835" s="6"/>
      <c r="H1835" s="6"/>
      <c r="I1835" s="8"/>
      <c r="J1835" s="8">
        <v>-122095.24</v>
      </c>
      <c r="K1835" s="6"/>
      <c r="L1835" s="6" t="s">
        <v>4349</v>
      </c>
      <c r="N1835" s="6" t="s">
        <v>4349</v>
      </c>
      <c r="O1835" s="29">
        <v>-128200.002</v>
      </c>
    </row>
    <row r="1836" s="1" customFormat="1" ht="16.35" hidden="1" customHeight="1" spans="1:16">
      <c r="A1836" s="5"/>
      <c r="B1836" s="6"/>
      <c r="C1836" s="6" t="s">
        <v>4271</v>
      </c>
      <c r="D1836" s="6" t="s">
        <v>4253</v>
      </c>
      <c r="E1836" s="7">
        <v>11</v>
      </c>
      <c r="F1836" s="6" t="s">
        <v>4397</v>
      </c>
      <c r="G1836" s="6"/>
      <c r="H1836" s="6"/>
      <c r="I1836" s="8"/>
      <c r="J1836" s="8">
        <v>122095.24</v>
      </c>
      <c r="K1836" s="6"/>
      <c r="L1836" s="6" t="s">
        <v>1401</v>
      </c>
      <c r="N1836" s="6" t="s">
        <v>1401</v>
      </c>
      <c r="O1836" s="29">
        <v>128200.002</v>
      </c>
      <c r="P1836" s="1">
        <f>O1836-J1836</f>
        <v>6104.76199999999</v>
      </c>
    </row>
    <row r="1837" s="1" customFormat="1" ht="16.35" hidden="1" customHeight="1" spans="1:15">
      <c r="A1837" s="5"/>
      <c r="B1837" s="6"/>
      <c r="C1837" s="6" t="s">
        <v>4271</v>
      </c>
      <c r="D1837" s="6" t="s">
        <v>4253</v>
      </c>
      <c r="E1837" s="7">
        <v>13</v>
      </c>
      <c r="F1837" s="6" t="s">
        <v>4398</v>
      </c>
      <c r="G1837" s="6"/>
      <c r="H1837" s="6"/>
      <c r="I1837" s="8"/>
      <c r="J1837" s="8">
        <v>131</v>
      </c>
      <c r="K1837" s="6"/>
      <c r="L1837" s="6" t="s">
        <v>1312</v>
      </c>
      <c r="N1837" s="6" t="s">
        <v>1312</v>
      </c>
      <c r="O1837" s="29">
        <v>137.55</v>
      </c>
    </row>
    <row r="1838" s="1" customFormat="1" ht="16.35" hidden="1" customHeight="1" spans="1:15">
      <c r="A1838" s="5"/>
      <c r="B1838" s="6"/>
      <c r="C1838" s="6" t="s">
        <v>4271</v>
      </c>
      <c r="D1838" s="6" t="s">
        <v>4253</v>
      </c>
      <c r="E1838" s="7">
        <v>12</v>
      </c>
      <c r="F1838" s="6" t="s">
        <v>4399</v>
      </c>
      <c r="G1838" s="6"/>
      <c r="H1838" s="6"/>
      <c r="I1838" s="8">
        <v>56320.62</v>
      </c>
      <c r="J1838" s="8"/>
      <c r="K1838" s="6"/>
      <c r="L1838" s="6" t="s">
        <v>1898</v>
      </c>
      <c r="N1838" s="6" t="s">
        <v>1898</v>
      </c>
      <c r="O1838" s="29">
        <v>0</v>
      </c>
    </row>
    <row r="1839" s="1" customFormat="1" ht="16.35" hidden="1" customHeight="1" spans="1:16">
      <c r="A1839" s="5"/>
      <c r="B1839" s="6"/>
      <c r="C1839" s="6" t="s">
        <v>4400</v>
      </c>
      <c r="D1839" s="6" t="s">
        <v>4124</v>
      </c>
      <c r="E1839" s="7">
        <v>1</v>
      </c>
      <c r="F1839" s="6" t="s">
        <v>4401</v>
      </c>
      <c r="G1839" s="6"/>
      <c r="H1839" s="6"/>
      <c r="I1839" s="8"/>
      <c r="J1839" s="8">
        <v>24207</v>
      </c>
      <c r="K1839" s="6"/>
      <c r="L1839" s="6" t="s">
        <v>1257</v>
      </c>
      <c r="N1839" s="6" t="s">
        <v>1257</v>
      </c>
      <c r="O1839" s="29">
        <v>24207</v>
      </c>
      <c r="P1839" s="1">
        <f>O1839-J1839</f>
        <v>0</v>
      </c>
    </row>
    <row r="1840" s="1" customFormat="1" ht="16.35" hidden="1" customHeight="1" spans="1:15">
      <c r="A1840" s="5"/>
      <c r="B1840" s="6"/>
      <c r="C1840" s="6" t="s">
        <v>4400</v>
      </c>
      <c r="D1840" s="6" t="s">
        <v>4124</v>
      </c>
      <c r="E1840" s="7">
        <v>2</v>
      </c>
      <c r="F1840" s="6" t="s">
        <v>4402</v>
      </c>
      <c r="G1840" s="6"/>
      <c r="H1840" s="6"/>
      <c r="I1840" s="8">
        <v>-195239</v>
      </c>
      <c r="J1840" s="8"/>
      <c r="K1840" s="6"/>
      <c r="L1840" s="6" t="s">
        <v>1257</v>
      </c>
      <c r="N1840" s="6" t="s">
        <v>1257</v>
      </c>
      <c r="O1840" s="29">
        <v>0</v>
      </c>
    </row>
    <row r="1841" s="1" customFormat="1" ht="16.35" hidden="1" customHeight="1" spans="1:15">
      <c r="A1841" s="5"/>
      <c r="B1841" s="6"/>
      <c r="C1841" s="6" t="s">
        <v>4400</v>
      </c>
      <c r="D1841" s="6" t="s">
        <v>4124</v>
      </c>
      <c r="E1841" s="7">
        <v>2</v>
      </c>
      <c r="F1841" s="6" t="s">
        <v>4403</v>
      </c>
      <c r="G1841" s="6"/>
      <c r="H1841" s="6"/>
      <c r="I1841" s="8">
        <v>229207</v>
      </c>
      <c r="J1841" s="8"/>
      <c r="K1841" s="6"/>
      <c r="L1841" s="6" t="s">
        <v>1257</v>
      </c>
      <c r="N1841" s="6" t="s">
        <v>1257</v>
      </c>
      <c r="O1841" s="29">
        <v>0</v>
      </c>
    </row>
    <row r="1842" s="30" customFormat="1" ht="16.35" hidden="1" customHeight="1" spans="1:16">
      <c r="A1842" s="41"/>
      <c r="B1842" s="42"/>
      <c r="C1842" s="42" t="s">
        <v>4400</v>
      </c>
      <c r="D1842" s="42" t="s">
        <v>4124</v>
      </c>
      <c r="E1842" s="43">
        <v>2</v>
      </c>
      <c r="F1842" s="42" t="s">
        <v>4404</v>
      </c>
      <c r="G1842" s="42"/>
      <c r="H1842" s="42"/>
      <c r="I1842" s="44"/>
      <c r="J1842" s="44">
        <v>9761</v>
      </c>
      <c r="K1842" s="42"/>
      <c r="L1842" s="42" t="s">
        <v>1257</v>
      </c>
      <c r="N1842" s="42" t="s">
        <v>1257</v>
      </c>
      <c r="O1842" s="31">
        <v>9761</v>
      </c>
      <c r="P1842" s="30" t="s">
        <v>4405</v>
      </c>
    </row>
    <row r="1843" s="1" customFormat="1" ht="16.35" hidden="1" customHeight="1" spans="1:16">
      <c r="A1843" s="5"/>
      <c r="B1843" s="6"/>
      <c r="C1843" s="6" t="s">
        <v>4400</v>
      </c>
      <c r="D1843" s="6" t="s">
        <v>4279</v>
      </c>
      <c r="E1843" s="7">
        <v>1</v>
      </c>
      <c r="F1843" s="6" t="s">
        <v>4406</v>
      </c>
      <c r="G1843" s="6"/>
      <c r="H1843" s="6"/>
      <c r="I1843" s="8"/>
      <c r="J1843" s="8">
        <v>50000</v>
      </c>
      <c r="K1843" s="6"/>
      <c r="L1843" s="6" t="s">
        <v>1503</v>
      </c>
      <c r="N1843" s="6" t="s">
        <v>1503</v>
      </c>
      <c r="O1843" s="29">
        <v>50000</v>
      </c>
      <c r="P1843" s="1">
        <f>O1843-J1843</f>
        <v>0</v>
      </c>
    </row>
    <row r="1844" s="1" customFormat="1" ht="16.35" hidden="1" customHeight="1" spans="1:15">
      <c r="A1844" s="5"/>
      <c r="B1844" s="6"/>
      <c r="C1844" s="6" t="s">
        <v>4400</v>
      </c>
      <c r="D1844" s="6" t="s">
        <v>4279</v>
      </c>
      <c r="E1844" s="7">
        <v>5</v>
      </c>
      <c r="F1844" s="6" t="s">
        <v>4407</v>
      </c>
      <c r="G1844" s="6"/>
      <c r="H1844" s="6"/>
      <c r="I1844" s="8"/>
      <c r="J1844" s="8">
        <v>151616</v>
      </c>
      <c r="K1844" s="6"/>
      <c r="L1844" s="6" t="s">
        <v>1581</v>
      </c>
      <c r="N1844" s="6" t="s">
        <v>1581</v>
      </c>
      <c r="O1844" s="29">
        <v>151616</v>
      </c>
    </row>
    <row r="1845" s="1" customFormat="1" ht="16.35" hidden="1" customHeight="1" spans="1:16">
      <c r="A1845" s="5"/>
      <c r="B1845" s="6"/>
      <c r="C1845" s="6" t="s">
        <v>4400</v>
      </c>
      <c r="D1845" s="6" t="s">
        <v>4279</v>
      </c>
      <c r="E1845" s="7">
        <v>3</v>
      </c>
      <c r="F1845" s="6" t="s">
        <v>4408</v>
      </c>
      <c r="G1845" s="6"/>
      <c r="H1845" s="6"/>
      <c r="I1845" s="8"/>
      <c r="J1845" s="8">
        <v>5575</v>
      </c>
      <c r="K1845" s="6"/>
      <c r="L1845" s="6" t="s">
        <v>1226</v>
      </c>
      <c r="N1845" s="6" t="s">
        <v>1226</v>
      </c>
      <c r="O1845" s="29">
        <f>J1845*1.05</f>
        <v>5853.75</v>
      </c>
      <c r="P1845" s="1">
        <f>O1845-J1845</f>
        <v>278.75</v>
      </c>
    </row>
    <row r="1846" s="1" customFormat="1" ht="16.35" hidden="1" customHeight="1" spans="1:15">
      <c r="A1846" s="5"/>
      <c r="B1846" s="6"/>
      <c r="C1846" s="6" t="s">
        <v>4400</v>
      </c>
      <c r="D1846" s="6" t="s">
        <v>4279</v>
      </c>
      <c r="E1846" s="7">
        <v>4</v>
      </c>
      <c r="F1846" s="6" t="s">
        <v>4409</v>
      </c>
      <c r="G1846" s="6"/>
      <c r="H1846" s="6"/>
      <c r="I1846" s="8"/>
      <c r="J1846" s="8">
        <v>5575</v>
      </c>
      <c r="K1846" s="6"/>
      <c r="L1846" s="6" t="s">
        <v>1228</v>
      </c>
      <c r="N1846" s="6" t="s">
        <v>1228</v>
      </c>
      <c r="O1846" s="29">
        <v>5575</v>
      </c>
    </row>
    <row r="1847" s="1" customFormat="1" ht="16.35" hidden="1" customHeight="1" spans="1:15">
      <c r="A1847" s="5"/>
      <c r="B1847" s="6"/>
      <c r="C1847" s="6" t="s">
        <v>4400</v>
      </c>
      <c r="D1847" s="6" t="s">
        <v>4279</v>
      </c>
      <c r="E1847" s="7">
        <v>8</v>
      </c>
      <c r="F1847" s="6" t="s">
        <v>4410</v>
      </c>
      <c r="G1847" s="6"/>
      <c r="H1847" s="6"/>
      <c r="I1847" s="8">
        <v>-213542</v>
      </c>
      <c r="J1847" s="8"/>
      <c r="K1847" s="6"/>
      <c r="L1847" s="6" t="s">
        <v>1290</v>
      </c>
      <c r="N1847" s="6" t="s">
        <v>1290</v>
      </c>
      <c r="O1847" s="29">
        <v>0</v>
      </c>
    </row>
    <row r="1848" s="1" customFormat="1" ht="16.35" hidden="1" customHeight="1" spans="1:15">
      <c r="A1848" s="5"/>
      <c r="B1848" s="6"/>
      <c r="C1848" s="6" t="s">
        <v>4400</v>
      </c>
      <c r="D1848" s="6" t="s">
        <v>4279</v>
      </c>
      <c r="E1848" s="7">
        <v>8</v>
      </c>
      <c r="F1848" s="6" t="s">
        <v>4411</v>
      </c>
      <c r="G1848" s="6"/>
      <c r="H1848" s="6"/>
      <c r="I1848" s="8">
        <v>213373</v>
      </c>
      <c r="J1848" s="8"/>
      <c r="K1848" s="6"/>
      <c r="L1848" s="6" t="s">
        <v>1290</v>
      </c>
      <c r="N1848" s="6" t="s">
        <v>1290</v>
      </c>
      <c r="O1848" s="29">
        <v>0</v>
      </c>
    </row>
    <row r="1849" s="1" customFormat="1" ht="16.35" hidden="1" customHeight="1" spans="1:15">
      <c r="A1849" s="5"/>
      <c r="B1849" s="6"/>
      <c r="C1849" s="6" t="s">
        <v>4400</v>
      </c>
      <c r="D1849" s="6" t="s">
        <v>4130</v>
      </c>
      <c r="E1849" s="7">
        <v>14</v>
      </c>
      <c r="F1849" s="6" t="s">
        <v>4412</v>
      </c>
      <c r="G1849" s="6"/>
      <c r="H1849" s="6"/>
      <c r="I1849" s="8">
        <v>207460</v>
      </c>
      <c r="J1849" s="8"/>
      <c r="K1849" s="6"/>
      <c r="L1849" s="6" t="s">
        <v>1277</v>
      </c>
      <c r="N1849" s="6" t="s">
        <v>1277</v>
      </c>
      <c r="O1849" s="29">
        <v>0</v>
      </c>
    </row>
    <row r="1850" s="1" customFormat="1" ht="16.35" hidden="1" customHeight="1" spans="1:15">
      <c r="A1850" s="5"/>
      <c r="B1850" s="6"/>
      <c r="C1850" s="6" t="s">
        <v>4400</v>
      </c>
      <c r="D1850" s="6" t="s">
        <v>4130</v>
      </c>
      <c r="E1850" s="7">
        <v>14</v>
      </c>
      <c r="F1850" s="6" t="s">
        <v>4412</v>
      </c>
      <c r="G1850" s="6"/>
      <c r="H1850" s="6"/>
      <c r="I1850" s="8">
        <v>-207592</v>
      </c>
      <c r="J1850" s="8"/>
      <c r="K1850" s="6"/>
      <c r="L1850" s="6" t="s">
        <v>1277</v>
      </c>
      <c r="N1850" s="6" t="s">
        <v>1277</v>
      </c>
      <c r="O1850" s="29">
        <v>0</v>
      </c>
    </row>
    <row r="1851" s="1" customFormat="1" ht="16.35" hidden="1" customHeight="1" spans="1:15">
      <c r="A1851" s="5"/>
      <c r="B1851" s="6"/>
      <c r="C1851" s="6" t="s">
        <v>4400</v>
      </c>
      <c r="D1851" s="6" t="s">
        <v>4130</v>
      </c>
      <c r="E1851" s="7">
        <v>14</v>
      </c>
      <c r="F1851" s="6" t="s">
        <v>4412</v>
      </c>
      <c r="G1851" s="6"/>
      <c r="H1851" s="6"/>
      <c r="I1851" s="8">
        <v>272000</v>
      </c>
      <c r="J1851" s="8"/>
      <c r="K1851" s="6"/>
      <c r="L1851" s="6" t="s">
        <v>1338</v>
      </c>
      <c r="N1851" s="6" t="s">
        <v>1338</v>
      </c>
      <c r="O1851" s="29">
        <v>0</v>
      </c>
    </row>
    <row r="1852" s="1" customFormat="1" ht="16.35" hidden="1" customHeight="1" spans="1:15">
      <c r="A1852" s="5"/>
      <c r="B1852" s="6"/>
      <c r="C1852" s="6" t="s">
        <v>4400</v>
      </c>
      <c r="D1852" s="6" t="s">
        <v>4130</v>
      </c>
      <c r="E1852" s="7">
        <v>6</v>
      </c>
      <c r="F1852" s="6" t="s">
        <v>4413</v>
      </c>
      <c r="G1852" s="6"/>
      <c r="H1852" s="6"/>
      <c r="I1852" s="8"/>
      <c r="J1852" s="8">
        <v>220690</v>
      </c>
      <c r="K1852" s="6"/>
      <c r="L1852" s="6" t="s">
        <v>1411</v>
      </c>
      <c r="N1852" s="6" t="s">
        <v>1411</v>
      </c>
      <c r="O1852" s="29">
        <v>220690</v>
      </c>
    </row>
    <row r="1853" s="1" customFormat="1" ht="16.35" hidden="1" customHeight="1" spans="1:15">
      <c r="A1853" s="5"/>
      <c r="B1853" s="6"/>
      <c r="C1853" s="6" t="s">
        <v>4400</v>
      </c>
      <c r="D1853" s="6" t="s">
        <v>4130</v>
      </c>
      <c r="E1853" s="7">
        <v>14</v>
      </c>
      <c r="F1853" s="6" t="s">
        <v>4412</v>
      </c>
      <c r="G1853" s="6"/>
      <c r="H1853" s="6"/>
      <c r="I1853" s="8">
        <v>220690</v>
      </c>
      <c r="J1853" s="8"/>
      <c r="K1853" s="6"/>
      <c r="L1853" s="6" t="s">
        <v>1411</v>
      </c>
      <c r="N1853" s="6" t="s">
        <v>1411</v>
      </c>
      <c r="O1853" s="29">
        <v>0</v>
      </c>
    </row>
    <row r="1854" s="1" customFormat="1" ht="16.35" hidden="1" customHeight="1" spans="1:16">
      <c r="A1854" s="5"/>
      <c r="B1854" s="6"/>
      <c r="C1854" s="6" t="s">
        <v>4400</v>
      </c>
      <c r="D1854" s="6" t="s">
        <v>4130</v>
      </c>
      <c r="E1854" s="7">
        <v>3</v>
      </c>
      <c r="F1854" s="6" t="s">
        <v>4414</v>
      </c>
      <c r="G1854" s="6"/>
      <c r="H1854" s="6"/>
      <c r="I1854" s="8"/>
      <c r="J1854" s="8">
        <v>80000</v>
      </c>
      <c r="K1854" s="6"/>
      <c r="L1854" s="6" t="s">
        <v>1503</v>
      </c>
      <c r="N1854" s="6" t="s">
        <v>1503</v>
      </c>
      <c r="O1854" s="29">
        <v>80000</v>
      </c>
      <c r="P1854" s="1">
        <f>O1854-J1854</f>
        <v>0</v>
      </c>
    </row>
    <row r="1855" s="1" customFormat="1" ht="16.35" hidden="1" customHeight="1" spans="1:15">
      <c r="A1855" s="5"/>
      <c r="B1855" s="6"/>
      <c r="C1855" s="6" t="s">
        <v>4400</v>
      </c>
      <c r="D1855" s="6" t="s">
        <v>4130</v>
      </c>
      <c r="E1855" s="7">
        <v>12</v>
      </c>
      <c r="F1855" s="6" t="s">
        <v>4415</v>
      </c>
      <c r="G1855" s="6"/>
      <c r="H1855" s="6"/>
      <c r="I1855" s="8"/>
      <c r="J1855" s="8">
        <v>135000</v>
      </c>
      <c r="K1855" s="6"/>
      <c r="L1855" s="6" t="s">
        <v>1581</v>
      </c>
      <c r="N1855" s="6" t="s">
        <v>1581</v>
      </c>
      <c r="O1855" s="29">
        <v>135000</v>
      </c>
    </row>
    <row r="1856" s="1" customFormat="1" ht="16.35" hidden="1" customHeight="1" spans="1:15">
      <c r="A1856" s="5"/>
      <c r="B1856" s="6"/>
      <c r="C1856" s="6" t="s">
        <v>4400</v>
      </c>
      <c r="D1856" s="6" t="s">
        <v>4130</v>
      </c>
      <c r="E1856" s="7">
        <v>13</v>
      </c>
      <c r="F1856" s="6" t="s">
        <v>4416</v>
      </c>
      <c r="G1856" s="6"/>
      <c r="H1856" s="6"/>
      <c r="I1856" s="8">
        <v>161616</v>
      </c>
      <c r="J1856" s="8"/>
      <c r="K1856" s="6"/>
      <c r="L1856" s="6" t="s">
        <v>1581</v>
      </c>
      <c r="N1856" s="6" t="s">
        <v>1581</v>
      </c>
      <c r="O1856" s="29">
        <v>0</v>
      </c>
    </row>
    <row r="1857" s="1" customFormat="1" ht="16.35" hidden="1" customHeight="1" spans="1:15">
      <c r="A1857" s="5"/>
      <c r="B1857" s="6"/>
      <c r="C1857" s="6" t="s">
        <v>4400</v>
      </c>
      <c r="D1857" s="6" t="s">
        <v>4130</v>
      </c>
      <c r="E1857" s="7">
        <v>14</v>
      </c>
      <c r="F1857" s="6" t="s">
        <v>4412</v>
      </c>
      <c r="G1857" s="6"/>
      <c r="H1857" s="6"/>
      <c r="I1857" s="8">
        <v>135000</v>
      </c>
      <c r="J1857" s="8"/>
      <c r="K1857" s="6"/>
      <c r="L1857" s="6" t="s">
        <v>1581</v>
      </c>
      <c r="N1857" s="6" t="s">
        <v>1581</v>
      </c>
      <c r="O1857" s="29">
        <v>0</v>
      </c>
    </row>
    <row r="1858" s="1" customFormat="1" ht="16.35" hidden="1" customHeight="1" spans="1:15">
      <c r="A1858" s="5"/>
      <c r="B1858" s="6"/>
      <c r="C1858" s="6" t="s">
        <v>4400</v>
      </c>
      <c r="D1858" s="6" t="s">
        <v>4130</v>
      </c>
      <c r="E1858" s="7">
        <v>14</v>
      </c>
      <c r="F1858" s="6" t="s">
        <v>4412</v>
      </c>
      <c r="G1858" s="6"/>
      <c r="H1858" s="6"/>
      <c r="I1858" s="8">
        <v>207790</v>
      </c>
      <c r="J1858" s="8"/>
      <c r="K1858" s="6"/>
      <c r="L1858" s="6" t="s">
        <v>1226</v>
      </c>
      <c r="N1858" s="6" t="s">
        <v>1226</v>
      </c>
      <c r="O1858" s="29">
        <v>0</v>
      </c>
    </row>
    <row r="1859" s="1" customFormat="1" ht="16.35" hidden="1" customHeight="1" spans="1:15">
      <c r="A1859" s="5"/>
      <c r="B1859" s="6"/>
      <c r="C1859" s="6" t="s">
        <v>4400</v>
      </c>
      <c r="D1859" s="6" t="s">
        <v>4130</v>
      </c>
      <c r="E1859" s="7">
        <v>2</v>
      </c>
      <c r="F1859" s="6" t="s">
        <v>4417</v>
      </c>
      <c r="G1859" s="6"/>
      <c r="H1859" s="6"/>
      <c r="I1859" s="8"/>
      <c r="J1859" s="8">
        <v>229569</v>
      </c>
      <c r="K1859" s="6"/>
      <c r="L1859" s="6" t="s">
        <v>1414</v>
      </c>
      <c r="N1859" s="6" t="s">
        <v>1414</v>
      </c>
      <c r="O1859" s="29">
        <v>229569</v>
      </c>
    </row>
    <row r="1860" s="1" customFormat="1" ht="16.35" hidden="1" customHeight="1" spans="1:16">
      <c r="A1860" s="5"/>
      <c r="B1860" s="6"/>
      <c r="C1860" s="6" t="s">
        <v>4400</v>
      </c>
      <c r="D1860" s="6" t="s">
        <v>4130</v>
      </c>
      <c r="E1860" s="7">
        <v>14</v>
      </c>
      <c r="F1860" s="6" t="s">
        <v>4412</v>
      </c>
      <c r="G1860" s="6"/>
      <c r="H1860" s="6"/>
      <c r="I1860" s="8">
        <v>238619</v>
      </c>
      <c r="J1860" s="8"/>
      <c r="K1860" s="6"/>
      <c r="L1860" s="6" t="s">
        <v>1143</v>
      </c>
      <c r="N1860" s="6" t="s">
        <v>1143</v>
      </c>
      <c r="O1860" s="29">
        <v>0</v>
      </c>
      <c r="P1860" s="29">
        <f>I1860/1.05*0.05</f>
        <v>11362.8095238095</v>
      </c>
    </row>
    <row r="1861" s="1" customFormat="1" ht="16.35" hidden="1" customHeight="1" spans="1:15">
      <c r="A1861" s="5"/>
      <c r="B1861" s="6"/>
      <c r="C1861" s="6" t="s">
        <v>4400</v>
      </c>
      <c r="D1861" s="6" t="s">
        <v>4130</v>
      </c>
      <c r="E1861" s="7">
        <v>14</v>
      </c>
      <c r="F1861" s="6" t="s">
        <v>4412</v>
      </c>
      <c r="G1861" s="6"/>
      <c r="H1861" s="6"/>
      <c r="I1861" s="8">
        <v>229569</v>
      </c>
      <c r="J1861" s="8"/>
      <c r="K1861" s="6"/>
      <c r="L1861" s="6" t="s">
        <v>4147</v>
      </c>
      <c r="N1861" s="6" t="s">
        <v>4147</v>
      </c>
      <c r="O1861" s="29">
        <v>0</v>
      </c>
    </row>
    <row r="1862" s="1" customFormat="1" ht="16.35" hidden="1" customHeight="1" spans="1:15">
      <c r="A1862" s="5"/>
      <c r="B1862" s="6"/>
      <c r="C1862" s="6" t="s">
        <v>4400</v>
      </c>
      <c r="D1862" s="6" t="s">
        <v>4130</v>
      </c>
      <c r="E1862" s="7">
        <v>14</v>
      </c>
      <c r="F1862" s="6" t="s">
        <v>4412</v>
      </c>
      <c r="G1862" s="6"/>
      <c r="H1862" s="6"/>
      <c r="I1862" s="8">
        <v>207790</v>
      </c>
      <c r="J1862" s="8"/>
      <c r="K1862" s="6"/>
      <c r="L1862" s="6" t="s">
        <v>1228</v>
      </c>
      <c r="N1862" s="6" t="s">
        <v>1228</v>
      </c>
      <c r="O1862" s="29">
        <v>0</v>
      </c>
    </row>
    <row r="1863" s="1" customFormat="1" ht="16.35" hidden="1" customHeight="1" spans="1:15">
      <c r="A1863" s="5"/>
      <c r="B1863" s="6"/>
      <c r="C1863" s="6" t="s">
        <v>4400</v>
      </c>
      <c r="D1863" s="6" t="s">
        <v>4130</v>
      </c>
      <c r="E1863" s="7">
        <v>7</v>
      </c>
      <c r="F1863" s="6" t="s">
        <v>4418</v>
      </c>
      <c r="G1863" s="6"/>
      <c r="H1863" s="6"/>
      <c r="I1863" s="8"/>
      <c r="J1863" s="8">
        <v>220690</v>
      </c>
      <c r="K1863" s="6"/>
      <c r="L1863" s="6" t="s">
        <v>1409</v>
      </c>
      <c r="N1863" s="6" t="s">
        <v>1409</v>
      </c>
      <c r="O1863" s="29">
        <v>220690</v>
      </c>
    </row>
    <row r="1864" s="1" customFormat="1" ht="16.35" hidden="1" customHeight="1" spans="1:15">
      <c r="A1864" s="5"/>
      <c r="B1864" s="6"/>
      <c r="C1864" s="6" t="s">
        <v>4400</v>
      </c>
      <c r="D1864" s="6" t="s">
        <v>4130</v>
      </c>
      <c r="E1864" s="7">
        <v>14</v>
      </c>
      <c r="F1864" s="6" t="s">
        <v>4412</v>
      </c>
      <c r="G1864" s="6"/>
      <c r="H1864" s="6"/>
      <c r="I1864" s="8">
        <v>220690</v>
      </c>
      <c r="J1864" s="8"/>
      <c r="K1864" s="6"/>
      <c r="L1864" s="6" t="s">
        <v>1409</v>
      </c>
      <c r="N1864" s="6" t="s">
        <v>1409</v>
      </c>
      <c r="O1864" s="29">
        <v>0</v>
      </c>
    </row>
    <row r="1865" s="1" customFormat="1" ht="16.35" hidden="1" customHeight="1" spans="1:15">
      <c r="A1865" s="5"/>
      <c r="B1865" s="6"/>
      <c r="C1865" s="6" t="s">
        <v>4400</v>
      </c>
      <c r="D1865" s="6" t="s">
        <v>4150</v>
      </c>
      <c r="E1865" s="7">
        <v>7</v>
      </c>
      <c r="F1865" s="6" t="s">
        <v>4419</v>
      </c>
      <c r="G1865" s="6"/>
      <c r="H1865" s="6"/>
      <c r="I1865" s="8"/>
      <c r="J1865" s="8">
        <v>150000</v>
      </c>
      <c r="K1865" s="6"/>
      <c r="L1865" s="6" t="s">
        <v>1209</v>
      </c>
      <c r="N1865" s="6" t="s">
        <v>1209</v>
      </c>
      <c r="O1865" s="29">
        <v>150000</v>
      </c>
    </row>
    <row r="1866" s="1" customFormat="1" ht="16.35" hidden="1" customHeight="1" spans="1:15">
      <c r="A1866" s="5"/>
      <c r="B1866" s="6"/>
      <c r="C1866" s="6" t="s">
        <v>4400</v>
      </c>
      <c r="D1866" s="6" t="s">
        <v>4171</v>
      </c>
      <c r="E1866" s="7">
        <v>3</v>
      </c>
      <c r="F1866" s="6" t="s">
        <v>4420</v>
      </c>
      <c r="G1866" s="6"/>
      <c r="H1866" s="6"/>
      <c r="I1866" s="8"/>
      <c r="J1866" s="8">
        <v>170000</v>
      </c>
      <c r="K1866" s="6"/>
      <c r="L1866" s="6" t="s">
        <v>1213</v>
      </c>
      <c r="N1866" s="6" t="s">
        <v>1213</v>
      </c>
      <c r="O1866" s="29">
        <v>170000</v>
      </c>
    </row>
    <row r="1867" s="1" customFormat="1" ht="16.35" hidden="1" customHeight="1" spans="1:15">
      <c r="A1867" s="5"/>
      <c r="B1867" s="6"/>
      <c r="C1867" s="6" t="s">
        <v>4400</v>
      </c>
      <c r="D1867" s="6" t="s">
        <v>4171</v>
      </c>
      <c r="E1867" s="7">
        <v>5</v>
      </c>
      <c r="F1867" s="6" t="s">
        <v>4421</v>
      </c>
      <c r="G1867" s="6"/>
      <c r="H1867" s="6"/>
      <c r="I1867" s="8"/>
      <c r="J1867" s="8">
        <v>1695</v>
      </c>
      <c r="K1867" s="6"/>
      <c r="L1867" s="6" t="s">
        <v>1213</v>
      </c>
      <c r="N1867" s="6" t="s">
        <v>1213</v>
      </c>
      <c r="O1867" s="29">
        <v>1695</v>
      </c>
    </row>
    <row r="1868" s="1" customFormat="1" ht="16.35" hidden="1" customHeight="1" spans="1:15">
      <c r="A1868" s="5"/>
      <c r="B1868" s="6"/>
      <c r="C1868" s="6" t="s">
        <v>4400</v>
      </c>
      <c r="D1868" s="6" t="s">
        <v>4171</v>
      </c>
      <c r="E1868" s="7">
        <v>3</v>
      </c>
      <c r="F1868" s="6" t="s">
        <v>4422</v>
      </c>
      <c r="G1868" s="6"/>
      <c r="H1868" s="6"/>
      <c r="I1868" s="8"/>
      <c r="J1868" s="8">
        <v>170700</v>
      </c>
      <c r="K1868" s="6"/>
      <c r="L1868" s="6" t="s">
        <v>1631</v>
      </c>
      <c r="N1868" s="6" t="s">
        <v>1631</v>
      </c>
      <c r="O1868" s="29">
        <v>170700</v>
      </c>
    </row>
    <row r="1869" s="1" customFormat="1" ht="16.35" hidden="1" customHeight="1" spans="1:15">
      <c r="A1869" s="5"/>
      <c r="B1869" s="6"/>
      <c r="C1869" s="6" t="s">
        <v>4400</v>
      </c>
      <c r="D1869" s="6" t="s">
        <v>4186</v>
      </c>
      <c r="E1869" s="7">
        <v>9</v>
      </c>
      <c r="F1869" s="6" t="s">
        <v>4121</v>
      </c>
      <c r="G1869" s="6"/>
      <c r="H1869" s="6"/>
      <c r="I1869" s="8">
        <v>166849</v>
      </c>
      <c r="J1869" s="8"/>
      <c r="K1869" s="6"/>
      <c r="L1869" s="6" t="s">
        <v>1284</v>
      </c>
      <c r="N1869" s="6" t="s">
        <v>1284</v>
      </c>
      <c r="O1869" s="29">
        <v>0</v>
      </c>
    </row>
    <row r="1870" s="1" customFormat="1" ht="16.35" hidden="1" customHeight="1" spans="1:15">
      <c r="A1870" s="5"/>
      <c r="B1870" s="6"/>
      <c r="C1870" s="6" t="s">
        <v>4400</v>
      </c>
      <c r="D1870" s="6" t="s">
        <v>4186</v>
      </c>
      <c r="E1870" s="7">
        <v>9</v>
      </c>
      <c r="F1870" s="6" t="s">
        <v>4121</v>
      </c>
      <c r="G1870" s="6"/>
      <c r="H1870" s="6"/>
      <c r="I1870" s="8">
        <v>-166982</v>
      </c>
      <c r="J1870" s="8"/>
      <c r="K1870" s="6"/>
      <c r="L1870" s="6" t="s">
        <v>1284</v>
      </c>
      <c r="N1870" s="6" t="s">
        <v>1284</v>
      </c>
      <c r="O1870" s="29">
        <v>0</v>
      </c>
    </row>
    <row r="1871" s="1" customFormat="1" ht="16.35" hidden="1" customHeight="1" spans="1:15">
      <c r="A1871" s="5"/>
      <c r="B1871" s="6"/>
      <c r="C1871" s="6" t="s">
        <v>4400</v>
      </c>
      <c r="D1871" s="6" t="s">
        <v>4186</v>
      </c>
      <c r="E1871" s="7">
        <v>9</v>
      </c>
      <c r="F1871" s="6" t="s">
        <v>4121</v>
      </c>
      <c r="G1871" s="6"/>
      <c r="H1871" s="6"/>
      <c r="I1871" s="8">
        <v>235300</v>
      </c>
      <c r="J1871" s="8"/>
      <c r="K1871" s="6"/>
      <c r="L1871" s="6" t="s">
        <v>1503</v>
      </c>
      <c r="N1871" s="6" t="s">
        <v>1503</v>
      </c>
      <c r="O1871" s="29">
        <v>0</v>
      </c>
    </row>
    <row r="1872" s="1" customFormat="1" ht="16.35" hidden="1" customHeight="1" spans="1:15">
      <c r="A1872" s="5"/>
      <c r="B1872" s="6"/>
      <c r="C1872" s="6" t="s">
        <v>4400</v>
      </c>
      <c r="D1872" s="6" t="s">
        <v>4186</v>
      </c>
      <c r="E1872" s="7">
        <v>9</v>
      </c>
      <c r="F1872" s="6" t="s">
        <v>4423</v>
      </c>
      <c r="G1872" s="6"/>
      <c r="H1872" s="6"/>
      <c r="I1872" s="8">
        <v>229569</v>
      </c>
      <c r="J1872" s="8"/>
      <c r="K1872" s="6"/>
      <c r="L1872" s="6" t="s">
        <v>1414</v>
      </c>
      <c r="N1872" s="6" t="s">
        <v>1414</v>
      </c>
      <c r="O1872" s="29">
        <v>0</v>
      </c>
    </row>
    <row r="1873" s="1" customFormat="1" ht="16.35" hidden="1" customHeight="1" spans="1:15">
      <c r="A1873" s="5"/>
      <c r="B1873" s="6"/>
      <c r="C1873" s="6" t="s">
        <v>4400</v>
      </c>
      <c r="D1873" s="6" t="s">
        <v>4186</v>
      </c>
      <c r="E1873" s="7">
        <v>3</v>
      </c>
      <c r="F1873" s="6" t="s">
        <v>4424</v>
      </c>
      <c r="G1873" s="6"/>
      <c r="H1873" s="6"/>
      <c r="I1873" s="8"/>
      <c r="J1873" s="8">
        <v>31000</v>
      </c>
      <c r="K1873" s="6"/>
      <c r="L1873" s="6" t="s">
        <v>1209</v>
      </c>
      <c r="N1873" s="6" t="s">
        <v>1209</v>
      </c>
      <c r="O1873" s="29">
        <v>31000</v>
      </c>
    </row>
    <row r="1874" s="1" customFormat="1" ht="16.35" hidden="1" customHeight="1" spans="1:15">
      <c r="A1874" s="5"/>
      <c r="B1874" s="6"/>
      <c r="C1874" s="6" t="s">
        <v>4400</v>
      </c>
      <c r="D1874" s="6" t="s">
        <v>4186</v>
      </c>
      <c r="E1874" s="7">
        <v>2</v>
      </c>
      <c r="F1874" s="6" t="s">
        <v>4425</v>
      </c>
      <c r="G1874" s="6"/>
      <c r="H1874" s="6"/>
      <c r="I1874" s="8"/>
      <c r="J1874" s="8">
        <v>330000</v>
      </c>
      <c r="K1874" s="6"/>
      <c r="L1874" s="6" t="s">
        <v>4396</v>
      </c>
      <c r="N1874" s="6" t="s">
        <v>4396</v>
      </c>
      <c r="O1874" s="29">
        <v>330000</v>
      </c>
    </row>
    <row r="1875" s="1" customFormat="1" ht="16.35" hidden="1" customHeight="1" spans="1:15">
      <c r="A1875" s="5"/>
      <c r="B1875" s="6"/>
      <c r="C1875" s="6" t="s">
        <v>4400</v>
      </c>
      <c r="D1875" s="6" t="s">
        <v>4186</v>
      </c>
      <c r="E1875" s="7">
        <v>9</v>
      </c>
      <c r="F1875" s="6" t="s">
        <v>4121</v>
      </c>
      <c r="G1875" s="6"/>
      <c r="H1875" s="6"/>
      <c r="I1875" s="8">
        <v>210700</v>
      </c>
      <c r="J1875" s="8"/>
      <c r="K1875" s="6"/>
      <c r="L1875" s="6" t="s">
        <v>1631</v>
      </c>
      <c r="N1875" s="6" t="s">
        <v>1631</v>
      </c>
      <c r="O1875" s="29">
        <v>0</v>
      </c>
    </row>
    <row r="1876" s="1" customFormat="1" ht="16.35" hidden="1" customHeight="1" spans="1:15">
      <c r="A1876" s="5"/>
      <c r="B1876" s="6"/>
      <c r="C1876" s="6" t="s">
        <v>4400</v>
      </c>
      <c r="D1876" s="6" t="s">
        <v>4186</v>
      </c>
      <c r="E1876" s="7">
        <v>9</v>
      </c>
      <c r="F1876" s="6" t="s">
        <v>4121</v>
      </c>
      <c r="G1876" s="6"/>
      <c r="H1876" s="6"/>
      <c r="I1876" s="8">
        <v>294644</v>
      </c>
      <c r="J1876" s="8"/>
      <c r="K1876" s="6"/>
      <c r="L1876" s="6" t="s">
        <v>1674</v>
      </c>
      <c r="N1876" s="6" t="s">
        <v>1674</v>
      </c>
      <c r="O1876" s="29">
        <v>0</v>
      </c>
    </row>
    <row r="1877" s="1" customFormat="1" ht="16.35" hidden="1" customHeight="1" spans="1:15">
      <c r="A1877" s="5"/>
      <c r="B1877" s="6"/>
      <c r="C1877" s="6" t="s">
        <v>4400</v>
      </c>
      <c r="D1877" s="6" t="s">
        <v>4197</v>
      </c>
      <c r="E1877" s="7">
        <v>2</v>
      </c>
      <c r="F1877" s="6" t="s">
        <v>4121</v>
      </c>
      <c r="G1877" s="6"/>
      <c r="H1877" s="6"/>
      <c r="I1877" s="8">
        <v>200806</v>
      </c>
      <c r="J1877" s="8"/>
      <c r="K1877" s="6"/>
      <c r="L1877" s="6" t="s">
        <v>1575</v>
      </c>
      <c r="N1877" s="6" t="s">
        <v>1575</v>
      </c>
      <c r="O1877" s="29">
        <v>0</v>
      </c>
    </row>
    <row r="1878" s="1" customFormat="1" ht="16.35" hidden="1" customHeight="1" spans="1:17">
      <c r="A1878" s="5"/>
      <c r="B1878" s="6"/>
      <c r="C1878" s="6" t="s">
        <v>4400</v>
      </c>
      <c r="D1878" s="6" t="s">
        <v>4197</v>
      </c>
      <c r="E1878" s="7">
        <v>2</v>
      </c>
      <c r="F1878" s="6" t="s">
        <v>4121</v>
      </c>
      <c r="G1878" s="6"/>
      <c r="H1878" s="6"/>
      <c r="I1878" s="8">
        <v>171950</v>
      </c>
      <c r="J1878" s="8"/>
      <c r="K1878" s="6"/>
      <c r="L1878" s="6" t="s">
        <v>1497</v>
      </c>
      <c r="N1878" s="6" t="s">
        <v>1497</v>
      </c>
      <c r="O1878" s="29">
        <v>0</v>
      </c>
      <c r="Q1878" s="29">
        <f>I1878/1.05*0.05</f>
        <v>8188.09523809524</v>
      </c>
    </row>
    <row r="1879" s="1" customFormat="1" ht="16.35" hidden="1" customHeight="1" spans="1:15">
      <c r="A1879" s="5"/>
      <c r="B1879" s="6"/>
      <c r="C1879" s="6" t="s">
        <v>4400</v>
      </c>
      <c r="D1879" s="6" t="s">
        <v>4197</v>
      </c>
      <c r="E1879" s="7">
        <v>2</v>
      </c>
      <c r="F1879" s="6" t="s">
        <v>4121</v>
      </c>
      <c r="G1879" s="6"/>
      <c r="H1879" s="6"/>
      <c r="I1879" s="8">
        <v>221583</v>
      </c>
      <c r="J1879" s="8"/>
      <c r="K1879" s="6"/>
      <c r="L1879" s="6" t="s">
        <v>1288</v>
      </c>
      <c r="N1879" s="6" t="s">
        <v>1288</v>
      </c>
      <c r="O1879" s="29">
        <v>0</v>
      </c>
    </row>
    <row r="1880" s="1" customFormat="1" ht="16.35" hidden="1" customHeight="1" spans="1:15">
      <c r="A1880" s="5"/>
      <c r="B1880" s="6"/>
      <c r="C1880" s="6" t="s">
        <v>4400</v>
      </c>
      <c r="D1880" s="6" t="s">
        <v>4197</v>
      </c>
      <c r="E1880" s="7">
        <v>2</v>
      </c>
      <c r="F1880" s="6" t="s">
        <v>4121</v>
      </c>
      <c r="G1880" s="6"/>
      <c r="H1880" s="6"/>
      <c r="I1880" s="8">
        <v>-221759</v>
      </c>
      <c r="J1880" s="8"/>
      <c r="K1880" s="6"/>
      <c r="L1880" s="6" t="s">
        <v>1288</v>
      </c>
      <c r="N1880" s="6" t="s">
        <v>1288</v>
      </c>
      <c r="O1880" s="29">
        <v>0</v>
      </c>
    </row>
    <row r="1881" s="1" customFormat="1" ht="16.35" hidden="1" customHeight="1" spans="1:15">
      <c r="A1881" s="5"/>
      <c r="B1881" s="6"/>
      <c r="C1881" s="6" t="s">
        <v>4400</v>
      </c>
      <c r="D1881" s="6" t="s">
        <v>4197</v>
      </c>
      <c r="E1881" s="7">
        <v>6</v>
      </c>
      <c r="F1881" s="6" t="s">
        <v>4426</v>
      </c>
      <c r="G1881" s="6"/>
      <c r="H1881" s="6"/>
      <c r="I1881" s="8">
        <v>175.7</v>
      </c>
      <c r="J1881" s="8"/>
      <c r="K1881" s="6"/>
      <c r="L1881" s="6" t="s">
        <v>1288</v>
      </c>
      <c r="N1881" s="6" t="s">
        <v>1288</v>
      </c>
      <c r="O1881" s="29">
        <v>0</v>
      </c>
    </row>
    <row r="1882" s="1" customFormat="1" ht="16.35" hidden="1" customHeight="1" spans="1:16">
      <c r="A1882" s="5"/>
      <c r="B1882" s="6"/>
      <c r="C1882" s="6" t="s">
        <v>4400</v>
      </c>
      <c r="D1882" s="6" t="s">
        <v>4197</v>
      </c>
      <c r="E1882" s="7">
        <v>4</v>
      </c>
      <c r="F1882" s="6" t="s">
        <v>4427</v>
      </c>
      <c r="G1882" s="6"/>
      <c r="H1882" s="6"/>
      <c r="I1882" s="8"/>
      <c r="J1882" s="8">
        <v>28830</v>
      </c>
      <c r="K1882" s="6"/>
      <c r="L1882" s="6" t="s">
        <v>1112</v>
      </c>
      <c r="N1882" s="6" t="s">
        <v>1112</v>
      </c>
      <c r="O1882" s="29">
        <v>28830</v>
      </c>
      <c r="P1882" s="1" t="s">
        <v>3666</v>
      </c>
    </row>
    <row r="1883" s="1" customFormat="1" ht="16.35" hidden="1" customHeight="1" spans="1:16">
      <c r="A1883" s="5"/>
      <c r="B1883" s="6"/>
      <c r="C1883" s="6" t="s">
        <v>4400</v>
      </c>
      <c r="D1883" s="6" t="s">
        <v>4217</v>
      </c>
      <c r="E1883" s="7">
        <v>1</v>
      </c>
      <c r="F1883" s="6" t="s">
        <v>4121</v>
      </c>
      <c r="G1883" s="6"/>
      <c r="H1883" s="6"/>
      <c r="I1883" s="8">
        <v>334571</v>
      </c>
      <c r="J1883" s="8"/>
      <c r="K1883" s="6"/>
      <c r="L1883" s="6" t="s">
        <v>1696</v>
      </c>
      <c r="N1883" s="6" t="s">
        <v>1696</v>
      </c>
      <c r="O1883" s="29">
        <v>0</v>
      </c>
      <c r="P1883" s="1">
        <f>I1883*0.05</f>
        <v>16728.55</v>
      </c>
    </row>
    <row r="1884" s="1" customFormat="1" ht="16.35" hidden="1" customHeight="1" spans="1:15">
      <c r="A1884" s="5"/>
      <c r="B1884" s="6"/>
      <c r="C1884" s="6" t="s">
        <v>4400</v>
      </c>
      <c r="D1884" s="6" t="s">
        <v>4217</v>
      </c>
      <c r="E1884" s="7">
        <v>1</v>
      </c>
      <c r="F1884" s="6" t="s">
        <v>4121</v>
      </c>
      <c r="G1884" s="6"/>
      <c r="H1884" s="6"/>
      <c r="I1884" s="8">
        <v>279456</v>
      </c>
      <c r="J1884" s="8"/>
      <c r="K1884" s="6"/>
      <c r="L1884" s="6" t="s">
        <v>982</v>
      </c>
      <c r="N1884" s="6" t="s">
        <v>982</v>
      </c>
      <c r="O1884" s="29">
        <v>0</v>
      </c>
    </row>
    <row r="1885" s="1" customFormat="1" ht="16.35" hidden="1" customHeight="1" spans="1:15">
      <c r="A1885" s="5"/>
      <c r="B1885" s="6"/>
      <c r="C1885" s="6" t="s">
        <v>4400</v>
      </c>
      <c r="D1885" s="6" t="s">
        <v>4221</v>
      </c>
      <c r="E1885" s="7">
        <v>11</v>
      </c>
      <c r="F1885" s="6" t="s">
        <v>4428</v>
      </c>
      <c r="G1885" s="6"/>
      <c r="H1885" s="6"/>
      <c r="I1885" s="8">
        <v>216232</v>
      </c>
      <c r="J1885" s="8"/>
      <c r="K1885" s="6"/>
      <c r="L1885" s="6" t="s">
        <v>4429</v>
      </c>
      <c r="N1885" s="6" t="s">
        <v>4429</v>
      </c>
      <c r="O1885" s="29">
        <v>0</v>
      </c>
    </row>
    <row r="1886" s="1" customFormat="1" ht="16.35" hidden="1" customHeight="1" spans="1:15">
      <c r="A1886" s="5"/>
      <c r="B1886" s="6"/>
      <c r="C1886" s="6" t="s">
        <v>4400</v>
      </c>
      <c r="D1886" s="6" t="s">
        <v>4221</v>
      </c>
      <c r="E1886" s="7">
        <v>11</v>
      </c>
      <c r="F1886" s="6" t="s">
        <v>4430</v>
      </c>
      <c r="G1886" s="6"/>
      <c r="H1886" s="6"/>
      <c r="I1886" s="8">
        <v>219275</v>
      </c>
      <c r="J1886" s="8"/>
      <c r="K1886" s="6"/>
      <c r="L1886" s="6" t="s">
        <v>1158</v>
      </c>
      <c r="N1886" s="6" t="s">
        <v>1158</v>
      </c>
      <c r="O1886" s="29">
        <v>0</v>
      </c>
    </row>
    <row r="1887" s="1" customFormat="1" ht="16.35" hidden="1" customHeight="1" spans="1:16">
      <c r="A1887" s="5"/>
      <c r="B1887" s="6"/>
      <c r="C1887" s="6" t="s">
        <v>4400</v>
      </c>
      <c r="D1887" s="6" t="s">
        <v>4221</v>
      </c>
      <c r="E1887" s="7">
        <v>11</v>
      </c>
      <c r="F1887" s="6" t="s">
        <v>4431</v>
      </c>
      <c r="G1887" s="6"/>
      <c r="H1887" s="6"/>
      <c r="I1887" s="8">
        <v>169155</v>
      </c>
      <c r="J1887" s="8"/>
      <c r="K1887" s="6"/>
      <c r="L1887" s="6" t="s">
        <v>1176</v>
      </c>
      <c r="N1887" s="6" t="s">
        <v>1176</v>
      </c>
      <c r="O1887" s="29">
        <v>0</v>
      </c>
      <c r="P1887" s="1">
        <f>I1887/1.05*0.05</f>
        <v>8055</v>
      </c>
    </row>
    <row r="1888" s="1" customFormat="1" ht="16.35" hidden="1" customHeight="1" spans="1:15">
      <c r="A1888" s="5"/>
      <c r="B1888" s="6"/>
      <c r="C1888" s="6" t="s">
        <v>4400</v>
      </c>
      <c r="D1888" s="6" t="s">
        <v>4221</v>
      </c>
      <c r="E1888" s="7">
        <v>11</v>
      </c>
      <c r="F1888" s="6" t="s">
        <v>4432</v>
      </c>
      <c r="G1888" s="6"/>
      <c r="H1888" s="6"/>
      <c r="I1888" s="8">
        <v>294115</v>
      </c>
      <c r="J1888" s="8"/>
      <c r="K1888" s="6"/>
      <c r="L1888" s="6" t="s">
        <v>1670</v>
      </c>
      <c r="N1888" s="6" t="s">
        <v>1670</v>
      </c>
      <c r="O1888" s="29">
        <v>0</v>
      </c>
    </row>
    <row r="1889" s="1" customFormat="1" ht="16.35" hidden="1" customHeight="1" spans="1:15">
      <c r="A1889" s="5"/>
      <c r="B1889" s="6"/>
      <c r="C1889" s="6" t="s">
        <v>4400</v>
      </c>
      <c r="D1889" s="6" t="s">
        <v>4221</v>
      </c>
      <c r="E1889" s="7">
        <v>7</v>
      </c>
      <c r="F1889" s="6" t="s">
        <v>4433</v>
      </c>
      <c r="G1889" s="6"/>
      <c r="H1889" s="6"/>
      <c r="I1889" s="8"/>
      <c r="J1889" s="8">
        <v>310000</v>
      </c>
      <c r="K1889" s="6"/>
      <c r="L1889" s="6" t="s">
        <v>4434</v>
      </c>
      <c r="N1889" s="6" t="s">
        <v>4434</v>
      </c>
      <c r="O1889" s="29">
        <v>310000</v>
      </c>
    </row>
    <row r="1890" s="1" customFormat="1" ht="16.35" hidden="1" customHeight="1" spans="1:15">
      <c r="A1890" s="5"/>
      <c r="B1890" s="6"/>
      <c r="C1890" s="6" t="s">
        <v>4400</v>
      </c>
      <c r="D1890" s="6" t="s">
        <v>4221</v>
      </c>
      <c r="E1890" s="7">
        <v>11</v>
      </c>
      <c r="F1890" s="6" t="s">
        <v>4435</v>
      </c>
      <c r="G1890" s="6"/>
      <c r="H1890" s="6"/>
      <c r="I1890" s="8">
        <v>223000</v>
      </c>
      <c r="J1890" s="8"/>
      <c r="K1890" s="6"/>
      <c r="L1890" s="6" t="s">
        <v>1110</v>
      </c>
      <c r="N1890" s="6" t="s">
        <v>1110</v>
      </c>
      <c r="O1890" s="29">
        <v>0</v>
      </c>
    </row>
    <row r="1891" s="30" customFormat="1" ht="16.35" hidden="1" customHeight="1" spans="1:16">
      <c r="A1891" s="41"/>
      <c r="B1891" s="42"/>
      <c r="C1891" s="42" t="s">
        <v>4400</v>
      </c>
      <c r="D1891" s="42" t="s">
        <v>4221</v>
      </c>
      <c r="E1891" s="43">
        <v>11</v>
      </c>
      <c r="F1891" s="42" t="s">
        <v>4436</v>
      </c>
      <c r="G1891" s="42"/>
      <c r="H1891" s="42"/>
      <c r="I1891" s="44">
        <v>223750</v>
      </c>
      <c r="J1891" s="44"/>
      <c r="K1891" s="42"/>
      <c r="L1891" s="42" t="s">
        <v>1083</v>
      </c>
      <c r="N1891" s="42" t="s">
        <v>1083</v>
      </c>
      <c r="O1891" s="31">
        <v>0</v>
      </c>
      <c r="P1891" s="30" t="s">
        <v>4437</v>
      </c>
    </row>
    <row r="1892" s="1" customFormat="1" ht="16.35" hidden="1" customHeight="1" spans="1:15">
      <c r="A1892" s="5"/>
      <c r="B1892" s="6"/>
      <c r="C1892" s="6" t="s">
        <v>4400</v>
      </c>
      <c r="D1892" s="6" t="s">
        <v>4221</v>
      </c>
      <c r="E1892" s="7">
        <v>11</v>
      </c>
      <c r="F1892" s="6" t="s">
        <v>4438</v>
      </c>
      <c r="G1892" s="6"/>
      <c r="H1892" s="6"/>
      <c r="I1892" s="8">
        <v>223750</v>
      </c>
      <c r="J1892" s="8"/>
      <c r="K1892" s="6"/>
      <c r="L1892" s="6" t="s">
        <v>1133</v>
      </c>
      <c r="N1892" s="6" t="s">
        <v>1133</v>
      </c>
      <c r="O1892" s="29">
        <v>0</v>
      </c>
    </row>
    <row r="1893" s="1" customFormat="1" ht="16.35" hidden="1" customHeight="1" spans="1:16">
      <c r="A1893" s="5"/>
      <c r="B1893" s="6"/>
      <c r="C1893" s="6" t="s">
        <v>4400</v>
      </c>
      <c r="D1893" s="6" t="s">
        <v>4221</v>
      </c>
      <c r="E1893" s="7">
        <v>10</v>
      </c>
      <c r="F1893" s="6" t="s">
        <v>4439</v>
      </c>
      <c r="G1893" s="6"/>
      <c r="H1893" s="6"/>
      <c r="I1893" s="8">
        <v>103850</v>
      </c>
      <c r="J1893" s="8"/>
      <c r="K1893" s="6"/>
      <c r="L1893" s="6" t="s">
        <v>1112</v>
      </c>
      <c r="N1893" s="6" t="s">
        <v>1112</v>
      </c>
      <c r="O1893" s="29">
        <v>0</v>
      </c>
      <c r="P1893" s="1" t="s">
        <v>3666</v>
      </c>
    </row>
    <row r="1894" s="1" customFormat="1" ht="16.35" hidden="1" customHeight="1" spans="1:15">
      <c r="A1894" s="5"/>
      <c r="B1894" s="6"/>
      <c r="C1894" s="6" t="s">
        <v>4400</v>
      </c>
      <c r="D1894" s="6" t="s">
        <v>4253</v>
      </c>
      <c r="E1894" s="7">
        <v>5</v>
      </c>
      <c r="F1894" s="6" t="s">
        <v>4440</v>
      </c>
      <c r="G1894" s="6"/>
      <c r="H1894" s="6"/>
      <c r="I1894" s="8">
        <v>237758</v>
      </c>
      <c r="J1894" s="8"/>
      <c r="K1894" s="6"/>
      <c r="L1894" s="6" t="s">
        <v>999</v>
      </c>
      <c r="N1894" s="6" t="s">
        <v>999</v>
      </c>
      <c r="O1894" s="29">
        <v>0</v>
      </c>
    </row>
    <row r="1895" s="1" customFormat="1" ht="16.35" hidden="1" customHeight="1" spans="1:15">
      <c r="A1895" s="5"/>
      <c r="B1895" s="6"/>
      <c r="C1895" s="6" t="s">
        <v>4400</v>
      </c>
      <c r="D1895" s="6" t="s">
        <v>4253</v>
      </c>
      <c r="E1895" s="7">
        <v>8</v>
      </c>
      <c r="F1895" s="6" t="s">
        <v>4441</v>
      </c>
      <c r="G1895" s="6"/>
      <c r="H1895" s="6"/>
      <c r="I1895" s="8"/>
      <c r="J1895" s="8">
        <v>28000</v>
      </c>
      <c r="K1895" s="6"/>
      <c r="L1895" s="6" t="s">
        <v>1209</v>
      </c>
      <c r="N1895" s="6" t="s">
        <v>1209</v>
      </c>
      <c r="O1895" s="29">
        <v>28000</v>
      </c>
    </row>
    <row r="1896" s="1" customFormat="1" ht="16.35" hidden="1" customHeight="1" spans="1:15">
      <c r="A1896" s="5"/>
      <c r="B1896" s="6"/>
      <c r="C1896" s="6" t="s">
        <v>4442</v>
      </c>
      <c r="D1896" s="6" t="s">
        <v>4124</v>
      </c>
      <c r="E1896" s="7">
        <v>4</v>
      </c>
      <c r="F1896" s="6" t="s">
        <v>4443</v>
      </c>
      <c r="G1896" s="6"/>
      <c r="H1896" s="6"/>
      <c r="I1896" s="8">
        <v>-9524</v>
      </c>
      <c r="J1896" s="8"/>
      <c r="K1896" s="6"/>
      <c r="L1896" s="6" t="s">
        <v>1112</v>
      </c>
      <c r="N1896" s="6" t="s">
        <v>1112</v>
      </c>
      <c r="O1896" s="29">
        <v>0</v>
      </c>
    </row>
    <row r="1897" s="1" customFormat="1" ht="16.35" hidden="1" customHeight="1" spans="1:16">
      <c r="A1897" s="5"/>
      <c r="B1897" s="6"/>
      <c r="C1897" s="6" t="s">
        <v>4442</v>
      </c>
      <c r="D1897" s="6" t="s">
        <v>4124</v>
      </c>
      <c r="E1897" s="7">
        <v>4</v>
      </c>
      <c r="F1897" s="6" t="s">
        <v>4444</v>
      </c>
      <c r="G1897" s="6"/>
      <c r="H1897" s="6"/>
      <c r="I1897" s="8"/>
      <c r="J1897" s="8">
        <v>20</v>
      </c>
      <c r="K1897" s="6"/>
      <c r="L1897" s="6" t="s">
        <v>1112</v>
      </c>
      <c r="N1897" s="6" t="s">
        <v>1112</v>
      </c>
      <c r="O1897" s="29">
        <v>21</v>
      </c>
      <c r="P1897" s="1" t="s">
        <v>3666</v>
      </c>
    </row>
    <row r="1898" s="1" customFormat="1" ht="16.35" hidden="1" customHeight="1" spans="1:16">
      <c r="A1898" s="5"/>
      <c r="B1898" s="6"/>
      <c r="C1898" s="6" t="s">
        <v>4442</v>
      </c>
      <c r="D1898" s="6" t="s">
        <v>4124</v>
      </c>
      <c r="E1898" s="7">
        <v>4</v>
      </c>
      <c r="F1898" s="6" t="s">
        <v>4445</v>
      </c>
      <c r="G1898" s="6"/>
      <c r="H1898" s="6"/>
      <c r="I1898" s="8"/>
      <c r="J1898" s="8">
        <v>3571</v>
      </c>
      <c r="K1898" s="6"/>
      <c r="L1898" s="6" t="s">
        <v>1112</v>
      </c>
      <c r="N1898" s="6" t="s">
        <v>1112</v>
      </c>
      <c r="O1898" s="29">
        <v>3749.55</v>
      </c>
      <c r="P1898" s="1" t="s">
        <v>3666</v>
      </c>
    </row>
    <row r="1899" s="1" customFormat="1" ht="16.35" hidden="1" customHeight="1" spans="1:15">
      <c r="A1899" s="5"/>
      <c r="B1899" s="6"/>
      <c r="C1899" s="6" t="s">
        <v>4442</v>
      </c>
      <c r="D1899" s="6" t="s">
        <v>4124</v>
      </c>
      <c r="E1899" s="7">
        <v>4</v>
      </c>
      <c r="F1899" s="6" t="s">
        <v>4446</v>
      </c>
      <c r="G1899" s="6"/>
      <c r="H1899" s="6"/>
      <c r="I1899" s="8"/>
      <c r="J1899" s="8">
        <v>103850</v>
      </c>
      <c r="K1899" s="6"/>
      <c r="L1899" s="6" t="s">
        <v>1112</v>
      </c>
      <c r="N1899" s="6" t="s">
        <v>1112</v>
      </c>
      <c r="O1899" s="29">
        <v>109042.5</v>
      </c>
    </row>
    <row r="1900" s="1" customFormat="1" ht="16.35" hidden="1" customHeight="1" spans="1:15">
      <c r="A1900" s="5"/>
      <c r="B1900" s="6"/>
      <c r="C1900" s="6" t="s">
        <v>4442</v>
      </c>
      <c r="D1900" s="6" t="s">
        <v>4279</v>
      </c>
      <c r="E1900" s="7">
        <v>8</v>
      </c>
      <c r="F1900" s="6" t="s">
        <v>4447</v>
      </c>
      <c r="G1900" s="6"/>
      <c r="H1900" s="6"/>
      <c r="I1900" s="8">
        <v>257200</v>
      </c>
      <c r="J1900" s="8"/>
      <c r="K1900" s="6"/>
      <c r="L1900" s="6" t="s">
        <v>1086</v>
      </c>
      <c r="N1900" s="6" t="s">
        <v>1086</v>
      </c>
      <c r="O1900" s="29">
        <v>0</v>
      </c>
    </row>
    <row r="1901" s="1" customFormat="1" ht="16.35" hidden="1" customHeight="1" spans="1:15">
      <c r="A1901" s="5"/>
      <c r="B1901" s="6"/>
      <c r="C1901" s="6" t="s">
        <v>4442</v>
      </c>
      <c r="D1901" s="6" t="s">
        <v>4279</v>
      </c>
      <c r="E1901" s="7">
        <v>1</v>
      </c>
      <c r="F1901" s="6" t="s">
        <v>4448</v>
      </c>
      <c r="G1901" s="6"/>
      <c r="H1901" s="6"/>
      <c r="I1901" s="8">
        <v>172</v>
      </c>
      <c r="J1901" s="8"/>
      <c r="K1901" s="6"/>
      <c r="L1901" s="6" t="s">
        <v>1286</v>
      </c>
      <c r="N1901" s="6" t="s">
        <v>1286</v>
      </c>
      <c r="O1901" s="29">
        <v>0</v>
      </c>
    </row>
    <row r="1902" s="1" customFormat="1" ht="16.35" hidden="1" customHeight="1" spans="1:15">
      <c r="A1902" s="5"/>
      <c r="B1902" s="6"/>
      <c r="C1902" s="6" t="s">
        <v>4442</v>
      </c>
      <c r="D1902" s="6" t="s">
        <v>4279</v>
      </c>
      <c r="E1902" s="7">
        <v>8</v>
      </c>
      <c r="F1902" s="6" t="s">
        <v>4449</v>
      </c>
      <c r="G1902" s="6"/>
      <c r="H1902" s="6"/>
      <c r="I1902" s="8">
        <v>217169</v>
      </c>
      <c r="J1902" s="8"/>
      <c r="K1902" s="6"/>
      <c r="L1902" s="6" t="s">
        <v>1286</v>
      </c>
      <c r="N1902" s="6" t="s">
        <v>1286</v>
      </c>
      <c r="O1902" s="29">
        <v>0</v>
      </c>
    </row>
    <row r="1903" s="1" customFormat="1" ht="16.35" hidden="1" customHeight="1" spans="1:15">
      <c r="A1903" s="5"/>
      <c r="B1903" s="6"/>
      <c r="C1903" s="6" t="s">
        <v>4442</v>
      </c>
      <c r="D1903" s="6" t="s">
        <v>4279</v>
      </c>
      <c r="E1903" s="7">
        <v>8</v>
      </c>
      <c r="F1903" s="6" t="s">
        <v>4450</v>
      </c>
      <c r="G1903" s="6"/>
      <c r="H1903" s="6"/>
      <c r="I1903" s="8">
        <v>-217341</v>
      </c>
      <c r="J1903" s="8"/>
      <c r="K1903" s="6"/>
      <c r="L1903" s="6" t="s">
        <v>1286</v>
      </c>
      <c r="N1903" s="6" t="s">
        <v>1286</v>
      </c>
      <c r="O1903" s="29">
        <v>0</v>
      </c>
    </row>
    <row r="1904" s="1" customFormat="1" ht="16.35" hidden="1" customHeight="1" spans="1:15">
      <c r="A1904" s="5"/>
      <c r="B1904" s="6"/>
      <c r="C1904" s="6" t="s">
        <v>4442</v>
      </c>
      <c r="D1904" s="6" t="s">
        <v>4130</v>
      </c>
      <c r="E1904" s="7">
        <v>4</v>
      </c>
      <c r="F1904" s="6" t="s">
        <v>4451</v>
      </c>
      <c r="G1904" s="6"/>
      <c r="H1904" s="6"/>
      <c r="I1904" s="8"/>
      <c r="J1904" s="8">
        <v>34760</v>
      </c>
      <c r="K1904" s="6"/>
      <c r="L1904" s="6" t="s">
        <v>4434</v>
      </c>
      <c r="N1904" s="6" t="s">
        <v>4434</v>
      </c>
      <c r="O1904" s="29">
        <v>34760</v>
      </c>
    </row>
    <row r="1905" s="1" customFormat="1" ht="16.35" hidden="1" customHeight="1" spans="1:15">
      <c r="A1905" s="5"/>
      <c r="B1905" s="6"/>
      <c r="C1905" s="6" t="s">
        <v>4442</v>
      </c>
      <c r="D1905" s="6" t="s">
        <v>4130</v>
      </c>
      <c r="E1905" s="7">
        <v>5</v>
      </c>
      <c r="F1905" s="6" t="s">
        <v>4452</v>
      </c>
      <c r="G1905" s="6"/>
      <c r="H1905" s="6"/>
      <c r="I1905" s="8"/>
      <c r="J1905" s="8">
        <v>1380</v>
      </c>
      <c r="K1905" s="6"/>
      <c r="L1905" s="6" t="s">
        <v>4434</v>
      </c>
      <c r="N1905" s="6" t="s">
        <v>4434</v>
      </c>
      <c r="O1905" s="29">
        <v>1380</v>
      </c>
    </row>
    <row r="1906" s="1" customFormat="1" ht="16.35" hidden="1" customHeight="1" spans="1:15">
      <c r="A1906" s="5"/>
      <c r="B1906" s="6"/>
      <c r="C1906" s="6" t="s">
        <v>4442</v>
      </c>
      <c r="D1906" s="6" t="s">
        <v>4130</v>
      </c>
      <c r="E1906" s="7">
        <v>2</v>
      </c>
      <c r="F1906" s="6" t="s">
        <v>4453</v>
      </c>
      <c r="G1906" s="6"/>
      <c r="H1906" s="6"/>
      <c r="I1906" s="8"/>
      <c r="J1906" s="8">
        <v>6760</v>
      </c>
      <c r="K1906" s="6"/>
      <c r="L1906" s="6" t="s">
        <v>4454</v>
      </c>
      <c r="N1906" s="6" t="s">
        <v>4454</v>
      </c>
      <c r="O1906" s="29">
        <v>7098</v>
      </c>
    </row>
    <row r="1907" s="1" customFormat="1" ht="16.35" hidden="1" customHeight="1" spans="1:15">
      <c r="A1907" s="5"/>
      <c r="B1907" s="6"/>
      <c r="C1907" s="6" t="s">
        <v>4442</v>
      </c>
      <c r="D1907" s="6" t="s">
        <v>4130</v>
      </c>
      <c r="E1907" s="7">
        <v>8</v>
      </c>
      <c r="F1907" s="6" t="s">
        <v>4455</v>
      </c>
      <c r="G1907" s="6"/>
      <c r="H1907" s="6"/>
      <c r="I1907" s="8">
        <v>-224640</v>
      </c>
      <c r="J1907" s="8"/>
      <c r="K1907" s="6"/>
      <c r="L1907" s="6" t="s">
        <v>4454</v>
      </c>
      <c r="N1907" s="6" t="s">
        <v>4454</v>
      </c>
      <c r="O1907" s="29">
        <v>0</v>
      </c>
    </row>
    <row r="1908" s="1" customFormat="1" ht="16.35" hidden="1" customHeight="1" spans="1:15">
      <c r="A1908" s="5"/>
      <c r="B1908" s="6"/>
      <c r="C1908" s="6" t="s">
        <v>4442</v>
      </c>
      <c r="D1908" s="6" t="s">
        <v>4130</v>
      </c>
      <c r="E1908" s="7">
        <v>8</v>
      </c>
      <c r="F1908" s="6" t="s">
        <v>4456</v>
      </c>
      <c r="G1908" s="6"/>
      <c r="H1908" s="6"/>
      <c r="I1908" s="8">
        <v>251160</v>
      </c>
      <c r="J1908" s="8"/>
      <c r="K1908" s="6"/>
      <c r="L1908" s="6" t="s">
        <v>4454</v>
      </c>
      <c r="N1908" s="6" t="s">
        <v>4454</v>
      </c>
      <c r="O1908" s="29">
        <v>0</v>
      </c>
    </row>
    <row r="1909" s="1" customFormat="1" ht="16.35" hidden="1" customHeight="1" spans="1:15">
      <c r="A1909" s="5"/>
      <c r="B1909" s="6"/>
      <c r="C1909" s="6" t="s">
        <v>4442</v>
      </c>
      <c r="D1909" s="6" t="s">
        <v>4130</v>
      </c>
      <c r="E1909" s="7">
        <v>6</v>
      </c>
      <c r="F1909" s="6" t="s">
        <v>4457</v>
      </c>
      <c r="G1909" s="6"/>
      <c r="H1909" s="6"/>
      <c r="I1909" s="8"/>
      <c r="J1909" s="8">
        <v>125678</v>
      </c>
      <c r="K1909" s="6"/>
      <c r="L1909" s="6" t="s">
        <v>1407</v>
      </c>
      <c r="N1909" s="6" t="s">
        <v>1407</v>
      </c>
      <c r="O1909" s="29">
        <v>125678</v>
      </c>
    </row>
    <row r="1910" s="1" customFormat="1" ht="16.35" hidden="1" customHeight="1" spans="1:15">
      <c r="A1910" s="5"/>
      <c r="B1910" s="6"/>
      <c r="C1910" s="6" t="s">
        <v>4442</v>
      </c>
      <c r="D1910" s="6" t="s">
        <v>4130</v>
      </c>
      <c r="E1910" s="7">
        <v>14</v>
      </c>
      <c r="F1910" s="6" t="s">
        <v>4458</v>
      </c>
      <c r="G1910" s="6"/>
      <c r="H1910" s="6"/>
      <c r="I1910" s="8"/>
      <c r="J1910" s="8">
        <v>30000</v>
      </c>
      <c r="K1910" s="6"/>
      <c r="L1910" s="6" t="s">
        <v>1209</v>
      </c>
      <c r="N1910" s="6" t="s">
        <v>1209</v>
      </c>
      <c r="O1910" s="29">
        <v>30000</v>
      </c>
    </row>
    <row r="1911" s="1" customFormat="1" ht="16.35" hidden="1" customHeight="1" spans="1:15">
      <c r="A1911" s="5"/>
      <c r="B1911" s="6"/>
      <c r="C1911" s="6" t="s">
        <v>4442</v>
      </c>
      <c r="D1911" s="6" t="s">
        <v>4150</v>
      </c>
      <c r="E1911" s="7">
        <v>4</v>
      </c>
      <c r="F1911" s="6" t="s">
        <v>4459</v>
      </c>
      <c r="G1911" s="6"/>
      <c r="H1911" s="6"/>
      <c r="I1911" s="8">
        <v>-251160</v>
      </c>
      <c r="J1911" s="8"/>
      <c r="K1911" s="6"/>
      <c r="L1911" s="6" t="s">
        <v>4454</v>
      </c>
      <c r="N1911" s="6" t="s">
        <v>4454</v>
      </c>
      <c r="O1911" s="29">
        <v>0</v>
      </c>
    </row>
    <row r="1912" s="1" customFormat="1" ht="16.35" hidden="1" customHeight="1" spans="1:15">
      <c r="A1912" s="5"/>
      <c r="B1912" s="6"/>
      <c r="C1912" s="6" t="s">
        <v>4442</v>
      </c>
      <c r="D1912" s="6" t="s">
        <v>4150</v>
      </c>
      <c r="E1912" s="7">
        <v>4</v>
      </c>
      <c r="F1912" s="6" t="s">
        <v>4460</v>
      </c>
      <c r="G1912" s="6"/>
      <c r="H1912" s="6"/>
      <c r="I1912" s="8">
        <v>231400</v>
      </c>
      <c r="J1912" s="8"/>
      <c r="K1912" s="6"/>
      <c r="L1912" s="6" t="s">
        <v>4454</v>
      </c>
      <c r="N1912" s="6" t="s">
        <v>4454</v>
      </c>
      <c r="O1912" s="29">
        <v>0</v>
      </c>
    </row>
    <row r="1913" s="1" customFormat="1" ht="16.35" hidden="1" customHeight="1" spans="1:15">
      <c r="A1913" s="5"/>
      <c r="B1913" s="6"/>
      <c r="C1913" s="6" t="s">
        <v>4442</v>
      </c>
      <c r="D1913" s="6" t="s">
        <v>4150</v>
      </c>
      <c r="E1913" s="7">
        <v>4</v>
      </c>
      <c r="F1913" s="6" t="s">
        <v>4461</v>
      </c>
      <c r="G1913" s="6"/>
      <c r="H1913" s="6"/>
      <c r="I1913" s="8">
        <v>214477</v>
      </c>
      <c r="J1913" s="8"/>
      <c r="K1913" s="6"/>
      <c r="L1913" s="6" t="s">
        <v>1487</v>
      </c>
      <c r="N1913" s="6" t="s">
        <v>1487</v>
      </c>
      <c r="O1913" s="29">
        <v>0</v>
      </c>
    </row>
    <row r="1914" s="1" customFormat="1" ht="16.35" hidden="1" customHeight="1" spans="1:15">
      <c r="A1914" s="5"/>
      <c r="B1914" s="6"/>
      <c r="C1914" s="6" t="s">
        <v>4442</v>
      </c>
      <c r="D1914" s="6" t="s">
        <v>4150</v>
      </c>
      <c r="E1914" s="7">
        <v>4</v>
      </c>
      <c r="F1914" s="6" t="s">
        <v>4462</v>
      </c>
      <c r="G1914" s="6"/>
      <c r="H1914" s="6"/>
      <c r="I1914" s="8">
        <v>225200</v>
      </c>
      <c r="J1914" s="8"/>
      <c r="K1914" s="6"/>
      <c r="L1914" s="6" t="s">
        <v>1487</v>
      </c>
      <c r="N1914" s="6" t="s">
        <v>1487</v>
      </c>
      <c r="O1914" s="29">
        <v>0</v>
      </c>
    </row>
    <row r="1915" s="1" customFormat="1" ht="16.35" hidden="1" customHeight="1" spans="1:15">
      <c r="A1915" s="5"/>
      <c r="B1915" s="6"/>
      <c r="C1915" s="6" t="s">
        <v>4442</v>
      </c>
      <c r="D1915" s="6" t="s">
        <v>4150</v>
      </c>
      <c r="E1915" s="7">
        <v>4</v>
      </c>
      <c r="F1915" s="6" t="s">
        <v>4463</v>
      </c>
      <c r="G1915" s="6"/>
      <c r="H1915" s="6"/>
      <c r="I1915" s="8">
        <v>-193487</v>
      </c>
      <c r="J1915" s="8"/>
      <c r="K1915" s="6"/>
      <c r="L1915" s="6" t="s">
        <v>1310</v>
      </c>
      <c r="N1915" s="6" t="s">
        <v>1310</v>
      </c>
      <c r="O1915" s="29">
        <v>0</v>
      </c>
    </row>
    <row r="1916" s="1" customFormat="1" ht="16.35" hidden="1" customHeight="1" spans="1:15">
      <c r="A1916" s="5"/>
      <c r="B1916" s="6"/>
      <c r="C1916" s="6" t="s">
        <v>4442</v>
      </c>
      <c r="D1916" s="6" t="s">
        <v>4150</v>
      </c>
      <c r="E1916" s="7">
        <v>4</v>
      </c>
      <c r="F1916" s="6" t="s">
        <v>4464</v>
      </c>
      <c r="G1916" s="6"/>
      <c r="H1916" s="6"/>
      <c r="I1916" s="8">
        <v>193333</v>
      </c>
      <c r="J1916" s="8"/>
      <c r="K1916" s="6"/>
      <c r="L1916" s="6" t="s">
        <v>1310</v>
      </c>
      <c r="N1916" s="6" t="s">
        <v>1310</v>
      </c>
      <c r="O1916" s="29">
        <v>0</v>
      </c>
    </row>
    <row r="1917" s="1" customFormat="1" ht="16.35" hidden="1" customHeight="1" spans="1:15">
      <c r="A1917" s="5"/>
      <c r="B1917" s="6"/>
      <c r="C1917" s="6" t="s">
        <v>4442</v>
      </c>
      <c r="D1917" s="6" t="s">
        <v>4171</v>
      </c>
      <c r="E1917" s="7">
        <v>7</v>
      </c>
      <c r="F1917" s="6" t="s">
        <v>4465</v>
      </c>
      <c r="G1917" s="6"/>
      <c r="H1917" s="6"/>
      <c r="I1917" s="8"/>
      <c r="J1917" s="8">
        <v>10000</v>
      </c>
      <c r="K1917" s="6"/>
      <c r="L1917" s="6" t="s">
        <v>1419</v>
      </c>
      <c r="N1917" s="6" t="s">
        <v>1419</v>
      </c>
      <c r="O1917" s="29">
        <v>10000</v>
      </c>
    </row>
    <row r="1918" s="1" customFormat="1" ht="16.35" hidden="1" customHeight="1" spans="1:15">
      <c r="A1918" s="5"/>
      <c r="B1918" s="6"/>
      <c r="C1918" s="6" t="s">
        <v>4442</v>
      </c>
      <c r="D1918" s="6" t="s">
        <v>4171</v>
      </c>
      <c r="E1918" s="7">
        <v>3</v>
      </c>
      <c r="F1918" s="6" t="s">
        <v>4466</v>
      </c>
      <c r="G1918" s="6"/>
      <c r="H1918" s="6"/>
      <c r="I1918" s="8">
        <v>-225200</v>
      </c>
      <c r="J1918" s="8"/>
      <c r="K1918" s="6"/>
      <c r="L1918" s="6" t="s">
        <v>1487</v>
      </c>
      <c r="N1918" s="6" t="s">
        <v>1487</v>
      </c>
      <c r="O1918" s="29">
        <v>0</v>
      </c>
    </row>
    <row r="1919" s="1" customFormat="1" ht="16.35" hidden="1" customHeight="1" spans="1:15">
      <c r="A1919" s="5"/>
      <c r="B1919" s="6"/>
      <c r="C1919" s="6" t="s">
        <v>4442</v>
      </c>
      <c r="D1919" s="6" t="s">
        <v>4171</v>
      </c>
      <c r="E1919" s="7">
        <v>2</v>
      </c>
      <c r="F1919" s="6" t="s">
        <v>4467</v>
      </c>
      <c r="G1919" s="6"/>
      <c r="H1919" s="6"/>
      <c r="I1919" s="8"/>
      <c r="J1919" s="8">
        <v>60000</v>
      </c>
      <c r="K1919" s="6"/>
      <c r="L1919" s="6" t="s">
        <v>1209</v>
      </c>
      <c r="N1919" s="6" t="s">
        <v>1209</v>
      </c>
      <c r="O1919" s="29">
        <v>60000</v>
      </c>
    </row>
    <row r="1920" s="30" customFormat="1" ht="16.35" hidden="1" customHeight="1" spans="1:16">
      <c r="A1920" s="41"/>
      <c r="B1920" s="42"/>
      <c r="C1920" s="42" t="s">
        <v>4442</v>
      </c>
      <c r="D1920" s="42" t="s">
        <v>4171</v>
      </c>
      <c r="E1920" s="43">
        <v>2</v>
      </c>
      <c r="F1920" s="42" t="s">
        <v>4468</v>
      </c>
      <c r="G1920" s="42"/>
      <c r="H1920" s="42"/>
      <c r="I1920" s="44">
        <v>28000</v>
      </c>
      <c r="J1920" s="44"/>
      <c r="K1920" s="42"/>
      <c r="L1920" s="42" t="s">
        <v>1209</v>
      </c>
      <c r="N1920" s="42" t="s">
        <v>1209</v>
      </c>
      <c r="O1920" s="31">
        <v>0</v>
      </c>
      <c r="P1920" s="30" t="s">
        <v>4469</v>
      </c>
    </row>
    <row r="1921" s="30" customFormat="1" ht="16.35" hidden="1" customHeight="1" spans="1:16">
      <c r="A1921" s="41"/>
      <c r="B1921" s="42"/>
      <c r="C1921" s="42" t="s">
        <v>4442</v>
      </c>
      <c r="D1921" s="42" t="s">
        <v>4171</v>
      </c>
      <c r="E1921" s="43">
        <v>2</v>
      </c>
      <c r="F1921" s="42" t="s">
        <v>4468</v>
      </c>
      <c r="G1921" s="42"/>
      <c r="H1921" s="42"/>
      <c r="I1921" s="44"/>
      <c r="J1921" s="44">
        <v>28000</v>
      </c>
      <c r="K1921" s="42"/>
      <c r="L1921" s="42" t="s">
        <v>1209</v>
      </c>
      <c r="N1921" s="42" t="s">
        <v>1209</v>
      </c>
      <c r="O1921" s="31">
        <v>28000</v>
      </c>
      <c r="P1921" s="30" t="s">
        <v>4469</v>
      </c>
    </row>
    <row r="1922" s="30" customFormat="1" ht="16.35" hidden="1" customHeight="1" spans="1:15">
      <c r="A1922" s="41"/>
      <c r="B1922" s="42"/>
      <c r="C1922" s="42" t="s">
        <v>4442</v>
      </c>
      <c r="D1922" s="42" t="s">
        <v>4171</v>
      </c>
      <c r="E1922" s="43">
        <v>1</v>
      </c>
      <c r="F1922" s="42" t="s">
        <v>4470</v>
      </c>
      <c r="G1922" s="42"/>
      <c r="H1922" s="42"/>
      <c r="I1922" s="44"/>
      <c r="J1922" s="44">
        <v>82850</v>
      </c>
      <c r="K1922" s="42"/>
      <c r="L1922" s="42" t="s">
        <v>1704</v>
      </c>
      <c r="N1922" s="42" t="s">
        <v>1704</v>
      </c>
      <c r="O1922" s="31">
        <v>82850</v>
      </c>
    </row>
    <row r="1923" s="30" customFormat="1" ht="16.35" hidden="1" customHeight="1" spans="1:16">
      <c r="A1923" s="41"/>
      <c r="B1923" s="42"/>
      <c r="C1923" s="42" t="s">
        <v>4442</v>
      </c>
      <c r="D1923" s="42" t="s">
        <v>4171</v>
      </c>
      <c r="E1923" s="43">
        <v>3</v>
      </c>
      <c r="F1923" s="42" t="s">
        <v>4471</v>
      </c>
      <c r="G1923" s="42"/>
      <c r="H1923" s="42"/>
      <c r="I1923" s="44">
        <v>82850</v>
      </c>
      <c r="J1923" s="44"/>
      <c r="K1923" s="42"/>
      <c r="L1923" s="42" t="s">
        <v>1704</v>
      </c>
      <c r="N1923" s="42" t="s">
        <v>1704</v>
      </c>
      <c r="O1923" s="31">
        <v>0</v>
      </c>
      <c r="P1923" s="30" t="s">
        <v>4472</v>
      </c>
    </row>
    <row r="1924" s="1" customFormat="1" ht="16.35" hidden="1" customHeight="1" spans="1:15">
      <c r="A1924" s="5"/>
      <c r="B1924" s="6"/>
      <c r="C1924" s="6" t="s">
        <v>4442</v>
      </c>
      <c r="D1924" s="6" t="s">
        <v>4171</v>
      </c>
      <c r="E1924" s="7">
        <v>3</v>
      </c>
      <c r="F1924" s="6" t="s">
        <v>4473</v>
      </c>
      <c r="G1924" s="6"/>
      <c r="H1924" s="6"/>
      <c r="I1924" s="8">
        <v>103850</v>
      </c>
      <c r="J1924" s="8"/>
      <c r="K1924" s="6"/>
      <c r="L1924" s="6" t="s">
        <v>1112</v>
      </c>
      <c r="N1924" s="6" t="s">
        <v>1112</v>
      </c>
      <c r="O1924" s="29">
        <v>0</v>
      </c>
    </row>
    <row r="1925" s="1" customFormat="1" ht="16.35" hidden="1" customHeight="1" spans="1:15">
      <c r="A1925" s="5"/>
      <c r="B1925" s="6"/>
      <c r="C1925" s="6" t="s">
        <v>4442</v>
      </c>
      <c r="D1925" s="6" t="s">
        <v>4171</v>
      </c>
      <c r="E1925" s="7">
        <v>6</v>
      </c>
      <c r="F1925" s="6" t="s">
        <v>4474</v>
      </c>
      <c r="G1925" s="6"/>
      <c r="H1925" s="6"/>
      <c r="I1925" s="8">
        <v>154</v>
      </c>
      <c r="J1925" s="8"/>
      <c r="K1925" s="6"/>
      <c r="L1925" s="6" t="s">
        <v>1310</v>
      </c>
      <c r="N1925" s="6" t="s">
        <v>1310</v>
      </c>
      <c r="O1925" s="29">
        <v>0</v>
      </c>
    </row>
    <row r="1926" s="1" customFormat="1" ht="16.35" hidden="1" customHeight="1" spans="1:15">
      <c r="A1926" s="5"/>
      <c r="B1926" s="6"/>
      <c r="C1926" s="6" t="s">
        <v>4442</v>
      </c>
      <c r="D1926" s="6" t="s">
        <v>4186</v>
      </c>
      <c r="E1926" s="7">
        <v>4</v>
      </c>
      <c r="F1926" s="6" t="s">
        <v>4475</v>
      </c>
      <c r="G1926" s="6"/>
      <c r="H1926" s="6"/>
      <c r="I1926" s="8"/>
      <c r="J1926" s="8">
        <v>330000</v>
      </c>
      <c r="K1926" s="6"/>
      <c r="L1926" s="6" t="s">
        <v>4396</v>
      </c>
      <c r="N1926" s="6" t="s">
        <v>4396</v>
      </c>
      <c r="O1926" s="29">
        <v>330000</v>
      </c>
    </row>
    <row r="1927" s="1" customFormat="1" ht="16.35" hidden="1" customHeight="1" spans="1:15">
      <c r="A1927" s="5"/>
      <c r="B1927" s="6"/>
      <c r="C1927" s="6" t="s">
        <v>4442</v>
      </c>
      <c r="D1927" s="6" t="s">
        <v>4197</v>
      </c>
      <c r="E1927" s="7">
        <v>7</v>
      </c>
      <c r="F1927" s="6" t="s">
        <v>4476</v>
      </c>
      <c r="G1927" s="6"/>
      <c r="H1927" s="6"/>
      <c r="I1927" s="8"/>
      <c r="J1927" s="8">
        <v>5000</v>
      </c>
      <c r="K1927" s="6"/>
      <c r="L1927" s="6" t="s">
        <v>1413</v>
      </c>
      <c r="N1927" s="6" t="s">
        <v>1413</v>
      </c>
      <c r="O1927" s="29">
        <v>5000</v>
      </c>
    </row>
    <row r="1928" s="1" customFormat="1" ht="16.35" hidden="1" customHeight="1" spans="1:15">
      <c r="A1928" s="5"/>
      <c r="B1928" s="6"/>
      <c r="C1928" s="6" t="s">
        <v>4442</v>
      </c>
      <c r="D1928" s="6" t="s">
        <v>4197</v>
      </c>
      <c r="E1928" s="7">
        <v>8</v>
      </c>
      <c r="F1928" s="6" t="s">
        <v>4477</v>
      </c>
      <c r="G1928" s="6"/>
      <c r="H1928" s="6"/>
      <c r="I1928" s="8"/>
      <c r="J1928" s="8">
        <v>5000</v>
      </c>
      <c r="K1928" s="6"/>
      <c r="L1928" s="6" t="s">
        <v>1405</v>
      </c>
      <c r="N1928" s="6" t="s">
        <v>1405</v>
      </c>
      <c r="O1928" s="29">
        <v>5000</v>
      </c>
    </row>
    <row r="1929" s="1" customFormat="1" ht="16.35" hidden="1" customHeight="1" spans="1:15">
      <c r="A1929" s="5"/>
      <c r="B1929" s="6"/>
      <c r="C1929" s="6" t="s">
        <v>4442</v>
      </c>
      <c r="D1929" s="6" t="s">
        <v>4197</v>
      </c>
      <c r="E1929" s="7">
        <v>4</v>
      </c>
      <c r="F1929" s="6" t="s">
        <v>4478</v>
      </c>
      <c r="G1929" s="6"/>
      <c r="H1929" s="6"/>
      <c r="I1929" s="8">
        <v>95238.04</v>
      </c>
      <c r="J1929" s="8"/>
      <c r="K1929" s="6"/>
      <c r="L1929" s="6" t="s">
        <v>1247</v>
      </c>
      <c r="N1929" s="6" t="s">
        <v>1247</v>
      </c>
      <c r="O1929" s="29">
        <v>0</v>
      </c>
    </row>
    <row r="1930" s="1" customFormat="1" ht="16.35" hidden="1" customHeight="1" spans="1:15">
      <c r="A1930" s="5"/>
      <c r="B1930" s="6"/>
      <c r="C1930" s="6" t="s">
        <v>4442</v>
      </c>
      <c r="D1930" s="6" t="s">
        <v>4197</v>
      </c>
      <c r="E1930" s="7">
        <v>3</v>
      </c>
      <c r="F1930" s="6" t="s">
        <v>4479</v>
      </c>
      <c r="G1930" s="6"/>
      <c r="H1930" s="6"/>
      <c r="I1930" s="8"/>
      <c r="J1930" s="8">
        <v>22440</v>
      </c>
      <c r="K1930" s="6"/>
      <c r="L1930" s="6" t="s">
        <v>1231</v>
      </c>
      <c r="N1930" s="6" t="s">
        <v>1231</v>
      </c>
      <c r="O1930" s="29">
        <v>22440</v>
      </c>
    </row>
    <row r="1931" s="1" customFormat="1" ht="16.35" hidden="1" customHeight="1" spans="1:15">
      <c r="A1931" s="5"/>
      <c r="B1931" s="6"/>
      <c r="C1931" s="6" t="s">
        <v>4442</v>
      </c>
      <c r="D1931" s="6" t="s">
        <v>4197</v>
      </c>
      <c r="E1931" s="7">
        <v>4</v>
      </c>
      <c r="F1931" s="6" t="s">
        <v>4480</v>
      </c>
      <c r="G1931" s="6"/>
      <c r="H1931" s="6"/>
      <c r="I1931" s="8">
        <v>203416</v>
      </c>
      <c r="J1931" s="8"/>
      <c r="K1931" s="6"/>
      <c r="L1931" s="6" t="s">
        <v>1231</v>
      </c>
      <c r="N1931" s="6" t="s">
        <v>1231</v>
      </c>
      <c r="O1931" s="29">
        <v>0</v>
      </c>
    </row>
    <row r="1932" s="30" customFormat="1" ht="16.35" hidden="1" customHeight="1" spans="1:16">
      <c r="A1932" s="41"/>
      <c r="B1932" s="42"/>
      <c r="C1932" s="42" t="s">
        <v>4442</v>
      </c>
      <c r="D1932" s="42" t="s">
        <v>4197</v>
      </c>
      <c r="E1932" s="43">
        <v>13</v>
      </c>
      <c r="F1932" s="42" t="s">
        <v>4481</v>
      </c>
      <c r="G1932" s="42"/>
      <c r="H1932" s="42"/>
      <c r="I1932" s="44"/>
      <c r="J1932" s="44">
        <v>-78905</v>
      </c>
      <c r="K1932" s="42"/>
      <c r="L1932" s="42" t="s">
        <v>1704</v>
      </c>
      <c r="N1932" s="42" t="s">
        <v>1704</v>
      </c>
      <c r="O1932" s="31">
        <v>-82850.25</v>
      </c>
      <c r="P1932" s="30" t="s">
        <v>4482</v>
      </c>
    </row>
    <row r="1933" s="1" customFormat="1" ht="16.35" hidden="1" customHeight="1" spans="1:15">
      <c r="A1933" s="5"/>
      <c r="B1933" s="6"/>
      <c r="C1933" s="6" t="s">
        <v>4442</v>
      </c>
      <c r="D1933" s="6" t="s">
        <v>4197</v>
      </c>
      <c r="E1933" s="7">
        <v>11</v>
      </c>
      <c r="F1933" s="6" t="s">
        <v>4483</v>
      </c>
      <c r="G1933" s="6"/>
      <c r="H1933" s="6"/>
      <c r="I1933" s="8"/>
      <c r="J1933" s="8">
        <v>50000</v>
      </c>
      <c r="K1933" s="6"/>
      <c r="L1933" s="6" t="s">
        <v>1213</v>
      </c>
      <c r="N1933" s="6" t="s">
        <v>1213</v>
      </c>
      <c r="O1933" s="29">
        <v>50000</v>
      </c>
    </row>
    <row r="1934" s="1" customFormat="1" ht="16.35" hidden="1" customHeight="1" spans="1:15">
      <c r="A1934" s="5"/>
      <c r="B1934" s="6"/>
      <c r="C1934" s="6" t="s">
        <v>4442</v>
      </c>
      <c r="D1934" s="6" t="s">
        <v>4217</v>
      </c>
      <c r="E1934" s="7">
        <v>3</v>
      </c>
      <c r="F1934" s="6" t="s">
        <v>4484</v>
      </c>
      <c r="G1934" s="6"/>
      <c r="H1934" s="6"/>
      <c r="I1934" s="8"/>
      <c r="J1934" s="8">
        <v>102896</v>
      </c>
      <c r="K1934" s="6"/>
      <c r="L1934" s="6" t="s">
        <v>1413</v>
      </c>
      <c r="N1934" s="6" t="s">
        <v>1413</v>
      </c>
      <c r="O1934" s="29">
        <v>102896</v>
      </c>
    </row>
    <row r="1935" s="1" customFormat="1" ht="16.35" hidden="1" customHeight="1" spans="1:15">
      <c r="A1935" s="5"/>
      <c r="B1935" s="6"/>
      <c r="C1935" s="6" t="s">
        <v>4442</v>
      </c>
      <c r="D1935" s="6" t="s">
        <v>4217</v>
      </c>
      <c r="E1935" s="7">
        <v>3</v>
      </c>
      <c r="F1935" s="6" t="s">
        <v>4485</v>
      </c>
      <c r="G1935" s="6"/>
      <c r="H1935" s="6"/>
      <c r="I1935" s="8">
        <v>5000</v>
      </c>
      <c r="J1935" s="8"/>
      <c r="K1935" s="6"/>
      <c r="L1935" s="6" t="s">
        <v>1413</v>
      </c>
      <c r="N1935" s="6" t="s">
        <v>1413</v>
      </c>
      <c r="O1935" s="29">
        <v>0</v>
      </c>
    </row>
    <row r="1936" s="1" customFormat="1" ht="16.35" hidden="1" customHeight="1" spans="1:16">
      <c r="A1936" s="5"/>
      <c r="B1936" s="6"/>
      <c r="C1936" s="6" t="s">
        <v>4442</v>
      </c>
      <c r="D1936" s="6" t="s">
        <v>4217</v>
      </c>
      <c r="E1936" s="7">
        <v>3</v>
      </c>
      <c r="F1936" s="6" t="s">
        <v>4485</v>
      </c>
      <c r="G1936" s="6"/>
      <c r="H1936" s="6"/>
      <c r="I1936" s="8"/>
      <c r="J1936" s="8">
        <v>5000</v>
      </c>
      <c r="K1936" s="6"/>
      <c r="L1936" s="6" t="s">
        <v>1413</v>
      </c>
      <c r="N1936" s="6" t="s">
        <v>1413</v>
      </c>
      <c r="O1936" s="29">
        <v>5000</v>
      </c>
      <c r="P1936" s="1" t="s">
        <v>4486</v>
      </c>
    </row>
    <row r="1937" s="1" customFormat="1" ht="16.35" hidden="1" customHeight="1" spans="1:15">
      <c r="A1937" s="5"/>
      <c r="B1937" s="6"/>
      <c r="C1937" s="6" t="s">
        <v>4442</v>
      </c>
      <c r="D1937" s="6" t="s">
        <v>4217</v>
      </c>
      <c r="E1937" s="7">
        <v>2</v>
      </c>
      <c r="F1937" s="6" t="s">
        <v>4487</v>
      </c>
      <c r="G1937" s="6"/>
      <c r="H1937" s="6"/>
      <c r="I1937" s="8"/>
      <c r="J1937" s="8">
        <v>10000</v>
      </c>
      <c r="K1937" s="6"/>
      <c r="L1937" s="6" t="s">
        <v>1211</v>
      </c>
      <c r="N1937" s="6" t="s">
        <v>1211</v>
      </c>
      <c r="O1937" s="29">
        <v>10000</v>
      </c>
    </row>
    <row r="1938" hidden="1"/>
    <row r="1939" hidden="1" spans="3:13">
      <c r="C1939" s="13" t="s">
        <v>4488</v>
      </c>
      <c r="D1939" s="13" t="s">
        <v>4489</v>
      </c>
      <c r="E1939" s="13" t="s">
        <v>2896</v>
      </c>
      <c r="F1939" s="13" t="s">
        <v>2897</v>
      </c>
      <c r="G1939" s="13"/>
      <c r="H1939" s="13"/>
      <c r="I1939" s="13" t="s">
        <v>4490</v>
      </c>
      <c r="J1939" s="13" t="s">
        <v>4491</v>
      </c>
      <c r="K1939" s="13"/>
      <c r="L1939" s="13"/>
      <c r="M1939" s="13"/>
    </row>
    <row r="1940" hidden="1" spans="3:13">
      <c r="C1940" s="13" t="s">
        <v>4492</v>
      </c>
      <c r="D1940" s="13" t="s">
        <v>4493</v>
      </c>
      <c r="E1940" s="13" t="s">
        <v>2896</v>
      </c>
      <c r="F1940" s="13" t="s">
        <v>4494</v>
      </c>
      <c r="G1940" s="13"/>
      <c r="H1940" s="13"/>
      <c r="I1940" s="13"/>
      <c r="J1940" s="15">
        <v>60500</v>
      </c>
      <c r="K1940" s="13"/>
      <c r="L1940" s="15"/>
      <c r="M1940" s="15"/>
    </row>
    <row r="1941" hidden="1" spans="3:13">
      <c r="C1941" s="13" t="s">
        <v>4492</v>
      </c>
      <c r="D1941" s="13" t="s">
        <v>4493</v>
      </c>
      <c r="E1941" s="13" t="s">
        <v>2896</v>
      </c>
      <c r="F1941" s="13" t="s">
        <v>4495</v>
      </c>
      <c r="G1941" s="13"/>
      <c r="H1941" s="13"/>
      <c r="I1941" s="13"/>
      <c r="J1941" s="15">
        <v>33000</v>
      </c>
      <c r="K1941" s="13"/>
      <c r="L1941" s="15"/>
      <c r="M1941" s="15"/>
    </row>
    <row r="1942" hidden="1" spans="3:13">
      <c r="C1942" s="13" t="s">
        <v>4496</v>
      </c>
      <c r="D1942" s="13" t="s">
        <v>4493</v>
      </c>
      <c r="E1942" s="13" t="s">
        <v>2896</v>
      </c>
      <c r="F1942" s="13" t="s">
        <v>4497</v>
      </c>
      <c r="G1942" s="13"/>
      <c r="H1942" s="13"/>
      <c r="I1942" s="13"/>
      <c r="J1942" s="15">
        <v>14000</v>
      </c>
      <c r="K1942" s="13"/>
      <c r="L1942" s="15"/>
      <c r="M1942" s="15"/>
    </row>
    <row r="1943" hidden="1" spans="3:13">
      <c r="C1943" s="13" t="s">
        <v>4496</v>
      </c>
      <c r="D1943" s="13" t="s">
        <v>4493</v>
      </c>
      <c r="E1943" s="13" t="s">
        <v>2896</v>
      </c>
      <c r="F1943" s="13" t="s">
        <v>4498</v>
      </c>
      <c r="G1943" s="13"/>
      <c r="H1943" s="13"/>
      <c r="I1943" s="13"/>
      <c r="J1943" s="15">
        <v>40000</v>
      </c>
      <c r="K1943" s="13"/>
      <c r="L1943" s="15"/>
      <c r="M1943" s="15"/>
    </row>
    <row r="1944" hidden="1" spans="3:13">
      <c r="C1944" s="13" t="s">
        <v>4499</v>
      </c>
      <c r="D1944" s="13" t="s">
        <v>4493</v>
      </c>
      <c r="E1944" s="13" t="s">
        <v>2896</v>
      </c>
      <c r="F1944" s="13" t="s">
        <v>4500</v>
      </c>
      <c r="G1944" s="13"/>
      <c r="H1944" s="13"/>
      <c r="I1944" s="13"/>
      <c r="J1944" s="15">
        <v>60000</v>
      </c>
      <c r="K1944" s="13"/>
      <c r="L1944" s="15"/>
      <c r="M1944" s="15"/>
    </row>
    <row r="1945" hidden="1" spans="3:13">
      <c r="C1945" s="13" t="s">
        <v>4499</v>
      </c>
      <c r="D1945" s="13" t="s">
        <v>4493</v>
      </c>
      <c r="E1945" s="13" t="s">
        <v>2896</v>
      </c>
      <c r="F1945" s="13" t="s">
        <v>4501</v>
      </c>
      <c r="G1945" s="13"/>
      <c r="H1945" s="13"/>
      <c r="I1945" s="13"/>
      <c r="J1945" s="15">
        <v>28000</v>
      </c>
      <c r="K1945" s="13"/>
      <c r="L1945" s="15"/>
      <c r="M1945" s="15"/>
    </row>
    <row r="1946" hidden="1" spans="3:13">
      <c r="C1946" s="13" t="s">
        <v>4502</v>
      </c>
      <c r="D1946" s="13" t="s">
        <v>4493</v>
      </c>
      <c r="E1946" s="13" t="s">
        <v>2896</v>
      </c>
      <c r="F1946" s="13" t="s">
        <v>4503</v>
      </c>
      <c r="G1946" s="13"/>
      <c r="H1946" s="13"/>
      <c r="I1946" s="13"/>
      <c r="J1946" s="15">
        <v>25000</v>
      </c>
      <c r="K1946" s="13"/>
      <c r="L1946" s="15"/>
      <c r="M1946" s="15"/>
    </row>
    <row r="1947" spans="16:16">
      <c r="P1947" s="1">
        <v>8266</v>
      </c>
    </row>
  </sheetData>
  <autoFilter ref="A1:O1946">
    <filterColumn colId="13">
      <customFilters>
        <customFilter operator="equal" val="C16-102"/>
      </customFilters>
    </filterColumn>
    <extLst/>
  </autoFilter>
  <mergeCells count="1">
    <mergeCell ref="A2:A1535"/>
  </mergeCells>
  <pageMargins left="0.75" right="0.75" top="1" bottom="1" header="0.5" footer="0.5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AA4301"/>
  <sheetViews>
    <sheetView topLeftCell="B1" workbookViewId="0">
      <pane ySplit="1" topLeftCell="A2" activePane="bottomLeft" state="frozen"/>
      <selection/>
      <selection pane="bottomLeft" activeCell="I281" sqref="I281"/>
    </sheetView>
  </sheetViews>
  <sheetFormatPr defaultColWidth="10" defaultRowHeight="13.5"/>
  <cols>
    <col min="1" max="1" width="24.0666666666667" style="1" customWidth="1"/>
    <col min="2" max="2" width="4.525" style="1" customWidth="1"/>
    <col min="3" max="3" width="3.93333333333333" style="1" customWidth="1"/>
    <col min="4" max="4" width="6.15" style="1" customWidth="1"/>
    <col min="5" max="5" width="19.25" style="1" customWidth="1"/>
    <col min="6" max="6" width="7.775" style="1" customWidth="1"/>
    <col min="7" max="7" width="10.3833333333333" style="1" customWidth="1"/>
    <col min="8" max="8" width="11.0333333333333" style="1" customWidth="1"/>
    <col min="9" max="9" width="16" style="1" customWidth="1"/>
    <col min="10" max="10" width="6.63333333333333" style="1" customWidth="1"/>
    <col min="11" max="11" width="20.1333333333333" style="1" customWidth="1"/>
    <col min="12" max="12" width="7.775" style="1" customWidth="1"/>
    <col min="13" max="13" width="9.76666666666667" style="1" customWidth="1"/>
    <col min="14" max="14" width="12.25" style="1" customWidth="1"/>
    <col min="15" max="15" width="15.6333333333333" style="29" customWidth="1"/>
    <col min="16" max="16" width="10.25" style="1" customWidth="1"/>
    <col min="17" max="17" width="19.3833333333333" style="30" customWidth="1"/>
    <col min="18" max="18" width="14.8833333333333" style="31"/>
    <col min="19" max="19" width="14.3833333333333" style="1" customWidth="1"/>
    <col min="20" max="21" width="12.6333333333333" style="1"/>
    <col min="22" max="16383" width="10" style="1"/>
  </cols>
  <sheetData>
    <row r="1" s="1" customFormat="1" ht="16.35" customHeight="1" spans="1:18">
      <c r="A1" s="4" t="s">
        <v>2893</v>
      </c>
      <c r="B1" s="4" t="s">
        <v>2894</v>
      </c>
      <c r="C1" s="4" t="s">
        <v>2895</v>
      </c>
      <c r="D1" s="4" t="s">
        <v>2896</v>
      </c>
      <c r="E1" s="4" t="s">
        <v>2897</v>
      </c>
      <c r="F1" s="4" t="s">
        <v>2898</v>
      </c>
      <c r="G1" s="4" t="s">
        <v>2899</v>
      </c>
      <c r="H1" s="4" t="s">
        <v>2900</v>
      </c>
      <c r="I1" s="4" t="s">
        <v>2901</v>
      </c>
      <c r="J1" s="4" t="s">
        <v>2902</v>
      </c>
      <c r="K1" s="4" t="s">
        <v>2903</v>
      </c>
      <c r="L1" s="4" t="s">
        <v>4504</v>
      </c>
      <c r="M1" s="4" t="s">
        <v>4505</v>
      </c>
      <c r="N1" s="4" t="s">
        <v>2904</v>
      </c>
      <c r="O1" s="32" t="s">
        <v>2905</v>
      </c>
      <c r="P1" s="1" t="s">
        <v>12</v>
      </c>
      <c r="Q1" s="30" t="s">
        <v>2904</v>
      </c>
      <c r="R1" s="31" t="s">
        <v>2905</v>
      </c>
    </row>
    <row r="2" s="1" customFormat="1" ht="16.35" hidden="1" customHeight="1" spans="1:18">
      <c r="A2" s="6" t="s">
        <v>4506</v>
      </c>
      <c r="B2" s="6">
        <v>2014</v>
      </c>
      <c r="C2" s="6">
        <v>11</v>
      </c>
      <c r="D2" s="7">
        <v>62</v>
      </c>
      <c r="E2" s="6" t="s">
        <v>4507</v>
      </c>
      <c r="F2" s="6" t="s">
        <v>4508</v>
      </c>
      <c r="G2" s="6" t="s">
        <v>25</v>
      </c>
      <c r="H2" s="8"/>
      <c r="I2" s="8">
        <v>341766</v>
      </c>
      <c r="J2" s="6" t="s">
        <v>4509</v>
      </c>
      <c r="K2" s="6" t="s">
        <v>589</v>
      </c>
      <c r="L2" s="6" t="s">
        <v>4510</v>
      </c>
      <c r="M2" s="6" t="s">
        <v>4511</v>
      </c>
      <c r="N2" s="6" t="s">
        <v>589</v>
      </c>
      <c r="O2" s="29">
        <f t="shared" ref="O2:O65" si="0">I2</f>
        <v>341766</v>
      </c>
      <c r="Q2" s="30" t="s">
        <v>589</v>
      </c>
      <c r="R2" s="31">
        <v>341766</v>
      </c>
    </row>
    <row r="3" s="1" customFormat="1" ht="16.35" hidden="1" customHeight="1" spans="1:18">
      <c r="A3" s="6" t="s">
        <v>4506</v>
      </c>
      <c r="B3" s="6">
        <v>2014</v>
      </c>
      <c r="C3" s="6">
        <v>11</v>
      </c>
      <c r="D3" s="7">
        <v>62</v>
      </c>
      <c r="E3" s="6" t="s">
        <v>4507</v>
      </c>
      <c r="F3" s="6" t="s">
        <v>4508</v>
      </c>
      <c r="G3" s="6" t="s">
        <v>25</v>
      </c>
      <c r="H3" s="8"/>
      <c r="I3" s="8">
        <v>341766</v>
      </c>
      <c r="J3" s="6" t="s">
        <v>4512</v>
      </c>
      <c r="K3" s="6" t="s">
        <v>587</v>
      </c>
      <c r="L3" s="6" t="s">
        <v>4510</v>
      </c>
      <c r="M3" s="6" t="s">
        <v>4511</v>
      </c>
      <c r="N3" s="6" t="s">
        <v>587</v>
      </c>
      <c r="O3" s="29">
        <f t="shared" si="0"/>
        <v>341766</v>
      </c>
      <c r="Q3" s="30" t="s">
        <v>587</v>
      </c>
      <c r="R3" s="31">
        <v>341766</v>
      </c>
    </row>
    <row r="4" s="1" customFormat="1" ht="16.35" hidden="1" customHeight="1" spans="1:18">
      <c r="A4" s="6" t="s">
        <v>4506</v>
      </c>
      <c r="B4" s="6">
        <v>2014</v>
      </c>
      <c r="C4" s="6">
        <v>12</v>
      </c>
      <c r="D4" s="7">
        <v>53</v>
      </c>
      <c r="E4" s="6" t="s">
        <v>4513</v>
      </c>
      <c r="F4" s="6" t="s">
        <v>4508</v>
      </c>
      <c r="G4" s="6" t="s">
        <v>25</v>
      </c>
      <c r="H4" s="8"/>
      <c r="I4" s="8">
        <v>366550</v>
      </c>
      <c r="J4" s="6" t="s">
        <v>4514</v>
      </c>
      <c r="K4" s="6" t="s">
        <v>585</v>
      </c>
      <c r="L4" s="6" t="s">
        <v>4510</v>
      </c>
      <c r="M4" s="6" t="s">
        <v>4511</v>
      </c>
      <c r="N4" s="6" t="s">
        <v>585</v>
      </c>
      <c r="O4" s="29">
        <f t="shared" si="0"/>
        <v>366550</v>
      </c>
      <c r="Q4" s="30" t="s">
        <v>585</v>
      </c>
      <c r="R4" s="31">
        <v>366550</v>
      </c>
    </row>
    <row r="5" s="1" customFormat="1" ht="16.35" hidden="1" customHeight="1" spans="1:18">
      <c r="A5" s="6" t="s">
        <v>4506</v>
      </c>
      <c r="B5" s="6">
        <v>2014</v>
      </c>
      <c r="C5" s="6">
        <v>12</v>
      </c>
      <c r="D5" s="7">
        <v>64</v>
      </c>
      <c r="E5" s="6" t="s">
        <v>4515</v>
      </c>
      <c r="F5" s="6" t="s">
        <v>4508</v>
      </c>
      <c r="G5" s="6" t="s">
        <v>25</v>
      </c>
      <c r="H5" s="8"/>
      <c r="I5" s="8">
        <v>431074</v>
      </c>
      <c r="J5" s="6" t="s">
        <v>4510</v>
      </c>
      <c r="K5" s="6" t="s">
        <v>226</v>
      </c>
      <c r="L5" s="6" t="s">
        <v>4510</v>
      </c>
      <c r="M5" s="6" t="s">
        <v>4511</v>
      </c>
      <c r="N5" s="6" t="s">
        <v>226</v>
      </c>
      <c r="O5" s="29">
        <f t="shared" si="0"/>
        <v>431074</v>
      </c>
      <c r="Q5" s="30" t="s">
        <v>226</v>
      </c>
      <c r="R5" s="31">
        <v>431074</v>
      </c>
    </row>
    <row r="6" s="1" customFormat="1" ht="16.35" hidden="1" customHeight="1" spans="1:18">
      <c r="A6" s="6" t="s">
        <v>4506</v>
      </c>
      <c r="B6" s="6">
        <v>2014</v>
      </c>
      <c r="C6" s="6">
        <v>12</v>
      </c>
      <c r="D6" s="7">
        <v>64</v>
      </c>
      <c r="E6" s="6" t="s">
        <v>4515</v>
      </c>
      <c r="F6" s="6" t="s">
        <v>4508</v>
      </c>
      <c r="G6" s="6" t="s">
        <v>25</v>
      </c>
      <c r="H6" s="8"/>
      <c r="I6" s="8">
        <v>458720</v>
      </c>
      <c r="J6" s="6" t="s">
        <v>4516</v>
      </c>
      <c r="K6" s="6" t="s">
        <v>228</v>
      </c>
      <c r="L6" s="6" t="s">
        <v>4510</v>
      </c>
      <c r="M6" s="6" t="s">
        <v>4511</v>
      </c>
      <c r="N6" s="6" t="s">
        <v>228</v>
      </c>
      <c r="O6" s="29">
        <f t="shared" si="0"/>
        <v>458720</v>
      </c>
      <c r="Q6" s="30" t="s">
        <v>228</v>
      </c>
      <c r="R6" s="31">
        <v>458720</v>
      </c>
    </row>
    <row r="7" s="1" customFormat="1" ht="16.35" hidden="1" customHeight="1" spans="1:18">
      <c r="A7" s="6" t="s">
        <v>4506</v>
      </c>
      <c r="B7" s="6">
        <v>2014</v>
      </c>
      <c r="C7" s="6">
        <v>12</v>
      </c>
      <c r="D7" s="7">
        <v>64</v>
      </c>
      <c r="E7" s="6" t="s">
        <v>4515</v>
      </c>
      <c r="F7" s="6" t="s">
        <v>4508</v>
      </c>
      <c r="G7" s="6" t="s">
        <v>25</v>
      </c>
      <c r="H7" s="8"/>
      <c r="I7" s="8">
        <v>457253</v>
      </c>
      <c r="J7" s="6" t="s">
        <v>2910</v>
      </c>
      <c r="K7" s="6" t="s">
        <v>230</v>
      </c>
      <c r="L7" s="6" t="s">
        <v>4510</v>
      </c>
      <c r="M7" s="6" t="s">
        <v>4511</v>
      </c>
      <c r="N7" s="6" t="s">
        <v>230</v>
      </c>
      <c r="O7" s="29">
        <f t="shared" si="0"/>
        <v>457253</v>
      </c>
      <c r="Q7" s="30" t="s">
        <v>230</v>
      </c>
      <c r="R7" s="31">
        <v>457253</v>
      </c>
    </row>
    <row r="8" s="1" customFormat="1" ht="16.35" hidden="1" customHeight="1" spans="1:18">
      <c r="A8" s="6" t="s">
        <v>4506</v>
      </c>
      <c r="B8" s="6">
        <v>2014</v>
      </c>
      <c r="C8" s="6">
        <v>12</v>
      </c>
      <c r="D8" s="7">
        <v>64</v>
      </c>
      <c r="E8" s="6" t="s">
        <v>4515</v>
      </c>
      <c r="F8" s="6" t="s">
        <v>4508</v>
      </c>
      <c r="G8" s="6" t="s">
        <v>25</v>
      </c>
      <c r="H8" s="8"/>
      <c r="I8" s="8">
        <v>452266</v>
      </c>
      <c r="J8" s="6" t="s">
        <v>4517</v>
      </c>
      <c r="K8" s="6" t="s">
        <v>234</v>
      </c>
      <c r="L8" s="6" t="s">
        <v>4510</v>
      </c>
      <c r="M8" s="6" t="s">
        <v>4511</v>
      </c>
      <c r="N8" s="6" t="s">
        <v>234</v>
      </c>
      <c r="O8" s="29">
        <f t="shared" si="0"/>
        <v>452266</v>
      </c>
      <c r="Q8" s="30" t="s">
        <v>234</v>
      </c>
      <c r="R8" s="31">
        <v>452266</v>
      </c>
    </row>
    <row r="9" s="1" customFormat="1" ht="16.35" hidden="1" customHeight="1" spans="1:18">
      <c r="A9" s="6" t="s">
        <v>4506</v>
      </c>
      <c r="B9" s="6">
        <v>2014</v>
      </c>
      <c r="C9" s="6">
        <v>12</v>
      </c>
      <c r="D9" s="7">
        <v>64</v>
      </c>
      <c r="E9" s="6" t="s">
        <v>4515</v>
      </c>
      <c r="F9" s="6" t="s">
        <v>4508</v>
      </c>
      <c r="G9" s="6" t="s">
        <v>25</v>
      </c>
      <c r="H9" s="8"/>
      <c r="I9" s="8">
        <v>444963</v>
      </c>
      <c r="J9" s="6" t="s">
        <v>4518</v>
      </c>
      <c r="K9" s="6" t="s">
        <v>236</v>
      </c>
      <c r="L9" s="6" t="s">
        <v>4510</v>
      </c>
      <c r="M9" s="6" t="s">
        <v>4511</v>
      </c>
      <c r="N9" s="6" t="s">
        <v>236</v>
      </c>
      <c r="O9" s="29">
        <f t="shared" si="0"/>
        <v>444963</v>
      </c>
      <c r="Q9" s="30" t="s">
        <v>236</v>
      </c>
      <c r="R9" s="31">
        <v>444963</v>
      </c>
    </row>
    <row r="10" s="1" customFormat="1" ht="16.35" hidden="1" customHeight="1" spans="1:18">
      <c r="A10" s="6" t="s">
        <v>4506</v>
      </c>
      <c r="B10" s="6">
        <v>2014</v>
      </c>
      <c r="C10" s="6">
        <v>12</v>
      </c>
      <c r="D10" s="7">
        <v>64</v>
      </c>
      <c r="E10" s="6" t="s">
        <v>4515</v>
      </c>
      <c r="F10" s="6" t="s">
        <v>4508</v>
      </c>
      <c r="G10" s="6" t="s">
        <v>25</v>
      </c>
      <c r="H10" s="8"/>
      <c r="I10" s="8">
        <v>431074</v>
      </c>
      <c r="J10" s="6" t="s">
        <v>4519</v>
      </c>
      <c r="K10" s="6" t="s">
        <v>238</v>
      </c>
      <c r="L10" s="6" t="s">
        <v>4510</v>
      </c>
      <c r="M10" s="6" t="s">
        <v>4511</v>
      </c>
      <c r="N10" s="6" t="s">
        <v>238</v>
      </c>
      <c r="O10" s="29">
        <f t="shared" si="0"/>
        <v>431074</v>
      </c>
      <c r="Q10" s="30" t="s">
        <v>238</v>
      </c>
      <c r="R10" s="31">
        <v>431074</v>
      </c>
    </row>
    <row r="11" s="1" customFormat="1" ht="16.35" hidden="1" customHeight="1" spans="1:18">
      <c r="A11" s="6" t="s">
        <v>4506</v>
      </c>
      <c r="B11" s="6">
        <v>2014</v>
      </c>
      <c r="C11" s="6">
        <v>12</v>
      </c>
      <c r="D11" s="7">
        <v>64</v>
      </c>
      <c r="E11" s="6" t="s">
        <v>4515</v>
      </c>
      <c r="F11" s="6" t="s">
        <v>4508</v>
      </c>
      <c r="G11" s="6" t="s">
        <v>25</v>
      </c>
      <c r="H11" s="8"/>
      <c r="I11" s="8">
        <v>394923</v>
      </c>
      <c r="J11" s="6" t="s">
        <v>4520</v>
      </c>
      <c r="K11" s="6" t="s">
        <v>242</v>
      </c>
      <c r="L11" s="6" t="s">
        <v>4510</v>
      </c>
      <c r="M11" s="6" t="s">
        <v>4511</v>
      </c>
      <c r="N11" s="6" t="s">
        <v>242</v>
      </c>
      <c r="O11" s="29">
        <f t="shared" si="0"/>
        <v>394923</v>
      </c>
      <c r="Q11" s="30" t="s">
        <v>242</v>
      </c>
      <c r="R11" s="31">
        <v>394923</v>
      </c>
    </row>
    <row r="12" s="1" customFormat="1" ht="16.35" hidden="1" customHeight="1" spans="1:18">
      <c r="A12" s="6" t="s">
        <v>4506</v>
      </c>
      <c r="B12" s="6">
        <v>2014</v>
      </c>
      <c r="C12" s="6">
        <v>12</v>
      </c>
      <c r="D12" s="7">
        <v>64</v>
      </c>
      <c r="E12" s="6" t="s">
        <v>4515</v>
      </c>
      <c r="F12" s="6" t="s">
        <v>4508</v>
      </c>
      <c r="G12" s="6" t="s">
        <v>25</v>
      </c>
      <c r="H12" s="8"/>
      <c r="I12" s="8">
        <v>453513</v>
      </c>
      <c r="J12" s="6" t="s">
        <v>4521</v>
      </c>
      <c r="K12" s="6" t="s">
        <v>248</v>
      </c>
      <c r="L12" s="6" t="s">
        <v>4510</v>
      </c>
      <c r="M12" s="6" t="s">
        <v>4511</v>
      </c>
      <c r="N12" s="6" t="s">
        <v>248</v>
      </c>
      <c r="O12" s="29">
        <f t="shared" si="0"/>
        <v>453513</v>
      </c>
      <c r="Q12" s="30" t="s">
        <v>248</v>
      </c>
      <c r="R12" s="31">
        <v>453513</v>
      </c>
    </row>
    <row r="13" s="1" customFormat="1" ht="16.35" hidden="1" customHeight="1" spans="1:18">
      <c r="A13" s="6" t="s">
        <v>4506</v>
      </c>
      <c r="B13" s="6">
        <v>2014</v>
      </c>
      <c r="C13" s="6">
        <v>12</v>
      </c>
      <c r="D13" s="7">
        <v>64</v>
      </c>
      <c r="E13" s="6" t="s">
        <v>4515</v>
      </c>
      <c r="F13" s="6" t="s">
        <v>4508</v>
      </c>
      <c r="G13" s="6" t="s">
        <v>25</v>
      </c>
      <c r="H13" s="8"/>
      <c r="I13" s="8">
        <v>457253</v>
      </c>
      <c r="J13" s="6" t="s">
        <v>4522</v>
      </c>
      <c r="K13" s="6" t="s">
        <v>252</v>
      </c>
      <c r="L13" s="6" t="s">
        <v>4510</v>
      </c>
      <c r="M13" s="6" t="s">
        <v>4511</v>
      </c>
      <c r="N13" s="6" t="s">
        <v>252</v>
      </c>
      <c r="O13" s="29">
        <f t="shared" si="0"/>
        <v>457253</v>
      </c>
      <c r="Q13" s="30" t="s">
        <v>252</v>
      </c>
      <c r="R13" s="31">
        <v>457253</v>
      </c>
    </row>
    <row r="14" s="1" customFormat="1" ht="16.35" hidden="1" customHeight="1" spans="1:18">
      <c r="A14" s="6" t="s">
        <v>4506</v>
      </c>
      <c r="B14" s="6">
        <v>2014</v>
      </c>
      <c r="C14" s="6">
        <v>12</v>
      </c>
      <c r="D14" s="7">
        <v>64</v>
      </c>
      <c r="E14" s="6" t="s">
        <v>4515</v>
      </c>
      <c r="F14" s="6" t="s">
        <v>4508</v>
      </c>
      <c r="G14" s="6" t="s">
        <v>25</v>
      </c>
      <c r="H14" s="8"/>
      <c r="I14" s="8">
        <v>457253</v>
      </c>
      <c r="J14" s="6" t="s">
        <v>4523</v>
      </c>
      <c r="K14" s="6" t="s">
        <v>254</v>
      </c>
      <c r="L14" s="6" t="s">
        <v>4510</v>
      </c>
      <c r="M14" s="6" t="s">
        <v>4511</v>
      </c>
      <c r="N14" s="6" t="s">
        <v>254</v>
      </c>
      <c r="O14" s="29">
        <f t="shared" si="0"/>
        <v>457253</v>
      </c>
      <c r="Q14" s="30" t="s">
        <v>254</v>
      </c>
      <c r="R14" s="31">
        <v>457253</v>
      </c>
    </row>
    <row r="15" s="1" customFormat="1" ht="16.35" hidden="1" customHeight="1" spans="1:18">
      <c r="A15" s="6" t="s">
        <v>4506</v>
      </c>
      <c r="B15" s="6">
        <v>2014</v>
      </c>
      <c r="C15" s="6">
        <v>12</v>
      </c>
      <c r="D15" s="7">
        <v>64</v>
      </c>
      <c r="E15" s="6" t="s">
        <v>4515</v>
      </c>
      <c r="F15" s="6" t="s">
        <v>4508</v>
      </c>
      <c r="G15" s="6" t="s">
        <v>25</v>
      </c>
      <c r="H15" s="8"/>
      <c r="I15" s="8">
        <v>452266</v>
      </c>
      <c r="J15" s="6" t="s">
        <v>4524</v>
      </c>
      <c r="K15" s="6" t="s">
        <v>256</v>
      </c>
      <c r="L15" s="6" t="s">
        <v>4510</v>
      </c>
      <c r="M15" s="6" t="s">
        <v>4511</v>
      </c>
      <c r="N15" s="6" t="s">
        <v>256</v>
      </c>
      <c r="O15" s="29">
        <f t="shared" si="0"/>
        <v>452266</v>
      </c>
      <c r="Q15" s="30" t="s">
        <v>256</v>
      </c>
      <c r="R15" s="31">
        <v>452266</v>
      </c>
    </row>
    <row r="16" s="1" customFormat="1" ht="16.35" hidden="1" customHeight="1" spans="1:18">
      <c r="A16" s="6" t="s">
        <v>4506</v>
      </c>
      <c r="B16" s="6">
        <v>2014</v>
      </c>
      <c r="C16" s="6">
        <v>12</v>
      </c>
      <c r="D16" s="7">
        <v>64</v>
      </c>
      <c r="E16" s="6" t="s">
        <v>4515</v>
      </c>
      <c r="F16" s="6" t="s">
        <v>4508</v>
      </c>
      <c r="G16" s="6" t="s">
        <v>25</v>
      </c>
      <c r="H16" s="8"/>
      <c r="I16" s="8">
        <v>443540</v>
      </c>
      <c r="J16" s="6" t="s">
        <v>4525</v>
      </c>
      <c r="K16" s="6" t="s">
        <v>260</v>
      </c>
      <c r="L16" s="6" t="s">
        <v>4510</v>
      </c>
      <c r="M16" s="6" t="s">
        <v>4511</v>
      </c>
      <c r="N16" s="6" t="s">
        <v>260</v>
      </c>
      <c r="O16" s="29">
        <f t="shared" si="0"/>
        <v>443540</v>
      </c>
      <c r="Q16" s="30" t="s">
        <v>260</v>
      </c>
      <c r="R16" s="31">
        <v>443540</v>
      </c>
    </row>
    <row r="17" s="1" customFormat="1" ht="16.35" hidden="1" customHeight="1" spans="1:18">
      <c r="A17" s="6" t="s">
        <v>4506</v>
      </c>
      <c r="B17" s="6">
        <v>2014</v>
      </c>
      <c r="C17" s="6">
        <v>12</v>
      </c>
      <c r="D17" s="7">
        <v>64</v>
      </c>
      <c r="E17" s="6" t="s">
        <v>4515</v>
      </c>
      <c r="F17" s="6" t="s">
        <v>4508</v>
      </c>
      <c r="G17" s="6" t="s">
        <v>25</v>
      </c>
      <c r="H17" s="8"/>
      <c r="I17" s="8">
        <v>443540</v>
      </c>
      <c r="J17" s="6" t="s">
        <v>4526</v>
      </c>
      <c r="K17" s="6" t="s">
        <v>262</v>
      </c>
      <c r="L17" s="6" t="s">
        <v>4510</v>
      </c>
      <c r="M17" s="6" t="s">
        <v>4511</v>
      </c>
      <c r="N17" s="6" t="s">
        <v>262</v>
      </c>
      <c r="O17" s="29">
        <f t="shared" si="0"/>
        <v>443540</v>
      </c>
      <c r="Q17" s="30" t="s">
        <v>262</v>
      </c>
      <c r="R17" s="31">
        <v>443540</v>
      </c>
    </row>
    <row r="18" s="1" customFormat="1" ht="16.35" hidden="1" customHeight="1" spans="1:18">
      <c r="A18" s="6" t="s">
        <v>4506</v>
      </c>
      <c r="B18" s="6">
        <v>2014</v>
      </c>
      <c r="C18" s="6">
        <v>12</v>
      </c>
      <c r="D18" s="7">
        <v>64</v>
      </c>
      <c r="E18" s="6" t="s">
        <v>4515</v>
      </c>
      <c r="F18" s="6" t="s">
        <v>4508</v>
      </c>
      <c r="G18" s="6" t="s">
        <v>25</v>
      </c>
      <c r="H18" s="8"/>
      <c r="I18" s="8">
        <v>391183</v>
      </c>
      <c r="J18" s="6" t="s">
        <v>4527</v>
      </c>
      <c r="K18" s="6" t="s">
        <v>266</v>
      </c>
      <c r="L18" s="6" t="s">
        <v>4510</v>
      </c>
      <c r="M18" s="6" t="s">
        <v>4511</v>
      </c>
      <c r="N18" s="6" t="s">
        <v>266</v>
      </c>
      <c r="O18" s="29">
        <f t="shared" si="0"/>
        <v>391183</v>
      </c>
      <c r="Q18" s="30" t="s">
        <v>266</v>
      </c>
      <c r="R18" s="31">
        <v>391183</v>
      </c>
    </row>
    <row r="19" s="1" customFormat="1" ht="16.35" hidden="1" customHeight="1" spans="1:18">
      <c r="A19" s="6" t="s">
        <v>4506</v>
      </c>
      <c r="B19" s="6">
        <v>2014</v>
      </c>
      <c r="C19" s="6">
        <v>12</v>
      </c>
      <c r="D19" s="7">
        <v>64</v>
      </c>
      <c r="E19" s="6" t="s">
        <v>4515</v>
      </c>
      <c r="F19" s="6" t="s">
        <v>4508</v>
      </c>
      <c r="G19" s="6" t="s">
        <v>25</v>
      </c>
      <c r="H19" s="8"/>
      <c r="I19" s="8">
        <v>343864</v>
      </c>
      <c r="J19" s="6" t="s">
        <v>4528</v>
      </c>
      <c r="K19" s="6" t="s">
        <v>270</v>
      </c>
      <c r="L19" s="6" t="s">
        <v>4510</v>
      </c>
      <c r="M19" s="6" t="s">
        <v>4511</v>
      </c>
      <c r="N19" s="6" t="s">
        <v>270</v>
      </c>
      <c r="O19" s="29">
        <f t="shared" si="0"/>
        <v>343864</v>
      </c>
      <c r="Q19" s="30" t="s">
        <v>270</v>
      </c>
      <c r="R19" s="31">
        <v>343864</v>
      </c>
    </row>
    <row r="20" s="1" customFormat="1" ht="16.35" hidden="1" customHeight="1" spans="1:18">
      <c r="A20" s="6" t="s">
        <v>4506</v>
      </c>
      <c r="B20" s="6">
        <v>2014</v>
      </c>
      <c r="C20" s="6">
        <v>12</v>
      </c>
      <c r="D20" s="7">
        <v>64</v>
      </c>
      <c r="E20" s="6" t="s">
        <v>4515</v>
      </c>
      <c r="F20" s="6" t="s">
        <v>4508</v>
      </c>
      <c r="G20" s="6" t="s">
        <v>25</v>
      </c>
      <c r="H20" s="8"/>
      <c r="I20" s="8">
        <v>434814</v>
      </c>
      <c r="J20" s="6" t="s">
        <v>2919</v>
      </c>
      <c r="K20" s="6" t="s">
        <v>276</v>
      </c>
      <c r="L20" s="6" t="s">
        <v>4510</v>
      </c>
      <c r="M20" s="6" t="s">
        <v>4511</v>
      </c>
      <c r="N20" s="6" t="s">
        <v>276</v>
      </c>
      <c r="O20" s="29">
        <f t="shared" si="0"/>
        <v>434814</v>
      </c>
      <c r="Q20" s="30" t="s">
        <v>276</v>
      </c>
      <c r="R20" s="31">
        <v>434814</v>
      </c>
    </row>
    <row r="21" s="1" customFormat="1" ht="16.35" hidden="1" customHeight="1" spans="1:18">
      <c r="A21" s="6" t="s">
        <v>4506</v>
      </c>
      <c r="B21" s="6">
        <v>2014</v>
      </c>
      <c r="C21" s="6">
        <v>12</v>
      </c>
      <c r="D21" s="7">
        <v>64</v>
      </c>
      <c r="E21" s="6" t="s">
        <v>4515</v>
      </c>
      <c r="F21" s="6" t="s">
        <v>4508</v>
      </c>
      <c r="G21" s="6" t="s">
        <v>25</v>
      </c>
      <c r="H21" s="8"/>
      <c r="I21" s="8">
        <v>429828</v>
      </c>
      <c r="J21" s="6" t="s">
        <v>4529</v>
      </c>
      <c r="K21" s="6" t="s">
        <v>281</v>
      </c>
      <c r="L21" s="6" t="s">
        <v>4510</v>
      </c>
      <c r="M21" s="6" t="s">
        <v>4511</v>
      </c>
      <c r="N21" s="6" t="s">
        <v>281</v>
      </c>
      <c r="O21" s="29">
        <f t="shared" si="0"/>
        <v>429828</v>
      </c>
      <c r="Q21" s="30" t="s">
        <v>281</v>
      </c>
      <c r="R21" s="31">
        <v>429828</v>
      </c>
    </row>
    <row r="22" s="1" customFormat="1" ht="16.35" hidden="1" customHeight="1" spans="1:18">
      <c r="A22" s="6" t="s">
        <v>4506</v>
      </c>
      <c r="B22" s="6">
        <v>2014</v>
      </c>
      <c r="C22" s="6">
        <v>12</v>
      </c>
      <c r="D22" s="7">
        <v>64</v>
      </c>
      <c r="E22" s="6" t="s">
        <v>4515</v>
      </c>
      <c r="F22" s="6" t="s">
        <v>4508</v>
      </c>
      <c r="G22" s="6" t="s">
        <v>25</v>
      </c>
      <c r="H22" s="8"/>
      <c r="I22" s="8">
        <v>431207</v>
      </c>
      <c r="J22" s="6" t="s">
        <v>2913</v>
      </c>
      <c r="K22" s="6" t="s">
        <v>283</v>
      </c>
      <c r="L22" s="6" t="s">
        <v>4510</v>
      </c>
      <c r="M22" s="6" t="s">
        <v>4511</v>
      </c>
      <c r="N22" s="6" t="s">
        <v>283</v>
      </c>
      <c r="O22" s="29">
        <f t="shared" si="0"/>
        <v>431207</v>
      </c>
      <c r="Q22" s="30" t="s">
        <v>283</v>
      </c>
      <c r="R22" s="31">
        <v>431207</v>
      </c>
    </row>
    <row r="23" s="1" customFormat="1" ht="16.35" hidden="1" customHeight="1" spans="1:18">
      <c r="A23" s="6" t="s">
        <v>4506</v>
      </c>
      <c r="B23" s="6">
        <v>2014</v>
      </c>
      <c r="C23" s="6">
        <v>12</v>
      </c>
      <c r="D23" s="7">
        <v>64</v>
      </c>
      <c r="E23" s="6" t="s">
        <v>4515</v>
      </c>
      <c r="F23" s="6" t="s">
        <v>4508</v>
      </c>
      <c r="G23" s="6" t="s">
        <v>25</v>
      </c>
      <c r="H23" s="8"/>
      <c r="I23" s="8">
        <v>441212</v>
      </c>
      <c r="J23" s="6" t="s">
        <v>2916</v>
      </c>
      <c r="K23" s="6" t="s">
        <v>287</v>
      </c>
      <c r="L23" s="6" t="s">
        <v>4510</v>
      </c>
      <c r="M23" s="6" t="s">
        <v>4511</v>
      </c>
      <c r="N23" s="6" t="s">
        <v>287</v>
      </c>
      <c r="O23" s="29">
        <f t="shared" si="0"/>
        <v>441212</v>
      </c>
      <c r="Q23" s="30" t="s">
        <v>287</v>
      </c>
      <c r="R23" s="31">
        <v>441212</v>
      </c>
    </row>
    <row r="24" s="1" customFormat="1" ht="16.35" hidden="1" customHeight="1" spans="1:18">
      <c r="A24" s="6" t="s">
        <v>4506</v>
      </c>
      <c r="B24" s="6">
        <v>2014</v>
      </c>
      <c r="C24" s="6">
        <v>12</v>
      </c>
      <c r="D24" s="7">
        <v>64</v>
      </c>
      <c r="E24" s="6" t="s">
        <v>4515</v>
      </c>
      <c r="F24" s="6" t="s">
        <v>4508</v>
      </c>
      <c r="G24" s="6" t="s">
        <v>25</v>
      </c>
      <c r="H24" s="8"/>
      <c r="I24" s="8">
        <v>394923</v>
      </c>
      <c r="J24" s="6" t="s">
        <v>2922</v>
      </c>
      <c r="K24" s="6" t="s">
        <v>289</v>
      </c>
      <c r="L24" s="6" t="s">
        <v>4510</v>
      </c>
      <c r="M24" s="6" t="s">
        <v>4511</v>
      </c>
      <c r="N24" s="6" t="s">
        <v>289</v>
      </c>
      <c r="O24" s="29">
        <f t="shared" si="0"/>
        <v>394923</v>
      </c>
      <c r="Q24" s="30" t="s">
        <v>289</v>
      </c>
      <c r="R24" s="31">
        <v>394923</v>
      </c>
    </row>
    <row r="25" s="1" customFormat="1" ht="16.35" hidden="1" customHeight="1" spans="1:18">
      <c r="A25" s="6" t="s">
        <v>4506</v>
      </c>
      <c r="B25" s="6">
        <v>2014</v>
      </c>
      <c r="C25" s="6">
        <v>12</v>
      </c>
      <c r="D25" s="7">
        <v>64</v>
      </c>
      <c r="E25" s="6" t="s">
        <v>4515</v>
      </c>
      <c r="F25" s="6" t="s">
        <v>4508</v>
      </c>
      <c r="G25" s="6" t="s">
        <v>25</v>
      </c>
      <c r="H25" s="8"/>
      <c r="I25" s="8">
        <v>402443</v>
      </c>
      <c r="J25" s="6" t="s">
        <v>2929</v>
      </c>
      <c r="K25" s="6" t="s">
        <v>291</v>
      </c>
      <c r="L25" s="6" t="s">
        <v>4510</v>
      </c>
      <c r="M25" s="6" t="s">
        <v>4511</v>
      </c>
      <c r="N25" s="6" t="s">
        <v>291</v>
      </c>
      <c r="O25" s="29">
        <f t="shared" si="0"/>
        <v>402443</v>
      </c>
      <c r="Q25" s="30" t="s">
        <v>291</v>
      </c>
      <c r="R25" s="31">
        <v>402443</v>
      </c>
    </row>
    <row r="26" s="1" customFormat="1" ht="16.35" hidden="1" customHeight="1" spans="1:18">
      <c r="A26" s="6" t="s">
        <v>4506</v>
      </c>
      <c r="B26" s="6">
        <v>2014</v>
      </c>
      <c r="C26" s="6">
        <v>12</v>
      </c>
      <c r="D26" s="7">
        <v>64</v>
      </c>
      <c r="E26" s="6" t="s">
        <v>4515</v>
      </c>
      <c r="F26" s="6" t="s">
        <v>4508</v>
      </c>
      <c r="G26" s="6" t="s">
        <v>25</v>
      </c>
      <c r="H26" s="8"/>
      <c r="I26" s="8">
        <v>347388</v>
      </c>
      <c r="J26" s="6" t="s">
        <v>4530</v>
      </c>
      <c r="K26" s="6" t="s">
        <v>293</v>
      </c>
      <c r="L26" s="6" t="s">
        <v>4510</v>
      </c>
      <c r="M26" s="6" t="s">
        <v>4511</v>
      </c>
      <c r="N26" s="6" t="s">
        <v>293</v>
      </c>
      <c r="O26" s="29">
        <f t="shared" si="0"/>
        <v>347388</v>
      </c>
      <c r="Q26" s="30" t="s">
        <v>293</v>
      </c>
      <c r="R26" s="31">
        <v>347388</v>
      </c>
    </row>
    <row r="27" s="1" customFormat="1" ht="16.35" hidden="1" customHeight="1" spans="1:18">
      <c r="A27" s="6" t="s">
        <v>4506</v>
      </c>
      <c r="B27" s="6">
        <v>2014</v>
      </c>
      <c r="C27" s="6">
        <v>12</v>
      </c>
      <c r="D27" s="7">
        <v>64</v>
      </c>
      <c r="E27" s="6" t="s">
        <v>4515</v>
      </c>
      <c r="F27" s="6" t="s">
        <v>4508</v>
      </c>
      <c r="G27" s="6" t="s">
        <v>25</v>
      </c>
      <c r="H27" s="8"/>
      <c r="I27" s="8">
        <v>340322</v>
      </c>
      <c r="J27" s="6" t="s">
        <v>2956</v>
      </c>
      <c r="K27" s="6" t="s">
        <v>295</v>
      </c>
      <c r="L27" s="6" t="s">
        <v>4510</v>
      </c>
      <c r="M27" s="6" t="s">
        <v>4511</v>
      </c>
      <c r="N27" s="6" t="s">
        <v>295</v>
      </c>
      <c r="O27" s="29">
        <f t="shared" si="0"/>
        <v>340322</v>
      </c>
      <c r="Q27" s="30" t="s">
        <v>295</v>
      </c>
      <c r="R27" s="31">
        <v>340322</v>
      </c>
    </row>
    <row r="28" s="1" customFormat="1" ht="16.35" hidden="1" customHeight="1" spans="1:18">
      <c r="A28" s="6" t="s">
        <v>4506</v>
      </c>
      <c r="B28" s="6">
        <v>2014</v>
      </c>
      <c r="C28" s="6">
        <v>12</v>
      </c>
      <c r="D28" s="7">
        <v>64</v>
      </c>
      <c r="E28" s="6" t="s">
        <v>4515</v>
      </c>
      <c r="F28" s="6" t="s">
        <v>4508</v>
      </c>
      <c r="G28" s="6" t="s">
        <v>25</v>
      </c>
      <c r="H28" s="8"/>
      <c r="I28" s="8">
        <v>356378</v>
      </c>
      <c r="J28" s="6" t="s">
        <v>2958</v>
      </c>
      <c r="K28" s="6" t="s">
        <v>297</v>
      </c>
      <c r="L28" s="6" t="s">
        <v>4510</v>
      </c>
      <c r="M28" s="6" t="s">
        <v>4511</v>
      </c>
      <c r="N28" s="6" t="s">
        <v>297</v>
      </c>
      <c r="O28" s="29">
        <f t="shared" si="0"/>
        <v>356378</v>
      </c>
      <c r="Q28" s="30" t="s">
        <v>297</v>
      </c>
      <c r="R28" s="31">
        <v>356378</v>
      </c>
    </row>
    <row r="29" s="1" customFormat="1" ht="16.35" hidden="1" customHeight="1" spans="1:18">
      <c r="A29" s="6" t="s">
        <v>4506</v>
      </c>
      <c r="B29" s="6">
        <v>2014</v>
      </c>
      <c r="C29" s="6">
        <v>12</v>
      </c>
      <c r="D29" s="7">
        <v>64</v>
      </c>
      <c r="E29" s="6" t="s">
        <v>4515</v>
      </c>
      <c r="F29" s="6" t="s">
        <v>4508</v>
      </c>
      <c r="G29" s="6" t="s">
        <v>25</v>
      </c>
      <c r="H29" s="8"/>
      <c r="I29" s="8">
        <v>355142</v>
      </c>
      <c r="J29" s="6" t="s">
        <v>2960</v>
      </c>
      <c r="K29" s="6" t="s">
        <v>299</v>
      </c>
      <c r="L29" s="6" t="s">
        <v>4510</v>
      </c>
      <c r="M29" s="6" t="s">
        <v>4511</v>
      </c>
      <c r="N29" s="6" t="s">
        <v>299</v>
      </c>
      <c r="O29" s="29">
        <f t="shared" si="0"/>
        <v>355142</v>
      </c>
      <c r="Q29" s="30" t="s">
        <v>299</v>
      </c>
      <c r="R29" s="31">
        <v>355142</v>
      </c>
    </row>
    <row r="30" s="1" customFormat="1" ht="16.35" hidden="1" customHeight="1" spans="1:18">
      <c r="A30" s="6" t="s">
        <v>4506</v>
      </c>
      <c r="B30" s="6">
        <v>2014</v>
      </c>
      <c r="C30" s="6">
        <v>12</v>
      </c>
      <c r="D30" s="7">
        <v>64</v>
      </c>
      <c r="E30" s="6" t="s">
        <v>4515</v>
      </c>
      <c r="F30" s="6" t="s">
        <v>4508</v>
      </c>
      <c r="G30" s="6" t="s">
        <v>25</v>
      </c>
      <c r="H30" s="8"/>
      <c r="I30" s="8">
        <v>356378</v>
      </c>
      <c r="J30" s="6" t="s">
        <v>2962</v>
      </c>
      <c r="K30" s="6" t="s">
        <v>301</v>
      </c>
      <c r="L30" s="6" t="s">
        <v>4510</v>
      </c>
      <c r="M30" s="6" t="s">
        <v>4511</v>
      </c>
      <c r="N30" s="6" t="s">
        <v>301</v>
      </c>
      <c r="O30" s="29">
        <f t="shared" si="0"/>
        <v>356378</v>
      </c>
      <c r="Q30" s="30" t="s">
        <v>301</v>
      </c>
      <c r="R30" s="31">
        <v>356378</v>
      </c>
    </row>
    <row r="31" s="1" customFormat="1" ht="16.35" hidden="1" customHeight="1" spans="1:18">
      <c r="A31" s="6" t="s">
        <v>4506</v>
      </c>
      <c r="B31" s="6">
        <v>2014</v>
      </c>
      <c r="C31" s="6">
        <v>12</v>
      </c>
      <c r="D31" s="7">
        <v>64</v>
      </c>
      <c r="E31" s="6" t="s">
        <v>4515</v>
      </c>
      <c r="F31" s="6" t="s">
        <v>4508</v>
      </c>
      <c r="G31" s="6" t="s">
        <v>25</v>
      </c>
      <c r="H31" s="8"/>
      <c r="I31" s="8">
        <v>355399</v>
      </c>
      <c r="J31" s="6" t="s">
        <v>2964</v>
      </c>
      <c r="K31" s="6" t="s">
        <v>305</v>
      </c>
      <c r="L31" s="6" t="s">
        <v>4510</v>
      </c>
      <c r="M31" s="6" t="s">
        <v>4511</v>
      </c>
      <c r="N31" s="6" t="s">
        <v>305</v>
      </c>
      <c r="O31" s="29">
        <f t="shared" si="0"/>
        <v>355399</v>
      </c>
      <c r="Q31" s="30" t="s">
        <v>305</v>
      </c>
      <c r="R31" s="31">
        <v>355399</v>
      </c>
    </row>
    <row r="32" s="1" customFormat="1" ht="16.35" hidden="1" customHeight="1" spans="1:18">
      <c r="A32" s="6" t="s">
        <v>4506</v>
      </c>
      <c r="B32" s="6">
        <v>2014</v>
      </c>
      <c r="C32" s="6">
        <v>12</v>
      </c>
      <c r="D32" s="7">
        <v>64</v>
      </c>
      <c r="E32" s="6" t="s">
        <v>4515</v>
      </c>
      <c r="F32" s="6" t="s">
        <v>4508</v>
      </c>
      <c r="G32" s="6" t="s">
        <v>25</v>
      </c>
      <c r="H32" s="8"/>
      <c r="I32" s="8">
        <v>351237</v>
      </c>
      <c r="J32" s="6" t="s">
        <v>2966</v>
      </c>
      <c r="K32" s="6" t="s">
        <v>307</v>
      </c>
      <c r="L32" s="6" t="s">
        <v>4510</v>
      </c>
      <c r="M32" s="6" t="s">
        <v>4511</v>
      </c>
      <c r="N32" s="6" t="s">
        <v>307</v>
      </c>
      <c r="O32" s="29">
        <f t="shared" si="0"/>
        <v>351237</v>
      </c>
      <c r="Q32" s="30" t="s">
        <v>307</v>
      </c>
      <c r="R32" s="31">
        <v>351237</v>
      </c>
    </row>
    <row r="33" s="1" customFormat="1" ht="16.35" hidden="1" customHeight="1" spans="1:18">
      <c r="A33" s="6" t="s">
        <v>4506</v>
      </c>
      <c r="B33" s="6">
        <v>2014</v>
      </c>
      <c r="C33" s="6">
        <v>12</v>
      </c>
      <c r="D33" s="7">
        <v>64</v>
      </c>
      <c r="E33" s="6" t="s">
        <v>4515</v>
      </c>
      <c r="F33" s="6" t="s">
        <v>4508</v>
      </c>
      <c r="G33" s="6" t="s">
        <v>25</v>
      </c>
      <c r="H33" s="8"/>
      <c r="I33" s="8">
        <v>348542</v>
      </c>
      <c r="J33" s="6" t="s">
        <v>2968</v>
      </c>
      <c r="K33" s="6" t="s">
        <v>309</v>
      </c>
      <c r="L33" s="6" t="s">
        <v>4510</v>
      </c>
      <c r="M33" s="6" t="s">
        <v>4511</v>
      </c>
      <c r="N33" s="6" t="s">
        <v>309</v>
      </c>
      <c r="O33" s="29">
        <f t="shared" si="0"/>
        <v>348542</v>
      </c>
      <c r="Q33" s="30" t="s">
        <v>309</v>
      </c>
      <c r="R33" s="31">
        <v>348542</v>
      </c>
    </row>
    <row r="34" s="1" customFormat="1" ht="16.35" hidden="1" customHeight="1" spans="1:18">
      <c r="A34" s="6" t="s">
        <v>4506</v>
      </c>
      <c r="B34" s="6">
        <v>2014</v>
      </c>
      <c r="C34" s="6">
        <v>12</v>
      </c>
      <c r="D34" s="7">
        <v>64</v>
      </c>
      <c r="E34" s="6" t="s">
        <v>4515</v>
      </c>
      <c r="F34" s="6" t="s">
        <v>4508</v>
      </c>
      <c r="G34" s="6" t="s">
        <v>25</v>
      </c>
      <c r="H34" s="8"/>
      <c r="I34" s="8">
        <v>347332</v>
      </c>
      <c r="J34" s="6" t="s">
        <v>2971</v>
      </c>
      <c r="K34" s="6" t="s">
        <v>311</v>
      </c>
      <c r="L34" s="6" t="s">
        <v>4510</v>
      </c>
      <c r="M34" s="6" t="s">
        <v>4511</v>
      </c>
      <c r="N34" s="6" t="s">
        <v>311</v>
      </c>
      <c r="O34" s="29">
        <f t="shared" si="0"/>
        <v>347332</v>
      </c>
      <c r="Q34" s="30" t="s">
        <v>311</v>
      </c>
      <c r="R34" s="31">
        <v>347332</v>
      </c>
    </row>
    <row r="35" s="1" customFormat="1" ht="16.35" hidden="1" customHeight="1" spans="1:18">
      <c r="A35" s="6" t="s">
        <v>4506</v>
      </c>
      <c r="B35" s="6">
        <v>2014</v>
      </c>
      <c r="C35" s="6">
        <v>12</v>
      </c>
      <c r="D35" s="7">
        <v>64</v>
      </c>
      <c r="E35" s="6" t="s">
        <v>4515</v>
      </c>
      <c r="F35" s="6" t="s">
        <v>4508</v>
      </c>
      <c r="G35" s="6" t="s">
        <v>25</v>
      </c>
      <c r="H35" s="8"/>
      <c r="I35" s="8">
        <v>310337</v>
      </c>
      <c r="J35" s="6" t="s">
        <v>2974</v>
      </c>
      <c r="K35" s="6" t="s">
        <v>313</v>
      </c>
      <c r="L35" s="6" t="s">
        <v>4510</v>
      </c>
      <c r="M35" s="6" t="s">
        <v>4511</v>
      </c>
      <c r="N35" s="6" t="s">
        <v>313</v>
      </c>
      <c r="O35" s="29">
        <f t="shared" si="0"/>
        <v>310337</v>
      </c>
      <c r="Q35" s="30" t="s">
        <v>313</v>
      </c>
      <c r="R35" s="31">
        <v>310337</v>
      </c>
    </row>
    <row r="36" s="1" customFormat="1" ht="16.35" hidden="1" customHeight="1" spans="1:18">
      <c r="A36" s="6" t="s">
        <v>4506</v>
      </c>
      <c r="B36" s="6">
        <v>2014</v>
      </c>
      <c r="C36" s="6">
        <v>12</v>
      </c>
      <c r="D36" s="7">
        <v>64</v>
      </c>
      <c r="E36" s="6" t="s">
        <v>4515</v>
      </c>
      <c r="F36" s="6" t="s">
        <v>4508</v>
      </c>
      <c r="G36" s="6" t="s">
        <v>25</v>
      </c>
      <c r="H36" s="8"/>
      <c r="I36" s="8">
        <v>309260</v>
      </c>
      <c r="J36" s="6" t="s">
        <v>2976</v>
      </c>
      <c r="K36" s="6" t="s">
        <v>315</v>
      </c>
      <c r="L36" s="6" t="s">
        <v>4510</v>
      </c>
      <c r="M36" s="6" t="s">
        <v>4511</v>
      </c>
      <c r="N36" s="6" t="s">
        <v>315</v>
      </c>
      <c r="O36" s="29">
        <f t="shared" si="0"/>
        <v>309260</v>
      </c>
      <c r="Q36" s="30" t="s">
        <v>315</v>
      </c>
      <c r="R36" s="31">
        <v>309260</v>
      </c>
    </row>
    <row r="37" s="1" customFormat="1" ht="16.35" hidden="1" customHeight="1" spans="1:18">
      <c r="A37" s="6" t="s">
        <v>4506</v>
      </c>
      <c r="B37" s="6">
        <v>2014</v>
      </c>
      <c r="C37" s="6">
        <v>12</v>
      </c>
      <c r="D37" s="7">
        <v>64</v>
      </c>
      <c r="E37" s="6" t="s">
        <v>4515</v>
      </c>
      <c r="F37" s="6" t="s">
        <v>4508</v>
      </c>
      <c r="G37" s="6" t="s">
        <v>25</v>
      </c>
      <c r="H37" s="8"/>
      <c r="I37" s="8">
        <v>267581</v>
      </c>
      <c r="J37" s="6" t="s">
        <v>2978</v>
      </c>
      <c r="K37" s="6" t="s">
        <v>320</v>
      </c>
      <c r="L37" s="6" t="s">
        <v>4510</v>
      </c>
      <c r="M37" s="6" t="s">
        <v>4511</v>
      </c>
      <c r="N37" s="6" t="s">
        <v>320</v>
      </c>
      <c r="O37" s="29">
        <f t="shared" si="0"/>
        <v>267581</v>
      </c>
      <c r="Q37" s="30" t="s">
        <v>320</v>
      </c>
      <c r="R37" s="31">
        <v>267581</v>
      </c>
    </row>
    <row r="38" s="1" customFormat="1" ht="16.35" hidden="1" customHeight="1" spans="1:18">
      <c r="A38" s="6" t="s">
        <v>4506</v>
      </c>
      <c r="B38" s="6">
        <v>2014</v>
      </c>
      <c r="C38" s="6">
        <v>12</v>
      </c>
      <c r="D38" s="7">
        <v>64</v>
      </c>
      <c r="E38" s="6" t="s">
        <v>4515</v>
      </c>
      <c r="F38" s="6" t="s">
        <v>4508</v>
      </c>
      <c r="G38" s="6" t="s">
        <v>25</v>
      </c>
      <c r="H38" s="8"/>
      <c r="I38" s="8">
        <v>356378</v>
      </c>
      <c r="J38" s="6" t="s">
        <v>2980</v>
      </c>
      <c r="K38" s="6" t="s">
        <v>325</v>
      </c>
      <c r="L38" s="6" t="s">
        <v>4510</v>
      </c>
      <c r="M38" s="6" t="s">
        <v>4511</v>
      </c>
      <c r="N38" s="6" t="s">
        <v>325</v>
      </c>
      <c r="O38" s="29">
        <f t="shared" si="0"/>
        <v>356378</v>
      </c>
      <c r="Q38" s="30" t="s">
        <v>325</v>
      </c>
      <c r="R38" s="31">
        <v>356378</v>
      </c>
    </row>
    <row r="39" s="1" customFormat="1" ht="16.35" hidden="1" customHeight="1" spans="1:18">
      <c r="A39" s="6" t="s">
        <v>4506</v>
      </c>
      <c r="B39" s="6">
        <v>2014</v>
      </c>
      <c r="C39" s="6">
        <v>12</v>
      </c>
      <c r="D39" s="7">
        <v>64</v>
      </c>
      <c r="E39" s="6" t="s">
        <v>4515</v>
      </c>
      <c r="F39" s="6" t="s">
        <v>4508</v>
      </c>
      <c r="G39" s="6" t="s">
        <v>25</v>
      </c>
      <c r="H39" s="8"/>
      <c r="I39" s="8">
        <v>359317</v>
      </c>
      <c r="J39" s="6" t="s">
        <v>2982</v>
      </c>
      <c r="K39" s="6" t="s">
        <v>330</v>
      </c>
      <c r="L39" s="6" t="s">
        <v>4510</v>
      </c>
      <c r="M39" s="6" t="s">
        <v>4511</v>
      </c>
      <c r="N39" s="6" t="s">
        <v>330</v>
      </c>
      <c r="O39" s="29">
        <f t="shared" si="0"/>
        <v>359317</v>
      </c>
      <c r="Q39" s="30" t="s">
        <v>330</v>
      </c>
      <c r="R39" s="31">
        <v>359317</v>
      </c>
    </row>
    <row r="40" s="1" customFormat="1" ht="16.35" hidden="1" customHeight="1" spans="1:18">
      <c r="A40" s="6" t="s">
        <v>4506</v>
      </c>
      <c r="B40" s="6">
        <v>2014</v>
      </c>
      <c r="C40" s="6">
        <v>12</v>
      </c>
      <c r="D40" s="7">
        <v>64</v>
      </c>
      <c r="E40" s="6" t="s">
        <v>4515</v>
      </c>
      <c r="F40" s="6" t="s">
        <v>4508</v>
      </c>
      <c r="G40" s="6" t="s">
        <v>25</v>
      </c>
      <c r="H40" s="8"/>
      <c r="I40" s="8">
        <v>355399</v>
      </c>
      <c r="J40" s="6" t="s">
        <v>2984</v>
      </c>
      <c r="K40" s="6" t="s">
        <v>334</v>
      </c>
      <c r="L40" s="6" t="s">
        <v>4510</v>
      </c>
      <c r="M40" s="6" t="s">
        <v>4511</v>
      </c>
      <c r="N40" s="6" t="s">
        <v>334</v>
      </c>
      <c r="O40" s="29">
        <f t="shared" si="0"/>
        <v>355399</v>
      </c>
      <c r="Q40" s="30" t="s">
        <v>334</v>
      </c>
      <c r="R40" s="31">
        <v>355399</v>
      </c>
    </row>
    <row r="41" s="1" customFormat="1" ht="16.35" hidden="1" customHeight="1" spans="1:18">
      <c r="A41" s="6" t="s">
        <v>4506</v>
      </c>
      <c r="B41" s="6">
        <v>2014</v>
      </c>
      <c r="C41" s="6">
        <v>12</v>
      </c>
      <c r="D41" s="7">
        <v>64</v>
      </c>
      <c r="E41" s="6" t="s">
        <v>4515</v>
      </c>
      <c r="F41" s="6" t="s">
        <v>4508</v>
      </c>
      <c r="G41" s="6" t="s">
        <v>25</v>
      </c>
      <c r="H41" s="8"/>
      <c r="I41" s="8">
        <v>344403</v>
      </c>
      <c r="J41" s="6" t="s">
        <v>2986</v>
      </c>
      <c r="K41" s="6" t="s">
        <v>336</v>
      </c>
      <c r="L41" s="6" t="s">
        <v>4510</v>
      </c>
      <c r="M41" s="6" t="s">
        <v>4511</v>
      </c>
      <c r="N41" s="6" t="s">
        <v>336</v>
      </c>
      <c r="O41" s="29">
        <f t="shared" si="0"/>
        <v>344403</v>
      </c>
      <c r="Q41" s="30" t="s">
        <v>336</v>
      </c>
      <c r="R41" s="31">
        <v>344403</v>
      </c>
    </row>
    <row r="42" s="1" customFormat="1" ht="16.35" hidden="1" customHeight="1" spans="1:18">
      <c r="A42" s="6" t="s">
        <v>4506</v>
      </c>
      <c r="B42" s="6">
        <v>2014</v>
      </c>
      <c r="C42" s="6">
        <v>12</v>
      </c>
      <c r="D42" s="7">
        <v>64</v>
      </c>
      <c r="E42" s="6" t="s">
        <v>4515</v>
      </c>
      <c r="F42" s="6" t="s">
        <v>4508</v>
      </c>
      <c r="G42" s="6" t="s">
        <v>25</v>
      </c>
      <c r="H42" s="8"/>
      <c r="I42" s="8">
        <v>348542</v>
      </c>
      <c r="J42" s="6" t="s">
        <v>4531</v>
      </c>
      <c r="K42" s="6" t="s">
        <v>338</v>
      </c>
      <c r="L42" s="6" t="s">
        <v>4510</v>
      </c>
      <c r="M42" s="6" t="s">
        <v>4511</v>
      </c>
      <c r="N42" s="6" t="s">
        <v>338</v>
      </c>
      <c r="O42" s="29">
        <f t="shared" si="0"/>
        <v>348542</v>
      </c>
      <c r="Q42" s="30" t="s">
        <v>338</v>
      </c>
      <c r="R42" s="31">
        <v>348542</v>
      </c>
    </row>
    <row r="43" s="1" customFormat="1" ht="16.35" hidden="1" customHeight="1" spans="1:18">
      <c r="A43" s="6" t="s">
        <v>4506</v>
      </c>
      <c r="B43" s="6">
        <v>2014</v>
      </c>
      <c r="C43" s="6">
        <v>12</v>
      </c>
      <c r="D43" s="7">
        <v>64</v>
      </c>
      <c r="E43" s="6" t="s">
        <v>4515</v>
      </c>
      <c r="F43" s="6" t="s">
        <v>4508</v>
      </c>
      <c r="G43" s="6" t="s">
        <v>25</v>
      </c>
      <c r="H43" s="8"/>
      <c r="I43" s="8">
        <v>261248</v>
      </c>
      <c r="J43" s="6" t="s">
        <v>4532</v>
      </c>
      <c r="K43" s="6" t="s">
        <v>344</v>
      </c>
      <c r="L43" s="6" t="s">
        <v>4510</v>
      </c>
      <c r="M43" s="6" t="s">
        <v>4511</v>
      </c>
      <c r="N43" s="6" t="s">
        <v>344</v>
      </c>
      <c r="O43" s="29">
        <f t="shared" si="0"/>
        <v>261248</v>
      </c>
      <c r="Q43" s="30" t="s">
        <v>344</v>
      </c>
      <c r="R43" s="31">
        <v>261248</v>
      </c>
    </row>
    <row r="44" s="1" customFormat="1" ht="16.35" hidden="1" customHeight="1" spans="1:18">
      <c r="A44" s="6" t="s">
        <v>4506</v>
      </c>
      <c r="B44" s="6">
        <v>2014</v>
      </c>
      <c r="C44" s="6">
        <v>12</v>
      </c>
      <c r="D44" s="7">
        <v>64</v>
      </c>
      <c r="E44" s="6" t="s">
        <v>4515</v>
      </c>
      <c r="F44" s="6" t="s">
        <v>4508</v>
      </c>
      <c r="G44" s="6" t="s">
        <v>25</v>
      </c>
      <c r="H44" s="8"/>
      <c r="I44" s="8">
        <v>265833</v>
      </c>
      <c r="J44" s="6" t="s">
        <v>2991</v>
      </c>
      <c r="K44" s="6" t="s">
        <v>346</v>
      </c>
      <c r="L44" s="6" t="s">
        <v>4510</v>
      </c>
      <c r="M44" s="6" t="s">
        <v>4511</v>
      </c>
      <c r="N44" s="6" t="s">
        <v>346</v>
      </c>
      <c r="O44" s="29">
        <f t="shared" si="0"/>
        <v>265833</v>
      </c>
      <c r="Q44" s="30" t="s">
        <v>346</v>
      </c>
      <c r="R44" s="31">
        <v>265833</v>
      </c>
    </row>
    <row r="45" s="1" customFormat="1" ht="16.35" hidden="1" customHeight="1" spans="1:18">
      <c r="A45" s="6" t="s">
        <v>4506</v>
      </c>
      <c r="B45" s="6">
        <v>2014</v>
      </c>
      <c r="C45" s="6">
        <v>12</v>
      </c>
      <c r="D45" s="7">
        <v>64</v>
      </c>
      <c r="E45" s="6" t="s">
        <v>4515</v>
      </c>
      <c r="F45" s="6" t="s">
        <v>4508</v>
      </c>
      <c r="G45" s="6" t="s">
        <v>25</v>
      </c>
      <c r="H45" s="8"/>
      <c r="I45" s="8">
        <v>345901</v>
      </c>
      <c r="J45" s="6" t="s">
        <v>2989</v>
      </c>
      <c r="K45" s="6" t="s">
        <v>348</v>
      </c>
      <c r="L45" s="6" t="s">
        <v>4510</v>
      </c>
      <c r="M45" s="6" t="s">
        <v>4511</v>
      </c>
      <c r="N45" s="6" t="s">
        <v>348</v>
      </c>
      <c r="O45" s="29">
        <f t="shared" si="0"/>
        <v>345901</v>
      </c>
      <c r="Q45" s="30" t="s">
        <v>348</v>
      </c>
      <c r="R45" s="31">
        <v>345901</v>
      </c>
    </row>
    <row r="46" s="1" customFormat="1" ht="16.35" hidden="1" customHeight="1" spans="1:18">
      <c r="A46" s="6" t="s">
        <v>4506</v>
      </c>
      <c r="B46" s="6">
        <v>2014</v>
      </c>
      <c r="C46" s="6">
        <v>12</v>
      </c>
      <c r="D46" s="7">
        <v>64</v>
      </c>
      <c r="E46" s="6" t="s">
        <v>4515</v>
      </c>
      <c r="F46" s="6" t="s">
        <v>4508</v>
      </c>
      <c r="G46" s="6" t="s">
        <v>25</v>
      </c>
      <c r="H46" s="8"/>
      <c r="I46" s="8">
        <v>348753</v>
      </c>
      <c r="J46" s="6" t="s">
        <v>4533</v>
      </c>
      <c r="K46" s="6" t="s">
        <v>352</v>
      </c>
      <c r="L46" s="6" t="s">
        <v>4510</v>
      </c>
      <c r="M46" s="6" t="s">
        <v>4511</v>
      </c>
      <c r="N46" s="6" t="s">
        <v>352</v>
      </c>
      <c r="O46" s="29">
        <f t="shared" si="0"/>
        <v>348753</v>
      </c>
      <c r="Q46" s="30" t="s">
        <v>352</v>
      </c>
      <c r="R46" s="31">
        <v>348753</v>
      </c>
    </row>
    <row r="47" s="1" customFormat="1" ht="16.35" hidden="1" customHeight="1" spans="1:18">
      <c r="A47" s="6" t="s">
        <v>4506</v>
      </c>
      <c r="B47" s="6">
        <v>2014</v>
      </c>
      <c r="C47" s="6">
        <v>12</v>
      </c>
      <c r="D47" s="7">
        <v>64</v>
      </c>
      <c r="E47" s="6" t="s">
        <v>4515</v>
      </c>
      <c r="F47" s="6" t="s">
        <v>4508</v>
      </c>
      <c r="G47" s="6" t="s">
        <v>25</v>
      </c>
      <c r="H47" s="8"/>
      <c r="I47" s="8">
        <v>347580</v>
      </c>
      <c r="J47" s="6" t="s">
        <v>2994</v>
      </c>
      <c r="K47" s="6" t="s">
        <v>354</v>
      </c>
      <c r="L47" s="6" t="s">
        <v>4510</v>
      </c>
      <c r="M47" s="6" t="s">
        <v>4511</v>
      </c>
      <c r="N47" s="6" t="s">
        <v>354</v>
      </c>
      <c r="O47" s="29">
        <f t="shared" si="0"/>
        <v>347580</v>
      </c>
      <c r="Q47" s="30" t="s">
        <v>354</v>
      </c>
      <c r="R47" s="31">
        <v>347580</v>
      </c>
    </row>
    <row r="48" s="1" customFormat="1" ht="16.35" hidden="1" customHeight="1" spans="1:18">
      <c r="A48" s="6" t="s">
        <v>4506</v>
      </c>
      <c r="B48" s="6">
        <v>2014</v>
      </c>
      <c r="C48" s="6">
        <v>12</v>
      </c>
      <c r="D48" s="7">
        <v>64</v>
      </c>
      <c r="E48" s="6" t="s">
        <v>4515</v>
      </c>
      <c r="F48" s="6" t="s">
        <v>4508</v>
      </c>
      <c r="G48" s="6" t="s">
        <v>25</v>
      </c>
      <c r="H48" s="8"/>
      <c r="I48" s="8">
        <v>344950</v>
      </c>
      <c r="J48" s="6" t="s">
        <v>2996</v>
      </c>
      <c r="K48" s="6" t="s">
        <v>356</v>
      </c>
      <c r="L48" s="6" t="s">
        <v>4510</v>
      </c>
      <c r="M48" s="6" t="s">
        <v>4511</v>
      </c>
      <c r="N48" s="6" t="s">
        <v>356</v>
      </c>
      <c r="O48" s="29">
        <f t="shared" si="0"/>
        <v>344950</v>
      </c>
      <c r="Q48" s="30" t="s">
        <v>356</v>
      </c>
      <c r="R48" s="31">
        <v>344950</v>
      </c>
    </row>
    <row r="49" s="1" customFormat="1" ht="16.35" hidden="1" customHeight="1" spans="1:18">
      <c r="A49" s="6" t="s">
        <v>4506</v>
      </c>
      <c r="B49" s="6">
        <v>2014</v>
      </c>
      <c r="C49" s="6">
        <v>12</v>
      </c>
      <c r="D49" s="7">
        <v>64</v>
      </c>
      <c r="E49" s="6" t="s">
        <v>4515</v>
      </c>
      <c r="F49" s="6" t="s">
        <v>4508</v>
      </c>
      <c r="G49" s="6" t="s">
        <v>25</v>
      </c>
      <c r="H49" s="8"/>
      <c r="I49" s="8">
        <v>343789</v>
      </c>
      <c r="J49" s="6" t="s">
        <v>4534</v>
      </c>
      <c r="K49" s="6" t="s">
        <v>358</v>
      </c>
      <c r="L49" s="6" t="s">
        <v>4510</v>
      </c>
      <c r="M49" s="6" t="s">
        <v>4511</v>
      </c>
      <c r="N49" s="6" t="s">
        <v>358</v>
      </c>
      <c r="O49" s="29">
        <f t="shared" si="0"/>
        <v>343789</v>
      </c>
      <c r="Q49" s="30" t="s">
        <v>358</v>
      </c>
      <c r="R49" s="31">
        <v>343789</v>
      </c>
    </row>
    <row r="50" s="1" customFormat="1" ht="16.35" hidden="1" customHeight="1" spans="1:18">
      <c r="A50" s="6" t="s">
        <v>4506</v>
      </c>
      <c r="B50" s="6">
        <v>2014</v>
      </c>
      <c r="C50" s="6">
        <v>12</v>
      </c>
      <c r="D50" s="7">
        <v>64</v>
      </c>
      <c r="E50" s="6" t="s">
        <v>4515</v>
      </c>
      <c r="F50" s="6" t="s">
        <v>4508</v>
      </c>
      <c r="G50" s="6" t="s">
        <v>25</v>
      </c>
      <c r="H50" s="8"/>
      <c r="I50" s="8">
        <v>313567</v>
      </c>
      <c r="J50" s="6" t="s">
        <v>2999</v>
      </c>
      <c r="K50" s="6" t="s">
        <v>360</v>
      </c>
      <c r="L50" s="6" t="s">
        <v>4510</v>
      </c>
      <c r="M50" s="6" t="s">
        <v>4511</v>
      </c>
      <c r="N50" s="6" t="s">
        <v>360</v>
      </c>
      <c r="O50" s="29">
        <f t="shared" si="0"/>
        <v>313567</v>
      </c>
      <c r="Q50" s="30" t="s">
        <v>360</v>
      </c>
      <c r="R50" s="31">
        <v>313567</v>
      </c>
    </row>
    <row r="51" s="1" customFormat="1" ht="16.35" hidden="1" customHeight="1" spans="1:18">
      <c r="A51" s="6" t="s">
        <v>4506</v>
      </c>
      <c r="B51" s="6">
        <v>2014</v>
      </c>
      <c r="C51" s="6">
        <v>12</v>
      </c>
      <c r="D51" s="7">
        <v>64</v>
      </c>
      <c r="E51" s="6" t="s">
        <v>4515</v>
      </c>
      <c r="F51" s="6" t="s">
        <v>4508</v>
      </c>
      <c r="G51" s="6" t="s">
        <v>25</v>
      </c>
      <c r="H51" s="8"/>
      <c r="I51" s="8">
        <v>452017</v>
      </c>
      <c r="J51" s="6" t="s">
        <v>3001</v>
      </c>
      <c r="K51" s="6" t="s">
        <v>382</v>
      </c>
      <c r="L51" s="6" t="s">
        <v>4510</v>
      </c>
      <c r="M51" s="6" t="s">
        <v>4511</v>
      </c>
      <c r="N51" s="6" t="s">
        <v>382</v>
      </c>
      <c r="O51" s="29">
        <f t="shared" si="0"/>
        <v>452017</v>
      </c>
      <c r="Q51" s="30" t="s">
        <v>382</v>
      </c>
      <c r="R51" s="31">
        <v>452017</v>
      </c>
    </row>
    <row r="52" s="1" customFormat="1" ht="16.35" hidden="1" customHeight="1" spans="1:18">
      <c r="A52" s="6" t="s">
        <v>4506</v>
      </c>
      <c r="B52" s="6">
        <v>2014</v>
      </c>
      <c r="C52" s="6">
        <v>12</v>
      </c>
      <c r="D52" s="7">
        <v>64</v>
      </c>
      <c r="E52" s="6" t="s">
        <v>4515</v>
      </c>
      <c r="F52" s="6" t="s">
        <v>4508</v>
      </c>
      <c r="G52" s="6" t="s">
        <v>25</v>
      </c>
      <c r="H52" s="8"/>
      <c r="I52" s="8">
        <v>367425</v>
      </c>
      <c r="J52" s="6" t="s">
        <v>3003</v>
      </c>
      <c r="K52" s="6" t="s">
        <v>390</v>
      </c>
      <c r="L52" s="6" t="s">
        <v>4510</v>
      </c>
      <c r="M52" s="6" t="s">
        <v>4511</v>
      </c>
      <c r="N52" s="6" t="s">
        <v>390</v>
      </c>
      <c r="O52" s="29">
        <f t="shared" si="0"/>
        <v>367425</v>
      </c>
      <c r="Q52" s="30" t="s">
        <v>390</v>
      </c>
      <c r="R52" s="31">
        <v>367425</v>
      </c>
    </row>
    <row r="53" s="1" customFormat="1" ht="16.35" hidden="1" customHeight="1" spans="1:18">
      <c r="A53" s="6" t="s">
        <v>4506</v>
      </c>
      <c r="B53" s="6">
        <v>2014</v>
      </c>
      <c r="C53" s="6">
        <v>12</v>
      </c>
      <c r="D53" s="7">
        <v>64</v>
      </c>
      <c r="E53" s="6" t="s">
        <v>4515</v>
      </c>
      <c r="F53" s="6" t="s">
        <v>4508</v>
      </c>
      <c r="G53" s="6" t="s">
        <v>25</v>
      </c>
      <c r="H53" s="8"/>
      <c r="I53" s="8">
        <v>454529</v>
      </c>
      <c r="J53" s="6" t="s">
        <v>3006</v>
      </c>
      <c r="K53" s="6" t="s">
        <v>408</v>
      </c>
      <c r="L53" s="6" t="s">
        <v>4510</v>
      </c>
      <c r="M53" s="6" t="s">
        <v>4511</v>
      </c>
      <c r="N53" s="6" t="s">
        <v>408</v>
      </c>
      <c r="O53" s="29">
        <f t="shared" si="0"/>
        <v>454529</v>
      </c>
      <c r="Q53" s="30" t="s">
        <v>408</v>
      </c>
      <c r="R53" s="31">
        <v>454529</v>
      </c>
    </row>
    <row r="54" s="1" customFormat="1" ht="16.35" hidden="1" customHeight="1" spans="1:18">
      <c r="A54" s="6" t="s">
        <v>4506</v>
      </c>
      <c r="B54" s="6">
        <v>2014</v>
      </c>
      <c r="C54" s="6">
        <v>12</v>
      </c>
      <c r="D54" s="7">
        <v>64</v>
      </c>
      <c r="E54" s="6" t="s">
        <v>4515</v>
      </c>
      <c r="F54" s="6" t="s">
        <v>4508</v>
      </c>
      <c r="G54" s="6" t="s">
        <v>25</v>
      </c>
      <c r="H54" s="8"/>
      <c r="I54" s="8">
        <v>415235</v>
      </c>
      <c r="J54" s="6" t="s">
        <v>3013</v>
      </c>
      <c r="K54" s="6" t="s">
        <v>418</v>
      </c>
      <c r="L54" s="6" t="s">
        <v>4510</v>
      </c>
      <c r="M54" s="6" t="s">
        <v>4511</v>
      </c>
      <c r="N54" s="6" t="s">
        <v>418</v>
      </c>
      <c r="O54" s="29">
        <f t="shared" si="0"/>
        <v>415235</v>
      </c>
      <c r="Q54" s="30" t="s">
        <v>418</v>
      </c>
      <c r="R54" s="31">
        <v>415235</v>
      </c>
    </row>
    <row r="55" s="1" customFormat="1" ht="16.35" hidden="1" customHeight="1" spans="1:18">
      <c r="A55" s="6" t="s">
        <v>4506</v>
      </c>
      <c r="B55" s="6">
        <v>2014</v>
      </c>
      <c r="C55" s="6">
        <v>12</v>
      </c>
      <c r="D55" s="7">
        <v>64</v>
      </c>
      <c r="E55" s="6" t="s">
        <v>4515</v>
      </c>
      <c r="F55" s="6" t="s">
        <v>4508</v>
      </c>
      <c r="G55" s="6" t="s">
        <v>25</v>
      </c>
      <c r="H55" s="8"/>
      <c r="I55" s="8">
        <v>391723</v>
      </c>
      <c r="J55" s="6" t="s">
        <v>3016</v>
      </c>
      <c r="K55" s="6" t="s">
        <v>431</v>
      </c>
      <c r="L55" s="6" t="s">
        <v>4510</v>
      </c>
      <c r="M55" s="6" t="s">
        <v>4511</v>
      </c>
      <c r="N55" s="6" t="s">
        <v>431</v>
      </c>
      <c r="O55" s="29">
        <f t="shared" si="0"/>
        <v>391723</v>
      </c>
      <c r="Q55" s="30" t="s">
        <v>431</v>
      </c>
      <c r="R55" s="31">
        <v>391723</v>
      </c>
    </row>
    <row r="56" s="1" customFormat="1" ht="16.35" hidden="1" customHeight="1" spans="1:18">
      <c r="A56" s="6" t="s">
        <v>4506</v>
      </c>
      <c r="B56" s="6">
        <v>2014</v>
      </c>
      <c r="C56" s="6">
        <v>12</v>
      </c>
      <c r="D56" s="7">
        <v>64</v>
      </c>
      <c r="E56" s="6" t="s">
        <v>4515</v>
      </c>
      <c r="F56" s="6" t="s">
        <v>4508</v>
      </c>
      <c r="G56" s="6" t="s">
        <v>25</v>
      </c>
      <c r="H56" s="8"/>
      <c r="I56" s="8">
        <v>353081</v>
      </c>
      <c r="J56" s="6" t="s">
        <v>3018</v>
      </c>
      <c r="K56" s="6" t="s">
        <v>437</v>
      </c>
      <c r="L56" s="6" t="s">
        <v>4510</v>
      </c>
      <c r="M56" s="6" t="s">
        <v>4511</v>
      </c>
      <c r="N56" s="6" t="s">
        <v>437</v>
      </c>
      <c r="O56" s="29">
        <f t="shared" si="0"/>
        <v>353081</v>
      </c>
      <c r="Q56" s="30" t="s">
        <v>437</v>
      </c>
      <c r="R56" s="31">
        <v>353081</v>
      </c>
    </row>
    <row r="57" s="1" customFormat="1" ht="16.35" hidden="1" customHeight="1" spans="1:18">
      <c r="A57" s="6" t="s">
        <v>4506</v>
      </c>
      <c r="B57" s="6">
        <v>2014</v>
      </c>
      <c r="C57" s="6">
        <v>12</v>
      </c>
      <c r="D57" s="7">
        <v>64</v>
      </c>
      <c r="E57" s="6" t="s">
        <v>4515</v>
      </c>
      <c r="F57" s="6" t="s">
        <v>4508</v>
      </c>
      <c r="G57" s="6" t="s">
        <v>25</v>
      </c>
      <c r="H57" s="8"/>
      <c r="I57" s="8">
        <v>351851</v>
      </c>
      <c r="J57" s="6" t="s">
        <v>3021</v>
      </c>
      <c r="K57" s="6" t="s">
        <v>439</v>
      </c>
      <c r="L57" s="6" t="s">
        <v>4510</v>
      </c>
      <c r="M57" s="6" t="s">
        <v>4511</v>
      </c>
      <c r="N57" s="6" t="s">
        <v>439</v>
      </c>
      <c r="O57" s="29">
        <f t="shared" si="0"/>
        <v>351851</v>
      </c>
      <c r="Q57" s="30" t="s">
        <v>439</v>
      </c>
      <c r="R57" s="31">
        <v>351851</v>
      </c>
    </row>
    <row r="58" s="1" customFormat="1" ht="16.35" hidden="1" customHeight="1" spans="1:18">
      <c r="A58" s="6" t="s">
        <v>4506</v>
      </c>
      <c r="B58" s="6">
        <v>2014</v>
      </c>
      <c r="C58" s="6">
        <v>12</v>
      </c>
      <c r="D58" s="7">
        <v>64</v>
      </c>
      <c r="E58" s="6" t="s">
        <v>4515</v>
      </c>
      <c r="F58" s="6" t="s">
        <v>4508</v>
      </c>
      <c r="G58" s="6" t="s">
        <v>25</v>
      </c>
      <c r="H58" s="8"/>
      <c r="I58" s="8">
        <v>322047</v>
      </c>
      <c r="J58" s="6" t="s">
        <v>3023</v>
      </c>
      <c r="K58" s="6" t="s">
        <v>441</v>
      </c>
      <c r="L58" s="6" t="s">
        <v>4510</v>
      </c>
      <c r="M58" s="6" t="s">
        <v>4511</v>
      </c>
      <c r="N58" s="6" t="s">
        <v>441</v>
      </c>
      <c r="O58" s="29">
        <f t="shared" si="0"/>
        <v>322047</v>
      </c>
      <c r="Q58" s="30" t="s">
        <v>441</v>
      </c>
      <c r="R58" s="31">
        <v>322047</v>
      </c>
    </row>
    <row r="59" s="1" customFormat="1" ht="16.35" hidden="1" customHeight="1" spans="1:18">
      <c r="A59" s="6" t="s">
        <v>4506</v>
      </c>
      <c r="B59" s="6">
        <v>2014</v>
      </c>
      <c r="C59" s="6">
        <v>12</v>
      </c>
      <c r="D59" s="7">
        <v>64</v>
      </c>
      <c r="E59" s="6" t="s">
        <v>4515</v>
      </c>
      <c r="F59" s="6" t="s">
        <v>4508</v>
      </c>
      <c r="G59" s="6" t="s">
        <v>25</v>
      </c>
      <c r="H59" s="8"/>
      <c r="I59" s="8">
        <v>393668</v>
      </c>
      <c r="J59" s="6" t="s">
        <v>3025</v>
      </c>
      <c r="K59" s="6" t="s">
        <v>457</v>
      </c>
      <c r="L59" s="6" t="s">
        <v>4510</v>
      </c>
      <c r="M59" s="6" t="s">
        <v>4511</v>
      </c>
      <c r="N59" s="6" t="s">
        <v>457</v>
      </c>
      <c r="O59" s="29">
        <f t="shared" si="0"/>
        <v>393668</v>
      </c>
      <c r="Q59" s="30" t="s">
        <v>457</v>
      </c>
      <c r="R59" s="31">
        <v>393668</v>
      </c>
    </row>
    <row r="60" s="1" customFormat="1" ht="16.35" hidden="1" customHeight="1" spans="1:18">
      <c r="A60" s="6" t="s">
        <v>4506</v>
      </c>
      <c r="B60" s="6">
        <v>2014</v>
      </c>
      <c r="C60" s="6">
        <v>12</v>
      </c>
      <c r="D60" s="7">
        <v>64</v>
      </c>
      <c r="E60" s="6" t="s">
        <v>4515</v>
      </c>
      <c r="F60" s="6" t="s">
        <v>4508</v>
      </c>
      <c r="G60" s="6" t="s">
        <v>25</v>
      </c>
      <c r="H60" s="8"/>
      <c r="I60" s="8">
        <v>346016</v>
      </c>
      <c r="J60" s="6" t="s">
        <v>3027</v>
      </c>
      <c r="K60" s="6" t="s">
        <v>459</v>
      </c>
      <c r="L60" s="6" t="s">
        <v>4510</v>
      </c>
      <c r="M60" s="6" t="s">
        <v>4511</v>
      </c>
      <c r="N60" s="6" t="s">
        <v>459</v>
      </c>
      <c r="O60" s="29">
        <f t="shared" si="0"/>
        <v>346016</v>
      </c>
      <c r="Q60" s="30" t="s">
        <v>459</v>
      </c>
      <c r="R60" s="31">
        <v>346016</v>
      </c>
    </row>
    <row r="61" s="1" customFormat="1" ht="16.35" hidden="1" customHeight="1" spans="1:18">
      <c r="A61" s="6" t="s">
        <v>4506</v>
      </c>
      <c r="B61" s="6">
        <v>2014</v>
      </c>
      <c r="C61" s="6">
        <v>12</v>
      </c>
      <c r="D61" s="7">
        <v>64</v>
      </c>
      <c r="E61" s="6" t="s">
        <v>4515</v>
      </c>
      <c r="F61" s="6" t="s">
        <v>4508</v>
      </c>
      <c r="G61" s="6" t="s">
        <v>25</v>
      </c>
      <c r="H61" s="8"/>
      <c r="I61" s="8">
        <v>351851</v>
      </c>
      <c r="J61" s="6" t="s">
        <v>3029</v>
      </c>
      <c r="K61" s="6" t="s">
        <v>461</v>
      </c>
      <c r="L61" s="6" t="s">
        <v>4510</v>
      </c>
      <c r="M61" s="6" t="s">
        <v>4511</v>
      </c>
      <c r="N61" s="6" t="s">
        <v>461</v>
      </c>
      <c r="O61" s="29">
        <f t="shared" si="0"/>
        <v>351851</v>
      </c>
      <c r="Q61" s="30" t="s">
        <v>461</v>
      </c>
      <c r="R61" s="31">
        <v>351851</v>
      </c>
    </row>
    <row r="62" s="1" customFormat="1" ht="16.35" hidden="1" customHeight="1" spans="1:18">
      <c r="A62" s="6" t="s">
        <v>4506</v>
      </c>
      <c r="B62" s="6">
        <v>2014</v>
      </c>
      <c r="C62" s="6">
        <v>12</v>
      </c>
      <c r="D62" s="7">
        <v>64</v>
      </c>
      <c r="E62" s="6" t="s">
        <v>4515</v>
      </c>
      <c r="F62" s="6" t="s">
        <v>4508</v>
      </c>
      <c r="G62" s="6" t="s">
        <v>25</v>
      </c>
      <c r="H62" s="8"/>
      <c r="I62" s="8">
        <v>320925</v>
      </c>
      <c r="J62" s="6" t="s">
        <v>3031</v>
      </c>
      <c r="K62" s="6" t="s">
        <v>465</v>
      </c>
      <c r="L62" s="6" t="s">
        <v>4510</v>
      </c>
      <c r="M62" s="6" t="s">
        <v>4511</v>
      </c>
      <c r="N62" s="6" t="s">
        <v>465</v>
      </c>
      <c r="O62" s="29">
        <f t="shared" si="0"/>
        <v>320925</v>
      </c>
      <c r="Q62" s="30" t="s">
        <v>465</v>
      </c>
      <c r="R62" s="31">
        <v>320925</v>
      </c>
    </row>
    <row r="63" s="1" customFormat="1" ht="16.35" hidden="1" customHeight="1" spans="1:18">
      <c r="A63" s="6" t="s">
        <v>4506</v>
      </c>
      <c r="B63" s="6">
        <v>2014</v>
      </c>
      <c r="C63" s="6">
        <v>12</v>
      </c>
      <c r="D63" s="7">
        <v>64</v>
      </c>
      <c r="E63" s="6" t="s">
        <v>4515</v>
      </c>
      <c r="F63" s="6" t="s">
        <v>4508</v>
      </c>
      <c r="G63" s="6" t="s">
        <v>25</v>
      </c>
      <c r="H63" s="8"/>
      <c r="I63" s="8">
        <v>323648</v>
      </c>
      <c r="J63" s="6" t="s">
        <v>3033</v>
      </c>
      <c r="K63" s="6" t="s">
        <v>467</v>
      </c>
      <c r="L63" s="6" t="s">
        <v>4510</v>
      </c>
      <c r="M63" s="6" t="s">
        <v>4511</v>
      </c>
      <c r="N63" s="6" t="s">
        <v>467</v>
      </c>
      <c r="O63" s="29">
        <f t="shared" si="0"/>
        <v>323648</v>
      </c>
      <c r="Q63" s="30" t="s">
        <v>467</v>
      </c>
      <c r="R63" s="31">
        <v>323648</v>
      </c>
    </row>
    <row r="64" s="1" customFormat="1" ht="16.35" hidden="1" customHeight="1" spans="1:18">
      <c r="A64" s="6" t="s">
        <v>4506</v>
      </c>
      <c r="B64" s="6">
        <v>2014</v>
      </c>
      <c r="C64" s="6">
        <v>12</v>
      </c>
      <c r="D64" s="7">
        <v>64</v>
      </c>
      <c r="E64" s="6" t="s">
        <v>4515</v>
      </c>
      <c r="F64" s="6" t="s">
        <v>4508</v>
      </c>
      <c r="G64" s="6" t="s">
        <v>25</v>
      </c>
      <c r="H64" s="8"/>
      <c r="I64" s="8">
        <v>389778</v>
      </c>
      <c r="J64" s="6" t="s">
        <v>3036</v>
      </c>
      <c r="K64" s="6" t="s">
        <v>477</v>
      </c>
      <c r="L64" s="6" t="s">
        <v>4510</v>
      </c>
      <c r="M64" s="6" t="s">
        <v>4511</v>
      </c>
      <c r="N64" s="6" t="s">
        <v>477</v>
      </c>
      <c r="O64" s="29">
        <f t="shared" si="0"/>
        <v>389778</v>
      </c>
      <c r="Q64" s="30" t="s">
        <v>477</v>
      </c>
      <c r="R64" s="31">
        <v>389778</v>
      </c>
    </row>
    <row r="65" s="1" customFormat="1" ht="16.35" hidden="1" customHeight="1" spans="1:18">
      <c r="A65" s="6" t="s">
        <v>4506</v>
      </c>
      <c r="B65" s="6">
        <v>2014</v>
      </c>
      <c r="C65" s="6">
        <v>12</v>
      </c>
      <c r="D65" s="7">
        <v>64</v>
      </c>
      <c r="E65" s="6" t="s">
        <v>4515</v>
      </c>
      <c r="F65" s="6" t="s">
        <v>4508</v>
      </c>
      <c r="G65" s="6" t="s">
        <v>25</v>
      </c>
      <c r="H65" s="8"/>
      <c r="I65" s="8">
        <v>393668</v>
      </c>
      <c r="J65" s="6" t="s">
        <v>3038</v>
      </c>
      <c r="K65" s="6" t="s">
        <v>481</v>
      </c>
      <c r="L65" s="6" t="s">
        <v>4510</v>
      </c>
      <c r="M65" s="6" t="s">
        <v>4511</v>
      </c>
      <c r="N65" s="6" t="s">
        <v>481</v>
      </c>
      <c r="O65" s="29">
        <f t="shared" si="0"/>
        <v>393668</v>
      </c>
      <c r="Q65" s="30" t="s">
        <v>481</v>
      </c>
      <c r="R65" s="31">
        <v>393668</v>
      </c>
    </row>
    <row r="66" s="1" customFormat="1" ht="16.35" hidden="1" customHeight="1" spans="1:18">
      <c r="A66" s="6" t="s">
        <v>4506</v>
      </c>
      <c r="B66" s="6">
        <v>2014</v>
      </c>
      <c r="C66" s="6">
        <v>12</v>
      </c>
      <c r="D66" s="7">
        <v>64</v>
      </c>
      <c r="E66" s="6" t="s">
        <v>4515</v>
      </c>
      <c r="F66" s="6" t="s">
        <v>4508</v>
      </c>
      <c r="G66" s="6" t="s">
        <v>25</v>
      </c>
      <c r="H66" s="8"/>
      <c r="I66" s="8">
        <v>346016</v>
      </c>
      <c r="J66" s="6" t="s">
        <v>3040</v>
      </c>
      <c r="K66" s="6" t="s">
        <v>483</v>
      </c>
      <c r="L66" s="6" t="s">
        <v>4510</v>
      </c>
      <c r="M66" s="6" t="s">
        <v>4511</v>
      </c>
      <c r="N66" s="6" t="s">
        <v>483</v>
      </c>
      <c r="O66" s="29">
        <f t="shared" ref="O66:O129" si="1">I66</f>
        <v>346016</v>
      </c>
      <c r="Q66" s="30" t="s">
        <v>483</v>
      </c>
      <c r="R66" s="31">
        <v>346016</v>
      </c>
    </row>
    <row r="67" s="1" customFormat="1" ht="16.35" hidden="1" customHeight="1" spans="1:18">
      <c r="A67" s="6" t="s">
        <v>4506</v>
      </c>
      <c r="B67" s="6">
        <v>2014</v>
      </c>
      <c r="C67" s="6">
        <v>12</v>
      </c>
      <c r="D67" s="7">
        <v>64</v>
      </c>
      <c r="E67" s="6" t="s">
        <v>4515</v>
      </c>
      <c r="F67" s="6" t="s">
        <v>4508</v>
      </c>
      <c r="G67" s="6" t="s">
        <v>25</v>
      </c>
      <c r="H67" s="8"/>
      <c r="I67" s="8">
        <v>351851</v>
      </c>
      <c r="J67" s="6" t="s">
        <v>3042</v>
      </c>
      <c r="K67" s="6" t="s">
        <v>485</v>
      </c>
      <c r="L67" s="6" t="s">
        <v>4510</v>
      </c>
      <c r="M67" s="6" t="s">
        <v>4511</v>
      </c>
      <c r="N67" s="6" t="s">
        <v>485</v>
      </c>
      <c r="O67" s="29">
        <f t="shared" si="1"/>
        <v>351851</v>
      </c>
      <c r="Q67" s="30" t="s">
        <v>485</v>
      </c>
      <c r="R67" s="31">
        <v>351851</v>
      </c>
    </row>
    <row r="68" s="1" customFormat="1" ht="16.35" hidden="1" customHeight="1" spans="1:18">
      <c r="A68" s="6" t="s">
        <v>4506</v>
      </c>
      <c r="B68" s="6">
        <v>2014</v>
      </c>
      <c r="C68" s="6">
        <v>12</v>
      </c>
      <c r="D68" s="7">
        <v>64</v>
      </c>
      <c r="E68" s="6" t="s">
        <v>4515</v>
      </c>
      <c r="F68" s="6" t="s">
        <v>4508</v>
      </c>
      <c r="G68" s="6" t="s">
        <v>25</v>
      </c>
      <c r="H68" s="8"/>
      <c r="I68" s="8">
        <v>351851</v>
      </c>
      <c r="J68" s="6" t="s">
        <v>3049</v>
      </c>
      <c r="K68" s="6" t="s">
        <v>487</v>
      </c>
      <c r="L68" s="6" t="s">
        <v>4510</v>
      </c>
      <c r="M68" s="6" t="s">
        <v>4511</v>
      </c>
      <c r="N68" s="6" t="s">
        <v>487</v>
      </c>
      <c r="O68" s="29">
        <f t="shared" si="1"/>
        <v>351851</v>
      </c>
      <c r="Q68" s="30" t="s">
        <v>487</v>
      </c>
      <c r="R68" s="31">
        <v>351851</v>
      </c>
    </row>
    <row r="69" s="1" customFormat="1" ht="16.35" hidden="1" customHeight="1" spans="1:18">
      <c r="A69" s="6" t="s">
        <v>4506</v>
      </c>
      <c r="B69" s="6">
        <v>2014</v>
      </c>
      <c r="C69" s="6">
        <v>12</v>
      </c>
      <c r="D69" s="7">
        <v>64</v>
      </c>
      <c r="E69" s="6" t="s">
        <v>4515</v>
      </c>
      <c r="F69" s="6" t="s">
        <v>4508</v>
      </c>
      <c r="G69" s="6" t="s">
        <v>25</v>
      </c>
      <c r="H69" s="8"/>
      <c r="I69" s="8">
        <v>319758</v>
      </c>
      <c r="J69" s="6" t="s">
        <v>3052</v>
      </c>
      <c r="K69" s="6" t="s">
        <v>489</v>
      </c>
      <c r="L69" s="6" t="s">
        <v>4510</v>
      </c>
      <c r="M69" s="6" t="s">
        <v>4511</v>
      </c>
      <c r="N69" s="6" t="s">
        <v>489</v>
      </c>
      <c r="O69" s="29">
        <f t="shared" si="1"/>
        <v>319758</v>
      </c>
      <c r="Q69" s="30" t="s">
        <v>489</v>
      </c>
      <c r="R69" s="31">
        <v>319758</v>
      </c>
    </row>
    <row r="70" s="1" customFormat="1" ht="16.35" hidden="1" customHeight="1" spans="1:18">
      <c r="A70" s="6" t="s">
        <v>4506</v>
      </c>
      <c r="B70" s="6">
        <v>2014</v>
      </c>
      <c r="C70" s="6">
        <v>12</v>
      </c>
      <c r="D70" s="7">
        <v>64</v>
      </c>
      <c r="E70" s="6" t="s">
        <v>4515</v>
      </c>
      <c r="F70" s="6" t="s">
        <v>4508</v>
      </c>
      <c r="G70" s="6" t="s">
        <v>25</v>
      </c>
      <c r="H70" s="8"/>
      <c r="I70" s="8">
        <v>319758</v>
      </c>
      <c r="J70" s="6" t="s">
        <v>3056</v>
      </c>
      <c r="K70" s="6" t="s">
        <v>491</v>
      </c>
      <c r="L70" s="6" t="s">
        <v>4510</v>
      </c>
      <c r="M70" s="6" t="s">
        <v>4511</v>
      </c>
      <c r="N70" s="6" t="s">
        <v>491</v>
      </c>
      <c r="O70" s="29">
        <f t="shared" si="1"/>
        <v>319758</v>
      </c>
      <c r="Q70" s="30" t="s">
        <v>491</v>
      </c>
      <c r="R70" s="31">
        <v>319758</v>
      </c>
    </row>
    <row r="71" s="1" customFormat="1" ht="16.35" hidden="1" customHeight="1" spans="1:18">
      <c r="A71" s="6" t="s">
        <v>4506</v>
      </c>
      <c r="B71" s="6">
        <v>2014</v>
      </c>
      <c r="C71" s="6">
        <v>12</v>
      </c>
      <c r="D71" s="7">
        <v>64</v>
      </c>
      <c r="E71" s="6" t="s">
        <v>4515</v>
      </c>
      <c r="F71" s="6" t="s">
        <v>4508</v>
      </c>
      <c r="G71" s="6" t="s">
        <v>25</v>
      </c>
      <c r="H71" s="8"/>
      <c r="I71" s="8">
        <v>298985</v>
      </c>
      <c r="J71" s="6" t="s">
        <v>3058</v>
      </c>
      <c r="K71" s="6" t="s">
        <v>493</v>
      </c>
      <c r="L71" s="6" t="s">
        <v>4510</v>
      </c>
      <c r="M71" s="6" t="s">
        <v>4511</v>
      </c>
      <c r="N71" s="6" t="s">
        <v>493</v>
      </c>
      <c r="O71" s="29">
        <f t="shared" si="1"/>
        <v>298985</v>
      </c>
      <c r="Q71" s="30" t="s">
        <v>493</v>
      </c>
      <c r="R71" s="31">
        <v>298985</v>
      </c>
    </row>
    <row r="72" s="1" customFormat="1" ht="16.35" hidden="1" customHeight="1" spans="1:18">
      <c r="A72" s="6" t="s">
        <v>4506</v>
      </c>
      <c r="B72" s="6">
        <v>2014</v>
      </c>
      <c r="C72" s="6">
        <v>12</v>
      </c>
      <c r="D72" s="7">
        <v>64</v>
      </c>
      <c r="E72" s="6" t="s">
        <v>4515</v>
      </c>
      <c r="F72" s="6" t="s">
        <v>4508</v>
      </c>
      <c r="G72" s="6" t="s">
        <v>25</v>
      </c>
      <c r="H72" s="8"/>
      <c r="I72" s="8">
        <v>292677</v>
      </c>
      <c r="J72" s="6" t="s">
        <v>3060</v>
      </c>
      <c r="K72" s="6" t="s">
        <v>495</v>
      </c>
      <c r="L72" s="6" t="s">
        <v>4510</v>
      </c>
      <c r="M72" s="6" t="s">
        <v>4511</v>
      </c>
      <c r="N72" s="6" t="s">
        <v>495</v>
      </c>
      <c r="O72" s="29">
        <f t="shared" si="1"/>
        <v>292677</v>
      </c>
      <c r="Q72" s="30" t="s">
        <v>495</v>
      </c>
      <c r="R72" s="31">
        <v>292677</v>
      </c>
    </row>
    <row r="73" s="1" customFormat="1" ht="16.35" hidden="1" customHeight="1" spans="1:18">
      <c r="A73" s="6" t="s">
        <v>4506</v>
      </c>
      <c r="B73" s="6">
        <v>2014</v>
      </c>
      <c r="C73" s="6">
        <v>12</v>
      </c>
      <c r="D73" s="7">
        <v>64</v>
      </c>
      <c r="E73" s="6" t="s">
        <v>4515</v>
      </c>
      <c r="F73" s="6" t="s">
        <v>4508</v>
      </c>
      <c r="G73" s="6" t="s">
        <v>25</v>
      </c>
      <c r="H73" s="8"/>
      <c r="I73" s="8">
        <v>391723</v>
      </c>
      <c r="J73" s="6" t="s">
        <v>3063</v>
      </c>
      <c r="K73" s="6" t="s">
        <v>501</v>
      </c>
      <c r="L73" s="6" t="s">
        <v>4510</v>
      </c>
      <c r="M73" s="6" t="s">
        <v>4511</v>
      </c>
      <c r="N73" s="6" t="s">
        <v>501</v>
      </c>
      <c r="O73" s="29">
        <f t="shared" si="1"/>
        <v>391723</v>
      </c>
      <c r="Q73" s="30" t="s">
        <v>501</v>
      </c>
      <c r="R73" s="31">
        <v>391723</v>
      </c>
    </row>
    <row r="74" s="1" customFormat="1" ht="16.35" hidden="1" customHeight="1" spans="1:18">
      <c r="A74" s="6" t="s">
        <v>4506</v>
      </c>
      <c r="B74" s="6">
        <v>2014</v>
      </c>
      <c r="C74" s="6">
        <v>12</v>
      </c>
      <c r="D74" s="7">
        <v>64</v>
      </c>
      <c r="E74" s="6" t="s">
        <v>4515</v>
      </c>
      <c r="F74" s="6" t="s">
        <v>4508</v>
      </c>
      <c r="G74" s="6" t="s">
        <v>25</v>
      </c>
      <c r="H74" s="8"/>
      <c r="I74" s="8">
        <v>393093</v>
      </c>
      <c r="J74" s="6" t="s">
        <v>2936</v>
      </c>
      <c r="K74" s="6" t="s">
        <v>503</v>
      </c>
      <c r="L74" s="6" t="s">
        <v>4510</v>
      </c>
      <c r="M74" s="6" t="s">
        <v>4511</v>
      </c>
      <c r="N74" s="6" t="s">
        <v>503</v>
      </c>
      <c r="O74" s="29">
        <f t="shared" si="1"/>
        <v>393093</v>
      </c>
      <c r="Q74" s="30" t="s">
        <v>503</v>
      </c>
      <c r="R74" s="31">
        <v>393093</v>
      </c>
    </row>
    <row r="75" s="1" customFormat="1" ht="16.35" hidden="1" customHeight="1" spans="1:18">
      <c r="A75" s="6" t="s">
        <v>4506</v>
      </c>
      <c r="B75" s="6">
        <v>2014</v>
      </c>
      <c r="C75" s="6">
        <v>12</v>
      </c>
      <c r="D75" s="7">
        <v>64</v>
      </c>
      <c r="E75" s="6" t="s">
        <v>4515</v>
      </c>
      <c r="F75" s="6" t="s">
        <v>4508</v>
      </c>
      <c r="G75" s="6" t="s">
        <v>25</v>
      </c>
      <c r="H75" s="8"/>
      <c r="I75" s="8">
        <v>395044</v>
      </c>
      <c r="J75" s="6" t="s">
        <v>2939</v>
      </c>
      <c r="K75" s="6" t="s">
        <v>507</v>
      </c>
      <c r="L75" s="6" t="s">
        <v>4510</v>
      </c>
      <c r="M75" s="6" t="s">
        <v>4511</v>
      </c>
      <c r="N75" s="6" t="s">
        <v>507</v>
      </c>
      <c r="O75" s="29">
        <f t="shared" si="1"/>
        <v>395044</v>
      </c>
      <c r="Q75" s="30" t="s">
        <v>507</v>
      </c>
      <c r="R75" s="31">
        <v>395044</v>
      </c>
    </row>
    <row r="76" s="1" customFormat="1" ht="16.35" hidden="1" customHeight="1" spans="1:18">
      <c r="A76" s="6" t="s">
        <v>4506</v>
      </c>
      <c r="B76" s="6">
        <v>2014</v>
      </c>
      <c r="C76" s="6">
        <v>12</v>
      </c>
      <c r="D76" s="7">
        <v>64</v>
      </c>
      <c r="E76" s="6" t="s">
        <v>4515</v>
      </c>
      <c r="F76" s="6" t="s">
        <v>4508</v>
      </c>
      <c r="G76" s="6" t="s">
        <v>25</v>
      </c>
      <c r="H76" s="8"/>
      <c r="I76" s="8">
        <v>353081</v>
      </c>
      <c r="J76" s="6" t="s">
        <v>2937</v>
      </c>
      <c r="K76" s="6" t="s">
        <v>511</v>
      </c>
      <c r="L76" s="6" t="s">
        <v>4510</v>
      </c>
      <c r="M76" s="6" t="s">
        <v>4511</v>
      </c>
      <c r="N76" s="6" t="s">
        <v>511</v>
      </c>
      <c r="O76" s="29">
        <f t="shared" si="1"/>
        <v>353081</v>
      </c>
      <c r="Q76" s="30" t="s">
        <v>511</v>
      </c>
      <c r="R76" s="31">
        <v>353081</v>
      </c>
    </row>
    <row r="77" s="1" customFormat="1" ht="16.35" hidden="1" customHeight="1" spans="1:18">
      <c r="A77" s="6" t="s">
        <v>4506</v>
      </c>
      <c r="B77" s="6">
        <v>2014</v>
      </c>
      <c r="C77" s="6">
        <v>12</v>
      </c>
      <c r="D77" s="7">
        <v>64</v>
      </c>
      <c r="E77" s="6" t="s">
        <v>4515</v>
      </c>
      <c r="F77" s="6" t="s">
        <v>4508</v>
      </c>
      <c r="G77" s="6" t="s">
        <v>25</v>
      </c>
      <c r="H77" s="8"/>
      <c r="I77" s="8">
        <v>320925</v>
      </c>
      <c r="J77" s="6" t="s">
        <v>2938</v>
      </c>
      <c r="K77" s="6" t="s">
        <v>513</v>
      </c>
      <c r="L77" s="6" t="s">
        <v>4510</v>
      </c>
      <c r="M77" s="6" t="s">
        <v>4511</v>
      </c>
      <c r="N77" s="6" t="s">
        <v>513</v>
      </c>
      <c r="O77" s="29">
        <f t="shared" si="1"/>
        <v>320925</v>
      </c>
      <c r="Q77" s="30" t="s">
        <v>513</v>
      </c>
      <c r="R77" s="31">
        <v>320925</v>
      </c>
    </row>
    <row r="78" s="1" customFormat="1" ht="16.35" hidden="1" customHeight="1" spans="1:18">
      <c r="A78" s="6" t="s">
        <v>4506</v>
      </c>
      <c r="B78" s="6">
        <v>2014</v>
      </c>
      <c r="C78" s="6">
        <v>12</v>
      </c>
      <c r="D78" s="7">
        <v>64</v>
      </c>
      <c r="E78" s="6" t="s">
        <v>4515</v>
      </c>
      <c r="F78" s="6" t="s">
        <v>4508</v>
      </c>
      <c r="G78" s="6" t="s">
        <v>25</v>
      </c>
      <c r="H78" s="8"/>
      <c r="I78" s="8">
        <v>314131</v>
      </c>
      <c r="J78" s="6" t="s">
        <v>2942</v>
      </c>
      <c r="K78" s="6" t="s">
        <v>640</v>
      </c>
      <c r="L78" s="6" t="s">
        <v>4510</v>
      </c>
      <c r="M78" s="6" t="s">
        <v>4511</v>
      </c>
      <c r="N78" s="6" t="s">
        <v>640</v>
      </c>
      <c r="O78" s="29">
        <f t="shared" si="1"/>
        <v>314131</v>
      </c>
      <c r="Q78" s="30" t="s">
        <v>640</v>
      </c>
      <c r="R78" s="31">
        <v>314131</v>
      </c>
    </row>
    <row r="79" s="1" customFormat="1" ht="16.35" hidden="1" customHeight="1" spans="1:18">
      <c r="A79" s="6" t="s">
        <v>4506</v>
      </c>
      <c r="B79" s="6">
        <v>2014</v>
      </c>
      <c r="C79" s="6">
        <v>12</v>
      </c>
      <c r="D79" s="7">
        <v>64</v>
      </c>
      <c r="E79" s="6" t="s">
        <v>4515</v>
      </c>
      <c r="F79" s="6" t="s">
        <v>4508</v>
      </c>
      <c r="G79" s="6" t="s">
        <v>25</v>
      </c>
      <c r="H79" s="8"/>
      <c r="I79" s="8">
        <v>298003</v>
      </c>
      <c r="J79" s="6" t="s">
        <v>2943</v>
      </c>
      <c r="K79" s="6" t="s">
        <v>642</v>
      </c>
      <c r="L79" s="6" t="s">
        <v>4510</v>
      </c>
      <c r="M79" s="6" t="s">
        <v>4511</v>
      </c>
      <c r="N79" s="6" t="s">
        <v>642</v>
      </c>
      <c r="O79" s="29">
        <f t="shared" si="1"/>
        <v>298003</v>
      </c>
      <c r="Q79" s="30" t="s">
        <v>642</v>
      </c>
      <c r="R79" s="31">
        <v>298003</v>
      </c>
    </row>
    <row r="80" s="1" customFormat="1" ht="16.35" hidden="1" customHeight="1" spans="1:18">
      <c r="A80" s="6" t="s">
        <v>4506</v>
      </c>
      <c r="B80" s="6">
        <v>2014</v>
      </c>
      <c r="C80" s="6">
        <v>12</v>
      </c>
      <c r="D80" s="7">
        <v>64</v>
      </c>
      <c r="E80" s="6" t="s">
        <v>4515</v>
      </c>
      <c r="F80" s="6" t="s">
        <v>4508</v>
      </c>
      <c r="G80" s="6" t="s">
        <v>25</v>
      </c>
      <c r="H80" s="8"/>
      <c r="I80" s="8">
        <v>370584</v>
      </c>
      <c r="J80" s="6" t="s">
        <v>2944</v>
      </c>
      <c r="K80" s="6" t="s">
        <v>650</v>
      </c>
      <c r="L80" s="6" t="s">
        <v>4510</v>
      </c>
      <c r="M80" s="6" t="s">
        <v>4511</v>
      </c>
      <c r="N80" s="6" t="s">
        <v>650</v>
      </c>
      <c r="O80" s="29">
        <f t="shared" si="1"/>
        <v>370584</v>
      </c>
      <c r="Q80" s="30" t="s">
        <v>650</v>
      </c>
      <c r="R80" s="31">
        <v>370584</v>
      </c>
    </row>
    <row r="81" s="1" customFormat="1" ht="16.35" hidden="1" customHeight="1" spans="1:18">
      <c r="A81" s="6" t="s">
        <v>4506</v>
      </c>
      <c r="B81" s="6">
        <v>2014</v>
      </c>
      <c r="C81" s="6">
        <v>12</v>
      </c>
      <c r="D81" s="7">
        <v>64</v>
      </c>
      <c r="E81" s="6" t="s">
        <v>4515</v>
      </c>
      <c r="F81" s="6" t="s">
        <v>4508</v>
      </c>
      <c r="G81" s="6" t="s">
        <v>25</v>
      </c>
      <c r="H81" s="8"/>
      <c r="I81" s="8">
        <v>366660</v>
      </c>
      <c r="J81" s="6" t="s">
        <v>2945</v>
      </c>
      <c r="K81" s="6" t="s">
        <v>654</v>
      </c>
      <c r="L81" s="6" t="s">
        <v>4510</v>
      </c>
      <c r="M81" s="6" t="s">
        <v>4511</v>
      </c>
      <c r="N81" s="6" t="s">
        <v>654</v>
      </c>
      <c r="O81" s="29">
        <f t="shared" si="1"/>
        <v>366660</v>
      </c>
      <c r="Q81" s="30" t="s">
        <v>654</v>
      </c>
      <c r="R81" s="31">
        <v>366660</v>
      </c>
    </row>
    <row r="82" s="1" customFormat="1" ht="16.35" hidden="1" customHeight="1" spans="1:18">
      <c r="A82" s="6" t="s">
        <v>4506</v>
      </c>
      <c r="B82" s="6">
        <v>2014</v>
      </c>
      <c r="C82" s="6">
        <v>12</v>
      </c>
      <c r="D82" s="7">
        <v>64</v>
      </c>
      <c r="E82" s="6" t="s">
        <v>4515</v>
      </c>
      <c r="F82" s="6" t="s">
        <v>4508</v>
      </c>
      <c r="G82" s="6" t="s">
        <v>25</v>
      </c>
      <c r="H82" s="8"/>
      <c r="I82" s="8">
        <v>333458</v>
      </c>
      <c r="J82" s="6" t="s">
        <v>2946</v>
      </c>
      <c r="K82" s="6" t="s">
        <v>658</v>
      </c>
      <c r="L82" s="6" t="s">
        <v>4510</v>
      </c>
      <c r="M82" s="6" t="s">
        <v>4511</v>
      </c>
      <c r="N82" s="6" t="s">
        <v>658</v>
      </c>
      <c r="O82" s="29">
        <f t="shared" si="1"/>
        <v>333458</v>
      </c>
      <c r="Q82" s="30" t="s">
        <v>658</v>
      </c>
      <c r="R82" s="31">
        <v>333458</v>
      </c>
    </row>
    <row r="83" s="1" customFormat="1" ht="16.35" hidden="1" customHeight="1" spans="1:19">
      <c r="A83" s="6" t="s">
        <v>4506</v>
      </c>
      <c r="B83" s="6">
        <v>2015</v>
      </c>
      <c r="C83" s="6">
        <v>1</v>
      </c>
      <c r="D83" s="7">
        <v>14</v>
      </c>
      <c r="E83" s="6" t="s">
        <v>4535</v>
      </c>
      <c r="F83" s="6" t="s">
        <v>4508</v>
      </c>
      <c r="G83" s="6" t="s">
        <v>25</v>
      </c>
      <c r="H83" s="8"/>
      <c r="I83" s="8">
        <v>1000000</v>
      </c>
      <c r="J83" s="6" t="s">
        <v>3114</v>
      </c>
      <c r="K83" s="6" t="s">
        <v>4536</v>
      </c>
      <c r="L83" s="6" t="s">
        <v>4509</v>
      </c>
      <c r="M83" s="6" t="s">
        <v>4537</v>
      </c>
      <c r="N83" s="6" t="s">
        <v>4536</v>
      </c>
      <c r="O83" s="29">
        <f t="shared" si="1"/>
        <v>1000000</v>
      </c>
      <c r="Q83" s="30" t="s">
        <v>4536</v>
      </c>
      <c r="R83" s="31">
        <v>1000000</v>
      </c>
      <c r="S83" s="1">
        <f>R83-I83</f>
        <v>0</v>
      </c>
    </row>
    <row r="84" s="1" customFormat="1" ht="16.35" hidden="1" customHeight="1" spans="1:18">
      <c r="A84" s="6" t="s">
        <v>4506</v>
      </c>
      <c r="B84" s="6">
        <v>2015</v>
      </c>
      <c r="C84" s="6">
        <v>1</v>
      </c>
      <c r="D84" s="7">
        <v>30</v>
      </c>
      <c r="E84" s="6" t="s">
        <v>4538</v>
      </c>
      <c r="F84" s="6" t="s">
        <v>4508</v>
      </c>
      <c r="G84" s="6" t="s">
        <v>25</v>
      </c>
      <c r="H84" s="8"/>
      <c r="I84" s="8">
        <v>148</v>
      </c>
      <c r="J84" s="6" t="s">
        <v>2949</v>
      </c>
      <c r="K84" s="6" t="s">
        <v>278</v>
      </c>
      <c r="L84" s="6" t="s">
        <v>4509</v>
      </c>
      <c r="M84" s="6" t="s">
        <v>4537</v>
      </c>
      <c r="N84" s="6" t="s">
        <v>278</v>
      </c>
      <c r="O84" s="29">
        <f t="shared" si="1"/>
        <v>148</v>
      </c>
      <c r="Q84" s="30" t="s">
        <v>278</v>
      </c>
      <c r="R84" s="31">
        <v>148</v>
      </c>
    </row>
    <row r="85" s="1" customFormat="1" ht="16.35" hidden="1" customHeight="1" spans="1:18">
      <c r="A85" s="6" t="s">
        <v>4506</v>
      </c>
      <c r="B85" s="6">
        <v>2015</v>
      </c>
      <c r="C85" s="6">
        <v>1</v>
      </c>
      <c r="D85" s="7">
        <v>42</v>
      </c>
      <c r="E85" s="6" t="s">
        <v>4539</v>
      </c>
      <c r="F85" s="6" t="s">
        <v>4508</v>
      </c>
      <c r="G85" s="6" t="s">
        <v>25</v>
      </c>
      <c r="H85" s="8"/>
      <c r="I85" s="8">
        <v>159000</v>
      </c>
      <c r="J85" s="6" t="s">
        <v>2949</v>
      </c>
      <c r="K85" s="6" t="s">
        <v>278</v>
      </c>
      <c r="L85" s="6" t="s">
        <v>4509</v>
      </c>
      <c r="M85" s="6" t="s">
        <v>4537</v>
      </c>
      <c r="N85" s="6" t="s">
        <v>278</v>
      </c>
      <c r="O85" s="29">
        <f t="shared" si="1"/>
        <v>159000</v>
      </c>
      <c r="Q85" s="30" t="s">
        <v>278</v>
      </c>
      <c r="R85" s="31">
        <v>159000</v>
      </c>
    </row>
    <row r="86" s="1" customFormat="1" ht="16.35" hidden="1" customHeight="1" spans="1:18">
      <c r="A86" s="6" t="s">
        <v>4506</v>
      </c>
      <c r="B86" s="6">
        <v>2015</v>
      </c>
      <c r="C86" s="6">
        <v>1</v>
      </c>
      <c r="D86" s="7">
        <v>47</v>
      </c>
      <c r="E86" s="6" t="s">
        <v>4540</v>
      </c>
      <c r="F86" s="6" t="s">
        <v>4508</v>
      </c>
      <c r="G86" s="6" t="s">
        <v>25</v>
      </c>
      <c r="H86" s="8"/>
      <c r="I86" s="8">
        <v>241762</v>
      </c>
      <c r="J86" s="6" t="s">
        <v>2950</v>
      </c>
      <c r="K86" s="6" t="s">
        <v>553</v>
      </c>
      <c r="L86" s="6" t="s">
        <v>4509</v>
      </c>
      <c r="M86" s="6" t="s">
        <v>4537</v>
      </c>
      <c r="N86" s="6" t="s">
        <v>553</v>
      </c>
      <c r="O86" s="29">
        <f t="shared" si="1"/>
        <v>241762</v>
      </c>
      <c r="Q86" s="30" t="s">
        <v>553</v>
      </c>
      <c r="R86" s="31">
        <v>241762</v>
      </c>
    </row>
    <row r="87" s="1" customFormat="1" ht="16.35" hidden="1" customHeight="1" spans="1:18">
      <c r="A87" s="6" t="s">
        <v>4506</v>
      </c>
      <c r="B87" s="6">
        <v>2015</v>
      </c>
      <c r="C87" s="6">
        <v>1</v>
      </c>
      <c r="D87" s="7">
        <v>48</v>
      </c>
      <c r="E87" s="6" t="s">
        <v>4541</v>
      </c>
      <c r="F87" s="6" t="s">
        <v>4508</v>
      </c>
      <c r="G87" s="6" t="s">
        <v>25</v>
      </c>
      <c r="H87" s="8"/>
      <c r="I87" s="8">
        <v>341766</v>
      </c>
      <c r="J87" s="6" t="s">
        <v>3133</v>
      </c>
      <c r="K87" s="6" t="s">
        <v>621</v>
      </c>
      <c r="L87" s="6" t="s">
        <v>4509</v>
      </c>
      <c r="M87" s="6" t="s">
        <v>4537</v>
      </c>
      <c r="N87" s="6" t="s">
        <v>621</v>
      </c>
      <c r="O87" s="29">
        <f t="shared" si="1"/>
        <v>341766</v>
      </c>
      <c r="Q87" s="30" t="s">
        <v>621</v>
      </c>
      <c r="R87" s="31">
        <v>341766</v>
      </c>
    </row>
    <row r="88" s="1" customFormat="1" ht="16.35" hidden="1" customHeight="1" spans="1:18">
      <c r="A88" s="6" t="s">
        <v>4506</v>
      </c>
      <c r="B88" s="6">
        <v>2015</v>
      </c>
      <c r="C88" s="6">
        <v>1</v>
      </c>
      <c r="D88" s="7">
        <v>48</v>
      </c>
      <c r="E88" s="6" t="s">
        <v>4541</v>
      </c>
      <c r="F88" s="6" t="s">
        <v>4508</v>
      </c>
      <c r="G88" s="6" t="s">
        <v>25</v>
      </c>
      <c r="H88" s="8"/>
      <c r="I88" s="8">
        <v>367910</v>
      </c>
      <c r="J88" s="6" t="s">
        <v>2940</v>
      </c>
      <c r="K88" s="6" t="s">
        <v>619</v>
      </c>
      <c r="L88" s="6" t="s">
        <v>4509</v>
      </c>
      <c r="M88" s="6" t="s">
        <v>4537</v>
      </c>
      <c r="N88" s="6" t="s">
        <v>619</v>
      </c>
      <c r="O88" s="29">
        <f t="shared" si="1"/>
        <v>367910</v>
      </c>
      <c r="Q88" s="30" t="s">
        <v>619</v>
      </c>
      <c r="R88" s="31">
        <v>367910</v>
      </c>
    </row>
    <row r="89" s="1" customFormat="1" ht="16.35" hidden="1" customHeight="1" spans="1:19">
      <c r="A89" s="6" t="s">
        <v>4506</v>
      </c>
      <c r="B89" s="6">
        <v>2015</v>
      </c>
      <c r="C89" s="6">
        <v>2</v>
      </c>
      <c r="D89" s="7">
        <v>3</v>
      </c>
      <c r="E89" s="6" t="s">
        <v>4535</v>
      </c>
      <c r="F89" s="6" t="s">
        <v>4508</v>
      </c>
      <c r="G89" s="6" t="s">
        <v>25</v>
      </c>
      <c r="H89" s="8"/>
      <c r="I89" s="8">
        <v>1000000</v>
      </c>
      <c r="J89" s="6" t="s">
        <v>3114</v>
      </c>
      <c r="K89" s="6" t="s">
        <v>4536</v>
      </c>
      <c r="L89" s="6" t="s">
        <v>4509</v>
      </c>
      <c r="M89" s="6" t="s">
        <v>4537</v>
      </c>
      <c r="N89" s="6" t="s">
        <v>4536</v>
      </c>
      <c r="O89" s="29">
        <f t="shared" si="1"/>
        <v>1000000</v>
      </c>
      <c r="Q89" s="30" t="s">
        <v>4536</v>
      </c>
      <c r="R89" s="31">
        <v>1000000</v>
      </c>
      <c r="S89" s="1">
        <f>R89-I89</f>
        <v>0</v>
      </c>
    </row>
    <row r="90" s="1" customFormat="1" ht="16.35" hidden="1" customHeight="1" spans="1:19">
      <c r="A90" s="6" t="s">
        <v>4506</v>
      </c>
      <c r="B90" s="6">
        <v>2015</v>
      </c>
      <c r="C90" s="6">
        <v>2</v>
      </c>
      <c r="D90" s="7">
        <v>4</v>
      </c>
      <c r="E90" s="6" t="s">
        <v>4542</v>
      </c>
      <c r="F90" s="6" t="s">
        <v>4508</v>
      </c>
      <c r="G90" s="6" t="s">
        <v>25</v>
      </c>
      <c r="H90" s="8"/>
      <c r="I90" s="8">
        <v>3000000</v>
      </c>
      <c r="J90" s="6" t="s">
        <v>3114</v>
      </c>
      <c r="K90" s="6" t="s">
        <v>4536</v>
      </c>
      <c r="L90" s="6" t="s">
        <v>4509</v>
      </c>
      <c r="M90" s="6" t="s">
        <v>4537</v>
      </c>
      <c r="N90" s="6" t="s">
        <v>4536</v>
      </c>
      <c r="O90" s="29">
        <f t="shared" si="1"/>
        <v>3000000</v>
      </c>
      <c r="Q90" s="30" t="s">
        <v>4536</v>
      </c>
      <c r="R90" s="31">
        <v>3000000</v>
      </c>
      <c r="S90" s="1">
        <f>R90-I90</f>
        <v>0</v>
      </c>
    </row>
    <row r="91" s="1" customFormat="1" ht="16.35" hidden="1" customHeight="1" spans="1:18">
      <c r="A91" s="6" t="s">
        <v>4506</v>
      </c>
      <c r="B91" s="6">
        <v>2015</v>
      </c>
      <c r="C91" s="6">
        <v>3</v>
      </c>
      <c r="D91" s="7">
        <v>20</v>
      </c>
      <c r="E91" s="6" t="s">
        <v>4543</v>
      </c>
      <c r="F91" s="6" t="s">
        <v>4508</v>
      </c>
      <c r="G91" s="6" t="s">
        <v>25</v>
      </c>
      <c r="H91" s="8"/>
      <c r="I91" s="8">
        <v>363759</v>
      </c>
      <c r="J91" s="6" t="s">
        <v>2947</v>
      </c>
      <c r="K91" s="6" t="s">
        <v>579</v>
      </c>
      <c r="L91" s="6" t="s">
        <v>4509</v>
      </c>
      <c r="M91" s="6" t="s">
        <v>4537</v>
      </c>
      <c r="N91" s="6" t="s">
        <v>579</v>
      </c>
      <c r="O91" s="29">
        <f t="shared" si="1"/>
        <v>363759</v>
      </c>
      <c r="Q91" s="30" t="s">
        <v>579</v>
      </c>
      <c r="R91" s="31">
        <v>363759</v>
      </c>
    </row>
    <row r="92" s="1" customFormat="1" ht="16.35" hidden="1" customHeight="1" spans="1:18">
      <c r="A92" s="6" t="s">
        <v>4506</v>
      </c>
      <c r="B92" s="6">
        <v>2015</v>
      </c>
      <c r="C92" s="6">
        <v>3</v>
      </c>
      <c r="D92" s="7">
        <v>21</v>
      </c>
      <c r="E92" s="6" t="s">
        <v>4544</v>
      </c>
      <c r="F92" s="6" t="s">
        <v>4508</v>
      </c>
      <c r="G92" s="6" t="s">
        <v>25</v>
      </c>
      <c r="H92" s="8"/>
      <c r="I92" s="8">
        <v>457253</v>
      </c>
      <c r="J92" s="6" t="s">
        <v>2948</v>
      </c>
      <c r="K92" s="6" t="s">
        <v>250</v>
      </c>
      <c r="L92" s="6" t="s">
        <v>4509</v>
      </c>
      <c r="M92" s="6" t="s">
        <v>4537</v>
      </c>
      <c r="N92" s="6" t="s">
        <v>250</v>
      </c>
      <c r="O92" s="29">
        <f t="shared" si="1"/>
        <v>457253</v>
      </c>
      <c r="Q92" s="30" t="s">
        <v>250</v>
      </c>
      <c r="R92" s="31">
        <v>457253</v>
      </c>
    </row>
    <row r="93" s="1" customFormat="1" ht="16.35" hidden="1" customHeight="1" spans="1:18">
      <c r="A93" s="6" t="s">
        <v>4506</v>
      </c>
      <c r="B93" s="6">
        <v>2015</v>
      </c>
      <c r="C93" s="6">
        <v>3</v>
      </c>
      <c r="D93" s="7">
        <v>45</v>
      </c>
      <c r="E93" s="6" t="s">
        <v>4545</v>
      </c>
      <c r="F93" s="6" t="s">
        <v>4508</v>
      </c>
      <c r="G93" s="6" t="s">
        <v>25</v>
      </c>
      <c r="H93" s="8"/>
      <c r="I93" s="8">
        <v>294600</v>
      </c>
      <c r="J93" s="6" t="s">
        <v>3136</v>
      </c>
      <c r="K93" s="6" t="s">
        <v>244</v>
      </c>
      <c r="L93" s="6" t="s">
        <v>4509</v>
      </c>
      <c r="M93" s="6" t="s">
        <v>4537</v>
      </c>
      <c r="N93" s="6" t="s">
        <v>244</v>
      </c>
      <c r="O93" s="29">
        <f t="shared" si="1"/>
        <v>294600</v>
      </c>
      <c r="Q93" s="30" t="s">
        <v>244</v>
      </c>
      <c r="R93" s="31">
        <v>294600</v>
      </c>
    </row>
    <row r="94" s="1" customFormat="1" ht="16.35" hidden="1" customHeight="1" spans="1:18">
      <c r="A94" s="6" t="s">
        <v>4506</v>
      </c>
      <c r="B94" s="6">
        <v>2015</v>
      </c>
      <c r="C94" s="6">
        <v>3</v>
      </c>
      <c r="D94" s="7">
        <v>45</v>
      </c>
      <c r="E94" s="6" t="s">
        <v>4545</v>
      </c>
      <c r="F94" s="6" t="s">
        <v>4508</v>
      </c>
      <c r="G94" s="6" t="s">
        <v>25</v>
      </c>
      <c r="H94" s="8"/>
      <c r="I94" s="8">
        <v>379022</v>
      </c>
      <c r="J94" s="6" t="s">
        <v>3138</v>
      </c>
      <c r="K94" s="6" t="s">
        <v>394</v>
      </c>
      <c r="L94" s="6" t="s">
        <v>4509</v>
      </c>
      <c r="M94" s="6" t="s">
        <v>4537</v>
      </c>
      <c r="N94" s="6" t="s">
        <v>394</v>
      </c>
      <c r="O94" s="29">
        <f t="shared" si="1"/>
        <v>379022</v>
      </c>
      <c r="Q94" s="30" t="s">
        <v>394</v>
      </c>
      <c r="R94" s="31">
        <v>379022</v>
      </c>
    </row>
    <row r="95" s="1" customFormat="1" ht="16.35" hidden="1" customHeight="1" spans="1:18">
      <c r="A95" s="6" t="s">
        <v>4506</v>
      </c>
      <c r="B95" s="6">
        <v>2015</v>
      </c>
      <c r="C95" s="6">
        <v>3</v>
      </c>
      <c r="D95" s="7">
        <v>45</v>
      </c>
      <c r="E95" s="6" t="s">
        <v>4545</v>
      </c>
      <c r="F95" s="6" t="s">
        <v>4508</v>
      </c>
      <c r="G95" s="6" t="s">
        <v>25</v>
      </c>
      <c r="H95" s="8"/>
      <c r="I95" s="8">
        <v>344624</v>
      </c>
      <c r="J95" s="6" t="s">
        <v>3140</v>
      </c>
      <c r="K95" s="6" t="s">
        <v>525</v>
      </c>
      <c r="L95" s="6" t="s">
        <v>4509</v>
      </c>
      <c r="M95" s="6" t="s">
        <v>4537</v>
      </c>
      <c r="N95" s="6" t="s">
        <v>525</v>
      </c>
      <c r="O95" s="29">
        <f t="shared" si="1"/>
        <v>344624</v>
      </c>
      <c r="Q95" s="30" t="s">
        <v>525</v>
      </c>
      <c r="R95" s="31">
        <v>344624</v>
      </c>
    </row>
    <row r="96" s="1" customFormat="1" ht="16.35" hidden="1" customHeight="1" spans="1:18">
      <c r="A96" s="6" t="s">
        <v>4506</v>
      </c>
      <c r="B96" s="6">
        <v>2015</v>
      </c>
      <c r="C96" s="6">
        <v>3</v>
      </c>
      <c r="D96" s="7">
        <v>45</v>
      </c>
      <c r="E96" s="6" t="s">
        <v>4545</v>
      </c>
      <c r="F96" s="6" t="s">
        <v>4508</v>
      </c>
      <c r="G96" s="6" t="s">
        <v>25</v>
      </c>
      <c r="H96" s="8"/>
      <c r="I96" s="8">
        <v>280045</v>
      </c>
      <c r="J96" s="6" t="s">
        <v>3142</v>
      </c>
      <c r="K96" s="6" t="s">
        <v>537</v>
      </c>
      <c r="L96" s="6" t="s">
        <v>4509</v>
      </c>
      <c r="M96" s="6" t="s">
        <v>4537</v>
      </c>
      <c r="N96" s="6" t="s">
        <v>537</v>
      </c>
      <c r="O96" s="29">
        <f t="shared" si="1"/>
        <v>280045</v>
      </c>
      <c r="Q96" s="30" t="s">
        <v>537</v>
      </c>
      <c r="R96" s="31">
        <v>280045</v>
      </c>
    </row>
    <row r="97" s="1" customFormat="1" ht="16.35" hidden="1" customHeight="1" spans="1:18">
      <c r="A97" s="6" t="s">
        <v>4506</v>
      </c>
      <c r="B97" s="6">
        <v>2015</v>
      </c>
      <c r="C97" s="6">
        <v>4</v>
      </c>
      <c r="D97" s="7">
        <v>32</v>
      </c>
      <c r="E97" s="6" t="s">
        <v>4546</v>
      </c>
      <c r="F97" s="6" t="s">
        <v>4508</v>
      </c>
      <c r="G97" s="6" t="s">
        <v>25</v>
      </c>
      <c r="H97" s="8"/>
      <c r="I97" s="8">
        <v>274065</v>
      </c>
      <c r="J97" s="6" t="s">
        <v>3067</v>
      </c>
      <c r="K97" s="6" t="s">
        <v>549</v>
      </c>
      <c r="L97" s="6" t="s">
        <v>4509</v>
      </c>
      <c r="M97" s="6" t="s">
        <v>4537</v>
      </c>
      <c r="N97" s="6" t="s">
        <v>549</v>
      </c>
      <c r="O97" s="29">
        <f t="shared" si="1"/>
        <v>274065</v>
      </c>
      <c r="Q97" s="30" t="s">
        <v>549</v>
      </c>
      <c r="R97" s="31">
        <v>274065</v>
      </c>
    </row>
    <row r="98" s="1" customFormat="1" ht="16.35" hidden="1" customHeight="1" spans="1:18">
      <c r="A98" s="6" t="s">
        <v>4506</v>
      </c>
      <c r="B98" s="6">
        <v>2015</v>
      </c>
      <c r="C98" s="6">
        <v>4</v>
      </c>
      <c r="D98" s="7">
        <v>33</v>
      </c>
      <c r="E98" s="6" t="s">
        <v>4547</v>
      </c>
      <c r="F98" s="6" t="s">
        <v>4508</v>
      </c>
      <c r="G98" s="6" t="s">
        <v>25</v>
      </c>
      <c r="H98" s="8"/>
      <c r="I98" s="8">
        <v>306092</v>
      </c>
      <c r="J98" s="6" t="s">
        <v>3070</v>
      </c>
      <c r="K98" s="6" t="s">
        <v>535</v>
      </c>
      <c r="L98" s="6" t="s">
        <v>4509</v>
      </c>
      <c r="M98" s="6" t="s">
        <v>4537</v>
      </c>
      <c r="N98" s="6" t="s">
        <v>535</v>
      </c>
      <c r="O98" s="29">
        <f t="shared" si="1"/>
        <v>306092</v>
      </c>
      <c r="Q98" s="30" t="s">
        <v>535</v>
      </c>
      <c r="R98" s="31">
        <v>306092</v>
      </c>
    </row>
    <row r="99" s="1" customFormat="1" ht="16.35" hidden="1" customHeight="1" spans="1:18">
      <c r="A99" s="6" t="s">
        <v>4506</v>
      </c>
      <c r="B99" s="6">
        <v>2015</v>
      </c>
      <c r="C99" s="6">
        <v>4</v>
      </c>
      <c r="D99" s="7">
        <v>34</v>
      </c>
      <c r="E99" s="6" t="s">
        <v>4548</v>
      </c>
      <c r="F99" s="6" t="s">
        <v>4508</v>
      </c>
      <c r="G99" s="6" t="s">
        <v>25</v>
      </c>
      <c r="H99" s="8"/>
      <c r="I99" s="8">
        <v>223710</v>
      </c>
      <c r="J99" s="6" t="s">
        <v>3073</v>
      </c>
      <c r="K99" s="6" t="s">
        <v>622</v>
      </c>
      <c r="L99" s="6" t="s">
        <v>4509</v>
      </c>
      <c r="M99" s="6" t="s">
        <v>4537</v>
      </c>
      <c r="N99" s="6" t="s">
        <v>622</v>
      </c>
      <c r="O99" s="29">
        <f t="shared" si="1"/>
        <v>223710</v>
      </c>
      <c r="Q99" s="30" t="s">
        <v>622</v>
      </c>
      <c r="R99" s="31">
        <v>223710</v>
      </c>
    </row>
    <row r="100" s="1" customFormat="1" ht="16.35" hidden="1" customHeight="1" spans="1:18">
      <c r="A100" s="6" t="s">
        <v>4506</v>
      </c>
      <c r="B100" s="6">
        <v>2015</v>
      </c>
      <c r="C100" s="6">
        <v>4</v>
      </c>
      <c r="D100" s="7">
        <v>35</v>
      </c>
      <c r="E100" s="6" t="s">
        <v>4549</v>
      </c>
      <c r="F100" s="6" t="s">
        <v>4508</v>
      </c>
      <c r="G100" s="6" t="s">
        <v>25</v>
      </c>
      <c r="H100" s="8"/>
      <c r="I100" s="8">
        <v>266754</v>
      </c>
      <c r="J100" s="6" t="s">
        <v>3076</v>
      </c>
      <c r="K100" s="6" t="s">
        <v>423</v>
      </c>
      <c r="L100" s="6" t="s">
        <v>4509</v>
      </c>
      <c r="M100" s="6" t="s">
        <v>4537</v>
      </c>
      <c r="N100" s="6" t="s">
        <v>423</v>
      </c>
      <c r="O100" s="29">
        <f t="shared" si="1"/>
        <v>266754</v>
      </c>
      <c r="Q100" s="30" t="s">
        <v>423</v>
      </c>
      <c r="R100" s="31">
        <v>266754</v>
      </c>
    </row>
    <row r="101" s="1" customFormat="1" ht="16.35" hidden="1" customHeight="1" spans="1:18">
      <c r="A101" s="6" t="s">
        <v>4506</v>
      </c>
      <c r="B101" s="6">
        <v>2015</v>
      </c>
      <c r="C101" s="6">
        <v>5</v>
      </c>
      <c r="D101" s="7">
        <v>9</v>
      </c>
      <c r="E101" s="6" t="s">
        <v>372</v>
      </c>
      <c r="F101" s="6" t="s">
        <v>4508</v>
      </c>
      <c r="G101" s="6" t="s">
        <v>25</v>
      </c>
      <c r="H101" s="8"/>
      <c r="I101" s="8">
        <v>445950</v>
      </c>
      <c r="J101" s="6" t="s">
        <v>2954</v>
      </c>
      <c r="K101" s="6" t="s">
        <v>372</v>
      </c>
      <c r="L101" s="6" t="s">
        <v>4509</v>
      </c>
      <c r="M101" s="6" t="s">
        <v>4537</v>
      </c>
      <c r="N101" s="6" t="s">
        <v>372</v>
      </c>
      <c r="O101" s="29">
        <f t="shared" si="1"/>
        <v>445950</v>
      </c>
      <c r="Q101" s="30" t="s">
        <v>372</v>
      </c>
      <c r="R101" s="31">
        <v>445950</v>
      </c>
    </row>
    <row r="102" s="1" customFormat="1" ht="16.35" hidden="1" customHeight="1" spans="1:18">
      <c r="A102" s="6" t="s">
        <v>4506</v>
      </c>
      <c r="B102" s="6">
        <v>2015</v>
      </c>
      <c r="C102" s="6">
        <v>5</v>
      </c>
      <c r="D102" s="7">
        <v>25</v>
      </c>
      <c r="E102" s="6" t="s">
        <v>622</v>
      </c>
      <c r="F102" s="6" t="s">
        <v>4508</v>
      </c>
      <c r="G102" s="6" t="s">
        <v>25</v>
      </c>
      <c r="H102" s="8"/>
      <c r="I102" s="8">
        <v>55761</v>
      </c>
      <c r="J102" s="6" t="s">
        <v>3073</v>
      </c>
      <c r="K102" s="6" t="s">
        <v>622</v>
      </c>
      <c r="L102" s="6" t="s">
        <v>4509</v>
      </c>
      <c r="M102" s="6" t="s">
        <v>4537</v>
      </c>
      <c r="N102" s="6" t="s">
        <v>622</v>
      </c>
      <c r="O102" s="29">
        <f t="shared" si="1"/>
        <v>55761</v>
      </c>
      <c r="Q102" s="30" t="s">
        <v>622</v>
      </c>
      <c r="R102" s="31">
        <v>55761</v>
      </c>
    </row>
    <row r="103" s="1" customFormat="1" ht="16.35" hidden="1" customHeight="1" spans="1:18">
      <c r="A103" s="6" t="s">
        <v>4506</v>
      </c>
      <c r="B103" s="6">
        <v>2015</v>
      </c>
      <c r="C103" s="6">
        <v>5</v>
      </c>
      <c r="D103" s="7">
        <v>33</v>
      </c>
      <c r="E103" s="6" t="s">
        <v>272</v>
      </c>
      <c r="F103" s="6" t="s">
        <v>4508</v>
      </c>
      <c r="G103" s="6" t="s">
        <v>25</v>
      </c>
      <c r="H103" s="8"/>
      <c r="I103" s="8">
        <v>428624.4</v>
      </c>
      <c r="J103" s="6" t="s">
        <v>3088</v>
      </c>
      <c r="K103" s="6" t="s">
        <v>272</v>
      </c>
      <c r="L103" s="6" t="s">
        <v>4509</v>
      </c>
      <c r="M103" s="6" t="s">
        <v>4537</v>
      </c>
      <c r="N103" s="6" t="s">
        <v>272</v>
      </c>
      <c r="O103" s="29">
        <f t="shared" si="1"/>
        <v>428624.4</v>
      </c>
      <c r="Q103" s="30" t="s">
        <v>272</v>
      </c>
      <c r="R103" s="31">
        <v>428624.4</v>
      </c>
    </row>
    <row r="104" s="1" customFormat="1" ht="16.35" hidden="1" customHeight="1" spans="1:18">
      <c r="A104" s="6" t="s">
        <v>4506</v>
      </c>
      <c r="B104" s="6">
        <v>2015</v>
      </c>
      <c r="C104" s="6">
        <v>6</v>
      </c>
      <c r="D104" s="7">
        <v>4</v>
      </c>
      <c r="E104" s="6" t="s">
        <v>398</v>
      </c>
      <c r="F104" s="6" t="s">
        <v>4508</v>
      </c>
      <c r="G104" s="6" t="s">
        <v>25</v>
      </c>
      <c r="H104" s="8"/>
      <c r="I104" s="8">
        <v>360017.9</v>
      </c>
      <c r="J104" s="6" t="s">
        <v>3078</v>
      </c>
      <c r="K104" s="6" t="s">
        <v>398</v>
      </c>
      <c r="L104" s="6" t="s">
        <v>4509</v>
      </c>
      <c r="M104" s="6" t="s">
        <v>4537</v>
      </c>
      <c r="N104" s="6" t="s">
        <v>398</v>
      </c>
      <c r="O104" s="29">
        <f t="shared" si="1"/>
        <v>360017.9</v>
      </c>
      <c r="Q104" s="30" t="s">
        <v>398</v>
      </c>
      <c r="R104" s="31">
        <v>360017.9</v>
      </c>
    </row>
    <row r="105" s="1" customFormat="1" ht="16.35" hidden="1" customHeight="1" spans="1:18">
      <c r="A105" s="6" t="s">
        <v>4506</v>
      </c>
      <c r="B105" s="6">
        <v>2015</v>
      </c>
      <c r="C105" s="6">
        <v>6</v>
      </c>
      <c r="D105" s="7">
        <v>9</v>
      </c>
      <c r="E105" s="6" t="s">
        <v>414</v>
      </c>
      <c r="F105" s="6" t="s">
        <v>4508</v>
      </c>
      <c r="G105" s="6" t="s">
        <v>25</v>
      </c>
      <c r="H105" s="8"/>
      <c r="I105" s="8">
        <v>376639</v>
      </c>
      <c r="J105" s="6" t="s">
        <v>3080</v>
      </c>
      <c r="K105" s="6" t="s">
        <v>414</v>
      </c>
      <c r="L105" s="6" t="s">
        <v>4509</v>
      </c>
      <c r="M105" s="6" t="s">
        <v>4537</v>
      </c>
      <c r="N105" s="6" t="s">
        <v>414</v>
      </c>
      <c r="O105" s="29">
        <f t="shared" si="1"/>
        <v>376639</v>
      </c>
      <c r="Q105" s="30" t="s">
        <v>414</v>
      </c>
      <c r="R105" s="31">
        <v>376639</v>
      </c>
    </row>
    <row r="106" s="1" customFormat="1" ht="16.35" hidden="1" customHeight="1" spans="1:18">
      <c r="A106" s="6" t="s">
        <v>4506</v>
      </c>
      <c r="B106" s="6">
        <v>2015</v>
      </c>
      <c r="C106" s="6">
        <v>6</v>
      </c>
      <c r="D106" s="7">
        <v>9</v>
      </c>
      <c r="E106" s="6" t="s">
        <v>420</v>
      </c>
      <c r="F106" s="6" t="s">
        <v>4508</v>
      </c>
      <c r="G106" s="6" t="s">
        <v>25</v>
      </c>
      <c r="H106" s="8"/>
      <c r="I106" s="8">
        <v>303810</v>
      </c>
      <c r="J106" s="6" t="s">
        <v>3082</v>
      </c>
      <c r="K106" s="6" t="s">
        <v>420</v>
      </c>
      <c r="L106" s="6" t="s">
        <v>4509</v>
      </c>
      <c r="M106" s="6" t="s">
        <v>4537</v>
      </c>
      <c r="N106" s="6" t="s">
        <v>420</v>
      </c>
      <c r="O106" s="29">
        <f t="shared" si="1"/>
        <v>303810</v>
      </c>
      <c r="Q106" s="30" t="s">
        <v>420</v>
      </c>
      <c r="R106" s="31">
        <v>303810</v>
      </c>
    </row>
    <row r="107" s="1" customFormat="1" ht="16.35" hidden="1" customHeight="1" spans="1:18">
      <c r="A107" s="6" t="s">
        <v>4506</v>
      </c>
      <c r="B107" s="6">
        <v>2015</v>
      </c>
      <c r="C107" s="6">
        <v>6</v>
      </c>
      <c r="D107" s="7">
        <v>13</v>
      </c>
      <c r="E107" s="6" t="s">
        <v>4550</v>
      </c>
      <c r="F107" s="6" t="s">
        <v>4508</v>
      </c>
      <c r="G107" s="6" t="s">
        <v>25</v>
      </c>
      <c r="H107" s="8"/>
      <c r="I107" s="8">
        <v>-366550</v>
      </c>
      <c r="J107" s="6" t="s">
        <v>4514</v>
      </c>
      <c r="K107" s="6" t="s">
        <v>585</v>
      </c>
      <c r="L107" s="6" t="s">
        <v>4509</v>
      </c>
      <c r="M107" s="6" t="s">
        <v>4537</v>
      </c>
      <c r="N107" s="6" t="s">
        <v>585</v>
      </c>
      <c r="O107" s="29">
        <f t="shared" si="1"/>
        <v>-366550</v>
      </c>
      <c r="Q107" s="30" t="s">
        <v>585</v>
      </c>
      <c r="R107" s="31">
        <v>-366550</v>
      </c>
    </row>
    <row r="108" s="1" customFormat="1" ht="16.35" hidden="1" customHeight="1" spans="1:18">
      <c r="A108" s="6" t="s">
        <v>4506</v>
      </c>
      <c r="B108" s="6">
        <v>2015</v>
      </c>
      <c r="C108" s="6">
        <v>6</v>
      </c>
      <c r="D108" s="7">
        <v>13</v>
      </c>
      <c r="E108" s="6" t="s">
        <v>4550</v>
      </c>
      <c r="F108" s="6" t="s">
        <v>4508</v>
      </c>
      <c r="G108" s="6" t="s">
        <v>25</v>
      </c>
      <c r="H108" s="8"/>
      <c r="I108" s="8">
        <v>270081</v>
      </c>
      <c r="J108" s="6" t="s">
        <v>3144</v>
      </c>
      <c r="K108" s="6" t="s">
        <v>611</v>
      </c>
      <c r="L108" s="6" t="s">
        <v>4509</v>
      </c>
      <c r="M108" s="6" t="s">
        <v>4537</v>
      </c>
      <c r="N108" s="6" t="s">
        <v>611</v>
      </c>
      <c r="O108" s="29">
        <f t="shared" si="1"/>
        <v>270081</v>
      </c>
      <c r="Q108" s="30" t="s">
        <v>611</v>
      </c>
      <c r="R108" s="31">
        <v>270081</v>
      </c>
    </row>
    <row r="109" s="1" customFormat="1" ht="16.35" hidden="1" customHeight="1" spans="1:18">
      <c r="A109" s="6" t="s">
        <v>4506</v>
      </c>
      <c r="B109" s="6">
        <v>2015</v>
      </c>
      <c r="C109" s="6">
        <v>7</v>
      </c>
      <c r="D109" s="7">
        <v>4</v>
      </c>
      <c r="E109" s="6" t="s">
        <v>607</v>
      </c>
      <c r="F109" s="6" t="s">
        <v>4508</v>
      </c>
      <c r="G109" s="6" t="s">
        <v>25</v>
      </c>
      <c r="H109" s="8"/>
      <c r="I109" s="8">
        <v>304959.6</v>
      </c>
      <c r="J109" s="6" t="s">
        <v>3085</v>
      </c>
      <c r="K109" s="6" t="s">
        <v>607</v>
      </c>
      <c r="L109" s="6" t="s">
        <v>4509</v>
      </c>
      <c r="M109" s="6" t="s">
        <v>4537</v>
      </c>
      <c r="N109" s="6" t="s">
        <v>607</v>
      </c>
      <c r="O109" s="29">
        <f t="shared" si="1"/>
        <v>304959.6</v>
      </c>
      <c r="Q109" s="30" t="s">
        <v>607</v>
      </c>
      <c r="R109" s="31">
        <v>304959.6</v>
      </c>
    </row>
    <row r="110" s="1" customFormat="1" ht="16.35" hidden="1" customHeight="1" spans="1:18">
      <c r="A110" s="6" t="s">
        <v>4506</v>
      </c>
      <c r="B110" s="6">
        <v>2015</v>
      </c>
      <c r="C110" s="6">
        <v>7</v>
      </c>
      <c r="D110" s="7">
        <v>5</v>
      </c>
      <c r="E110" s="6" t="s">
        <v>557</v>
      </c>
      <c r="F110" s="6" t="s">
        <v>4508</v>
      </c>
      <c r="G110" s="6" t="s">
        <v>25</v>
      </c>
      <c r="H110" s="8"/>
      <c r="I110" s="8">
        <v>302966.4</v>
      </c>
      <c r="J110" s="6" t="s">
        <v>3092</v>
      </c>
      <c r="K110" s="6" t="s">
        <v>557</v>
      </c>
      <c r="L110" s="6" t="s">
        <v>4509</v>
      </c>
      <c r="M110" s="6" t="s">
        <v>4537</v>
      </c>
      <c r="N110" s="6" t="s">
        <v>557</v>
      </c>
      <c r="O110" s="29">
        <f t="shared" si="1"/>
        <v>302966.4</v>
      </c>
      <c r="Q110" s="30" t="s">
        <v>557</v>
      </c>
      <c r="R110" s="31">
        <v>302966.4</v>
      </c>
    </row>
    <row r="111" s="1" customFormat="1" ht="16.35" hidden="1" customHeight="1" spans="1:18">
      <c r="A111" s="6" t="s">
        <v>4506</v>
      </c>
      <c r="B111" s="6">
        <v>2015</v>
      </c>
      <c r="C111" s="6">
        <v>7</v>
      </c>
      <c r="D111" s="7">
        <v>6</v>
      </c>
      <c r="E111" s="6" t="s">
        <v>634</v>
      </c>
      <c r="F111" s="6" t="s">
        <v>4508</v>
      </c>
      <c r="G111" s="6" t="s">
        <v>25</v>
      </c>
      <c r="H111" s="8"/>
      <c r="I111" s="8">
        <v>293250</v>
      </c>
      <c r="J111" s="6" t="s">
        <v>3094</v>
      </c>
      <c r="K111" s="6" t="s">
        <v>634</v>
      </c>
      <c r="L111" s="6" t="s">
        <v>4509</v>
      </c>
      <c r="M111" s="6" t="s">
        <v>4537</v>
      </c>
      <c r="N111" s="6" t="s">
        <v>634</v>
      </c>
      <c r="O111" s="29">
        <f t="shared" si="1"/>
        <v>293250</v>
      </c>
      <c r="Q111" s="30" t="s">
        <v>634</v>
      </c>
      <c r="R111" s="31">
        <v>293250</v>
      </c>
    </row>
    <row r="112" s="1" customFormat="1" ht="16.35" hidden="1" customHeight="1" spans="1:19">
      <c r="A112" s="6" t="s">
        <v>4506</v>
      </c>
      <c r="B112" s="6">
        <v>2015</v>
      </c>
      <c r="C112" s="6">
        <v>7</v>
      </c>
      <c r="D112" s="7">
        <v>20</v>
      </c>
      <c r="E112" s="6" t="s">
        <v>4551</v>
      </c>
      <c r="F112" s="6" t="s">
        <v>4508</v>
      </c>
      <c r="G112" s="6" t="s">
        <v>25</v>
      </c>
      <c r="H112" s="8"/>
      <c r="I112" s="8">
        <v>500000</v>
      </c>
      <c r="J112" s="6" t="s">
        <v>3114</v>
      </c>
      <c r="K112" s="6" t="s">
        <v>4536</v>
      </c>
      <c r="L112" s="6" t="s">
        <v>4509</v>
      </c>
      <c r="M112" s="6" t="s">
        <v>4537</v>
      </c>
      <c r="N112" s="6" t="s">
        <v>4536</v>
      </c>
      <c r="O112" s="29">
        <f t="shared" si="1"/>
        <v>500000</v>
      </c>
      <c r="Q112" s="30" t="s">
        <v>4536</v>
      </c>
      <c r="R112" s="31">
        <v>500000</v>
      </c>
      <c r="S112" s="1">
        <f>R112-I112</f>
        <v>0</v>
      </c>
    </row>
    <row r="113" s="1" customFormat="1" ht="16.35" hidden="1" customHeight="1" spans="1:18">
      <c r="A113" s="6" t="s">
        <v>4506</v>
      </c>
      <c r="B113" s="6">
        <v>2015</v>
      </c>
      <c r="C113" s="6">
        <v>7</v>
      </c>
      <c r="D113" s="7">
        <v>21</v>
      </c>
      <c r="E113" s="6" t="s">
        <v>274</v>
      </c>
      <c r="F113" s="6" t="s">
        <v>4508</v>
      </c>
      <c r="G113" s="6" t="s">
        <v>25</v>
      </c>
      <c r="H113" s="8"/>
      <c r="I113" s="8">
        <v>404069</v>
      </c>
      <c r="J113" s="6" t="s">
        <v>3112</v>
      </c>
      <c r="K113" s="6" t="s">
        <v>274</v>
      </c>
      <c r="L113" s="6" t="s">
        <v>4509</v>
      </c>
      <c r="M113" s="6" t="s">
        <v>4537</v>
      </c>
      <c r="N113" s="6" t="s">
        <v>274</v>
      </c>
      <c r="O113" s="29">
        <f t="shared" si="1"/>
        <v>404069</v>
      </c>
      <c r="Q113" s="30" t="s">
        <v>274</v>
      </c>
      <c r="R113" s="31">
        <v>404069</v>
      </c>
    </row>
    <row r="114" s="1" customFormat="1" ht="16.35" hidden="1" customHeight="1" spans="1:18">
      <c r="A114" s="6" t="s">
        <v>4506</v>
      </c>
      <c r="B114" s="6">
        <v>2015</v>
      </c>
      <c r="C114" s="6">
        <v>8</v>
      </c>
      <c r="D114" s="7">
        <v>1</v>
      </c>
      <c r="E114" s="6" t="s">
        <v>613</v>
      </c>
      <c r="F114" s="6" t="s">
        <v>4508</v>
      </c>
      <c r="G114" s="6" t="s">
        <v>25</v>
      </c>
      <c r="H114" s="8"/>
      <c r="I114" s="8">
        <v>269082</v>
      </c>
      <c r="J114" s="6" t="s">
        <v>3096</v>
      </c>
      <c r="K114" s="6" t="s">
        <v>613</v>
      </c>
      <c r="L114" s="6" t="s">
        <v>4509</v>
      </c>
      <c r="M114" s="6" t="s">
        <v>4537</v>
      </c>
      <c r="N114" s="6" t="s">
        <v>613</v>
      </c>
      <c r="O114" s="29">
        <f t="shared" si="1"/>
        <v>269082</v>
      </c>
      <c r="Q114" s="30" t="s">
        <v>613</v>
      </c>
      <c r="R114" s="31">
        <v>269082</v>
      </c>
    </row>
    <row r="115" s="1" customFormat="1" ht="16.35" hidden="1" customHeight="1" spans="1:18">
      <c r="A115" s="6" t="s">
        <v>4506</v>
      </c>
      <c r="B115" s="6">
        <v>2015</v>
      </c>
      <c r="C115" s="6">
        <v>8</v>
      </c>
      <c r="D115" s="7">
        <v>29</v>
      </c>
      <c r="E115" s="6" t="s">
        <v>278</v>
      </c>
      <c r="F115" s="6" t="s">
        <v>4508</v>
      </c>
      <c r="G115" s="6" t="s">
        <v>25</v>
      </c>
      <c r="H115" s="8"/>
      <c r="I115" s="8">
        <v>140000</v>
      </c>
      <c r="J115" s="6" t="s">
        <v>2949</v>
      </c>
      <c r="K115" s="6" t="s">
        <v>278</v>
      </c>
      <c r="L115" s="6" t="s">
        <v>4509</v>
      </c>
      <c r="M115" s="6" t="s">
        <v>4537</v>
      </c>
      <c r="N115" s="6" t="s">
        <v>278</v>
      </c>
      <c r="O115" s="29">
        <f t="shared" si="1"/>
        <v>140000</v>
      </c>
      <c r="Q115" s="30" t="s">
        <v>278</v>
      </c>
      <c r="R115" s="31">
        <v>140000</v>
      </c>
    </row>
    <row r="116" s="1" customFormat="1" ht="16.35" hidden="1" customHeight="1" spans="1:18">
      <c r="A116" s="6" t="s">
        <v>4506</v>
      </c>
      <c r="B116" s="6">
        <v>2015</v>
      </c>
      <c r="C116" s="6">
        <v>9</v>
      </c>
      <c r="D116" s="7">
        <v>11</v>
      </c>
      <c r="E116" s="6" t="s">
        <v>4552</v>
      </c>
      <c r="F116" s="6" t="s">
        <v>4508</v>
      </c>
      <c r="G116" s="6" t="s">
        <v>25</v>
      </c>
      <c r="H116" s="8"/>
      <c r="I116" s="8">
        <v>354277</v>
      </c>
      <c r="J116" s="6" t="s">
        <v>3099</v>
      </c>
      <c r="K116" s="6" t="s">
        <v>388</v>
      </c>
      <c r="L116" s="6" t="s">
        <v>4509</v>
      </c>
      <c r="M116" s="6" t="s">
        <v>4537</v>
      </c>
      <c r="N116" s="6" t="s">
        <v>388</v>
      </c>
      <c r="O116" s="29">
        <f t="shared" si="1"/>
        <v>354277</v>
      </c>
      <c r="Q116" s="30" t="s">
        <v>388</v>
      </c>
      <c r="R116" s="31">
        <v>354277</v>
      </c>
    </row>
    <row r="117" s="1" customFormat="1" ht="16.35" hidden="1" customHeight="1" spans="1:18">
      <c r="A117" s="6" t="s">
        <v>4506</v>
      </c>
      <c r="B117" s="6">
        <v>2015</v>
      </c>
      <c r="C117" s="6">
        <v>9</v>
      </c>
      <c r="D117" s="7">
        <v>12</v>
      </c>
      <c r="E117" s="6" t="s">
        <v>4553</v>
      </c>
      <c r="F117" s="6" t="s">
        <v>4508</v>
      </c>
      <c r="G117" s="6" t="s">
        <v>25</v>
      </c>
      <c r="H117" s="8"/>
      <c r="I117" s="8">
        <v>341579.2</v>
      </c>
      <c r="J117" s="6" t="s">
        <v>3101</v>
      </c>
      <c r="K117" s="6" t="s">
        <v>84</v>
      </c>
      <c r="L117" s="6" t="s">
        <v>4509</v>
      </c>
      <c r="M117" s="6" t="s">
        <v>4537</v>
      </c>
      <c r="N117" s="6" t="s">
        <v>84</v>
      </c>
      <c r="O117" s="29">
        <f t="shared" si="1"/>
        <v>341579.2</v>
      </c>
      <c r="Q117" s="30" t="s">
        <v>84</v>
      </c>
      <c r="R117" s="31">
        <v>341579.2</v>
      </c>
    </row>
    <row r="118" s="1" customFormat="1" ht="16.35" hidden="1" customHeight="1" spans="1:18">
      <c r="A118" s="6" t="s">
        <v>4506</v>
      </c>
      <c r="B118" s="6">
        <v>2015</v>
      </c>
      <c r="C118" s="6">
        <v>9</v>
      </c>
      <c r="D118" s="7">
        <v>12</v>
      </c>
      <c r="E118" s="6" t="s">
        <v>4553</v>
      </c>
      <c r="F118" s="6" t="s">
        <v>4508</v>
      </c>
      <c r="G118" s="6" t="s">
        <v>25</v>
      </c>
      <c r="H118" s="8"/>
      <c r="I118" s="8">
        <v>304959.6</v>
      </c>
      <c r="J118" s="6" t="s">
        <v>3103</v>
      </c>
      <c r="K118" s="6" t="s">
        <v>575</v>
      </c>
      <c r="L118" s="6" t="s">
        <v>4509</v>
      </c>
      <c r="M118" s="6" t="s">
        <v>4537</v>
      </c>
      <c r="N118" s="6" t="s">
        <v>575</v>
      </c>
      <c r="O118" s="29">
        <f t="shared" si="1"/>
        <v>304959.6</v>
      </c>
      <c r="Q118" s="30" t="s">
        <v>575</v>
      </c>
      <c r="R118" s="31">
        <v>304959.6</v>
      </c>
    </row>
    <row r="119" s="1" customFormat="1" ht="16.35" hidden="1" customHeight="1" spans="1:18">
      <c r="A119" s="6" t="s">
        <v>4506</v>
      </c>
      <c r="B119" s="6">
        <v>2015</v>
      </c>
      <c r="C119" s="6">
        <v>9</v>
      </c>
      <c r="D119" s="7">
        <v>13</v>
      </c>
      <c r="E119" s="6" t="s">
        <v>577</v>
      </c>
      <c r="F119" s="6" t="s">
        <v>4508</v>
      </c>
      <c r="G119" s="6" t="s">
        <v>25</v>
      </c>
      <c r="H119" s="8"/>
      <c r="I119" s="8">
        <v>304959.6</v>
      </c>
      <c r="J119" s="6" t="s">
        <v>3105</v>
      </c>
      <c r="K119" s="6" t="s">
        <v>577</v>
      </c>
      <c r="L119" s="6" t="s">
        <v>4509</v>
      </c>
      <c r="M119" s="6" t="s">
        <v>4537</v>
      </c>
      <c r="N119" s="6" t="s">
        <v>577</v>
      </c>
      <c r="O119" s="29">
        <f t="shared" si="1"/>
        <v>304959.6</v>
      </c>
      <c r="Q119" s="30" t="s">
        <v>577</v>
      </c>
      <c r="R119" s="31">
        <v>304959.6</v>
      </c>
    </row>
    <row r="120" s="1" customFormat="1" ht="16.35" hidden="1" customHeight="1" spans="1:18">
      <c r="A120" s="6" t="s">
        <v>4506</v>
      </c>
      <c r="B120" s="6">
        <v>2015</v>
      </c>
      <c r="C120" s="6">
        <v>9</v>
      </c>
      <c r="D120" s="7">
        <v>14</v>
      </c>
      <c r="E120" s="6" t="s">
        <v>599</v>
      </c>
      <c r="F120" s="6" t="s">
        <v>4508</v>
      </c>
      <c r="G120" s="6" t="s">
        <v>25</v>
      </c>
      <c r="H120" s="8"/>
      <c r="I120" s="8">
        <v>267089</v>
      </c>
      <c r="J120" s="6" t="s">
        <v>3119</v>
      </c>
      <c r="K120" s="6" t="s">
        <v>599</v>
      </c>
      <c r="L120" s="6" t="s">
        <v>4509</v>
      </c>
      <c r="M120" s="6" t="s">
        <v>4537</v>
      </c>
      <c r="N120" s="6" t="s">
        <v>599</v>
      </c>
      <c r="O120" s="29">
        <f t="shared" si="1"/>
        <v>267089</v>
      </c>
      <c r="Q120" s="30" t="s">
        <v>599</v>
      </c>
      <c r="R120" s="31">
        <v>267089</v>
      </c>
    </row>
    <row r="121" s="1" customFormat="1" ht="16.35" hidden="1" customHeight="1" spans="1:18">
      <c r="A121" s="6" t="s">
        <v>4506</v>
      </c>
      <c r="B121" s="6">
        <v>2015</v>
      </c>
      <c r="C121" s="6">
        <v>9</v>
      </c>
      <c r="D121" s="7">
        <v>15</v>
      </c>
      <c r="E121" s="6" t="s">
        <v>529</v>
      </c>
      <c r="F121" s="6" t="s">
        <v>4508</v>
      </c>
      <c r="G121" s="6" t="s">
        <v>25</v>
      </c>
      <c r="H121" s="8"/>
      <c r="I121" s="8">
        <v>269082</v>
      </c>
      <c r="J121" s="6" t="s">
        <v>3108</v>
      </c>
      <c r="K121" s="6" t="s">
        <v>529</v>
      </c>
      <c r="L121" s="6" t="s">
        <v>4509</v>
      </c>
      <c r="M121" s="6" t="s">
        <v>4537</v>
      </c>
      <c r="N121" s="6" t="s">
        <v>529</v>
      </c>
      <c r="O121" s="29">
        <f t="shared" si="1"/>
        <v>269082</v>
      </c>
      <c r="Q121" s="30" t="s">
        <v>529</v>
      </c>
      <c r="R121" s="31">
        <v>269082</v>
      </c>
    </row>
    <row r="122" s="1" customFormat="1" ht="16.35" hidden="1" customHeight="1" spans="1:18">
      <c r="A122" s="6" t="s">
        <v>4506</v>
      </c>
      <c r="B122" s="6">
        <v>2015</v>
      </c>
      <c r="C122" s="6">
        <v>9</v>
      </c>
      <c r="D122" s="7">
        <v>16</v>
      </c>
      <c r="E122" s="6" t="s">
        <v>80</v>
      </c>
      <c r="F122" s="6" t="s">
        <v>4508</v>
      </c>
      <c r="G122" s="6" t="s">
        <v>25</v>
      </c>
      <c r="H122" s="8"/>
      <c r="I122" s="8">
        <v>173379</v>
      </c>
      <c r="J122" s="6" t="s">
        <v>3110</v>
      </c>
      <c r="K122" s="6" t="s">
        <v>80</v>
      </c>
      <c r="L122" s="6" t="s">
        <v>4509</v>
      </c>
      <c r="M122" s="6" t="s">
        <v>4537</v>
      </c>
      <c r="N122" s="6" t="s">
        <v>80</v>
      </c>
      <c r="O122" s="29">
        <f t="shared" si="1"/>
        <v>173379</v>
      </c>
      <c r="Q122" s="30" t="s">
        <v>80</v>
      </c>
      <c r="R122" s="31">
        <v>173379</v>
      </c>
    </row>
    <row r="123" s="1" customFormat="1" ht="16.35" hidden="1" customHeight="1" spans="1:18">
      <c r="A123" s="6" t="s">
        <v>4506</v>
      </c>
      <c r="B123" s="6">
        <v>2015</v>
      </c>
      <c r="C123" s="6">
        <v>9</v>
      </c>
      <c r="D123" s="7">
        <v>18</v>
      </c>
      <c r="E123" s="6" t="s">
        <v>479</v>
      </c>
      <c r="F123" s="6" t="s">
        <v>4508</v>
      </c>
      <c r="G123" s="6" t="s">
        <v>25</v>
      </c>
      <c r="H123" s="8"/>
      <c r="I123" s="8">
        <v>301475</v>
      </c>
      <c r="J123" s="6" t="s">
        <v>3146</v>
      </c>
      <c r="K123" s="6" t="s">
        <v>479</v>
      </c>
      <c r="L123" s="6" t="s">
        <v>4509</v>
      </c>
      <c r="M123" s="6" t="s">
        <v>4537</v>
      </c>
      <c r="N123" s="6" t="s">
        <v>479</v>
      </c>
      <c r="O123" s="29">
        <f t="shared" si="1"/>
        <v>301475</v>
      </c>
      <c r="Q123" s="30" t="s">
        <v>479</v>
      </c>
      <c r="R123" s="31">
        <v>301475</v>
      </c>
    </row>
    <row r="124" s="1" customFormat="1" ht="16.35" hidden="1" customHeight="1" spans="1:18">
      <c r="A124" s="6" t="s">
        <v>4506</v>
      </c>
      <c r="B124" s="6">
        <v>2015</v>
      </c>
      <c r="C124" s="6">
        <v>10</v>
      </c>
      <c r="D124" s="7">
        <v>1</v>
      </c>
      <c r="E124" s="6" t="s">
        <v>4554</v>
      </c>
      <c r="F124" s="6" t="s">
        <v>4508</v>
      </c>
      <c r="G124" s="6" t="s">
        <v>25</v>
      </c>
      <c r="H124" s="8"/>
      <c r="I124" s="8">
        <v>57061</v>
      </c>
      <c r="J124" s="6" t="s">
        <v>2949</v>
      </c>
      <c r="K124" s="6" t="s">
        <v>278</v>
      </c>
      <c r="L124" s="6" t="s">
        <v>4509</v>
      </c>
      <c r="M124" s="6" t="s">
        <v>4537</v>
      </c>
      <c r="N124" s="6" t="s">
        <v>278</v>
      </c>
      <c r="O124" s="29">
        <f t="shared" si="1"/>
        <v>57061</v>
      </c>
      <c r="Q124" s="30" t="s">
        <v>278</v>
      </c>
      <c r="R124" s="31">
        <v>57061</v>
      </c>
    </row>
    <row r="125" s="1" customFormat="1" ht="16.35" hidden="1" customHeight="1" spans="1:18">
      <c r="A125" s="6" t="s">
        <v>4506</v>
      </c>
      <c r="B125" s="6">
        <v>2015</v>
      </c>
      <c r="C125" s="6">
        <v>10</v>
      </c>
      <c r="D125" s="7">
        <v>3</v>
      </c>
      <c r="E125" s="6" t="s">
        <v>427</v>
      </c>
      <c r="F125" s="6" t="s">
        <v>4508</v>
      </c>
      <c r="G125" s="6" t="s">
        <v>25</v>
      </c>
      <c r="H125" s="8"/>
      <c r="I125" s="8">
        <v>320925</v>
      </c>
      <c r="J125" s="6" t="s">
        <v>3121</v>
      </c>
      <c r="K125" s="6" t="s">
        <v>427</v>
      </c>
      <c r="L125" s="6" t="s">
        <v>4509</v>
      </c>
      <c r="M125" s="6" t="s">
        <v>4537</v>
      </c>
      <c r="N125" s="6" t="s">
        <v>427</v>
      </c>
      <c r="O125" s="29">
        <f t="shared" si="1"/>
        <v>320925</v>
      </c>
      <c r="Q125" s="30" t="s">
        <v>427</v>
      </c>
      <c r="R125" s="31">
        <v>320925</v>
      </c>
    </row>
    <row r="126" s="1" customFormat="1" ht="16.35" hidden="1" customHeight="1" spans="1:18">
      <c r="A126" s="6" t="s">
        <v>4506</v>
      </c>
      <c r="B126" s="6">
        <v>2015</v>
      </c>
      <c r="C126" s="6">
        <v>10</v>
      </c>
      <c r="D126" s="7">
        <v>4</v>
      </c>
      <c r="E126" s="6" t="s">
        <v>350</v>
      </c>
      <c r="F126" s="6" t="s">
        <v>4508</v>
      </c>
      <c r="G126" s="6" t="s">
        <v>25</v>
      </c>
      <c r="H126" s="8"/>
      <c r="I126" s="8">
        <v>312708</v>
      </c>
      <c r="J126" s="6" t="s">
        <v>3124</v>
      </c>
      <c r="K126" s="6" t="s">
        <v>350</v>
      </c>
      <c r="L126" s="6" t="s">
        <v>4509</v>
      </c>
      <c r="M126" s="6" t="s">
        <v>4537</v>
      </c>
      <c r="N126" s="6" t="s">
        <v>350</v>
      </c>
      <c r="O126" s="29">
        <f t="shared" si="1"/>
        <v>312708</v>
      </c>
      <c r="Q126" s="30" t="s">
        <v>350</v>
      </c>
      <c r="R126" s="31">
        <v>312708</v>
      </c>
    </row>
    <row r="127" s="1" customFormat="1" ht="16.35" hidden="1" customHeight="1" spans="1:18">
      <c r="A127" s="6" t="s">
        <v>4506</v>
      </c>
      <c r="B127" s="6">
        <v>2015</v>
      </c>
      <c r="C127" s="6">
        <v>10</v>
      </c>
      <c r="D127" s="7">
        <v>5</v>
      </c>
      <c r="E127" s="6" t="s">
        <v>451</v>
      </c>
      <c r="F127" s="6" t="s">
        <v>4508</v>
      </c>
      <c r="G127" s="6" t="s">
        <v>25</v>
      </c>
      <c r="H127" s="8"/>
      <c r="I127" s="8">
        <v>260047</v>
      </c>
      <c r="J127" s="6" t="s">
        <v>3126</v>
      </c>
      <c r="K127" s="6" t="s">
        <v>451</v>
      </c>
      <c r="L127" s="6" t="s">
        <v>4509</v>
      </c>
      <c r="M127" s="6" t="s">
        <v>4537</v>
      </c>
      <c r="N127" s="6" t="s">
        <v>451</v>
      </c>
      <c r="O127" s="29">
        <f t="shared" si="1"/>
        <v>260047</v>
      </c>
      <c r="Q127" s="30" t="s">
        <v>451</v>
      </c>
      <c r="R127" s="31">
        <v>260047</v>
      </c>
    </row>
    <row r="128" s="1" customFormat="1" ht="16.35" hidden="1" customHeight="1" spans="1:19">
      <c r="A128" s="6" t="s">
        <v>4506</v>
      </c>
      <c r="B128" s="6">
        <v>2015</v>
      </c>
      <c r="C128" s="6">
        <v>10</v>
      </c>
      <c r="D128" s="7">
        <v>6</v>
      </c>
      <c r="E128" s="6" t="s">
        <v>4555</v>
      </c>
      <c r="F128" s="6" t="s">
        <v>4508</v>
      </c>
      <c r="G128" s="6" t="s">
        <v>25</v>
      </c>
      <c r="H128" s="8"/>
      <c r="I128" s="8">
        <v>300000</v>
      </c>
      <c r="J128" s="6" t="s">
        <v>3114</v>
      </c>
      <c r="K128" s="6" t="s">
        <v>4536</v>
      </c>
      <c r="L128" s="6" t="s">
        <v>4509</v>
      </c>
      <c r="M128" s="6" t="s">
        <v>4537</v>
      </c>
      <c r="N128" s="6" t="s">
        <v>4536</v>
      </c>
      <c r="O128" s="29">
        <f t="shared" si="1"/>
        <v>300000</v>
      </c>
      <c r="Q128" s="30" t="s">
        <v>4536</v>
      </c>
      <c r="R128" s="31">
        <v>300000</v>
      </c>
      <c r="S128" s="1">
        <f>R128-I128</f>
        <v>0</v>
      </c>
    </row>
    <row r="129" s="1" customFormat="1" ht="16.35" hidden="1" customHeight="1" spans="1:18">
      <c r="A129" s="6" t="s">
        <v>4506</v>
      </c>
      <c r="B129" s="6">
        <v>2015</v>
      </c>
      <c r="C129" s="6">
        <v>10</v>
      </c>
      <c r="D129" s="7">
        <v>12</v>
      </c>
      <c r="E129" s="6" t="s">
        <v>4556</v>
      </c>
      <c r="F129" s="6" t="s">
        <v>4508</v>
      </c>
      <c r="G129" s="6" t="s">
        <v>25</v>
      </c>
      <c r="H129" s="8"/>
      <c r="I129" s="8">
        <v>9445</v>
      </c>
      <c r="J129" s="6" t="s">
        <v>3110</v>
      </c>
      <c r="K129" s="6" t="s">
        <v>80</v>
      </c>
      <c r="L129" s="6" t="s">
        <v>4509</v>
      </c>
      <c r="M129" s="6" t="s">
        <v>4537</v>
      </c>
      <c r="N129" s="6" t="s">
        <v>80</v>
      </c>
      <c r="O129" s="29">
        <f t="shared" si="1"/>
        <v>9445</v>
      </c>
      <c r="Q129" s="30" t="s">
        <v>80</v>
      </c>
      <c r="R129" s="31">
        <v>9445</v>
      </c>
    </row>
    <row r="130" s="1" customFormat="1" ht="16.35" hidden="1" customHeight="1" spans="1:19">
      <c r="A130" s="6" t="s">
        <v>4506</v>
      </c>
      <c r="B130" s="6">
        <v>2015</v>
      </c>
      <c r="C130" s="6">
        <v>11</v>
      </c>
      <c r="D130" s="7">
        <v>2</v>
      </c>
      <c r="E130" s="6" t="s">
        <v>4557</v>
      </c>
      <c r="F130" s="6" t="s">
        <v>4508</v>
      </c>
      <c r="G130" s="6" t="s">
        <v>25</v>
      </c>
      <c r="H130" s="8"/>
      <c r="I130" s="8">
        <v>200000</v>
      </c>
      <c r="J130" s="6" t="s">
        <v>3114</v>
      </c>
      <c r="K130" s="6" t="s">
        <v>4536</v>
      </c>
      <c r="L130" s="6" t="s">
        <v>4509</v>
      </c>
      <c r="M130" s="6" t="s">
        <v>4537</v>
      </c>
      <c r="N130" s="6" t="s">
        <v>4536</v>
      </c>
      <c r="O130" s="29">
        <f t="shared" ref="O130:O152" si="2">I130</f>
        <v>200000</v>
      </c>
      <c r="Q130" s="30" t="s">
        <v>4536</v>
      </c>
      <c r="R130" s="31">
        <v>200000</v>
      </c>
      <c r="S130" s="1">
        <f>R130-I130</f>
        <v>0</v>
      </c>
    </row>
    <row r="131" s="1" customFormat="1" ht="16.35" hidden="1" customHeight="1" spans="1:18">
      <c r="A131" s="6" t="s">
        <v>4506</v>
      </c>
      <c r="B131" s="6">
        <v>2016</v>
      </c>
      <c r="C131" s="6">
        <v>1</v>
      </c>
      <c r="D131" s="7">
        <v>5</v>
      </c>
      <c r="E131" s="6" t="s">
        <v>4558</v>
      </c>
      <c r="F131" s="6" t="s">
        <v>4508</v>
      </c>
      <c r="G131" s="6" t="s">
        <v>25</v>
      </c>
      <c r="H131" s="8"/>
      <c r="I131" s="8">
        <v>6848000</v>
      </c>
      <c r="J131" s="6" t="s">
        <v>3148</v>
      </c>
      <c r="K131" s="6" t="s">
        <v>4559</v>
      </c>
      <c r="L131" s="6" t="s">
        <v>4509</v>
      </c>
      <c r="M131" s="6" t="s">
        <v>4537</v>
      </c>
      <c r="N131" s="6" t="s">
        <v>4559</v>
      </c>
      <c r="O131" s="29">
        <f t="shared" si="2"/>
        <v>6848000</v>
      </c>
      <c r="Q131" s="30" t="s">
        <v>4559</v>
      </c>
      <c r="R131" s="31">
        <v>6848000</v>
      </c>
    </row>
    <row r="132" s="1" customFormat="1" ht="16.35" hidden="1" customHeight="1" spans="1:18">
      <c r="A132" s="6" t="s">
        <v>4506</v>
      </c>
      <c r="B132" s="6">
        <v>2016</v>
      </c>
      <c r="C132" s="6">
        <v>4</v>
      </c>
      <c r="D132" s="7">
        <v>62</v>
      </c>
      <c r="E132" s="6" t="s">
        <v>2935</v>
      </c>
      <c r="F132" s="6" t="s">
        <v>4508</v>
      </c>
      <c r="G132" s="6" t="s">
        <v>25</v>
      </c>
      <c r="H132" s="8"/>
      <c r="I132" s="8">
        <v>296725</v>
      </c>
      <c r="J132" s="6" t="s">
        <v>3703</v>
      </c>
      <c r="K132" s="6" t="s">
        <v>71</v>
      </c>
      <c r="L132" s="6" t="s">
        <v>4509</v>
      </c>
      <c r="M132" s="6" t="s">
        <v>4537</v>
      </c>
      <c r="N132" s="6" t="s">
        <v>71</v>
      </c>
      <c r="O132" s="29">
        <f t="shared" si="2"/>
        <v>296725</v>
      </c>
      <c r="Q132" s="30" t="s">
        <v>71</v>
      </c>
      <c r="R132" s="31">
        <v>296725</v>
      </c>
    </row>
    <row r="133" s="1" customFormat="1" ht="16.35" hidden="1" customHeight="1" spans="1:18">
      <c r="A133" s="6" t="s">
        <v>4506</v>
      </c>
      <c r="B133" s="6">
        <v>2016</v>
      </c>
      <c r="C133" s="6">
        <v>4</v>
      </c>
      <c r="D133" s="7">
        <v>62</v>
      </c>
      <c r="E133" s="6" t="s">
        <v>2935</v>
      </c>
      <c r="F133" s="6" t="s">
        <v>4508</v>
      </c>
      <c r="G133" s="6" t="s">
        <v>25</v>
      </c>
      <c r="H133" s="8"/>
      <c r="I133" s="8">
        <v>291592</v>
      </c>
      <c r="J133" s="6" t="s">
        <v>3705</v>
      </c>
      <c r="K133" s="6" t="s">
        <v>75</v>
      </c>
      <c r="L133" s="6" t="s">
        <v>4509</v>
      </c>
      <c r="M133" s="6" t="s">
        <v>4537</v>
      </c>
      <c r="N133" s="6" t="s">
        <v>75</v>
      </c>
      <c r="O133" s="29">
        <f t="shared" si="2"/>
        <v>291592</v>
      </c>
      <c r="Q133" s="30" t="s">
        <v>75</v>
      </c>
      <c r="R133" s="31">
        <v>291592</v>
      </c>
    </row>
    <row r="134" s="1" customFormat="1" ht="16.35" hidden="1" customHeight="1" spans="1:18">
      <c r="A134" s="6" t="s">
        <v>4506</v>
      </c>
      <c r="B134" s="6">
        <v>2016</v>
      </c>
      <c r="C134" s="6">
        <v>4</v>
      </c>
      <c r="D134" s="7">
        <v>62</v>
      </c>
      <c r="E134" s="6" t="s">
        <v>2935</v>
      </c>
      <c r="F134" s="6" t="s">
        <v>4508</v>
      </c>
      <c r="G134" s="6" t="s">
        <v>25</v>
      </c>
      <c r="H134" s="8"/>
      <c r="I134" s="8">
        <v>101425</v>
      </c>
      <c r="J134" s="6" t="s">
        <v>3707</v>
      </c>
      <c r="K134" s="6" t="s">
        <v>108</v>
      </c>
      <c r="L134" s="6" t="s">
        <v>4509</v>
      </c>
      <c r="M134" s="6" t="s">
        <v>4537</v>
      </c>
      <c r="N134" s="6" t="s">
        <v>108</v>
      </c>
      <c r="O134" s="29">
        <f t="shared" si="2"/>
        <v>101425</v>
      </c>
      <c r="Q134" s="30" t="s">
        <v>108</v>
      </c>
      <c r="R134" s="31">
        <v>101425</v>
      </c>
    </row>
    <row r="135" s="1" customFormat="1" ht="16.35" hidden="1" customHeight="1" spans="1:18">
      <c r="A135" s="6" t="s">
        <v>4506</v>
      </c>
      <c r="B135" s="6">
        <v>2016</v>
      </c>
      <c r="C135" s="6">
        <v>4</v>
      </c>
      <c r="D135" s="7">
        <v>62</v>
      </c>
      <c r="E135" s="6" t="s">
        <v>2935</v>
      </c>
      <c r="F135" s="6" t="s">
        <v>4508</v>
      </c>
      <c r="G135" s="6" t="s">
        <v>25</v>
      </c>
      <c r="H135" s="8"/>
      <c r="I135" s="8">
        <v>452967</v>
      </c>
      <c r="J135" s="6" t="s">
        <v>3712</v>
      </c>
      <c r="K135" s="6" t="s">
        <v>224</v>
      </c>
      <c r="L135" s="6" t="s">
        <v>4509</v>
      </c>
      <c r="M135" s="6" t="s">
        <v>4537</v>
      </c>
      <c r="N135" s="6" t="s">
        <v>224</v>
      </c>
      <c r="O135" s="29">
        <f t="shared" si="2"/>
        <v>452967</v>
      </c>
      <c r="Q135" s="30" t="s">
        <v>224</v>
      </c>
      <c r="R135" s="31">
        <v>452967</v>
      </c>
    </row>
    <row r="136" s="1" customFormat="1" ht="16.35" hidden="1" customHeight="1" spans="1:18">
      <c r="A136" s="6" t="s">
        <v>4506</v>
      </c>
      <c r="B136" s="6">
        <v>2016</v>
      </c>
      <c r="C136" s="6">
        <v>4</v>
      </c>
      <c r="D136" s="7">
        <v>62</v>
      </c>
      <c r="E136" s="6" t="s">
        <v>2935</v>
      </c>
      <c r="F136" s="6" t="s">
        <v>4508</v>
      </c>
      <c r="G136" s="6" t="s">
        <v>25</v>
      </c>
      <c r="H136" s="8"/>
      <c r="I136" s="8">
        <v>453718</v>
      </c>
      <c r="J136" s="6" t="s">
        <v>3714</v>
      </c>
      <c r="K136" s="6" t="s">
        <v>232</v>
      </c>
      <c r="L136" s="6" t="s">
        <v>4509</v>
      </c>
      <c r="M136" s="6" t="s">
        <v>4537</v>
      </c>
      <c r="N136" s="6" t="s">
        <v>232</v>
      </c>
      <c r="O136" s="29">
        <f t="shared" si="2"/>
        <v>453718</v>
      </c>
      <c r="Q136" s="30" t="s">
        <v>232</v>
      </c>
      <c r="R136" s="31">
        <v>453718</v>
      </c>
    </row>
    <row r="137" s="1" customFormat="1" ht="16.35" hidden="1" customHeight="1" spans="1:18">
      <c r="A137" s="6" t="s">
        <v>4506</v>
      </c>
      <c r="B137" s="6">
        <v>2016</v>
      </c>
      <c r="C137" s="6">
        <v>4</v>
      </c>
      <c r="D137" s="7">
        <v>62</v>
      </c>
      <c r="E137" s="6" t="s">
        <v>2935</v>
      </c>
      <c r="F137" s="6" t="s">
        <v>4508</v>
      </c>
      <c r="G137" s="6" t="s">
        <v>25</v>
      </c>
      <c r="H137" s="8"/>
      <c r="I137" s="8">
        <v>390437</v>
      </c>
      <c r="J137" s="6" t="s">
        <v>3728</v>
      </c>
      <c r="K137" s="6" t="s">
        <v>240</v>
      </c>
      <c r="L137" s="6" t="s">
        <v>4509</v>
      </c>
      <c r="M137" s="6" t="s">
        <v>4537</v>
      </c>
      <c r="N137" s="6" t="s">
        <v>240</v>
      </c>
      <c r="O137" s="29">
        <f t="shared" si="2"/>
        <v>390437</v>
      </c>
      <c r="Q137" s="30" t="s">
        <v>240</v>
      </c>
      <c r="R137" s="31">
        <v>390437</v>
      </c>
    </row>
    <row r="138" s="1" customFormat="1" ht="16.35" hidden="1" customHeight="1" spans="1:18">
      <c r="A138" s="6" t="s">
        <v>4506</v>
      </c>
      <c r="B138" s="6">
        <v>2016</v>
      </c>
      <c r="C138" s="6">
        <v>4</v>
      </c>
      <c r="D138" s="7">
        <v>62</v>
      </c>
      <c r="E138" s="6" t="s">
        <v>2935</v>
      </c>
      <c r="F138" s="6" t="s">
        <v>4508</v>
      </c>
      <c r="G138" s="6" t="s">
        <v>25</v>
      </c>
      <c r="H138" s="8"/>
      <c r="I138" s="8">
        <v>230182</v>
      </c>
      <c r="J138" s="6" t="s">
        <v>3742</v>
      </c>
      <c r="K138" s="6" t="s">
        <v>246</v>
      </c>
      <c r="L138" s="6" t="s">
        <v>4509</v>
      </c>
      <c r="M138" s="6" t="s">
        <v>4537</v>
      </c>
      <c r="N138" s="6" t="s">
        <v>246</v>
      </c>
      <c r="O138" s="29">
        <f t="shared" si="2"/>
        <v>230182</v>
      </c>
      <c r="Q138" s="30" t="s">
        <v>246</v>
      </c>
      <c r="R138" s="31">
        <v>230182</v>
      </c>
    </row>
    <row r="139" s="1" customFormat="1" ht="16.35" hidden="1" customHeight="1" spans="1:18">
      <c r="A139" s="6" t="s">
        <v>4506</v>
      </c>
      <c r="B139" s="6">
        <v>2016</v>
      </c>
      <c r="C139" s="6">
        <v>4</v>
      </c>
      <c r="D139" s="7">
        <v>62</v>
      </c>
      <c r="E139" s="6" t="s">
        <v>2935</v>
      </c>
      <c r="F139" s="6" t="s">
        <v>4508</v>
      </c>
      <c r="G139" s="6" t="s">
        <v>25</v>
      </c>
      <c r="H139" s="8"/>
      <c r="I139" s="8">
        <v>411378</v>
      </c>
      <c r="J139" s="6" t="s">
        <v>3744</v>
      </c>
      <c r="K139" s="6" t="s">
        <v>258</v>
      </c>
      <c r="L139" s="6" t="s">
        <v>4509</v>
      </c>
      <c r="M139" s="6" t="s">
        <v>4537</v>
      </c>
      <c r="N139" s="6" t="s">
        <v>258</v>
      </c>
      <c r="O139" s="29">
        <f t="shared" si="2"/>
        <v>411378</v>
      </c>
      <c r="Q139" s="30" t="s">
        <v>258</v>
      </c>
      <c r="R139" s="31">
        <v>411378</v>
      </c>
    </row>
    <row r="140" s="1" customFormat="1" ht="16.35" hidden="1" customHeight="1" spans="1:18">
      <c r="A140" s="6" t="s">
        <v>4506</v>
      </c>
      <c r="B140" s="6">
        <v>2016</v>
      </c>
      <c r="C140" s="6">
        <v>4</v>
      </c>
      <c r="D140" s="7">
        <v>62</v>
      </c>
      <c r="E140" s="6" t="s">
        <v>2935</v>
      </c>
      <c r="F140" s="6" t="s">
        <v>4508</v>
      </c>
      <c r="G140" s="6" t="s">
        <v>25</v>
      </c>
      <c r="H140" s="8"/>
      <c r="I140" s="8">
        <v>394923</v>
      </c>
      <c r="J140" s="6" t="s">
        <v>3758</v>
      </c>
      <c r="K140" s="6" t="s">
        <v>264</v>
      </c>
      <c r="L140" s="6" t="s">
        <v>4509</v>
      </c>
      <c r="M140" s="6" t="s">
        <v>4537</v>
      </c>
      <c r="N140" s="6" t="s">
        <v>264</v>
      </c>
      <c r="O140" s="29">
        <f t="shared" si="2"/>
        <v>394923</v>
      </c>
      <c r="Q140" s="30" t="s">
        <v>264</v>
      </c>
      <c r="R140" s="31">
        <v>394923</v>
      </c>
    </row>
    <row r="141" s="1" customFormat="1" ht="16.35" hidden="1" customHeight="1" spans="1:18">
      <c r="A141" s="6" t="s">
        <v>4506</v>
      </c>
      <c r="B141" s="6">
        <v>2016</v>
      </c>
      <c r="C141" s="6">
        <v>4</v>
      </c>
      <c r="D141" s="7">
        <v>62</v>
      </c>
      <c r="E141" s="6" t="s">
        <v>2935</v>
      </c>
      <c r="F141" s="6" t="s">
        <v>4508</v>
      </c>
      <c r="G141" s="6" t="s">
        <v>25</v>
      </c>
      <c r="H141" s="8"/>
      <c r="I141" s="8">
        <v>345391</v>
      </c>
      <c r="J141" s="6" t="s">
        <v>3762</v>
      </c>
      <c r="K141" s="6" t="s">
        <v>268</v>
      </c>
      <c r="L141" s="6" t="s">
        <v>4509</v>
      </c>
      <c r="M141" s="6" t="s">
        <v>4537</v>
      </c>
      <c r="N141" s="6" t="s">
        <v>268</v>
      </c>
      <c r="O141" s="29">
        <f t="shared" si="2"/>
        <v>345391</v>
      </c>
      <c r="Q141" s="30" t="s">
        <v>268</v>
      </c>
      <c r="R141" s="31">
        <v>345391</v>
      </c>
    </row>
    <row r="142" s="1" customFormat="1" ht="16.35" hidden="1" customHeight="1" spans="1:18">
      <c r="A142" s="6" t="s">
        <v>4506</v>
      </c>
      <c r="B142" s="6">
        <v>2016</v>
      </c>
      <c r="C142" s="6">
        <v>4</v>
      </c>
      <c r="D142" s="7">
        <v>62</v>
      </c>
      <c r="E142" s="6" t="s">
        <v>2935</v>
      </c>
      <c r="F142" s="6" t="s">
        <v>4508</v>
      </c>
      <c r="G142" s="6" t="s">
        <v>25</v>
      </c>
      <c r="H142" s="8"/>
      <c r="I142" s="8">
        <v>366856</v>
      </c>
      <c r="J142" s="6" t="s">
        <v>3766</v>
      </c>
      <c r="K142" s="6" t="s">
        <v>303</v>
      </c>
      <c r="L142" s="6" t="s">
        <v>4509</v>
      </c>
      <c r="M142" s="6" t="s">
        <v>4537</v>
      </c>
      <c r="N142" s="6" t="s">
        <v>303</v>
      </c>
      <c r="O142" s="29">
        <f t="shared" si="2"/>
        <v>366856</v>
      </c>
      <c r="Q142" s="30" t="s">
        <v>303</v>
      </c>
      <c r="R142" s="31">
        <v>366856</v>
      </c>
    </row>
    <row r="143" s="2" customFormat="1" ht="16.35" hidden="1" customHeight="1" spans="1:18">
      <c r="A143" s="10" t="s">
        <v>4506</v>
      </c>
      <c r="B143" s="10">
        <v>2016</v>
      </c>
      <c r="C143" s="10">
        <v>4</v>
      </c>
      <c r="D143" s="11">
        <v>62</v>
      </c>
      <c r="E143" s="10" t="s">
        <v>2935</v>
      </c>
      <c r="F143" s="10" t="s">
        <v>4508</v>
      </c>
      <c r="G143" s="10" t="s">
        <v>25</v>
      </c>
      <c r="H143" s="12"/>
      <c r="I143" s="12">
        <v>88557</v>
      </c>
      <c r="J143" s="10" t="s">
        <v>3768</v>
      </c>
      <c r="K143" s="10" t="s">
        <v>317</v>
      </c>
      <c r="L143" s="10" t="s">
        <v>4509</v>
      </c>
      <c r="M143" s="10" t="s">
        <v>4537</v>
      </c>
      <c r="N143" s="10" t="s">
        <v>317</v>
      </c>
      <c r="O143" s="33">
        <f t="shared" si="2"/>
        <v>88557</v>
      </c>
      <c r="Q143" s="30" t="s">
        <v>317</v>
      </c>
      <c r="R143" s="31">
        <v>88557</v>
      </c>
    </row>
    <row r="144" s="1" customFormat="1" ht="16.35" hidden="1" customHeight="1" spans="1:18">
      <c r="A144" s="6" t="s">
        <v>4506</v>
      </c>
      <c r="B144" s="6">
        <v>2016</v>
      </c>
      <c r="C144" s="6">
        <v>4</v>
      </c>
      <c r="D144" s="7">
        <v>62</v>
      </c>
      <c r="E144" s="6" t="s">
        <v>2935</v>
      </c>
      <c r="F144" s="6" t="s">
        <v>4508</v>
      </c>
      <c r="G144" s="6" t="s">
        <v>25</v>
      </c>
      <c r="H144" s="8"/>
      <c r="I144" s="8">
        <v>358070</v>
      </c>
      <c r="J144" s="6" t="s">
        <v>3771</v>
      </c>
      <c r="K144" s="6" t="s">
        <v>328</v>
      </c>
      <c r="L144" s="6" t="s">
        <v>4509</v>
      </c>
      <c r="M144" s="6" t="s">
        <v>4537</v>
      </c>
      <c r="N144" s="6" t="s">
        <v>328</v>
      </c>
      <c r="O144" s="29">
        <f t="shared" si="2"/>
        <v>358070</v>
      </c>
      <c r="Q144" s="30" t="s">
        <v>328</v>
      </c>
      <c r="R144" s="31">
        <v>358070</v>
      </c>
    </row>
    <row r="145" s="1" customFormat="1" ht="16.35" hidden="1" customHeight="1" spans="1:18">
      <c r="A145" s="6" t="s">
        <v>4506</v>
      </c>
      <c r="B145" s="6">
        <v>2016</v>
      </c>
      <c r="C145" s="6">
        <v>4</v>
      </c>
      <c r="D145" s="7">
        <v>62</v>
      </c>
      <c r="E145" s="6" t="s">
        <v>2935</v>
      </c>
      <c r="F145" s="6" t="s">
        <v>4508</v>
      </c>
      <c r="G145" s="6" t="s">
        <v>25</v>
      </c>
      <c r="H145" s="8"/>
      <c r="I145" s="8">
        <v>351237</v>
      </c>
      <c r="J145" s="6" t="s">
        <v>3773</v>
      </c>
      <c r="K145" s="6" t="s">
        <v>332</v>
      </c>
      <c r="L145" s="6" t="s">
        <v>4509</v>
      </c>
      <c r="M145" s="6" t="s">
        <v>4537</v>
      </c>
      <c r="N145" s="6" t="s">
        <v>332</v>
      </c>
      <c r="O145" s="29">
        <f t="shared" si="2"/>
        <v>351237</v>
      </c>
      <c r="Q145" s="30" t="s">
        <v>332</v>
      </c>
      <c r="R145" s="31">
        <v>351237</v>
      </c>
    </row>
    <row r="146" s="1" customFormat="1" ht="16.35" hidden="1" customHeight="1" spans="1:18">
      <c r="A146" s="6" t="s">
        <v>4506</v>
      </c>
      <c r="B146" s="6">
        <v>2016</v>
      </c>
      <c r="C146" s="6">
        <v>4</v>
      </c>
      <c r="D146" s="7">
        <v>62</v>
      </c>
      <c r="E146" s="6" t="s">
        <v>2935</v>
      </c>
      <c r="F146" s="6" t="s">
        <v>4508</v>
      </c>
      <c r="G146" s="6" t="s">
        <v>25</v>
      </c>
      <c r="H146" s="8"/>
      <c r="I146" s="8">
        <v>306332</v>
      </c>
      <c r="J146" s="6" t="s">
        <v>3776</v>
      </c>
      <c r="K146" s="6" t="s">
        <v>340</v>
      </c>
      <c r="L146" s="6" t="s">
        <v>4509</v>
      </c>
      <c r="M146" s="6" t="s">
        <v>4537</v>
      </c>
      <c r="N146" s="6" t="s">
        <v>340</v>
      </c>
      <c r="O146" s="29">
        <f t="shared" si="2"/>
        <v>306332</v>
      </c>
      <c r="Q146" s="30" t="s">
        <v>340</v>
      </c>
      <c r="R146" s="31">
        <v>306332</v>
      </c>
    </row>
    <row r="147" s="1" customFormat="1" ht="16.35" hidden="1" customHeight="1" spans="1:18">
      <c r="A147" s="6" t="s">
        <v>4506</v>
      </c>
      <c r="B147" s="6">
        <v>2016</v>
      </c>
      <c r="C147" s="6">
        <v>4</v>
      </c>
      <c r="D147" s="7">
        <v>62</v>
      </c>
      <c r="E147" s="6" t="s">
        <v>2935</v>
      </c>
      <c r="F147" s="6" t="s">
        <v>4508</v>
      </c>
      <c r="G147" s="6" t="s">
        <v>25</v>
      </c>
      <c r="H147" s="8"/>
      <c r="I147" s="8">
        <v>308378</v>
      </c>
      <c r="J147" s="6" t="s">
        <v>3778</v>
      </c>
      <c r="K147" s="6" t="s">
        <v>342</v>
      </c>
      <c r="L147" s="6" t="s">
        <v>4509</v>
      </c>
      <c r="M147" s="6" t="s">
        <v>4537</v>
      </c>
      <c r="N147" s="6" t="s">
        <v>342</v>
      </c>
      <c r="O147" s="29">
        <f t="shared" si="2"/>
        <v>308378</v>
      </c>
      <c r="Q147" s="30" t="s">
        <v>342</v>
      </c>
      <c r="R147" s="31">
        <v>308378</v>
      </c>
    </row>
    <row r="148" s="1" customFormat="1" ht="16.35" hidden="1" customHeight="1" spans="1:18">
      <c r="A148" s="6" t="s">
        <v>4506</v>
      </c>
      <c r="B148" s="6">
        <v>2016</v>
      </c>
      <c r="C148" s="6">
        <v>4</v>
      </c>
      <c r="D148" s="7">
        <v>62</v>
      </c>
      <c r="E148" s="6" t="s">
        <v>2935</v>
      </c>
      <c r="F148" s="6" t="s">
        <v>4508</v>
      </c>
      <c r="G148" s="6" t="s">
        <v>25</v>
      </c>
      <c r="H148" s="8"/>
      <c r="I148" s="8">
        <v>452590</v>
      </c>
      <c r="J148" s="6" t="s">
        <v>3784</v>
      </c>
      <c r="K148" s="6" t="s">
        <v>376</v>
      </c>
      <c r="L148" s="6" t="s">
        <v>4509</v>
      </c>
      <c r="M148" s="6" t="s">
        <v>4537</v>
      </c>
      <c r="N148" s="6" t="s">
        <v>376</v>
      </c>
      <c r="O148" s="29">
        <f t="shared" si="2"/>
        <v>452590</v>
      </c>
      <c r="Q148" s="30" t="s">
        <v>376</v>
      </c>
      <c r="R148" s="31">
        <v>452590</v>
      </c>
    </row>
    <row r="149" s="1" customFormat="1" ht="16.35" hidden="1" customHeight="1" spans="1:18">
      <c r="A149" s="6" t="s">
        <v>4506</v>
      </c>
      <c r="B149" s="6">
        <v>2016</v>
      </c>
      <c r="C149" s="6">
        <v>4</v>
      </c>
      <c r="D149" s="7">
        <v>62</v>
      </c>
      <c r="E149" s="6" t="s">
        <v>2935</v>
      </c>
      <c r="F149" s="6" t="s">
        <v>4508</v>
      </c>
      <c r="G149" s="6" t="s">
        <v>25</v>
      </c>
      <c r="H149" s="8"/>
      <c r="I149" s="8">
        <v>400416</v>
      </c>
      <c r="J149" s="6" t="s">
        <v>3787</v>
      </c>
      <c r="K149" s="6" t="s">
        <v>378</v>
      </c>
      <c r="L149" s="6" t="s">
        <v>4509</v>
      </c>
      <c r="M149" s="6" t="s">
        <v>4537</v>
      </c>
      <c r="N149" s="6" t="s">
        <v>378</v>
      </c>
      <c r="O149" s="29">
        <f t="shared" si="2"/>
        <v>400416</v>
      </c>
      <c r="Q149" s="30" t="s">
        <v>378</v>
      </c>
      <c r="R149" s="31">
        <v>400416</v>
      </c>
    </row>
    <row r="150" s="1" customFormat="1" ht="16.35" hidden="1" customHeight="1" spans="1:18">
      <c r="A150" s="6" t="s">
        <v>4506</v>
      </c>
      <c r="B150" s="6">
        <v>2016</v>
      </c>
      <c r="C150" s="6">
        <v>4</v>
      </c>
      <c r="D150" s="7">
        <v>62</v>
      </c>
      <c r="E150" s="6" t="s">
        <v>2935</v>
      </c>
      <c r="F150" s="6" t="s">
        <v>4508</v>
      </c>
      <c r="G150" s="6" t="s">
        <v>25</v>
      </c>
      <c r="H150" s="8"/>
      <c r="I150" s="8">
        <v>142900</v>
      </c>
      <c r="J150" s="6" t="s">
        <v>3789</v>
      </c>
      <c r="K150" s="6" t="s">
        <v>380</v>
      </c>
      <c r="L150" s="6" t="s">
        <v>4509</v>
      </c>
      <c r="M150" s="6" t="s">
        <v>4537</v>
      </c>
      <c r="N150" s="6" t="s">
        <v>380</v>
      </c>
      <c r="O150" s="29">
        <f t="shared" si="2"/>
        <v>142900</v>
      </c>
      <c r="Q150" s="30" t="s">
        <v>380</v>
      </c>
      <c r="R150" s="31">
        <v>142900</v>
      </c>
    </row>
    <row r="151" s="1" customFormat="1" ht="16.35" hidden="1" customHeight="1" spans="1:18">
      <c r="A151" s="6" t="s">
        <v>4506</v>
      </c>
      <c r="B151" s="6">
        <v>2016</v>
      </c>
      <c r="C151" s="6">
        <v>4</v>
      </c>
      <c r="D151" s="7">
        <v>62</v>
      </c>
      <c r="E151" s="6" t="s">
        <v>2935</v>
      </c>
      <c r="F151" s="6" t="s">
        <v>4508</v>
      </c>
      <c r="G151" s="6" t="s">
        <v>25</v>
      </c>
      <c r="H151" s="8"/>
      <c r="I151" s="8">
        <v>324246</v>
      </c>
      <c r="J151" s="6" t="s">
        <v>3791</v>
      </c>
      <c r="K151" s="6" t="s">
        <v>384</v>
      </c>
      <c r="L151" s="6" t="s">
        <v>4509</v>
      </c>
      <c r="M151" s="6" t="s">
        <v>4537</v>
      </c>
      <c r="N151" s="6" t="s">
        <v>384</v>
      </c>
      <c r="O151" s="29">
        <f t="shared" si="2"/>
        <v>324246</v>
      </c>
      <c r="Q151" s="30" t="s">
        <v>384</v>
      </c>
      <c r="R151" s="31">
        <v>324246</v>
      </c>
    </row>
    <row r="152" s="1" customFormat="1" ht="16.35" hidden="1" customHeight="1" spans="1:18">
      <c r="A152" s="6" t="s">
        <v>4506</v>
      </c>
      <c r="B152" s="6">
        <v>2016</v>
      </c>
      <c r="C152" s="6">
        <v>4</v>
      </c>
      <c r="D152" s="7">
        <v>62</v>
      </c>
      <c r="E152" s="6" t="s">
        <v>2935</v>
      </c>
      <c r="F152" s="6" t="s">
        <v>4508</v>
      </c>
      <c r="G152" s="6" t="s">
        <v>25</v>
      </c>
      <c r="H152" s="8"/>
      <c r="I152" s="8">
        <v>23297.74</v>
      </c>
      <c r="J152" s="6" t="s">
        <v>3797</v>
      </c>
      <c r="K152" s="6" t="s">
        <v>422</v>
      </c>
      <c r="L152" s="6" t="s">
        <v>4509</v>
      </c>
      <c r="M152" s="6" t="s">
        <v>4537</v>
      </c>
      <c r="N152" s="6" t="s">
        <v>422</v>
      </c>
      <c r="O152" s="29">
        <f t="shared" si="2"/>
        <v>23297.74</v>
      </c>
      <c r="Q152" s="30" t="s">
        <v>422</v>
      </c>
      <c r="R152" s="31">
        <v>23297.74</v>
      </c>
    </row>
    <row r="153" s="1" customFormat="1" ht="16.35" hidden="1" customHeight="1" spans="1:18">
      <c r="A153" s="6" t="s">
        <v>4506</v>
      </c>
      <c r="B153" s="6">
        <v>2016</v>
      </c>
      <c r="C153" s="6">
        <v>5</v>
      </c>
      <c r="D153" s="7">
        <v>3</v>
      </c>
      <c r="E153" s="6" t="s">
        <v>4560</v>
      </c>
      <c r="F153" s="6" t="s">
        <v>4508</v>
      </c>
      <c r="G153" s="6" t="s">
        <v>25</v>
      </c>
      <c r="H153" s="8"/>
      <c r="I153" s="8">
        <v>209524</v>
      </c>
      <c r="J153" s="6" t="s">
        <v>3167</v>
      </c>
      <c r="K153" s="6" t="s">
        <v>114</v>
      </c>
      <c r="L153" s="6" t="s">
        <v>4509</v>
      </c>
      <c r="M153" s="6" t="s">
        <v>4537</v>
      </c>
      <c r="N153" s="6" t="s">
        <v>114</v>
      </c>
      <c r="O153" s="29">
        <f t="shared" ref="O153:O216" si="3">I153*1.05</f>
        <v>220000.2</v>
      </c>
      <c r="Q153" s="30" t="s">
        <v>114</v>
      </c>
      <c r="R153" s="31">
        <v>220000.2</v>
      </c>
    </row>
    <row r="154" s="1" customFormat="1" ht="16.35" hidden="1" customHeight="1" spans="1:18">
      <c r="A154" s="6" t="s">
        <v>4506</v>
      </c>
      <c r="B154" s="6">
        <v>2016</v>
      </c>
      <c r="C154" s="6">
        <v>5</v>
      </c>
      <c r="D154" s="7">
        <v>6</v>
      </c>
      <c r="E154" s="6" t="s">
        <v>4561</v>
      </c>
      <c r="F154" s="6" t="s">
        <v>4508</v>
      </c>
      <c r="G154" s="6" t="s">
        <v>25</v>
      </c>
      <c r="H154" s="8"/>
      <c r="I154" s="8">
        <v>9524</v>
      </c>
      <c r="J154" s="6" t="s">
        <v>3150</v>
      </c>
      <c r="K154" s="6" t="s">
        <v>609</v>
      </c>
      <c r="L154" s="6" t="s">
        <v>4509</v>
      </c>
      <c r="M154" s="6" t="s">
        <v>4537</v>
      </c>
      <c r="N154" s="6" t="s">
        <v>609</v>
      </c>
      <c r="O154" s="29">
        <f t="shared" si="3"/>
        <v>10000.2</v>
      </c>
      <c r="Q154" s="30" t="s">
        <v>609</v>
      </c>
      <c r="R154" s="31">
        <v>10000.2</v>
      </c>
    </row>
    <row r="155" s="1" customFormat="1" ht="16.35" hidden="1" customHeight="1" spans="1:18">
      <c r="A155" s="6" t="s">
        <v>4506</v>
      </c>
      <c r="B155" s="6">
        <v>2016</v>
      </c>
      <c r="C155" s="6">
        <v>5</v>
      </c>
      <c r="D155" s="7">
        <v>7</v>
      </c>
      <c r="E155" s="6" t="s">
        <v>4562</v>
      </c>
      <c r="F155" s="6" t="s">
        <v>4508</v>
      </c>
      <c r="G155" s="6" t="s">
        <v>25</v>
      </c>
      <c r="H155" s="8"/>
      <c r="I155" s="8">
        <v>52693</v>
      </c>
      <c r="J155" s="6" t="s">
        <v>3152</v>
      </c>
      <c r="K155" s="6" t="s">
        <v>150</v>
      </c>
      <c r="L155" s="6" t="s">
        <v>4509</v>
      </c>
      <c r="M155" s="6" t="s">
        <v>4537</v>
      </c>
      <c r="N155" s="6" t="s">
        <v>150</v>
      </c>
      <c r="O155" s="29">
        <f t="shared" si="3"/>
        <v>55327.65</v>
      </c>
      <c r="Q155" s="30" t="s">
        <v>150</v>
      </c>
      <c r="R155" s="31">
        <v>55327.65</v>
      </c>
    </row>
    <row r="156" s="1" customFormat="1" ht="16.35" hidden="1" customHeight="1" spans="1:18">
      <c r="A156" s="6" t="s">
        <v>4506</v>
      </c>
      <c r="B156" s="6">
        <v>2016</v>
      </c>
      <c r="C156" s="6">
        <v>5</v>
      </c>
      <c r="D156" s="7">
        <v>8</v>
      </c>
      <c r="E156" s="6" t="s">
        <v>4563</v>
      </c>
      <c r="F156" s="6" t="s">
        <v>4508</v>
      </c>
      <c r="G156" s="6" t="s">
        <v>25</v>
      </c>
      <c r="H156" s="8"/>
      <c r="I156" s="8">
        <v>28343</v>
      </c>
      <c r="J156" s="6" t="s">
        <v>3154</v>
      </c>
      <c r="K156" s="6" t="s">
        <v>144</v>
      </c>
      <c r="L156" s="6" t="s">
        <v>4509</v>
      </c>
      <c r="M156" s="6" t="s">
        <v>4537</v>
      </c>
      <c r="N156" s="6" t="s">
        <v>144</v>
      </c>
      <c r="O156" s="29">
        <f t="shared" si="3"/>
        <v>29760.15</v>
      </c>
      <c r="Q156" s="30" t="s">
        <v>144</v>
      </c>
      <c r="R156" s="31">
        <v>29760.15</v>
      </c>
    </row>
    <row r="157" s="1" customFormat="1" ht="16.35" hidden="1" customHeight="1" spans="1:18">
      <c r="A157" s="6" t="s">
        <v>4506</v>
      </c>
      <c r="B157" s="6">
        <v>2016</v>
      </c>
      <c r="C157" s="6">
        <v>5</v>
      </c>
      <c r="D157" s="7">
        <v>9</v>
      </c>
      <c r="E157" s="6" t="s">
        <v>4564</v>
      </c>
      <c r="F157" s="6" t="s">
        <v>4508</v>
      </c>
      <c r="G157" s="6" t="s">
        <v>25</v>
      </c>
      <c r="H157" s="8"/>
      <c r="I157" s="8">
        <v>9524</v>
      </c>
      <c r="J157" s="6" t="s">
        <v>3117</v>
      </c>
      <c r="K157" s="6" t="s">
        <v>872</v>
      </c>
      <c r="L157" s="6" t="s">
        <v>4509</v>
      </c>
      <c r="M157" s="6" t="s">
        <v>4537</v>
      </c>
      <c r="N157" s="6" t="s">
        <v>872</v>
      </c>
      <c r="O157" s="29">
        <f t="shared" si="3"/>
        <v>10000.2</v>
      </c>
      <c r="Q157" s="30" t="s">
        <v>872</v>
      </c>
      <c r="R157" s="31">
        <v>10000.2</v>
      </c>
    </row>
    <row r="158" s="1" customFormat="1" ht="16.35" hidden="1" customHeight="1" spans="1:18">
      <c r="A158" s="6" t="s">
        <v>4506</v>
      </c>
      <c r="B158" s="6">
        <v>2016</v>
      </c>
      <c r="C158" s="6">
        <v>5</v>
      </c>
      <c r="D158" s="7">
        <v>10</v>
      </c>
      <c r="E158" s="6" t="s">
        <v>4565</v>
      </c>
      <c r="F158" s="6" t="s">
        <v>4508</v>
      </c>
      <c r="G158" s="6" t="s">
        <v>25</v>
      </c>
      <c r="H158" s="8"/>
      <c r="I158" s="8">
        <v>19048</v>
      </c>
      <c r="J158" s="6" t="s">
        <v>3156</v>
      </c>
      <c r="K158" s="6" t="s">
        <v>148</v>
      </c>
      <c r="L158" s="6" t="s">
        <v>4509</v>
      </c>
      <c r="M158" s="6" t="s">
        <v>4537</v>
      </c>
      <c r="N158" s="6" t="s">
        <v>148</v>
      </c>
      <c r="O158" s="29">
        <f t="shared" si="3"/>
        <v>20000.4</v>
      </c>
      <c r="Q158" s="30" t="s">
        <v>148</v>
      </c>
      <c r="R158" s="31">
        <v>20000.4</v>
      </c>
    </row>
    <row r="159" s="1" customFormat="1" ht="16.35" hidden="1" customHeight="1" spans="1:18">
      <c r="A159" s="6" t="s">
        <v>4506</v>
      </c>
      <c r="B159" s="6">
        <v>2016</v>
      </c>
      <c r="C159" s="6">
        <v>5</v>
      </c>
      <c r="D159" s="7">
        <v>11</v>
      </c>
      <c r="E159" s="6" t="s">
        <v>4566</v>
      </c>
      <c r="F159" s="6" t="s">
        <v>4508</v>
      </c>
      <c r="G159" s="6" t="s">
        <v>25</v>
      </c>
      <c r="H159" s="8"/>
      <c r="I159" s="8">
        <v>198377</v>
      </c>
      <c r="J159" s="6" t="s">
        <v>3158</v>
      </c>
      <c r="K159" s="6" t="s">
        <v>56</v>
      </c>
      <c r="L159" s="6" t="s">
        <v>4509</v>
      </c>
      <c r="M159" s="6" t="s">
        <v>4537</v>
      </c>
      <c r="N159" s="6" t="s">
        <v>56</v>
      </c>
      <c r="O159" s="29">
        <f t="shared" si="3"/>
        <v>208295.85</v>
      </c>
      <c r="Q159" s="30" t="s">
        <v>56</v>
      </c>
      <c r="R159" s="31">
        <v>208295.85</v>
      </c>
    </row>
    <row r="160" s="1" customFormat="1" ht="16.35" hidden="1" customHeight="1" spans="1:18">
      <c r="A160" s="6" t="s">
        <v>4506</v>
      </c>
      <c r="B160" s="6">
        <v>2016</v>
      </c>
      <c r="C160" s="6">
        <v>5</v>
      </c>
      <c r="D160" s="7">
        <v>12</v>
      </c>
      <c r="E160" s="6" t="s">
        <v>4567</v>
      </c>
      <c r="F160" s="6" t="s">
        <v>4508</v>
      </c>
      <c r="G160" s="6" t="s">
        <v>25</v>
      </c>
      <c r="H160" s="8"/>
      <c r="I160" s="8">
        <v>9524</v>
      </c>
      <c r="J160" s="6" t="s">
        <v>3161</v>
      </c>
      <c r="K160" s="6" t="s">
        <v>834</v>
      </c>
      <c r="L160" s="6" t="s">
        <v>4509</v>
      </c>
      <c r="M160" s="6" t="s">
        <v>4537</v>
      </c>
      <c r="N160" s="6" t="s">
        <v>834</v>
      </c>
      <c r="O160" s="29">
        <f t="shared" si="3"/>
        <v>10000.2</v>
      </c>
      <c r="Q160" s="30" t="s">
        <v>834</v>
      </c>
      <c r="R160" s="31">
        <v>10000.2</v>
      </c>
    </row>
    <row r="161" s="1" customFormat="1" ht="16.35" hidden="1" customHeight="1" spans="1:18">
      <c r="A161" s="6" t="s">
        <v>4506</v>
      </c>
      <c r="B161" s="6">
        <v>2016</v>
      </c>
      <c r="C161" s="6">
        <v>5</v>
      </c>
      <c r="D161" s="7">
        <v>13</v>
      </c>
      <c r="E161" s="6" t="s">
        <v>4568</v>
      </c>
      <c r="F161" s="6" t="s">
        <v>4508</v>
      </c>
      <c r="G161" s="6" t="s">
        <v>25</v>
      </c>
      <c r="H161" s="8"/>
      <c r="I161" s="8">
        <v>190476</v>
      </c>
      <c r="J161" s="6" t="s">
        <v>3170</v>
      </c>
      <c r="K161" s="6" t="s">
        <v>100</v>
      </c>
      <c r="L161" s="6" t="s">
        <v>4509</v>
      </c>
      <c r="M161" s="6" t="s">
        <v>4537</v>
      </c>
      <c r="N161" s="6" t="s">
        <v>100</v>
      </c>
      <c r="O161" s="29">
        <f t="shared" si="3"/>
        <v>199999.8</v>
      </c>
      <c r="Q161" s="30" t="s">
        <v>100</v>
      </c>
      <c r="R161" s="31">
        <v>199999.8</v>
      </c>
    </row>
    <row r="162" s="1" customFormat="1" ht="22.5" hidden="1" spans="1:18">
      <c r="A162" s="6" t="s">
        <v>4506</v>
      </c>
      <c r="B162" s="6">
        <v>2016</v>
      </c>
      <c r="C162" s="6">
        <v>5</v>
      </c>
      <c r="D162" s="7">
        <v>14</v>
      </c>
      <c r="E162" s="6" t="s">
        <v>4569</v>
      </c>
      <c r="F162" s="6" t="s">
        <v>4508</v>
      </c>
      <c r="G162" s="6" t="s">
        <v>25</v>
      </c>
      <c r="H162" s="8"/>
      <c r="I162" s="8">
        <v>57143</v>
      </c>
      <c r="J162" s="6" t="s">
        <v>3258</v>
      </c>
      <c r="K162" s="6" t="s">
        <v>4569</v>
      </c>
      <c r="L162" s="6" t="s">
        <v>4509</v>
      </c>
      <c r="M162" s="6" t="s">
        <v>4537</v>
      </c>
      <c r="N162" s="6" t="s">
        <v>4569</v>
      </c>
      <c r="O162" s="29">
        <f t="shared" si="3"/>
        <v>60000.15</v>
      </c>
      <c r="Q162" s="30" t="s">
        <v>4569</v>
      </c>
      <c r="R162" s="31">
        <v>60000.15</v>
      </c>
    </row>
    <row r="163" s="1" customFormat="1" ht="16.35" hidden="1" customHeight="1" spans="1:18">
      <c r="A163" s="6" t="s">
        <v>4506</v>
      </c>
      <c r="B163" s="6">
        <v>2016</v>
      </c>
      <c r="C163" s="6">
        <v>5</v>
      </c>
      <c r="D163" s="7">
        <v>15</v>
      </c>
      <c r="E163" s="6" t="s">
        <v>4570</v>
      </c>
      <c r="F163" s="6" t="s">
        <v>4508</v>
      </c>
      <c r="G163" s="6" t="s">
        <v>25</v>
      </c>
      <c r="H163" s="8"/>
      <c r="I163" s="8">
        <v>95238</v>
      </c>
      <c r="J163" s="6" t="s">
        <v>3172</v>
      </c>
      <c r="K163" s="6" t="s">
        <v>146</v>
      </c>
      <c r="L163" s="6" t="s">
        <v>4509</v>
      </c>
      <c r="M163" s="6" t="s">
        <v>4537</v>
      </c>
      <c r="N163" s="6" t="s">
        <v>146</v>
      </c>
      <c r="O163" s="29">
        <f t="shared" si="3"/>
        <v>99999.9</v>
      </c>
      <c r="Q163" s="30" t="s">
        <v>146</v>
      </c>
      <c r="R163" s="31">
        <v>99999.9</v>
      </c>
    </row>
    <row r="164" s="1" customFormat="1" ht="16.35" hidden="1" customHeight="1" spans="1:18">
      <c r="A164" s="6" t="s">
        <v>4506</v>
      </c>
      <c r="B164" s="6">
        <v>2016</v>
      </c>
      <c r="C164" s="6">
        <v>5</v>
      </c>
      <c r="D164" s="7">
        <v>16</v>
      </c>
      <c r="E164" s="6" t="s">
        <v>4571</v>
      </c>
      <c r="F164" s="6" t="s">
        <v>4508</v>
      </c>
      <c r="G164" s="6" t="s">
        <v>25</v>
      </c>
      <c r="H164" s="8"/>
      <c r="I164" s="8">
        <v>180952</v>
      </c>
      <c r="J164" s="6" t="s">
        <v>3577</v>
      </c>
      <c r="K164" s="6" t="s">
        <v>67</v>
      </c>
      <c r="L164" s="6" t="s">
        <v>4509</v>
      </c>
      <c r="M164" s="6" t="s">
        <v>4537</v>
      </c>
      <c r="N164" s="6" t="s">
        <v>67</v>
      </c>
      <c r="O164" s="29">
        <f t="shared" si="3"/>
        <v>189999.6</v>
      </c>
      <c r="Q164" s="30" t="s">
        <v>67</v>
      </c>
      <c r="R164" s="31">
        <v>189999.6</v>
      </c>
    </row>
    <row r="165" s="1" customFormat="1" ht="16.35" hidden="1" customHeight="1" spans="1:18">
      <c r="A165" s="6" t="s">
        <v>4506</v>
      </c>
      <c r="B165" s="6">
        <v>2016</v>
      </c>
      <c r="C165" s="6">
        <v>5</v>
      </c>
      <c r="D165" s="7">
        <v>17</v>
      </c>
      <c r="E165" s="6" t="s">
        <v>4572</v>
      </c>
      <c r="F165" s="6" t="s">
        <v>4508</v>
      </c>
      <c r="G165" s="6" t="s">
        <v>25</v>
      </c>
      <c r="H165" s="8"/>
      <c r="I165" s="8">
        <v>142858</v>
      </c>
      <c r="J165" s="6" t="s">
        <v>3177</v>
      </c>
      <c r="K165" s="6" t="s">
        <v>152</v>
      </c>
      <c r="L165" s="6" t="s">
        <v>4509</v>
      </c>
      <c r="M165" s="6" t="s">
        <v>4537</v>
      </c>
      <c r="N165" s="6" t="s">
        <v>152</v>
      </c>
      <c r="O165" s="29">
        <f t="shared" si="3"/>
        <v>150000.9</v>
      </c>
      <c r="Q165" s="30" t="s">
        <v>152</v>
      </c>
      <c r="R165" s="31">
        <v>150000.9</v>
      </c>
    </row>
    <row r="166" s="1" customFormat="1" ht="16.35" hidden="1" customHeight="1" spans="1:18">
      <c r="A166" s="6" t="s">
        <v>4506</v>
      </c>
      <c r="B166" s="6">
        <v>2016</v>
      </c>
      <c r="C166" s="6">
        <v>5</v>
      </c>
      <c r="D166" s="7">
        <v>18</v>
      </c>
      <c r="E166" s="6" t="s">
        <v>4573</v>
      </c>
      <c r="F166" s="6" t="s">
        <v>4508</v>
      </c>
      <c r="G166" s="6" t="s">
        <v>25</v>
      </c>
      <c r="H166" s="8"/>
      <c r="I166" s="8">
        <v>188571</v>
      </c>
      <c r="J166" s="6" t="s">
        <v>3179</v>
      </c>
      <c r="K166" s="6" t="s">
        <v>104</v>
      </c>
      <c r="L166" s="6" t="s">
        <v>4509</v>
      </c>
      <c r="M166" s="6" t="s">
        <v>4537</v>
      </c>
      <c r="N166" s="6" t="s">
        <v>104</v>
      </c>
      <c r="O166" s="29">
        <f t="shared" si="3"/>
        <v>197999.55</v>
      </c>
      <c r="Q166" s="30" t="s">
        <v>104</v>
      </c>
      <c r="R166" s="31">
        <v>197999.55</v>
      </c>
    </row>
    <row r="167" s="1" customFormat="1" ht="16.35" hidden="1" customHeight="1" spans="1:18">
      <c r="A167" s="6" t="s">
        <v>4506</v>
      </c>
      <c r="B167" s="6">
        <v>2016</v>
      </c>
      <c r="C167" s="6">
        <v>5</v>
      </c>
      <c r="D167" s="7">
        <v>19</v>
      </c>
      <c r="E167" s="6" t="s">
        <v>4574</v>
      </c>
      <c r="F167" s="6" t="s">
        <v>4508</v>
      </c>
      <c r="G167" s="6" t="s">
        <v>25</v>
      </c>
      <c r="H167" s="8"/>
      <c r="I167" s="8">
        <v>215238</v>
      </c>
      <c r="J167" s="6" t="s">
        <v>3181</v>
      </c>
      <c r="K167" s="6" t="s">
        <v>94</v>
      </c>
      <c r="L167" s="6" t="s">
        <v>4509</v>
      </c>
      <c r="M167" s="6" t="s">
        <v>4537</v>
      </c>
      <c r="N167" s="6" t="s">
        <v>94</v>
      </c>
      <c r="O167" s="29">
        <f t="shared" si="3"/>
        <v>225999.9</v>
      </c>
      <c r="Q167" s="30" t="s">
        <v>94</v>
      </c>
      <c r="R167" s="31">
        <v>225999.9</v>
      </c>
    </row>
    <row r="168" s="1" customFormat="1" ht="16.35" hidden="1" customHeight="1" spans="1:18">
      <c r="A168" s="6" t="s">
        <v>4506</v>
      </c>
      <c r="B168" s="6">
        <v>2016</v>
      </c>
      <c r="C168" s="6">
        <v>5</v>
      </c>
      <c r="D168" s="7">
        <v>20</v>
      </c>
      <c r="E168" s="6" t="s">
        <v>4575</v>
      </c>
      <c r="F168" s="6" t="s">
        <v>4508</v>
      </c>
      <c r="G168" s="6" t="s">
        <v>25</v>
      </c>
      <c r="H168" s="8"/>
      <c r="I168" s="8">
        <v>190476</v>
      </c>
      <c r="J168" s="6" t="s">
        <v>3184</v>
      </c>
      <c r="K168" s="6" t="s">
        <v>509</v>
      </c>
      <c r="L168" s="6" t="s">
        <v>4509</v>
      </c>
      <c r="M168" s="6" t="s">
        <v>4537</v>
      </c>
      <c r="N168" s="6" t="s">
        <v>509</v>
      </c>
      <c r="O168" s="29">
        <f t="shared" si="3"/>
        <v>199999.8</v>
      </c>
      <c r="Q168" s="30" t="s">
        <v>509</v>
      </c>
      <c r="R168" s="31">
        <v>199999.8</v>
      </c>
    </row>
    <row r="169" s="1" customFormat="1" ht="16.35" hidden="1" customHeight="1" spans="1:18">
      <c r="A169" s="6" t="s">
        <v>4506</v>
      </c>
      <c r="B169" s="6">
        <v>2016</v>
      </c>
      <c r="C169" s="6">
        <v>5</v>
      </c>
      <c r="D169" s="7">
        <v>23</v>
      </c>
      <c r="E169" s="6" t="s">
        <v>4576</v>
      </c>
      <c r="F169" s="6" t="s">
        <v>4508</v>
      </c>
      <c r="G169" s="6" t="s">
        <v>25</v>
      </c>
      <c r="H169" s="8"/>
      <c r="I169" s="8">
        <v>5738</v>
      </c>
      <c r="J169" s="6" t="s">
        <v>3188</v>
      </c>
      <c r="K169" s="6" t="s">
        <v>58</v>
      </c>
      <c r="L169" s="6" t="s">
        <v>4509</v>
      </c>
      <c r="M169" s="6" t="s">
        <v>4537</v>
      </c>
      <c r="N169" s="6" t="s">
        <v>58</v>
      </c>
      <c r="O169" s="29">
        <f t="shared" si="3"/>
        <v>6024.9</v>
      </c>
      <c r="Q169" s="30" t="s">
        <v>58</v>
      </c>
      <c r="R169" s="31">
        <v>6024.9</v>
      </c>
    </row>
    <row r="170" s="1" customFormat="1" ht="16.35" hidden="1" customHeight="1" spans="1:18">
      <c r="A170" s="6" t="s">
        <v>4506</v>
      </c>
      <c r="B170" s="6">
        <v>2016</v>
      </c>
      <c r="C170" s="6">
        <v>5</v>
      </c>
      <c r="D170" s="7">
        <v>24</v>
      </c>
      <c r="E170" s="6" t="s">
        <v>4577</v>
      </c>
      <c r="F170" s="6" t="s">
        <v>4508</v>
      </c>
      <c r="G170" s="6" t="s">
        <v>25</v>
      </c>
      <c r="H170" s="8"/>
      <c r="I170" s="8">
        <v>4762</v>
      </c>
      <c r="J170" s="6" t="s">
        <v>3190</v>
      </c>
      <c r="K170" s="6" t="s">
        <v>852</v>
      </c>
      <c r="L170" s="6" t="s">
        <v>4509</v>
      </c>
      <c r="M170" s="6" t="s">
        <v>4537</v>
      </c>
      <c r="N170" s="6" t="s">
        <v>852</v>
      </c>
      <c r="O170" s="29">
        <f t="shared" si="3"/>
        <v>5000.1</v>
      </c>
      <c r="Q170" s="30" t="s">
        <v>852</v>
      </c>
      <c r="R170" s="31">
        <v>5000.1</v>
      </c>
    </row>
    <row r="171" s="1" customFormat="1" ht="16.35" hidden="1" customHeight="1" spans="1:18">
      <c r="A171" s="6" t="s">
        <v>4506</v>
      </c>
      <c r="B171" s="6">
        <v>2016</v>
      </c>
      <c r="C171" s="6">
        <v>5</v>
      </c>
      <c r="D171" s="7">
        <v>25</v>
      </c>
      <c r="E171" s="6" t="s">
        <v>4578</v>
      </c>
      <c r="F171" s="6" t="s">
        <v>4508</v>
      </c>
      <c r="G171" s="6" t="s">
        <v>25</v>
      </c>
      <c r="H171" s="8"/>
      <c r="I171" s="8">
        <v>21429</v>
      </c>
      <c r="J171" s="6" t="s">
        <v>3192</v>
      </c>
      <c r="K171" s="6" t="s">
        <v>90</v>
      </c>
      <c r="L171" s="6" t="s">
        <v>4509</v>
      </c>
      <c r="M171" s="6" t="s">
        <v>4537</v>
      </c>
      <c r="N171" s="6" t="s">
        <v>90</v>
      </c>
      <c r="O171" s="29">
        <f t="shared" si="3"/>
        <v>22500.45</v>
      </c>
      <c r="Q171" s="30" t="s">
        <v>90</v>
      </c>
      <c r="R171" s="31">
        <v>22500.45</v>
      </c>
    </row>
    <row r="172" s="1" customFormat="1" ht="16.35" hidden="1" customHeight="1" spans="1:18">
      <c r="A172" s="6" t="s">
        <v>4506</v>
      </c>
      <c r="B172" s="6">
        <v>2016</v>
      </c>
      <c r="C172" s="6">
        <v>5</v>
      </c>
      <c r="D172" s="7">
        <v>26</v>
      </c>
      <c r="E172" s="6" t="s">
        <v>4579</v>
      </c>
      <c r="F172" s="6" t="s">
        <v>4508</v>
      </c>
      <c r="G172" s="6" t="s">
        <v>25</v>
      </c>
      <c r="H172" s="8"/>
      <c r="I172" s="8">
        <v>9524</v>
      </c>
      <c r="J172" s="6" t="s">
        <v>3195</v>
      </c>
      <c r="K172" s="6" t="s">
        <v>810</v>
      </c>
      <c r="L172" s="6" t="s">
        <v>4509</v>
      </c>
      <c r="M172" s="6" t="s">
        <v>4537</v>
      </c>
      <c r="N172" s="6" t="s">
        <v>810</v>
      </c>
      <c r="O172" s="29">
        <f t="shared" si="3"/>
        <v>10000.2</v>
      </c>
      <c r="Q172" s="30" t="s">
        <v>810</v>
      </c>
      <c r="R172" s="31">
        <v>10000.2</v>
      </c>
    </row>
    <row r="173" s="1" customFormat="1" ht="16.35" hidden="1" customHeight="1" spans="1:18">
      <c r="A173" s="6" t="s">
        <v>4506</v>
      </c>
      <c r="B173" s="6">
        <v>2016</v>
      </c>
      <c r="C173" s="6">
        <v>5</v>
      </c>
      <c r="D173" s="7">
        <v>27</v>
      </c>
      <c r="E173" s="6" t="s">
        <v>4580</v>
      </c>
      <c r="F173" s="6" t="s">
        <v>4508</v>
      </c>
      <c r="G173" s="6" t="s">
        <v>25</v>
      </c>
      <c r="H173" s="8"/>
      <c r="I173" s="8">
        <v>9524</v>
      </c>
      <c r="J173" s="6" t="s">
        <v>3197</v>
      </c>
      <c r="K173" s="6" t="s">
        <v>878</v>
      </c>
      <c r="L173" s="6" t="s">
        <v>4509</v>
      </c>
      <c r="M173" s="6" t="s">
        <v>4537</v>
      </c>
      <c r="N173" s="6" t="s">
        <v>878</v>
      </c>
      <c r="O173" s="29">
        <f t="shared" si="3"/>
        <v>10000.2</v>
      </c>
      <c r="Q173" s="30" t="s">
        <v>878</v>
      </c>
      <c r="R173" s="31">
        <v>10000.2</v>
      </c>
    </row>
    <row r="174" s="1" customFormat="1" ht="16.35" hidden="1" customHeight="1" spans="1:18">
      <c r="A174" s="6" t="s">
        <v>4506</v>
      </c>
      <c r="B174" s="6">
        <v>2016</v>
      </c>
      <c r="C174" s="6">
        <v>5</v>
      </c>
      <c r="D174" s="7">
        <v>28</v>
      </c>
      <c r="E174" s="6" t="s">
        <v>4581</v>
      </c>
      <c r="F174" s="6" t="s">
        <v>4508</v>
      </c>
      <c r="G174" s="6" t="s">
        <v>25</v>
      </c>
      <c r="H174" s="8"/>
      <c r="I174" s="8">
        <v>9524</v>
      </c>
      <c r="J174" s="6" t="s">
        <v>3199</v>
      </c>
      <c r="K174" s="6" t="s">
        <v>824</v>
      </c>
      <c r="L174" s="6" t="s">
        <v>4509</v>
      </c>
      <c r="M174" s="6" t="s">
        <v>4537</v>
      </c>
      <c r="N174" s="6" t="s">
        <v>824</v>
      </c>
      <c r="O174" s="29">
        <f t="shared" si="3"/>
        <v>10000.2</v>
      </c>
      <c r="Q174" s="30" t="s">
        <v>824</v>
      </c>
      <c r="R174" s="31">
        <v>10000.2</v>
      </c>
    </row>
    <row r="175" s="1" customFormat="1" ht="16.35" hidden="1" customHeight="1" spans="1:18">
      <c r="A175" s="6" t="s">
        <v>4506</v>
      </c>
      <c r="B175" s="6">
        <v>2016</v>
      </c>
      <c r="C175" s="6">
        <v>5</v>
      </c>
      <c r="D175" s="7">
        <v>29</v>
      </c>
      <c r="E175" s="6" t="s">
        <v>4578</v>
      </c>
      <c r="F175" s="6" t="s">
        <v>4508</v>
      </c>
      <c r="G175" s="6" t="s">
        <v>25</v>
      </c>
      <c r="H175" s="8"/>
      <c r="I175" s="8">
        <v>40427</v>
      </c>
      <c r="J175" s="6" t="s">
        <v>3192</v>
      </c>
      <c r="K175" s="6" t="s">
        <v>90</v>
      </c>
      <c r="L175" s="6" t="s">
        <v>4509</v>
      </c>
      <c r="M175" s="6" t="s">
        <v>4537</v>
      </c>
      <c r="N175" s="6" t="s">
        <v>90</v>
      </c>
      <c r="O175" s="29">
        <f t="shared" si="3"/>
        <v>42448.35</v>
      </c>
      <c r="Q175" s="30" t="s">
        <v>90</v>
      </c>
      <c r="R175" s="31">
        <v>42448.35</v>
      </c>
    </row>
    <row r="176" s="1" customFormat="1" ht="16.35" hidden="1" customHeight="1" spans="1:18">
      <c r="A176" s="6" t="s">
        <v>4506</v>
      </c>
      <c r="B176" s="6">
        <v>2016</v>
      </c>
      <c r="C176" s="6">
        <v>5</v>
      </c>
      <c r="D176" s="7">
        <v>30</v>
      </c>
      <c r="E176" s="6" t="s">
        <v>4582</v>
      </c>
      <c r="F176" s="6" t="s">
        <v>4508</v>
      </c>
      <c r="G176" s="6" t="s">
        <v>25</v>
      </c>
      <c r="H176" s="8"/>
      <c r="I176" s="8">
        <v>130476</v>
      </c>
      <c r="J176" s="6" t="s">
        <v>3201</v>
      </c>
      <c r="K176" s="6" t="s">
        <v>61</v>
      </c>
      <c r="L176" s="6" t="s">
        <v>4509</v>
      </c>
      <c r="M176" s="6" t="s">
        <v>4537</v>
      </c>
      <c r="N176" s="6" t="s">
        <v>61</v>
      </c>
      <c r="O176" s="29">
        <f t="shared" si="3"/>
        <v>136999.8</v>
      </c>
      <c r="Q176" s="30" t="s">
        <v>61</v>
      </c>
      <c r="R176" s="31">
        <v>136999.8</v>
      </c>
    </row>
    <row r="177" s="1" customFormat="1" ht="16.35" hidden="1" customHeight="1" spans="1:19">
      <c r="A177" s="6" t="s">
        <v>4506</v>
      </c>
      <c r="B177" s="6">
        <v>2016</v>
      </c>
      <c r="C177" s="6">
        <v>5</v>
      </c>
      <c r="D177" s="7">
        <v>36</v>
      </c>
      <c r="E177" s="6" t="s">
        <v>4583</v>
      </c>
      <c r="F177" s="6" t="s">
        <v>4508</v>
      </c>
      <c r="G177" s="6" t="s">
        <v>25</v>
      </c>
      <c r="H177" s="8"/>
      <c r="I177" s="8">
        <v>952381</v>
      </c>
      <c r="J177" s="6" t="s">
        <v>3114</v>
      </c>
      <c r="K177" s="6" t="s">
        <v>4536</v>
      </c>
      <c r="L177" s="6" t="s">
        <v>4509</v>
      </c>
      <c r="M177" s="6" t="s">
        <v>4537</v>
      </c>
      <c r="N177" s="6" t="s">
        <v>4536</v>
      </c>
      <c r="O177" s="29">
        <f t="shared" si="3"/>
        <v>1000000.05</v>
      </c>
      <c r="Q177" s="30" t="s">
        <v>4536</v>
      </c>
      <c r="R177" s="31">
        <v>1000000.05</v>
      </c>
      <c r="S177" s="1">
        <f>R177-I177</f>
        <v>47619.05</v>
      </c>
    </row>
    <row r="178" s="1" customFormat="1" ht="16.35" hidden="1" customHeight="1" spans="1:18">
      <c r="A178" s="6" t="s">
        <v>4506</v>
      </c>
      <c r="B178" s="6">
        <v>2016</v>
      </c>
      <c r="C178" s="6">
        <v>5</v>
      </c>
      <c r="D178" s="7">
        <v>37</v>
      </c>
      <c r="E178" s="6" t="s">
        <v>4584</v>
      </c>
      <c r="F178" s="6" t="s">
        <v>4508</v>
      </c>
      <c r="G178" s="6" t="s">
        <v>25</v>
      </c>
      <c r="H178" s="8"/>
      <c r="I178" s="8">
        <v>76404</v>
      </c>
      <c r="J178" s="6" t="s">
        <v>3205</v>
      </c>
      <c r="K178" s="6" t="s">
        <v>535</v>
      </c>
      <c r="L178" s="6" t="s">
        <v>4509</v>
      </c>
      <c r="M178" s="6" t="s">
        <v>4537</v>
      </c>
      <c r="N178" s="6" t="s">
        <v>535</v>
      </c>
      <c r="O178" s="29">
        <f t="shared" si="3"/>
        <v>80224.2</v>
      </c>
      <c r="Q178" s="30" t="s">
        <v>535</v>
      </c>
      <c r="R178" s="31">
        <v>80224.2</v>
      </c>
    </row>
    <row r="179" s="1" customFormat="1" ht="16.35" hidden="1" customHeight="1" spans="1:18">
      <c r="A179" s="6" t="s">
        <v>4506</v>
      </c>
      <c r="B179" s="6">
        <v>2016</v>
      </c>
      <c r="C179" s="6">
        <v>5</v>
      </c>
      <c r="D179" s="7">
        <v>39</v>
      </c>
      <c r="E179" s="6" t="s">
        <v>4585</v>
      </c>
      <c r="F179" s="6" t="s">
        <v>4508</v>
      </c>
      <c r="G179" s="6" t="s">
        <v>25</v>
      </c>
      <c r="H179" s="8"/>
      <c r="I179" s="8">
        <v>9524</v>
      </c>
      <c r="J179" s="6" t="s">
        <v>3208</v>
      </c>
      <c r="K179" s="6" t="s">
        <v>906</v>
      </c>
      <c r="L179" s="6" t="s">
        <v>4509</v>
      </c>
      <c r="M179" s="6" t="s">
        <v>4537</v>
      </c>
      <c r="N179" s="6" t="s">
        <v>906</v>
      </c>
      <c r="O179" s="29">
        <f t="shared" si="3"/>
        <v>10000.2</v>
      </c>
      <c r="Q179" s="30" t="s">
        <v>906</v>
      </c>
      <c r="R179" s="31">
        <v>10000.2</v>
      </c>
    </row>
    <row r="180" s="1" customFormat="1" ht="16.35" hidden="1" customHeight="1" spans="1:18">
      <c r="A180" s="6" t="s">
        <v>4506</v>
      </c>
      <c r="B180" s="6">
        <v>2016</v>
      </c>
      <c r="C180" s="6">
        <v>5</v>
      </c>
      <c r="D180" s="7">
        <v>40</v>
      </c>
      <c r="E180" s="6" t="s">
        <v>4586</v>
      </c>
      <c r="F180" s="6" t="s">
        <v>4508</v>
      </c>
      <c r="G180" s="6" t="s">
        <v>25</v>
      </c>
      <c r="H180" s="8"/>
      <c r="I180" s="8">
        <v>1212</v>
      </c>
      <c r="J180" s="6" t="s">
        <v>3216</v>
      </c>
      <c r="K180" s="6" t="s">
        <v>593</v>
      </c>
      <c r="L180" s="6" t="s">
        <v>4509</v>
      </c>
      <c r="M180" s="6" t="s">
        <v>4537</v>
      </c>
      <c r="N180" s="6" t="s">
        <v>593</v>
      </c>
      <c r="O180" s="29">
        <f t="shared" si="3"/>
        <v>1272.6</v>
      </c>
      <c r="Q180" s="30" t="s">
        <v>593</v>
      </c>
      <c r="R180" s="31">
        <v>1272.6</v>
      </c>
    </row>
    <row r="181" s="1" customFormat="1" ht="16.35" hidden="1" customHeight="1" spans="1:18">
      <c r="A181" s="6" t="s">
        <v>4506</v>
      </c>
      <c r="B181" s="6">
        <v>2016</v>
      </c>
      <c r="C181" s="6">
        <v>5</v>
      </c>
      <c r="D181" s="7">
        <v>45</v>
      </c>
      <c r="E181" s="6" t="s">
        <v>4587</v>
      </c>
      <c r="F181" s="6" t="s">
        <v>4508</v>
      </c>
      <c r="G181" s="6" t="s">
        <v>25</v>
      </c>
      <c r="H181" s="8"/>
      <c r="I181" s="8">
        <v>952</v>
      </c>
      <c r="J181" s="6" t="s">
        <v>3225</v>
      </c>
      <c r="K181" s="6" t="s">
        <v>691</v>
      </c>
      <c r="L181" s="6" t="s">
        <v>4509</v>
      </c>
      <c r="M181" s="6" t="s">
        <v>4537</v>
      </c>
      <c r="N181" s="6" t="s">
        <v>691</v>
      </c>
      <c r="O181" s="29">
        <f t="shared" si="3"/>
        <v>999.6</v>
      </c>
      <c r="Q181" s="30" t="s">
        <v>691</v>
      </c>
      <c r="R181" s="31">
        <v>999.6</v>
      </c>
    </row>
    <row r="182" s="1" customFormat="1" ht="16.35" hidden="1" customHeight="1" spans="1:18">
      <c r="A182" s="6" t="s">
        <v>4506</v>
      </c>
      <c r="B182" s="6">
        <v>2016</v>
      </c>
      <c r="C182" s="6">
        <v>5</v>
      </c>
      <c r="D182" s="7">
        <v>47</v>
      </c>
      <c r="E182" s="6" t="s">
        <v>4588</v>
      </c>
      <c r="F182" s="6" t="s">
        <v>4508</v>
      </c>
      <c r="G182" s="6" t="s">
        <v>25</v>
      </c>
      <c r="H182" s="8"/>
      <c r="I182" s="8">
        <v>952</v>
      </c>
      <c r="J182" s="6" t="s">
        <v>3227</v>
      </c>
      <c r="K182" s="6" t="s">
        <v>895</v>
      </c>
      <c r="L182" s="6" t="s">
        <v>4509</v>
      </c>
      <c r="M182" s="6" t="s">
        <v>4537</v>
      </c>
      <c r="N182" s="6" t="s">
        <v>895</v>
      </c>
      <c r="O182" s="29">
        <f t="shared" si="3"/>
        <v>999.6</v>
      </c>
      <c r="Q182" s="30" t="s">
        <v>895</v>
      </c>
      <c r="R182" s="31">
        <v>999.6</v>
      </c>
    </row>
    <row r="183" s="1" customFormat="1" ht="16.35" hidden="1" customHeight="1" spans="1:18">
      <c r="A183" s="6" t="s">
        <v>4506</v>
      </c>
      <c r="B183" s="6">
        <v>2016</v>
      </c>
      <c r="C183" s="6">
        <v>5</v>
      </c>
      <c r="D183" s="7">
        <v>48</v>
      </c>
      <c r="E183" s="6" t="s">
        <v>4589</v>
      </c>
      <c r="F183" s="6" t="s">
        <v>4508</v>
      </c>
      <c r="G183" s="6" t="s">
        <v>25</v>
      </c>
      <c r="H183" s="8"/>
      <c r="I183" s="8">
        <v>9524</v>
      </c>
      <c r="J183" s="6" t="s">
        <v>3230</v>
      </c>
      <c r="K183" s="6" t="s">
        <v>322</v>
      </c>
      <c r="L183" s="6" t="s">
        <v>4509</v>
      </c>
      <c r="M183" s="6" t="s">
        <v>4537</v>
      </c>
      <c r="N183" s="6" t="s">
        <v>322</v>
      </c>
      <c r="O183" s="29">
        <f t="shared" si="3"/>
        <v>10000.2</v>
      </c>
      <c r="Q183" s="30" t="s">
        <v>322</v>
      </c>
      <c r="R183" s="31">
        <v>10000.2</v>
      </c>
    </row>
    <row r="184" s="1" customFormat="1" ht="16.35" hidden="1" customHeight="1" spans="1:18">
      <c r="A184" s="6" t="s">
        <v>4506</v>
      </c>
      <c r="B184" s="6">
        <v>2016</v>
      </c>
      <c r="C184" s="6">
        <v>5</v>
      </c>
      <c r="D184" s="7">
        <v>51</v>
      </c>
      <c r="E184" s="6" t="s">
        <v>4590</v>
      </c>
      <c r="F184" s="6" t="s">
        <v>4508</v>
      </c>
      <c r="G184" s="6" t="s">
        <v>25</v>
      </c>
      <c r="H184" s="8"/>
      <c r="I184" s="8">
        <v>186667</v>
      </c>
      <c r="J184" s="6" t="s">
        <v>3234</v>
      </c>
      <c r="K184" s="6" t="s">
        <v>545</v>
      </c>
      <c r="L184" s="6" t="s">
        <v>4509</v>
      </c>
      <c r="M184" s="6" t="s">
        <v>4537</v>
      </c>
      <c r="N184" s="6" t="s">
        <v>545</v>
      </c>
      <c r="O184" s="29">
        <f t="shared" si="3"/>
        <v>196000.35</v>
      </c>
      <c r="Q184" s="30" t="s">
        <v>545</v>
      </c>
      <c r="R184" s="31">
        <v>196000.35</v>
      </c>
    </row>
    <row r="185" s="1" customFormat="1" ht="16.35" hidden="1" customHeight="1" spans="1:18">
      <c r="A185" s="6" t="s">
        <v>4506</v>
      </c>
      <c r="B185" s="6">
        <v>2016</v>
      </c>
      <c r="C185" s="6">
        <v>5</v>
      </c>
      <c r="D185" s="7">
        <v>55</v>
      </c>
      <c r="E185" s="6" t="s">
        <v>4591</v>
      </c>
      <c r="F185" s="6" t="s">
        <v>4508</v>
      </c>
      <c r="G185" s="6" t="s">
        <v>25</v>
      </c>
      <c r="H185" s="8"/>
      <c r="I185" s="8">
        <v>9524</v>
      </c>
      <c r="J185" s="6" t="s">
        <v>3239</v>
      </c>
      <c r="K185" s="6" t="s">
        <v>695</v>
      </c>
      <c r="L185" s="6" t="s">
        <v>4509</v>
      </c>
      <c r="M185" s="6" t="s">
        <v>4537</v>
      </c>
      <c r="N185" s="6" t="s">
        <v>695</v>
      </c>
      <c r="O185" s="29">
        <f t="shared" si="3"/>
        <v>10000.2</v>
      </c>
      <c r="Q185" s="30" t="s">
        <v>695</v>
      </c>
      <c r="R185" s="31">
        <v>10000.2</v>
      </c>
    </row>
    <row r="186" s="1" customFormat="1" ht="16.35" hidden="1" customHeight="1" spans="1:18">
      <c r="A186" s="6" t="s">
        <v>4506</v>
      </c>
      <c r="B186" s="6">
        <v>2016</v>
      </c>
      <c r="C186" s="6">
        <v>5</v>
      </c>
      <c r="D186" s="7">
        <v>56</v>
      </c>
      <c r="E186" s="6" t="s">
        <v>4592</v>
      </c>
      <c r="F186" s="6" t="s">
        <v>4508</v>
      </c>
      <c r="G186" s="6" t="s">
        <v>25</v>
      </c>
      <c r="H186" s="8"/>
      <c r="I186" s="8">
        <v>9524</v>
      </c>
      <c r="J186" s="6" t="s">
        <v>3277</v>
      </c>
      <c r="K186" s="6" t="s">
        <v>886</v>
      </c>
      <c r="L186" s="6" t="s">
        <v>4509</v>
      </c>
      <c r="M186" s="6" t="s">
        <v>4537</v>
      </c>
      <c r="N186" s="6" t="s">
        <v>886</v>
      </c>
      <c r="O186" s="29">
        <f t="shared" si="3"/>
        <v>10000.2</v>
      </c>
      <c r="Q186" s="30" t="s">
        <v>886</v>
      </c>
      <c r="R186" s="31">
        <v>10000.2</v>
      </c>
    </row>
    <row r="187" s="1" customFormat="1" ht="16.35" hidden="1" customHeight="1" spans="1:18">
      <c r="A187" s="6" t="s">
        <v>4506</v>
      </c>
      <c r="B187" s="6">
        <v>2016</v>
      </c>
      <c r="C187" s="6">
        <v>5</v>
      </c>
      <c r="D187" s="7">
        <v>57</v>
      </c>
      <c r="E187" s="6" t="s">
        <v>4593</v>
      </c>
      <c r="F187" s="6" t="s">
        <v>4508</v>
      </c>
      <c r="G187" s="6" t="s">
        <v>25</v>
      </c>
      <c r="H187" s="8"/>
      <c r="I187" s="8">
        <v>58301</v>
      </c>
      <c r="J187" s="6" t="s">
        <v>3150</v>
      </c>
      <c r="K187" s="6" t="s">
        <v>609</v>
      </c>
      <c r="L187" s="6" t="s">
        <v>4509</v>
      </c>
      <c r="M187" s="6" t="s">
        <v>4537</v>
      </c>
      <c r="N187" s="6" t="s">
        <v>609</v>
      </c>
      <c r="O187" s="29">
        <f t="shared" si="3"/>
        <v>61216.05</v>
      </c>
      <c r="Q187" s="30" t="s">
        <v>609</v>
      </c>
      <c r="R187" s="31">
        <v>61216.05</v>
      </c>
    </row>
    <row r="188" s="1" customFormat="1" ht="16.35" hidden="1" customHeight="1" spans="1:18">
      <c r="A188" s="6" t="s">
        <v>4506</v>
      </c>
      <c r="B188" s="6">
        <v>2016</v>
      </c>
      <c r="C188" s="6">
        <v>5</v>
      </c>
      <c r="D188" s="7">
        <v>58</v>
      </c>
      <c r="E188" s="6" t="s">
        <v>4594</v>
      </c>
      <c r="F188" s="6" t="s">
        <v>4508</v>
      </c>
      <c r="G188" s="6" t="s">
        <v>25</v>
      </c>
      <c r="H188" s="8"/>
      <c r="I188" s="8">
        <v>78082</v>
      </c>
      <c r="J188" s="6" t="s">
        <v>3281</v>
      </c>
      <c r="K188" s="6" t="s">
        <v>449</v>
      </c>
      <c r="L188" s="6" t="s">
        <v>4509</v>
      </c>
      <c r="M188" s="6" t="s">
        <v>4537</v>
      </c>
      <c r="N188" s="6" t="s">
        <v>449</v>
      </c>
      <c r="O188" s="29">
        <f t="shared" si="3"/>
        <v>81986.1</v>
      </c>
      <c r="Q188" s="30" t="s">
        <v>449</v>
      </c>
      <c r="R188" s="31">
        <v>81986.1</v>
      </c>
    </row>
    <row r="189" s="1" customFormat="1" ht="16.35" hidden="1" customHeight="1" spans="1:18">
      <c r="A189" s="6" t="s">
        <v>4506</v>
      </c>
      <c r="B189" s="6">
        <v>2016</v>
      </c>
      <c r="C189" s="6">
        <v>5</v>
      </c>
      <c r="D189" s="7">
        <v>59</v>
      </c>
      <c r="E189" s="6" t="s">
        <v>4595</v>
      </c>
      <c r="F189" s="6" t="s">
        <v>4508</v>
      </c>
      <c r="G189" s="6" t="s">
        <v>25</v>
      </c>
      <c r="H189" s="8"/>
      <c r="I189" s="8">
        <v>9524</v>
      </c>
      <c r="J189" s="6" t="s">
        <v>3283</v>
      </c>
      <c r="K189" s="6" t="s">
        <v>709</v>
      </c>
      <c r="L189" s="6" t="s">
        <v>4509</v>
      </c>
      <c r="M189" s="6" t="s">
        <v>4537</v>
      </c>
      <c r="N189" s="6" t="s">
        <v>709</v>
      </c>
      <c r="O189" s="29">
        <f t="shared" si="3"/>
        <v>10000.2</v>
      </c>
      <c r="Q189" s="30" t="s">
        <v>709</v>
      </c>
      <c r="R189" s="31">
        <v>10000.2</v>
      </c>
    </row>
    <row r="190" s="1" customFormat="1" ht="16.35" hidden="1" customHeight="1" spans="1:18">
      <c r="A190" s="6" t="s">
        <v>4506</v>
      </c>
      <c r="B190" s="6">
        <v>2016</v>
      </c>
      <c r="C190" s="6">
        <v>5</v>
      </c>
      <c r="D190" s="7">
        <v>65</v>
      </c>
      <c r="E190" s="6" t="s">
        <v>4596</v>
      </c>
      <c r="F190" s="6" t="s">
        <v>4508</v>
      </c>
      <c r="G190" s="6" t="s">
        <v>25</v>
      </c>
      <c r="H190" s="8"/>
      <c r="I190" s="8">
        <v>209524</v>
      </c>
      <c r="J190" s="6" t="s">
        <v>3285</v>
      </c>
      <c r="K190" s="6" t="s">
        <v>134</v>
      </c>
      <c r="L190" s="6" t="s">
        <v>4509</v>
      </c>
      <c r="M190" s="6" t="s">
        <v>4537</v>
      </c>
      <c r="N190" s="6" t="s">
        <v>134</v>
      </c>
      <c r="O190" s="29">
        <f t="shared" si="3"/>
        <v>220000.2</v>
      </c>
      <c r="Q190" s="30" t="s">
        <v>134</v>
      </c>
      <c r="R190" s="31">
        <v>220000.2</v>
      </c>
    </row>
    <row r="191" s="1" customFormat="1" ht="16.35" hidden="1" customHeight="1" spans="1:18">
      <c r="A191" s="6" t="s">
        <v>4506</v>
      </c>
      <c r="B191" s="6">
        <v>2016</v>
      </c>
      <c r="C191" s="6">
        <v>5</v>
      </c>
      <c r="D191" s="7">
        <v>66</v>
      </c>
      <c r="E191" s="6" t="s">
        <v>4597</v>
      </c>
      <c r="F191" s="6" t="s">
        <v>4508</v>
      </c>
      <c r="G191" s="6" t="s">
        <v>25</v>
      </c>
      <c r="H191" s="8"/>
      <c r="I191" s="8">
        <v>171428</v>
      </c>
      <c r="J191" s="6" t="s">
        <v>3303</v>
      </c>
      <c r="K191" s="6" t="s">
        <v>92</v>
      </c>
      <c r="L191" s="6" t="s">
        <v>4509</v>
      </c>
      <c r="M191" s="6" t="s">
        <v>4537</v>
      </c>
      <c r="N191" s="6" t="s">
        <v>92</v>
      </c>
      <c r="O191" s="29">
        <f t="shared" si="3"/>
        <v>179999.4</v>
      </c>
      <c r="Q191" s="30" t="s">
        <v>92</v>
      </c>
      <c r="R191" s="31">
        <v>179999.4</v>
      </c>
    </row>
    <row r="192" s="1" customFormat="1" ht="16.35" hidden="1" customHeight="1" spans="1:18">
      <c r="A192" s="6" t="s">
        <v>4506</v>
      </c>
      <c r="B192" s="6">
        <v>2016</v>
      </c>
      <c r="C192" s="6">
        <v>5</v>
      </c>
      <c r="D192" s="7">
        <v>67</v>
      </c>
      <c r="E192" s="6" t="s">
        <v>4598</v>
      </c>
      <c r="F192" s="6" t="s">
        <v>4508</v>
      </c>
      <c r="G192" s="6" t="s">
        <v>25</v>
      </c>
      <c r="H192" s="8"/>
      <c r="I192" s="8">
        <v>190476</v>
      </c>
      <c r="J192" s="6" t="s">
        <v>3308</v>
      </c>
      <c r="K192" s="6" t="s">
        <v>473</v>
      </c>
      <c r="L192" s="6" t="s">
        <v>4509</v>
      </c>
      <c r="M192" s="6" t="s">
        <v>4537</v>
      </c>
      <c r="N192" s="6" t="s">
        <v>473</v>
      </c>
      <c r="O192" s="29">
        <f t="shared" si="3"/>
        <v>199999.8</v>
      </c>
      <c r="Q192" s="30" t="s">
        <v>473</v>
      </c>
      <c r="R192" s="31">
        <v>199999.8</v>
      </c>
    </row>
    <row r="193" s="1" customFormat="1" ht="16.35" hidden="1" customHeight="1" spans="1:18">
      <c r="A193" s="6" t="s">
        <v>4506</v>
      </c>
      <c r="B193" s="6">
        <v>2016</v>
      </c>
      <c r="C193" s="6">
        <v>5</v>
      </c>
      <c r="D193" s="7">
        <v>68</v>
      </c>
      <c r="E193" s="6" t="s">
        <v>4599</v>
      </c>
      <c r="F193" s="6" t="s">
        <v>4508</v>
      </c>
      <c r="G193" s="6" t="s">
        <v>25</v>
      </c>
      <c r="H193" s="8"/>
      <c r="I193" s="8">
        <v>199048</v>
      </c>
      <c r="J193" s="6" t="s">
        <v>3154</v>
      </c>
      <c r="K193" s="6" t="s">
        <v>144</v>
      </c>
      <c r="L193" s="6" t="s">
        <v>4509</v>
      </c>
      <c r="M193" s="6" t="s">
        <v>4537</v>
      </c>
      <c r="N193" s="6" t="s">
        <v>144</v>
      </c>
      <c r="O193" s="29">
        <f t="shared" si="3"/>
        <v>209000.4</v>
      </c>
      <c r="Q193" s="30" t="s">
        <v>144</v>
      </c>
      <c r="R193" s="31">
        <v>209000.4</v>
      </c>
    </row>
    <row r="194" s="1" customFormat="1" ht="16.35" hidden="1" customHeight="1" spans="1:18">
      <c r="A194" s="6" t="s">
        <v>4506</v>
      </c>
      <c r="B194" s="6">
        <v>2016</v>
      </c>
      <c r="C194" s="6">
        <v>5</v>
      </c>
      <c r="D194" s="7">
        <v>69</v>
      </c>
      <c r="E194" s="6" t="s">
        <v>4600</v>
      </c>
      <c r="F194" s="6" t="s">
        <v>4508</v>
      </c>
      <c r="G194" s="6" t="s">
        <v>25</v>
      </c>
      <c r="H194" s="8"/>
      <c r="I194" s="8">
        <v>180952</v>
      </c>
      <c r="J194" s="6" t="s">
        <v>3156</v>
      </c>
      <c r="K194" s="6" t="s">
        <v>148</v>
      </c>
      <c r="L194" s="6" t="s">
        <v>4509</v>
      </c>
      <c r="M194" s="6" t="s">
        <v>4537</v>
      </c>
      <c r="N194" s="6" t="s">
        <v>148</v>
      </c>
      <c r="O194" s="29">
        <f t="shared" si="3"/>
        <v>189999.6</v>
      </c>
      <c r="Q194" s="30" t="s">
        <v>148</v>
      </c>
      <c r="R194" s="31">
        <v>189999.6</v>
      </c>
    </row>
    <row r="195" s="1" customFormat="1" ht="16.35" hidden="1" customHeight="1" spans="1:18">
      <c r="A195" s="6" t="s">
        <v>4506</v>
      </c>
      <c r="B195" s="6">
        <v>2016</v>
      </c>
      <c r="C195" s="6">
        <v>5</v>
      </c>
      <c r="D195" s="7">
        <v>70</v>
      </c>
      <c r="E195" s="6" t="s">
        <v>4601</v>
      </c>
      <c r="F195" s="6" t="s">
        <v>4508</v>
      </c>
      <c r="G195" s="6" t="s">
        <v>25</v>
      </c>
      <c r="H195" s="8"/>
      <c r="I195" s="8">
        <v>85714</v>
      </c>
      <c r="J195" s="6" t="s">
        <v>3310</v>
      </c>
      <c r="K195" s="6" t="s">
        <v>102</v>
      </c>
      <c r="L195" s="6" t="s">
        <v>4509</v>
      </c>
      <c r="M195" s="6" t="s">
        <v>4537</v>
      </c>
      <c r="N195" s="6" t="s">
        <v>102</v>
      </c>
      <c r="O195" s="29">
        <f t="shared" si="3"/>
        <v>89999.7</v>
      </c>
      <c r="Q195" s="30" t="s">
        <v>102</v>
      </c>
      <c r="R195" s="31">
        <v>89999.7</v>
      </c>
    </row>
    <row r="196" s="1" customFormat="1" ht="16.35" hidden="1" customHeight="1" spans="1:18">
      <c r="A196" s="6" t="s">
        <v>4506</v>
      </c>
      <c r="B196" s="6">
        <v>2016</v>
      </c>
      <c r="C196" s="6">
        <v>5</v>
      </c>
      <c r="D196" s="7">
        <v>71</v>
      </c>
      <c r="E196" s="6" t="s">
        <v>4602</v>
      </c>
      <c r="F196" s="6" t="s">
        <v>4508</v>
      </c>
      <c r="G196" s="6" t="s">
        <v>25</v>
      </c>
      <c r="H196" s="8"/>
      <c r="I196" s="8">
        <v>190476</v>
      </c>
      <c r="J196" s="6" t="s">
        <v>3312</v>
      </c>
      <c r="K196" s="6" t="s">
        <v>78</v>
      </c>
      <c r="L196" s="6" t="s">
        <v>4509</v>
      </c>
      <c r="M196" s="6" t="s">
        <v>4537</v>
      </c>
      <c r="N196" s="6" t="s">
        <v>78</v>
      </c>
      <c r="O196" s="29">
        <f t="shared" si="3"/>
        <v>199999.8</v>
      </c>
      <c r="Q196" s="30" t="s">
        <v>78</v>
      </c>
      <c r="R196" s="31">
        <v>199999.8</v>
      </c>
    </row>
    <row r="197" s="1" customFormat="1" ht="16.35" hidden="1" customHeight="1" spans="1:18">
      <c r="A197" s="6" t="s">
        <v>4506</v>
      </c>
      <c r="B197" s="6">
        <v>2016</v>
      </c>
      <c r="C197" s="6">
        <v>5</v>
      </c>
      <c r="D197" s="7">
        <v>72</v>
      </c>
      <c r="E197" s="6" t="s">
        <v>4603</v>
      </c>
      <c r="F197" s="6" t="s">
        <v>4508</v>
      </c>
      <c r="G197" s="6" t="s">
        <v>25</v>
      </c>
      <c r="H197" s="8"/>
      <c r="I197" s="8">
        <v>138095</v>
      </c>
      <c r="J197" s="6" t="s">
        <v>3314</v>
      </c>
      <c r="K197" s="6" t="s">
        <v>130</v>
      </c>
      <c r="L197" s="6" t="s">
        <v>4509</v>
      </c>
      <c r="M197" s="6" t="s">
        <v>4537</v>
      </c>
      <c r="N197" s="6" t="s">
        <v>130</v>
      </c>
      <c r="O197" s="29">
        <f t="shared" si="3"/>
        <v>144999.75</v>
      </c>
      <c r="Q197" s="30" t="s">
        <v>130</v>
      </c>
      <c r="R197" s="31">
        <v>144999.75</v>
      </c>
    </row>
    <row r="198" s="1" customFormat="1" ht="16.35" hidden="1" customHeight="1" spans="1:18">
      <c r="A198" s="6" t="s">
        <v>4506</v>
      </c>
      <c r="B198" s="6">
        <v>2016</v>
      </c>
      <c r="C198" s="6">
        <v>5</v>
      </c>
      <c r="D198" s="7">
        <v>73</v>
      </c>
      <c r="E198" s="6" t="s">
        <v>4604</v>
      </c>
      <c r="F198" s="6" t="s">
        <v>4508</v>
      </c>
      <c r="G198" s="6" t="s">
        <v>25</v>
      </c>
      <c r="H198" s="8"/>
      <c r="I198" s="8">
        <v>180952</v>
      </c>
      <c r="J198" s="6" t="s">
        <v>3188</v>
      </c>
      <c r="K198" s="6" t="s">
        <v>58</v>
      </c>
      <c r="L198" s="6" t="s">
        <v>4509</v>
      </c>
      <c r="M198" s="6" t="s">
        <v>4537</v>
      </c>
      <c r="N198" s="6" t="s">
        <v>58</v>
      </c>
      <c r="O198" s="29">
        <f t="shared" si="3"/>
        <v>189999.6</v>
      </c>
      <c r="Q198" s="30" t="s">
        <v>58</v>
      </c>
      <c r="R198" s="31">
        <v>189999.6</v>
      </c>
    </row>
    <row r="199" s="1" customFormat="1" ht="16.35" hidden="1" customHeight="1" spans="1:18">
      <c r="A199" s="6" t="s">
        <v>4506</v>
      </c>
      <c r="B199" s="6">
        <v>2016</v>
      </c>
      <c r="C199" s="6">
        <v>5</v>
      </c>
      <c r="D199" s="7">
        <v>74</v>
      </c>
      <c r="E199" s="6" t="s">
        <v>4605</v>
      </c>
      <c r="F199" s="6" t="s">
        <v>4508</v>
      </c>
      <c r="G199" s="6" t="s">
        <v>25</v>
      </c>
      <c r="H199" s="8"/>
      <c r="I199" s="8">
        <v>190476</v>
      </c>
      <c r="J199" s="6" t="s">
        <v>3316</v>
      </c>
      <c r="K199" s="6" t="s">
        <v>73</v>
      </c>
      <c r="L199" s="6" t="s">
        <v>4509</v>
      </c>
      <c r="M199" s="6" t="s">
        <v>4537</v>
      </c>
      <c r="N199" s="6" t="s">
        <v>73</v>
      </c>
      <c r="O199" s="29">
        <f t="shared" si="3"/>
        <v>199999.8</v>
      </c>
      <c r="Q199" s="30" t="s">
        <v>73</v>
      </c>
      <c r="R199" s="31">
        <v>199999.8</v>
      </c>
    </row>
    <row r="200" s="1" customFormat="1" ht="16.35" hidden="1" customHeight="1" spans="1:18">
      <c r="A200" s="6" t="s">
        <v>4506</v>
      </c>
      <c r="B200" s="6">
        <v>2016</v>
      </c>
      <c r="C200" s="6">
        <v>5</v>
      </c>
      <c r="D200" s="7">
        <v>75</v>
      </c>
      <c r="E200" s="6" t="s">
        <v>4606</v>
      </c>
      <c r="F200" s="6" t="s">
        <v>4508</v>
      </c>
      <c r="G200" s="6" t="s">
        <v>25</v>
      </c>
      <c r="H200" s="8"/>
      <c r="I200" s="8">
        <v>138095</v>
      </c>
      <c r="J200" s="6" t="s">
        <v>3325</v>
      </c>
      <c r="K200" s="6" t="s">
        <v>132</v>
      </c>
      <c r="L200" s="6" t="s">
        <v>4509</v>
      </c>
      <c r="M200" s="6" t="s">
        <v>4537</v>
      </c>
      <c r="N200" s="6" t="s">
        <v>132</v>
      </c>
      <c r="O200" s="29">
        <f t="shared" si="3"/>
        <v>144999.75</v>
      </c>
      <c r="Q200" s="30" t="s">
        <v>132</v>
      </c>
      <c r="R200" s="31">
        <v>144999.75</v>
      </c>
    </row>
    <row r="201" s="1" customFormat="1" ht="16.35" hidden="1" customHeight="1" spans="1:18">
      <c r="A201" s="6" t="s">
        <v>4506</v>
      </c>
      <c r="B201" s="6">
        <v>2016</v>
      </c>
      <c r="C201" s="6">
        <v>5</v>
      </c>
      <c r="D201" s="7">
        <v>76</v>
      </c>
      <c r="E201" s="6" t="s">
        <v>4607</v>
      </c>
      <c r="F201" s="6" t="s">
        <v>4508</v>
      </c>
      <c r="G201" s="6" t="s">
        <v>25</v>
      </c>
      <c r="H201" s="8"/>
      <c r="I201" s="8">
        <v>182857</v>
      </c>
      <c r="J201" s="6" t="s">
        <v>3327</v>
      </c>
      <c r="K201" s="6" t="s">
        <v>51</v>
      </c>
      <c r="L201" s="6" t="s">
        <v>4509</v>
      </c>
      <c r="M201" s="6" t="s">
        <v>4537</v>
      </c>
      <c r="N201" s="6" t="s">
        <v>51</v>
      </c>
      <c r="O201" s="29">
        <f t="shared" si="3"/>
        <v>191999.85</v>
      </c>
      <c r="Q201" s="30" t="s">
        <v>51</v>
      </c>
      <c r="R201" s="31">
        <v>191999.85</v>
      </c>
    </row>
    <row r="202" s="1" customFormat="1" ht="16.35" hidden="1" customHeight="1" spans="1:18">
      <c r="A202" s="6" t="s">
        <v>4506</v>
      </c>
      <c r="B202" s="6">
        <v>2016</v>
      </c>
      <c r="C202" s="6">
        <v>5</v>
      </c>
      <c r="D202" s="7">
        <v>77</v>
      </c>
      <c r="E202" s="6" t="s">
        <v>4608</v>
      </c>
      <c r="F202" s="6" t="s">
        <v>4508</v>
      </c>
      <c r="G202" s="6" t="s">
        <v>25</v>
      </c>
      <c r="H202" s="8"/>
      <c r="I202" s="8">
        <v>161905</v>
      </c>
      <c r="J202" s="6" t="s">
        <v>3332</v>
      </c>
      <c r="K202" s="6" t="s">
        <v>136</v>
      </c>
      <c r="L202" s="6" t="s">
        <v>4509</v>
      </c>
      <c r="M202" s="6" t="s">
        <v>4537</v>
      </c>
      <c r="N202" s="6" t="s">
        <v>136</v>
      </c>
      <c r="O202" s="29">
        <f t="shared" si="3"/>
        <v>170000.25</v>
      </c>
      <c r="Q202" s="30" t="s">
        <v>136</v>
      </c>
      <c r="R202" s="31">
        <v>170000.25</v>
      </c>
    </row>
    <row r="203" s="1" customFormat="1" ht="16.35" hidden="1" customHeight="1" spans="1:18">
      <c r="A203" s="6" t="s">
        <v>4506</v>
      </c>
      <c r="B203" s="6">
        <v>2016</v>
      </c>
      <c r="C203" s="6">
        <v>5</v>
      </c>
      <c r="D203" s="7">
        <v>78</v>
      </c>
      <c r="E203" s="6" t="s">
        <v>4609</v>
      </c>
      <c r="F203" s="6" t="s">
        <v>4508</v>
      </c>
      <c r="G203" s="6" t="s">
        <v>25</v>
      </c>
      <c r="H203" s="8"/>
      <c r="I203" s="8">
        <v>212381</v>
      </c>
      <c r="J203" s="6" t="s">
        <v>3240</v>
      </c>
      <c r="K203" s="6" t="s">
        <v>120</v>
      </c>
      <c r="L203" s="6" t="s">
        <v>4509</v>
      </c>
      <c r="M203" s="6" t="s">
        <v>4537</v>
      </c>
      <c r="N203" s="6" t="s">
        <v>120</v>
      </c>
      <c r="O203" s="29">
        <f t="shared" si="3"/>
        <v>223000.05</v>
      </c>
      <c r="Q203" s="30" t="s">
        <v>120</v>
      </c>
      <c r="R203" s="31">
        <v>223000.05</v>
      </c>
    </row>
    <row r="204" s="1" customFormat="1" ht="16.35" hidden="1" customHeight="1" spans="1:18">
      <c r="A204" s="6" t="s">
        <v>4506</v>
      </c>
      <c r="B204" s="6">
        <v>2016</v>
      </c>
      <c r="C204" s="6">
        <v>5</v>
      </c>
      <c r="D204" s="7">
        <v>79</v>
      </c>
      <c r="E204" s="6" t="s">
        <v>4610</v>
      </c>
      <c r="F204" s="6" t="s">
        <v>4508</v>
      </c>
      <c r="G204" s="6" t="s">
        <v>25</v>
      </c>
      <c r="H204" s="8"/>
      <c r="I204" s="8">
        <v>80000</v>
      </c>
      <c r="J204" s="6" t="s">
        <v>3344</v>
      </c>
      <c r="K204" s="6" t="s">
        <v>392</v>
      </c>
      <c r="L204" s="6" t="s">
        <v>4509</v>
      </c>
      <c r="M204" s="6" t="s">
        <v>4537</v>
      </c>
      <c r="N204" s="6" t="s">
        <v>392</v>
      </c>
      <c r="O204" s="29">
        <f t="shared" si="3"/>
        <v>84000</v>
      </c>
      <c r="Q204" s="30" t="s">
        <v>392</v>
      </c>
      <c r="R204" s="31">
        <v>84000</v>
      </c>
    </row>
    <row r="205" s="1" customFormat="1" ht="16.35" hidden="1" customHeight="1" spans="1:18">
      <c r="A205" s="6" t="s">
        <v>4506</v>
      </c>
      <c r="B205" s="6">
        <v>2016</v>
      </c>
      <c r="C205" s="6">
        <v>5</v>
      </c>
      <c r="D205" s="7">
        <v>80</v>
      </c>
      <c r="E205" s="6" t="s">
        <v>4611</v>
      </c>
      <c r="F205" s="6" t="s">
        <v>4508</v>
      </c>
      <c r="G205" s="6" t="s">
        <v>25</v>
      </c>
      <c r="H205" s="8"/>
      <c r="I205" s="8">
        <v>123810</v>
      </c>
      <c r="J205" s="6" t="s">
        <v>3348</v>
      </c>
      <c r="K205" s="6" t="s">
        <v>65</v>
      </c>
      <c r="L205" s="6" t="s">
        <v>4509</v>
      </c>
      <c r="M205" s="6" t="s">
        <v>4537</v>
      </c>
      <c r="N205" s="6" t="s">
        <v>65</v>
      </c>
      <c r="O205" s="29">
        <f t="shared" si="3"/>
        <v>130000.5</v>
      </c>
      <c r="Q205" s="30" t="s">
        <v>65</v>
      </c>
      <c r="R205" s="31">
        <v>130000.5</v>
      </c>
    </row>
    <row r="206" s="1" customFormat="1" ht="16.35" hidden="1" customHeight="1" spans="1:18">
      <c r="A206" s="6" t="s">
        <v>4506</v>
      </c>
      <c r="B206" s="6">
        <v>2016</v>
      </c>
      <c r="C206" s="6">
        <v>5</v>
      </c>
      <c r="D206" s="7">
        <v>81</v>
      </c>
      <c r="E206" s="6" t="s">
        <v>4612</v>
      </c>
      <c r="F206" s="6" t="s">
        <v>4508</v>
      </c>
      <c r="G206" s="6" t="s">
        <v>25</v>
      </c>
      <c r="H206" s="8"/>
      <c r="I206" s="8">
        <v>95238</v>
      </c>
      <c r="J206" s="6" t="s">
        <v>3355</v>
      </c>
      <c r="K206" s="6" t="s">
        <v>54</v>
      </c>
      <c r="L206" s="6" t="s">
        <v>4509</v>
      </c>
      <c r="M206" s="6" t="s">
        <v>4537</v>
      </c>
      <c r="N206" s="6" t="s">
        <v>54</v>
      </c>
      <c r="O206" s="29">
        <f t="shared" si="3"/>
        <v>99999.9</v>
      </c>
      <c r="Q206" s="30" t="s">
        <v>54</v>
      </c>
      <c r="R206" s="31">
        <v>99999.9</v>
      </c>
    </row>
    <row r="207" s="1" customFormat="1" ht="16.35" hidden="1" customHeight="1" spans="1:18">
      <c r="A207" s="6" t="s">
        <v>4506</v>
      </c>
      <c r="B207" s="6">
        <v>2016</v>
      </c>
      <c r="C207" s="6">
        <v>5</v>
      </c>
      <c r="D207" s="7">
        <v>82</v>
      </c>
      <c r="E207" s="6" t="s">
        <v>4613</v>
      </c>
      <c r="F207" s="6" t="s">
        <v>4508</v>
      </c>
      <c r="G207" s="6" t="s">
        <v>25</v>
      </c>
      <c r="H207" s="8"/>
      <c r="I207" s="8">
        <v>180952</v>
      </c>
      <c r="J207" s="6" t="s">
        <v>3357</v>
      </c>
      <c r="K207" s="6" t="s">
        <v>63</v>
      </c>
      <c r="L207" s="6" t="s">
        <v>4509</v>
      </c>
      <c r="M207" s="6" t="s">
        <v>4537</v>
      </c>
      <c r="N207" s="6" t="s">
        <v>63</v>
      </c>
      <c r="O207" s="29">
        <f t="shared" si="3"/>
        <v>189999.6</v>
      </c>
      <c r="Q207" s="30" t="s">
        <v>63</v>
      </c>
      <c r="R207" s="31">
        <v>189999.6</v>
      </c>
    </row>
    <row r="208" s="1" customFormat="1" ht="16.35" hidden="1" customHeight="1" spans="1:18">
      <c r="A208" s="6" t="s">
        <v>4506</v>
      </c>
      <c r="B208" s="6">
        <v>2016</v>
      </c>
      <c r="C208" s="6">
        <v>5</v>
      </c>
      <c r="D208" s="7">
        <v>83</v>
      </c>
      <c r="E208" s="6" t="s">
        <v>4614</v>
      </c>
      <c r="F208" s="6" t="s">
        <v>4508</v>
      </c>
      <c r="G208" s="6" t="s">
        <v>25</v>
      </c>
      <c r="H208" s="8"/>
      <c r="I208" s="8">
        <v>189524</v>
      </c>
      <c r="J208" s="6" t="s">
        <v>3361</v>
      </c>
      <c r="K208" s="6" t="s">
        <v>124</v>
      </c>
      <c r="L208" s="6" t="s">
        <v>4509</v>
      </c>
      <c r="M208" s="6" t="s">
        <v>4537</v>
      </c>
      <c r="N208" s="6" t="s">
        <v>124</v>
      </c>
      <c r="O208" s="29">
        <f t="shared" si="3"/>
        <v>199000.2</v>
      </c>
      <c r="Q208" s="30" t="s">
        <v>124</v>
      </c>
      <c r="R208" s="31">
        <v>199000.2</v>
      </c>
    </row>
    <row r="209" s="1" customFormat="1" ht="16.35" hidden="1" customHeight="1" spans="1:18">
      <c r="A209" s="6" t="s">
        <v>4506</v>
      </c>
      <c r="B209" s="6">
        <v>2016</v>
      </c>
      <c r="C209" s="6">
        <v>5</v>
      </c>
      <c r="D209" s="7">
        <v>84</v>
      </c>
      <c r="E209" s="6" t="s">
        <v>796</v>
      </c>
      <c r="F209" s="6" t="s">
        <v>4508</v>
      </c>
      <c r="G209" s="6" t="s">
        <v>25</v>
      </c>
      <c r="H209" s="8"/>
      <c r="I209" s="8">
        <v>294833</v>
      </c>
      <c r="J209" s="6" t="s">
        <v>3259</v>
      </c>
      <c r="K209" s="6" t="s">
        <v>796</v>
      </c>
      <c r="L209" s="6" t="s">
        <v>4509</v>
      </c>
      <c r="M209" s="6" t="s">
        <v>4537</v>
      </c>
      <c r="N209" s="6" t="s">
        <v>796</v>
      </c>
      <c r="O209" s="29">
        <f t="shared" si="3"/>
        <v>309574.65</v>
      </c>
      <c r="Q209" s="30" t="s">
        <v>796</v>
      </c>
      <c r="R209" s="31">
        <v>309574.65</v>
      </c>
    </row>
    <row r="210" s="1" customFormat="1" ht="16.35" hidden="1" customHeight="1" spans="1:18">
      <c r="A210" s="6" t="s">
        <v>4506</v>
      </c>
      <c r="B210" s="6">
        <v>2016</v>
      </c>
      <c r="C210" s="6">
        <v>5</v>
      </c>
      <c r="D210" s="7">
        <v>84</v>
      </c>
      <c r="E210" s="6" t="s">
        <v>798</v>
      </c>
      <c r="F210" s="6" t="s">
        <v>4508</v>
      </c>
      <c r="G210" s="6" t="s">
        <v>25</v>
      </c>
      <c r="H210" s="8"/>
      <c r="I210" s="8">
        <v>294833</v>
      </c>
      <c r="J210" s="6" t="s">
        <v>3260</v>
      </c>
      <c r="K210" s="6" t="s">
        <v>798</v>
      </c>
      <c r="L210" s="6" t="s">
        <v>4509</v>
      </c>
      <c r="M210" s="6" t="s">
        <v>4537</v>
      </c>
      <c r="N210" s="6" t="s">
        <v>798</v>
      </c>
      <c r="O210" s="29">
        <f t="shared" si="3"/>
        <v>309574.65</v>
      </c>
      <c r="Q210" s="30" t="s">
        <v>798</v>
      </c>
      <c r="R210" s="31">
        <v>309574.65</v>
      </c>
    </row>
    <row r="211" s="1" customFormat="1" ht="16.35" hidden="1" customHeight="1" spans="1:18">
      <c r="A211" s="6" t="s">
        <v>4506</v>
      </c>
      <c r="B211" s="6">
        <v>2016</v>
      </c>
      <c r="C211" s="6">
        <v>5</v>
      </c>
      <c r="D211" s="7">
        <v>84</v>
      </c>
      <c r="E211" s="6" t="s">
        <v>799</v>
      </c>
      <c r="F211" s="6" t="s">
        <v>4508</v>
      </c>
      <c r="G211" s="6" t="s">
        <v>25</v>
      </c>
      <c r="H211" s="8"/>
      <c r="I211" s="8">
        <v>294833</v>
      </c>
      <c r="J211" s="6" t="s">
        <v>3261</v>
      </c>
      <c r="K211" s="6" t="s">
        <v>799</v>
      </c>
      <c r="L211" s="6" t="s">
        <v>4509</v>
      </c>
      <c r="M211" s="6" t="s">
        <v>4537</v>
      </c>
      <c r="N211" s="6" t="s">
        <v>799</v>
      </c>
      <c r="O211" s="29">
        <f t="shared" si="3"/>
        <v>309574.65</v>
      </c>
      <c r="Q211" s="30" t="s">
        <v>799</v>
      </c>
      <c r="R211" s="31">
        <v>309574.65</v>
      </c>
    </row>
    <row r="212" s="1" customFormat="1" ht="16.35" hidden="1" customHeight="1" spans="1:18">
      <c r="A212" s="6" t="s">
        <v>4506</v>
      </c>
      <c r="B212" s="6">
        <v>2016</v>
      </c>
      <c r="C212" s="6">
        <v>5</v>
      </c>
      <c r="D212" s="7">
        <v>84</v>
      </c>
      <c r="E212" s="6" t="s">
        <v>800</v>
      </c>
      <c r="F212" s="6" t="s">
        <v>4508</v>
      </c>
      <c r="G212" s="6" t="s">
        <v>25</v>
      </c>
      <c r="H212" s="8"/>
      <c r="I212" s="8">
        <v>294833</v>
      </c>
      <c r="J212" s="6" t="s">
        <v>3262</v>
      </c>
      <c r="K212" s="6" t="s">
        <v>800</v>
      </c>
      <c r="L212" s="6" t="s">
        <v>4509</v>
      </c>
      <c r="M212" s="6" t="s">
        <v>4537</v>
      </c>
      <c r="N212" s="6" t="s">
        <v>800</v>
      </c>
      <c r="O212" s="29">
        <f t="shared" si="3"/>
        <v>309574.65</v>
      </c>
      <c r="Q212" s="30" t="s">
        <v>800</v>
      </c>
      <c r="R212" s="31">
        <v>309574.65</v>
      </c>
    </row>
    <row r="213" s="1" customFormat="1" ht="16.35" hidden="1" customHeight="1" spans="1:18">
      <c r="A213" s="6" t="s">
        <v>4506</v>
      </c>
      <c r="B213" s="6">
        <v>2016</v>
      </c>
      <c r="C213" s="6">
        <v>5</v>
      </c>
      <c r="D213" s="7">
        <v>84</v>
      </c>
      <c r="E213" s="6" t="s">
        <v>801</v>
      </c>
      <c r="F213" s="6" t="s">
        <v>4508</v>
      </c>
      <c r="G213" s="6" t="s">
        <v>25</v>
      </c>
      <c r="H213" s="8"/>
      <c r="I213" s="8">
        <v>294833</v>
      </c>
      <c r="J213" s="6" t="s">
        <v>3263</v>
      </c>
      <c r="K213" s="6" t="s">
        <v>801</v>
      </c>
      <c r="L213" s="6" t="s">
        <v>4509</v>
      </c>
      <c r="M213" s="6" t="s">
        <v>4537</v>
      </c>
      <c r="N213" s="6" t="s">
        <v>801</v>
      </c>
      <c r="O213" s="29">
        <f t="shared" si="3"/>
        <v>309574.65</v>
      </c>
      <c r="Q213" s="30" t="s">
        <v>801</v>
      </c>
      <c r="R213" s="31">
        <v>309574.65</v>
      </c>
    </row>
    <row r="214" s="1" customFormat="1" ht="16.35" hidden="1" customHeight="1" spans="1:18">
      <c r="A214" s="6" t="s">
        <v>4506</v>
      </c>
      <c r="B214" s="6">
        <v>2016</v>
      </c>
      <c r="C214" s="6">
        <v>5</v>
      </c>
      <c r="D214" s="7">
        <v>84</v>
      </c>
      <c r="E214" s="6" t="s">
        <v>802</v>
      </c>
      <c r="F214" s="6" t="s">
        <v>4508</v>
      </c>
      <c r="G214" s="6" t="s">
        <v>25</v>
      </c>
      <c r="H214" s="8"/>
      <c r="I214" s="8">
        <v>294833</v>
      </c>
      <c r="J214" s="6" t="s">
        <v>3264</v>
      </c>
      <c r="K214" s="6" t="s">
        <v>802</v>
      </c>
      <c r="L214" s="6" t="s">
        <v>4509</v>
      </c>
      <c r="M214" s="6" t="s">
        <v>4537</v>
      </c>
      <c r="N214" s="6" t="s">
        <v>802</v>
      </c>
      <c r="O214" s="29">
        <f t="shared" si="3"/>
        <v>309574.65</v>
      </c>
      <c r="Q214" s="30" t="s">
        <v>802</v>
      </c>
      <c r="R214" s="31">
        <v>309574.65</v>
      </c>
    </row>
    <row r="215" s="1" customFormat="1" ht="16.35" hidden="1" customHeight="1" spans="1:18">
      <c r="A215" s="6" t="s">
        <v>4506</v>
      </c>
      <c r="B215" s="6">
        <v>2016</v>
      </c>
      <c r="C215" s="6">
        <v>5</v>
      </c>
      <c r="D215" s="7">
        <v>84</v>
      </c>
      <c r="E215" s="6" t="s">
        <v>953</v>
      </c>
      <c r="F215" s="6" t="s">
        <v>4508</v>
      </c>
      <c r="G215" s="6" t="s">
        <v>25</v>
      </c>
      <c r="H215" s="8"/>
      <c r="I215" s="8">
        <v>140155</v>
      </c>
      <c r="J215" s="6" t="s">
        <v>3266</v>
      </c>
      <c r="K215" s="6" t="s">
        <v>953</v>
      </c>
      <c r="L215" s="6" t="s">
        <v>4509</v>
      </c>
      <c r="M215" s="6" t="s">
        <v>4537</v>
      </c>
      <c r="N215" s="6" t="s">
        <v>953</v>
      </c>
      <c r="O215" s="29">
        <f t="shared" si="3"/>
        <v>147162.75</v>
      </c>
      <c r="Q215" s="30" t="s">
        <v>953</v>
      </c>
      <c r="R215" s="31">
        <v>147162.75</v>
      </c>
    </row>
    <row r="216" s="1" customFormat="1" ht="16.35" hidden="1" customHeight="1" spans="1:18">
      <c r="A216" s="6" t="s">
        <v>4506</v>
      </c>
      <c r="B216" s="6">
        <v>2016</v>
      </c>
      <c r="C216" s="6">
        <v>5</v>
      </c>
      <c r="D216" s="7">
        <v>95</v>
      </c>
      <c r="E216" s="6" t="s">
        <v>2935</v>
      </c>
      <c r="F216" s="6" t="s">
        <v>4508</v>
      </c>
      <c r="G216" s="6" t="s">
        <v>25</v>
      </c>
      <c r="H216" s="8"/>
      <c r="I216" s="8">
        <v>347420</v>
      </c>
      <c r="J216" s="6" t="s">
        <v>3267</v>
      </c>
      <c r="K216" s="6" t="s">
        <v>425</v>
      </c>
      <c r="L216" s="6" t="s">
        <v>4509</v>
      </c>
      <c r="M216" s="6" t="s">
        <v>4537</v>
      </c>
      <c r="N216" s="6" t="s">
        <v>425</v>
      </c>
      <c r="O216" s="29">
        <f t="shared" si="3"/>
        <v>364791</v>
      </c>
      <c r="Q216" s="30" t="s">
        <v>425</v>
      </c>
      <c r="R216" s="31">
        <v>364791</v>
      </c>
    </row>
    <row r="217" s="1" customFormat="1" ht="16.35" hidden="1" customHeight="1" spans="1:18">
      <c r="A217" s="6" t="s">
        <v>4506</v>
      </c>
      <c r="B217" s="6">
        <v>2016</v>
      </c>
      <c r="C217" s="6">
        <v>5</v>
      </c>
      <c r="D217" s="7">
        <v>95</v>
      </c>
      <c r="E217" s="6" t="s">
        <v>2935</v>
      </c>
      <c r="F217" s="6" t="s">
        <v>4508</v>
      </c>
      <c r="G217" s="6" t="s">
        <v>25</v>
      </c>
      <c r="H217" s="8"/>
      <c r="I217" s="8">
        <v>374374</v>
      </c>
      <c r="J217" s="6" t="s">
        <v>3268</v>
      </c>
      <c r="K217" s="6" t="s">
        <v>429</v>
      </c>
      <c r="L217" s="6" t="s">
        <v>4509</v>
      </c>
      <c r="M217" s="6" t="s">
        <v>4537</v>
      </c>
      <c r="N217" s="6" t="s">
        <v>429</v>
      </c>
      <c r="O217" s="29">
        <f t="shared" ref="O217:O280" si="4">I217*1.05</f>
        <v>393092.7</v>
      </c>
      <c r="Q217" s="30" t="s">
        <v>429</v>
      </c>
      <c r="R217" s="31">
        <v>393092.7</v>
      </c>
    </row>
    <row r="218" s="1" customFormat="1" ht="16.35" hidden="1" customHeight="1" spans="1:18">
      <c r="A218" s="6" t="s">
        <v>4506</v>
      </c>
      <c r="B218" s="6">
        <v>2016</v>
      </c>
      <c r="C218" s="6">
        <v>5</v>
      </c>
      <c r="D218" s="7">
        <v>95</v>
      </c>
      <c r="E218" s="6" t="s">
        <v>2935</v>
      </c>
      <c r="F218" s="6" t="s">
        <v>4508</v>
      </c>
      <c r="G218" s="6" t="s">
        <v>25</v>
      </c>
      <c r="H218" s="8"/>
      <c r="I218" s="8">
        <v>374374</v>
      </c>
      <c r="J218" s="6" t="s">
        <v>3269</v>
      </c>
      <c r="K218" s="6" t="s">
        <v>433</v>
      </c>
      <c r="L218" s="6" t="s">
        <v>4509</v>
      </c>
      <c r="M218" s="6" t="s">
        <v>4537</v>
      </c>
      <c r="N218" s="6" t="s">
        <v>433</v>
      </c>
      <c r="O218" s="29">
        <f t="shared" si="4"/>
        <v>393092.7</v>
      </c>
      <c r="Q218" s="30" t="s">
        <v>433</v>
      </c>
      <c r="R218" s="31">
        <v>393092.7</v>
      </c>
    </row>
    <row r="219" s="1" customFormat="1" ht="16.35" hidden="1" customHeight="1" spans="1:18">
      <c r="A219" s="6" t="s">
        <v>4506</v>
      </c>
      <c r="B219" s="6">
        <v>2016</v>
      </c>
      <c r="C219" s="6">
        <v>5</v>
      </c>
      <c r="D219" s="7">
        <v>95</v>
      </c>
      <c r="E219" s="6" t="s">
        <v>2935</v>
      </c>
      <c r="F219" s="6" t="s">
        <v>4508</v>
      </c>
      <c r="G219" s="6" t="s">
        <v>25</v>
      </c>
      <c r="H219" s="8"/>
      <c r="I219" s="8">
        <v>329539</v>
      </c>
      <c r="J219" s="6" t="s">
        <v>3270</v>
      </c>
      <c r="K219" s="6" t="s">
        <v>435</v>
      </c>
      <c r="L219" s="6" t="s">
        <v>4509</v>
      </c>
      <c r="M219" s="6" t="s">
        <v>4537</v>
      </c>
      <c r="N219" s="6" t="s">
        <v>435</v>
      </c>
      <c r="O219" s="29">
        <f t="shared" si="4"/>
        <v>346015.95</v>
      </c>
      <c r="Q219" s="30" t="s">
        <v>435</v>
      </c>
      <c r="R219" s="31">
        <v>346015.95</v>
      </c>
    </row>
    <row r="220" s="1" customFormat="1" ht="16.35" hidden="1" customHeight="1" spans="1:18">
      <c r="A220" s="6" t="s">
        <v>4506</v>
      </c>
      <c r="B220" s="6">
        <v>2016</v>
      </c>
      <c r="C220" s="6">
        <v>5</v>
      </c>
      <c r="D220" s="7">
        <v>95</v>
      </c>
      <c r="E220" s="6" t="s">
        <v>2935</v>
      </c>
      <c r="F220" s="6" t="s">
        <v>4508</v>
      </c>
      <c r="G220" s="6" t="s">
        <v>25</v>
      </c>
      <c r="H220" s="8"/>
      <c r="I220" s="8">
        <v>247664</v>
      </c>
      <c r="J220" s="6" t="s">
        <v>3271</v>
      </c>
      <c r="K220" s="6" t="s">
        <v>443</v>
      </c>
      <c r="L220" s="6" t="s">
        <v>4509</v>
      </c>
      <c r="M220" s="6" t="s">
        <v>4537</v>
      </c>
      <c r="N220" s="6" t="s">
        <v>443</v>
      </c>
      <c r="O220" s="29">
        <f t="shared" si="4"/>
        <v>260047.2</v>
      </c>
      <c r="Q220" s="30" t="s">
        <v>443</v>
      </c>
      <c r="R220" s="31">
        <v>260047.2</v>
      </c>
    </row>
    <row r="221" s="1" customFormat="1" ht="16.35" hidden="1" customHeight="1" spans="1:18">
      <c r="A221" s="6" t="s">
        <v>4506</v>
      </c>
      <c r="B221" s="6">
        <v>2016</v>
      </c>
      <c r="C221" s="6">
        <v>5</v>
      </c>
      <c r="D221" s="7">
        <v>95</v>
      </c>
      <c r="E221" s="6" t="s">
        <v>2935</v>
      </c>
      <c r="F221" s="6" t="s">
        <v>4508</v>
      </c>
      <c r="G221" s="6" t="s">
        <v>25</v>
      </c>
      <c r="H221" s="8"/>
      <c r="I221" s="8">
        <v>189263</v>
      </c>
      <c r="J221" s="6" t="s">
        <v>3272</v>
      </c>
      <c r="K221" s="6" t="s">
        <v>445</v>
      </c>
      <c r="L221" s="6" t="s">
        <v>4509</v>
      </c>
      <c r="M221" s="6" t="s">
        <v>4537</v>
      </c>
      <c r="N221" s="6" t="s">
        <v>445</v>
      </c>
      <c r="O221" s="29">
        <f t="shared" si="4"/>
        <v>198726.15</v>
      </c>
      <c r="Q221" s="30" t="s">
        <v>445</v>
      </c>
      <c r="R221" s="31">
        <v>198726.15</v>
      </c>
    </row>
    <row r="222" s="1" customFormat="1" ht="16.35" hidden="1" customHeight="1" spans="1:18">
      <c r="A222" s="6" t="s">
        <v>4506</v>
      </c>
      <c r="B222" s="6">
        <v>2016</v>
      </c>
      <c r="C222" s="6">
        <v>5</v>
      </c>
      <c r="D222" s="7">
        <v>95</v>
      </c>
      <c r="E222" s="6" t="s">
        <v>2935</v>
      </c>
      <c r="F222" s="6" t="s">
        <v>4508</v>
      </c>
      <c r="G222" s="6" t="s">
        <v>25</v>
      </c>
      <c r="H222" s="8"/>
      <c r="I222" s="8">
        <v>186836</v>
      </c>
      <c r="J222" s="6" t="s">
        <v>3273</v>
      </c>
      <c r="K222" s="6" t="s">
        <v>447</v>
      </c>
      <c r="L222" s="6" t="s">
        <v>4509</v>
      </c>
      <c r="M222" s="6" t="s">
        <v>4537</v>
      </c>
      <c r="N222" s="6" t="s">
        <v>447</v>
      </c>
      <c r="O222" s="29">
        <f t="shared" si="4"/>
        <v>196177.8</v>
      </c>
      <c r="Q222" s="30" t="s">
        <v>447</v>
      </c>
      <c r="R222" s="31">
        <v>196177.8</v>
      </c>
    </row>
    <row r="223" s="1" customFormat="1" ht="16.35" hidden="1" customHeight="1" spans="1:18">
      <c r="A223" s="6" t="s">
        <v>4506</v>
      </c>
      <c r="B223" s="6">
        <v>2016</v>
      </c>
      <c r="C223" s="6">
        <v>5</v>
      </c>
      <c r="D223" s="7">
        <v>95</v>
      </c>
      <c r="E223" s="6" t="s">
        <v>2935</v>
      </c>
      <c r="F223" s="6" t="s">
        <v>4508</v>
      </c>
      <c r="G223" s="6" t="s">
        <v>25</v>
      </c>
      <c r="H223" s="8"/>
      <c r="I223" s="8">
        <v>282111</v>
      </c>
      <c r="J223" s="6" t="s">
        <v>3274</v>
      </c>
      <c r="K223" s="6" t="s">
        <v>453</v>
      </c>
      <c r="L223" s="6" t="s">
        <v>4509</v>
      </c>
      <c r="M223" s="6" t="s">
        <v>4537</v>
      </c>
      <c r="N223" s="6" t="s">
        <v>453</v>
      </c>
      <c r="O223" s="29">
        <f t="shared" si="4"/>
        <v>296216.55</v>
      </c>
      <c r="Q223" s="30" t="s">
        <v>453</v>
      </c>
      <c r="R223" s="31">
        <v>296216.55</v>
      </c>
    </row>
    <row r="224" s="1" customFormat="1" ht="16.35" hidden="1" customHeight="1" spans="1:18">
      <c r="A224" s="6" t="s">
        <v>4506</v>
      </c>
      <c r="B224" s="6">
        <v>2016</v>
      </c>
      <c r="C224" s="6">
        <v>5</v>
      </c>
      <c r="D224" s="7">
        <v>95</v>
      </c>
      <c r="E224" s="6" t="s">
        <v>2935</v>
      </c>
      <c r="F224" s="6" t="s">
        <v>4508</v>
      </c>
      <c r="G224" s="6" t="s">
        <v>25</v>
      </c>
      <c r="H224" s="8"/>
      <c r="I224" s="8">
        <v>295985</v>
      </c>
      <c r="J224" s="6" t="s">
        <v>3275</v>
      </c>
      <c r="K224" s="6" t="s">
        <v>455</v>
      </c>
      <c r="L224" s="6" t="s">
        <v>4509</v>
      </c>
      <c r="M224" s="6" t="s">
        <v>4537</v>
      </c>
      <c r="N224" s="6" t="s">
        <v>455</v>
      </c>
      <c r="O224" s="29">
        <f t="shared" si="4"/>
        <v>310784.25</v>
      </c>
      <c r="Q224" s="30" t="s">
        <v>455</v>
      </c>
      <c r="R224" s="31">
        <v>310784.25</v>
      </c>
    </row>
    <row r="225" s="1" customFormat="1" ht="16.35" hidden="1" customHeight="1" spans="1:18">
      <c r="A225" s="6" t="s">
        <v>4506</v>
      </c>
      <c r="B225" s="6">
        <v>2016</v>
      </c>
      <c r="C225" s="6">
        <v>5</v>
      </c>
      <c r="D225" s="7">
        <v>95</v>
      </c>
      <c r="E225" s="6" t="s">
        <v>2935</v>
      </c>
      <c r="F225" s="6" t="s">
        <v>4508</v>
      </c>
      <c r="G225" s="6" t="s">
        <v>25</v>
      </c>
      <c r="H225" s="8"/>
      <c r="I225" s="8">
        <v>335096</v>
      </c>
      <c r="J225" s="6" t="s">
        <v>3652</v>
      </c>
      <c r="K225" s="6" t="s">
        <v>463</v>
      </c>
      <c r="L225" s="6" t="s">
        <v>4509</v>
      </c>
      <c r="M225" s="6" t="s">
        <v>4537</v>
      </c>
      <c r="N225" s="6" t="s">
        <v>463</v>
      </c>
      <c r="O225" s="29">
        <f t="shared" si="4"/>
        <v>351850.8</v>
      </c>
      <c r="Q225" s="30" t="s">
        <v>463</v>
      </c>
      <c r="R225" s="31">
        <v>351850.8</v>
      </c>
    </row>
    <row r="226" s="1" customFormat="1" ht="16.35" hidden="1" customHeight="1" spans="1:18">
      <c r="A226" s="6" t="s">
        <v>4506</v>
      </c>
      <c r="B226" s="6">
        <v>2016</v>
      </c>
      <c r="C226" s="6">
        <v>5</v>
      </c>
      <c r="D226" s="7">
        <v>95</v>
      </c>
      <c r="E226" s="6" t="s">
        <v>2935</v>
      </c>
      <c r="F226" s="6" t="s">
        <v>4508</v>
      </c>
      <c r="G226" s="6" t="s">
        <v>25</v>
      </c>
      <c r="H226" s="8"/>
      <c r="I226" s="8">
        <v>186836</v>
      </c>
      <c r="J226" s="6" t="s">
        <v>3655</v>
      </c>
      <c r="K226" s="6" t="s">
        <v>471</v>
      </c>
      <c r="L226" s="6" t="s">
        <v>4509</v>
      </c>
      <c r="M226" s="6" t="s">
        <v>4537</v>
      </c>
      <c r="N226" s="6" t="s">
        <v>471</v>
      </c>
      <c r="O226" s="29">
        <f t="shared" si="4"/>
        <v>196177.8</v>
      </c>
      <c r="Q226" s="30" t="s">
        <v>471</v>
      </c>
      <c r="R226" s="31">
        <v>196177.8</v>
      </c>
    </row>
    <row r="227" s="1" customFormat="1" ht="16.35" hidden="1" customHeight="1" spans="1:18">
      <c r="A227" s="6" t="s">
        <v>4506</v>
      </c>
      <c r="B227" s="6">
        <v>2016</v>
      </c>
      <c r="C227" s="6">
        <v>5</v>
      </c>
      <c r="D227" s="7">
        <v>95</v>
      </c>
      <c r="E227" s="6" t="s">
        <v>2935</v>
      </c>
      <c r="F227" s="6" t="s">
        <v>4508</v>
      </c>
      <c r="G227" s="6" t="s">
        <v>25</v>
      </c>
      <c r="H227" s="8"/>
      <c r="I227" s="8">
        <v>291360</v>
      </c>
      <c r="J227" s="6" t="s">
        <v>3657</v>
      </c>
      <c r="K227" s="6" t="s">
        <v>475</v>
      </c>
      <c r="L227" s="6" t="s">
        <v>4509</v>
      </c>
      <c r="M227" s="6" t="s">
        <v>4537</v>
      </c>
      <c r="N227" s="6" t="s">
        <v>475</v>
      </c>
      <c r="O227" s="29">
        <f t="shared" si="4"/>
        <v>305928</v>
      </c>
      <c r="Q227" s="30" t="s">
        <v>475</v>
      </c>
      <c r="R227" s="31">
        <v>305928</v>
      </c>
    </row>
    <row r="228" s="1" customFormat="1" ht="16.35" hidden="1" customHeight="1" spans="1:18">
      <c r="A228" s="6" t="s">
        <v>4506</v>
      </c>
      <c r="B228" s="6">
        <v>2016</v>
      </c>
      <c r="C228" s="6">
        <v>5</v>
      </c>
      <c r="D228" s="7">
        <v>95</v>
      </c>
      <c r="E228" s="6" t="s">
        <v>2935</v>
      </c>
      <c r="F228" s="6" t="s">
        <v>4508</v>
      </c>
      <c r="G228" s="6" t="s">
        <v>25</v>
      </c>
      <c r="H228" s="8"/>
      <c r="I228" s="8">
        <v>293025</v>
      </c>
      <c r="J228" s="6" t="s">
        <v>3659</v>
      </c>
      <c r="K228" s="6" t="s">
        <v>497</v>
      </c>
      <c r="L228" s="6" t="s">
        <v>4509</v>
      </c>
      <c r="M228" s="6" t="s">
        <v>4537</v>
      </c>
      <c r="N228" s="6" t="s">
        <v>497</v>
      </c>
      <c r="O228" s="29">
        <f t="shared" si="4"/>
        <v>307676.25</v>
      </c>
      <c r="Q228" s="30" t="s">
        <v>497</v>
      </c>
      <c r="R228" s="31">
        <v>307676.25</v>
      </c>
    </row>
    <row r="229" s="1" customFormat="1" ht="16.35" hidden="1" customHeight="1" spans="1:18">
      <c r="A229" s="6" t="s">
        <v>4506</v>
      </c>
      <c r="B229" s="6">
        <v>2016</v>
      </c>
      <c r="C229" s="6">
        <v>5</v>
      </c>
      <c r="D229" s="7">
        <v>95</v>
      </c>
      <c r="E229" s="6" t="s">
        <v>2935</v>
      </c>
      <c r="F229" s="6" t="s">
        <v>4508</v>
      </c>
      <c r="G229" s="6" t="s">
        <v>25</v>
      </c>
      <c r="H229" s="8"/>
      <c r="I229" s="8">
        <v>292350</v>
      </c>
      <c r="J229" s="6" t="s">
        <v>3661</v>
      </c>
      <c r="K229" s="6" t="s">
        <v>499</v>
      </c>
      <c r="L229" s="6" t="s">
        <v>4509</v>
      </c>
      <c r="M229" s="6" t="s">
        <v>4537</v>
      </c>
      <c r="N229" s="6" t="s">
        <v>499</v>
      </c>
      <c r="O229" s="29">
        <f t="shared" si="4"/>
        <v>306967.5</v>
      </c>
      <c r="Q229" s="30" t="s">
        <v>499</v>
      </c>
      <c r="R229" s="31">
        <v>306967.5</v>
      </c>
    </row>
    <row r="230" s="1" customFormat="1" ht="16.35" hidden="1" customHeight="1" spans="1:18">
      <c r="A230" s="6" t="s">
        <v>4506</v>
      </c>
      <c r="B230" s="6">
        <v>2016</v>
      </c>
      <c r="C230" s="6">
        <v>5</v>
      </c>
      <c r="D230" s="7">
        <v>95</v>
      </c>
      <c r="E230" s="6" t="s">
        <v>2935</v>
      </c>
      <c r="F230" s="6" t="s">
        <v>4508</v>
      </c>
      <c r="G230" s="6" t="s">
        <v>25</v>
      </c>
      <c r="H230" s="8"/>
      <c r="I230" s="8">
        <v>364247</v>
      </c>
      <c r="J230" s="6" t="s">
        <v>3663</v>
      </c>
      <c r="K230" s="6" t="s">
        <v>505</v>
      </c>
      <c r="L230" s="6" t="s">
        <v>4509</v>
      </c>
      <c r="M230" s="6" t="s">
        <v>4537</v>
      </c>
      <c r="N230" s="6" t="s">
        <v>505</v>
      </c>
      <c r="O230" s="29">
        <f t="shared" si="4"/>
        <v>382459.35</v>
      </c>
      <c r="Q230" s="30" t="s">
        <v>505</v>
      </c>
      <c r="R230" s="31">
        <v>382459.35</v>
      </c>
    </row>
    <row r="231" s="1" customFormat="1" ht="16.35" hidden="1" customHeight="1" spans="1:18">
      <c r="A231" s="6" t="s">
        <v>4506</v>
      </c>
      <c r="B231" s="6">
        <v>2016</v>
      </c>
      <c r="C231" s="6">
        <v>5</v>
      </c>
      <c r="D231" s="7">
        <v>95</v>
      </c>
      <c r="E231" s="6" t="s">
        <v>2935</v>
      </c>
      <c r="F231" s="6" t="s">
        <v>4508</v>
      </c>
      <c r="G231" s="6" t="s">
        <v>25</v>
      </c>
      <c r="H231" s="8"/>
      <c r="I231" s="8">
        <v>302065</v>
      </c>
      <c r="J231" s="6" t="s">
        <v>3665</v>
      </c>
      <c r="K231" s="6" t="s">
        <v>515</v>
      </c>
      <c r="L231" s="6" t="s">
        <v>4509</v>
      </c>
      <c r="M231" s="6" t="s">
        <v>4537</v>
      </c>
      <c r="N231" s="6" t="s">
        <v>515</v>
      </c>
      <c r="O231" s="29">
        <f t="shared" si="4"/>
        <v>317168.25</v>
      </c>
      <c r="Q231" s="30" t="s">
        <v>515</v>
      </c>
      <c r="R231" s="31">
        <v>317168.25</v>
      </c>
    </row>
    <row r="232" s="1" customFormat="1" ht="16.35" hidden="1" customHeight="1" spans="1:18">
      <c r="A232" s="6" t="s">
        <v>4506</v>
      </c>
      <c r="B232" s="6">
        <v>2016</v>
      </c>
      <c r="C232" s="6">
        <v>5</v>
      </c>
      <c r="D232" s="7">
        <v>95</v>
      </c>
      <c r="E232" s="6" t="s">
        <v>2935</v>
      </c>
      <c r="F232" s="6" t="s">
        <v>4508</v>
      </c>
      <c r="G232" s="6" t="s">
        <v>25</v>
      </c>
      <c r="H232" s="8"/>
      <c r="I232" s="8">
        <v>262391</v>
      </c>
      <c r="J232" s="6" t="s">
        <v>3670</v>
      </c>
      <c r="K232" s="6" t="s">
        <v>519</v>
      </c>
      <c r="L232" s="6" t="s">
        <v>4509</v>
      </c>
      <c r="M232" s="6" t="s">
        <v>4537</v>
      </c>
      <c r="N232" s="6" t="s">
        <v>519</v>
      </c>
      <c r="O232" s="29">
        <f t="shared" si="4"/>
        <v>275510.55</v>
      </c>
      <c r="Q232" s="30" t="s">
        <v>519</v>
      </c>
      <c r="R232" s="31">
        <v>275510.55</v>
      </c>
    </row>
    <row r="233" s="1" customFormat="1" ht="16.35" hidden="1" customHeight="1" spans="1:18">
      <c r="A233" s="6" t="s">
        <v>4506</v>
      </c>
      <c r="B233" s="6">
        <v>2016</v>
      </c>
      <c r="C233" s="6">
        <v>5</v>
      </c>
      <c r="D233" s="7">
        <v>95</v>
      </c>
      <c r="E233" s="6" t="s">
        <v>2935</v>
      </c>
      <c r="F233" s="6" t="s">
        <v>4508</v>
      </c>
      <c r="G233" s="6" t="s">
        <v>25</v>
      </c>
      <c r="H233" s="8"/>
      <c r="I233" s="8">
        <v>287591</v>
      </c>
      <c r="J233" s="6" t="s">
        <v>3673</v>
      </c>
      <c r="K233" s="6" t="s">
        <v>595</v>
      </c>
      <c r="L233" s="6" t="s">
        <v>4509</v>
      </c>
      <c r="M233" s="6" t="s">
        <v>4537</v>
      </c>
      <c r="N233" s="6" t="s">
        <v>595</v>
      </c>
      <c r="O233" s="29">
        <f t="shared" si="4"/>
        <v>301970.55</v>
      </c>
      <c r="Q233" s="30" t="s">
        <v>595</v>
      </c>
      <c r="R233" s="31">
        <v>301970.55</v>
      </c>
    </row>
    <row r="234" s="1" customFormat="1" ht="16.35" hidden="1" customHeight="1" spans="1:18">
      <c r="A234" s="6" t="s">
        <v>4506</v>
      </c>
      <c r="B234" s="6">
        <v>2016</v>
      </c>
      <c r="C234" s="6">
        <v>5</v>
      </c>
      <c r="D234" s="7">
        <v>95</v>
      </c>
      <c r="E234" s="6" t="s">
        <v>2935</v>
      </c>
      <c r="F234" s="6" t="s">
        <v>4508</v>
      </c>
      <c r="G234" s="6" t="s">
        <v>25</v>
      </c>
      <c r="H234" s="8"/>
      <c r="I234" s="8">
        <v>347059</v>
      </c>
      <c r="J234" s="6" t="s">
        <v>3675</v>
      </c>
      <c r="K234" s="6" t="s">
        <v>624</v>
      </c>
      <c r="L234" s="6" t="s">
        <v>4509</v>
      </c>
      <c r="M234" s="6" t="s">
        <v>4537</v>
      </c>
      <c r="N234" s="6" t="s">
        <v>624</v>
      </c>
      <c r="O234" s="29">
        <f t="shared" si="4"/>
        <v>364411.95</v>
      </c>
      <c r="Q234" s="30" t="s">
        <v>624</v>
      </c>
      <c r="R234" s="31">
        <v>364411.95</v>
      </c>
    </row>
    <row r="235" s="1" customFormat="1" ht="16.35" hidden="1" customHeight="1" spans="1:18">
      <c r="A235" s="6" t="s">
        <v>4506</v>
      </c>
      <c r="B235" s="6">
        <v>2016</v>
      </c>
      <c r="C235" s="6">
        <v>5</v>
      </c>
      <c r="D235" s="7">
        <v>95</v>
      </c>
      <c r="E235" s="6" t="s">
        <v>2935</v>
      </c>
      <c r="F235" s="6" t="s">
        <v>4508</v>
      </c>
      <c r="G235" s="6" t="s">
        <v>25</v>
      </c>
      <c r="H235" s="8"/>
      <c r="I235" s="8">
        <v>288566</v>
      </c>
      <c r="J235" s="6" t="s">
        <v>3677</v>
      </c>
      <c r="K235" s="6" t="s">
        <v>626</v>
      </c>
      <c r="L235" s="6" t="s">
        <v>4509</v>
      </c>
      <c r="M235" s="6" t="s">
        <v>4537</v>
      </c>
      <c r="N235" s="6" t="s">
        <v>626</v>
      </c>
      <c r="O235" s="29">
        <f t="shared" si="4"/>
        <v>302994.3</v>
      </c>
      <c r="Q235" s="30" t="s">
        <v>626</v>
      </c>
      <c r="R235" s="31">
        <v>302994.3</v>
      </c>
    </row>
    <row r="236" s="1" customFormat="1" ht="16.35" hidden="1" customHeight="1" spans="1:18">
      <c r="A236" s="6" t="s">
        <v>4506</v>
      </c>
      <c r="B236" s="6">
        <v>2016</v>
      </c>
      <c r="C236" s="6">
        <v>5</v>
      </c>
      <c r="D236" s="7">
        <v>95</v>
      </c>
      <c r="E236" s="6" t="s">
        <v>2935</v>
      </c>
      <c r="F236" s="6" t="s">
        <v>4508</v>
      </c>
      <c r="G236" s="6" t="s">
        <v>25</v>
      </c>
      <c r="H236" s="8"/>
      <c r="I236" s="8">
        <v>347991</v>
      </c>
      <c r="J236" s="6" t="s">
        <v>4615</v>
      </c>
      <c r="K236" s="6" t="s">
        <v>632</v>
      </c>
      <c r="L236" s="6" t="s">
        <v>4509</v>
      </c>
      <c r="M236" s="6" t="s">
        <v>4537</v>
      </c>
      <c r="N236" s="6" t="s">
        <v>632</v>
      </c>
      <c r="O236" s="29">
        <f t="shared" si="4"/>
        <v>365390.55</v>
      </c>
      <c r="Q236" s="30" t="s">
        <v>632</v>
      </c>
      <c r="R236" s="31">
        <v>365390.55</v>
      </c>
    </row>
    <row r="237" s="1" customFormat="1" ht="16.35" hidden="1" customHeight="1" spans="1:18">
      <c r="A237" s="6" t="s">
        <v>4506</v>
      </c>
      <c r="B237" s="6">
        <v>2016</v>
      </c>
      <c r="C237" s="6">
        <v>5</v>
      </c>
      <c r="D237" s="7">
        <v>95</v>
      </c>
      <c r="E237" s="6" t="s">
        <v>2935</v>
      </c>
      <c r="F237" s="6" t="s">
        <v>4508</v>
      </c>
      <c r="G237" s="6" t="s">
        <v>25</v>
      </c>
      <c r="H237" s="8"/>
      <c r="I237" s="8">
        <v>331233</v>
      </c>
      <c r="J237" s="6" t="s">
        <v>3679</v>
      </c>
      <c r="K237" s="6" t="s">
        <v>636</v>
      </c>
      <c r="L237" s="6" t="s">
        <v>4509</v>
      </c>
      <c r="M237" s="6" t="s">
        <v>4537</v>
      </c>
      <c r="N237" s="6" t="s">
        <v>636</v>
      </c>
      <c r="O237" s="29">
        <f t="shared" si="4"/>
        <v>347794.65</v>
      </c>
      <c r="Q237" s="30" t="s">
        <v>636</v>
      </c>
      <c r="R237" s="31">
        <v>347794.65</v>
      </c>
    </row>
    <row r="238" s="1" customFormat="1" ht="16.35" hidden="1" customHeight="1" spans="1:18">
      <c r="A238" s="6" t="s">
        <v>4506</v>
      </c>
      <c r="B238" s="6">
        <v>2016</v>
      </c>
      <c r="C238" s="6">
        <v>5</v>
      </c>
      <c r="D238" s="7">
        <v>95</v>
      </c>
      <c r="E238" s="6" t="s">
        <v>2935</v>
      </c>
      <c r="F238" s="6" t="s">
        <v>4508</v>
      </c>
      <c r="G238" s="6" t="s">
        <v>25</v>
      </c>
      <c r="H238" s="8"/>
      <c r="I238" s="8">
        <v>331233</v>
      </c>
      <c r="J238" s="6" t="s">
        <v>3681</v>
      </c>
      <c r="K238" s="6" t="s">
        <v>638</v>
      </c>
      <c r="L238" s="6" t="s">
        <v>4509</v>
      </c>
      <c r="M238" s="6" t="s">
        <v>4537</v>
      </c>
      <c r="N238" s="6" t="s">
        <v>638</v>
      </c>
      <c r="O238" s="29">
        <f t="shared" si="4"/>
        <v>347794.65</v>
      </c>
      <c r="Q238" s="30" t="s">
        <v>638</v>
      </c>
      <c r="R238" s="31">
        <v>347794.65</v>
      </c>
    </row>
    <row r="239" s="1" customFormat="1" ht="16.35" hidden="1" customHeight="1" spans="1:18">
      <c r="A239" s="6" t="s">
        <v>4506</v>
      </c>
      <c r="B239" s="6">
        <v>2016</v>
      </c>
      <c r="C239" s="6">
        <v>5</v>
      </c>
      <c r="D239" s="7">
        <v>95</v>
      </c>
      <c r="E239" s="6" t="s">
        <v>2935</v>
      </c>
      <c r="F239" s="6" t="s">
        <v>4508</v>
      </c>
      <c r="G239" s="6" t="s">
        <v>25</v>
      </c>
      <c r="H239" s="8"/>
      <c r="I239" s="8">
        <v>288566</v>
      </c>
      <c r="J239" s="6" t="s">
        <v>3683</v>
      </c>
      <c r="K239" s="6" t="s">
        <v>644</v>
      </c>
      <c r="L239" s="6" t="s">
        <v>4509</v>
      </c>
      <c r="M239" s="6" t="s">
        <v>4537</v>
      </c>
      <c r="N239" s="6" t="s">
        <v>644</v>
      </c>
      <c r="O239" s="29">
        <f t="shared" si="4"/>
        <v>302994.3</v>
      </c>
      <c r="Q239" s="30" t="s">
        <v>644</v>
      </c>
      <c r="R239" s="31">
        <v>302994</v>
      </c>
    </row>
    <row r="240" s="1" customFormat="1" ht="16.35" hidden="1" customHeight="1" spans="1:18">
      <c r="A240" s="6" t="s">
        <v>4506</v>
      </c>
      <c r="B240" s="6">
        <v>2016</v>
      </c>
      <c r="C240" s="6">
        <v>5</v>
      </c>
      <c r="D240" s="7">
        <v>95</v>
      </c>
      <c r="E240" s="6" t="s">
        <v>2935</v>
      </c>
      <c r="F240" s="6" t="s">
        <v>4508</v>
      </c>
      <c r="G240" s="6" t="s">
        <v>25</v>
      </c>
      <c r="H240" s="8"/>
      <c r="I240" s="8">
        <v>206050</v>
      </c>
      <c r="J240" s="6" t="s">
        <v>3700</v>
      </c>
      <c r="K240" s="6" t="s">
        <v>617</v>
      </c>
      <c r="L240" s="6" t="s">
        <v>4509</v>
      </c>
      <c r="M240" s="6" t="s">
        <v>4537</v>
      </c>
      <c r="N240" s="6" t="s">
        <v>617</v>
      </c>
      <c r="O240" s="29">
        <f t="shared" si="4"/>
        <v>216352.5</v>
      </c>
      <c r="Q240" s="30" t="s">
        <v>617</v>
      </c>
      <c r="R240" s="31">
        <v>216352.5</v>
      </c>
    </row>
    <row r="241" s="1" customFormat="1" ht="16.35" hidden="1" customHeight="1" spans="1:18">
      <c r="A241" s="6" t="s">
        <v>4506</v>
      </c>
      <c r="B241" s="6">
        <v>2016</v>
      </c>
      <c r="C241" s="6">
        <v>6</v>
      </c>
      <c r="D241" s="7">
        <v>8</v>
      </c>
      <c r="E241" s="6" t="s">
        <v>4616</v>
      </c>
      <c r="F241" s="6" t="s">
        <v>4508</v>
      </c>
      <c r="G241" s="6" t="s">
        <v>25</v>
      </c>
      <c r="H241" s="8"/>
      <c r="I241" s="8">
        <v>9524</v>
      </c>
      <c r="J241" s="6" t="s">
        <v>3174</v>
      </c>
      <c r="K241" s="6" t="s">
        <v>844</v>
      </c>
      <c r="L241" s="6" t="s">
        <v>4509</v>
      </c>
      <c r="M241" s="6" t="s">
        <v>4537</v>
      </c>
      <c r="N241" s="6" t="s">
        <v>844</v>
      </c>
      <c r="O241" s="29">
        <f t="shared" si="4"/>
        <v>10000.2</v>
      </c>
      <c r="Q241" s="30" t="s">
        <v>844</v>
      </c>
      <c r="R241" s="31">
        <v>10000.2</v>
      </c>
    </row>
    <row r="242" s="1" customFormat="1" ht="16.35" hidden="1" customHeight="1" spans="1:18">
      <c r="A242" s="6" t="s">
        <v>4506</v>
      </c>
      <c r="B242" s="6">
        <v>2016</v>
      </c>
      <c r="C242" s="6">
        <v>6</v>
      </c>
      <c r="D242" s="7">
        <v>10</v>
      </c>
      <c r="E242" s="6" t="s">
        <v>4617</v>
      </c>
      <c r="F242" s="6" t="s">
        <v>4508</v>
      </c>
      <c r="G242" s="6" t="s">
        <v>25</v>
      </c>
      <c r="H242" s="8"/>
      <c r="I242" s="8">
        <v>9524</v>
      </c>
      <c r="J242" s="6" t="s">
        <v>3292</v>
      </c>
      <c r="K242" s="6" t="s">
        <v>816</v>
      </c>
      <c r="L242" s="6" t="s">
        <v>4509</v>
      </c>
      <c r="M242" s="6" t="s">
        <v>4537</v>
      </c>
      <c r="N242" s="6" t="s">
        <v>816</v>
      </c>
      <c r="O242" s="29">
        <f t="shared" si="4"/>
        <v>10000.2</v>
      </c>
      <c r="Q242" s="30" t="s">
        <v>816</v>
      </c>
      <c r="R242" s="31">
        <v>10000.2</v>
      </c>
    </row>
    <row r="243" s="1" customFormat="1" ht="16.35" hidden="1" customHeight="1" spans="1:18">
      <c r="A243" s="6" t="s">
        <v>4506</v>
      </c>
      <c r="B243" s="6">
        <v>2016</v>
      </c>
      <c r="C243" s="6">
        <v>6</v>
      </c>
      <c r="D243" s="7">
        <v>11</v>
      </c>
      <c r="E243" s="6" t="s">
        <v>4618</v>
      </c>
      <c r="F243" s="6" t="s">
        <v>4508</v>
      </c>
      <c r="G243" s="6" t="s">
        <v>25</v>
      </c>
      <c r="H243" s="8"/>
      <c r="I243" s="8">
        <v>8571</v>
      </c>
      <c r="J243" s="6" t="s">
        <v>3227</v>
      </c>
      <c r="K243" s="6" t="s">
        <v>895</v>
      </c>
      <c r="L243" s="6" t="s">
        <v>4509</v>
      </c>
      <c r="M243" s="6" t="s">
        <v>4537</v>
      </c>
      <c r="N243" s="6" t="s">
        <v>895</v>
      </c>
      <c r="O243" s="29">
        <f t="shared" si="4"/>
        <v>8999.55</v>
      </c>
      <c r="Q243" s="30" t="s">
        <v>895</v>
      </c>
      <c r="R243" s="31">
        <v>8999.55</v>
      </c>
    </row>
    <row r="244" s="1" customFormat="1" ht="16.35" hidden="1" customHeight="1" spans="1:18">
      <c r="A244" s="6" t="s">
        <v>4506</v>
      </c>
      <c r="B244" s="6">
        <v>2016</v>
      </c>
      <c r="C244" s="6">
        <v>6</v>
      </c>
      <c r="D244" s="7">
        <v>12</v>
      </c>
      <c r="E244" s="6" t="s">
        <v>4619</v>
      </c>
      <c r="F244" s="6" t="s">
        <v>4508</v>
      </c>
      <c r="G244" s="6" t="s">
        <v>25</v>
      </c>
      <c r="H244" s="8"/>
      <c r="I244" s="8">
        <v>8571</v>
      </c>
      <c r="J244" s="6" t="s">
        <v>3225</v>
      </c>
      <c r="K244" s="6" t="s">
        <v>691</v>
      </c>
      <c r="L244" s="6" t="s">
        <v>4509</v>
      </c>
      <c r="M244" s="6" t="s">
        <v>4537</v>
      </c>
      <c r="N244" s="6" t="s">
        <v>691</v>
      </c>
      <c r="O244" s="29">
        <f t="shared" si="4"/>
        <v>8999.55</v>
      </c>
      <c r="Q244" s="30" t="s">
        <v>691</v>
      </c>
      <c r="R244" s="31">
        <v>8999.55</v>
      </c>
    </row>
    <row r="245" s="1" customFormat="1" ht="16.35" hidden="1" customHeight="1" spans="1:18">
      <c r="A245" s="6" t="s">
        <v>4506</v>
      </c>
      <c r="B245" s="6">
        <v>2016</v>
      </c>
      <c r="C245" s="6">
        <v>6</v>
      </c>
      <c r="D245" s="7">
        <v>13</v>
      </c>
      <c r="E245" s="6" t="s">
        <v>4620</v>
      </c>
      <c r="F245" s="6" t="s">
        <v>4508</v>
      </c>
      <c r="G245" s="6" t="s">
        <v>25</v>
      </c>
      <c r="H245" s="8"/>
      <c r="I245" s="8">
        <v>190476</v>
      </c>
      <c r="J245" s="6" t="s">
        <v>3323</v>
      </c>
      <c r="K245" s="6" t="s">
        <v>630</v>
      </c>
      <c r="L245" s="6" t="s">
        <v>4509</v>
      </c>
      <c r="M245" s="6" t="s">
        <v>4537</v>
      </c>
      <c r="N245" s="6" t="s">
        <v>630</v>
      </c>
      <c r="O245" s="29">
        <f t="shared" si="4"/>
        <v>199999.8</v>
      </c>
      <c r="Q245" s="30" t="s">
        <v>630</v>
      </c>
      <c r="R245" s="31">
        <v>199999.8</v>
      </c>
    </row>
    <row r="246" s="1" customFormat="1" ht="16.35" hidden="1" customHeight="1" spans="1:18">
      <c r="A246" s="6" t="s">
        <v>4506</v>
      </c>
      <c r="B246" s="6">
        <v>2016</v>
      </c>
      <c r="C246" s="6">
        <v>6</v>
      </c>
      <c r="D246" s="7">
        <v>28</v>
      </c>
      <c r="E246" s="6" t="s">
        <v>4621</v>
      </c>
      <c r="F246" s="6" t="s">
        <v>4508</v>
      </c>
      <c r="G246" s="6" t="s">
        <v>25</v>
      </c>
      <c r="H246" s="8"/>
      <c r="I246" s="8">
        <v>180952</v>
      </c>
      <c r="J246" s="6" t="s">
        <v>3372</v>
      </c>
      <c r="K246" s="6" t="s">
        <v>573</v>
      </c>
      <c r="L246" s="6" t="s">
        <v>4509</v>
      </c>
      <c r="M246" s="6" t="s">
        <v>4537</v>
      </c>
      <c r="N246" s="6" t="s">
        <v>573</v>
      </c>
      <c r="O246" s="29">
        <f t="shared" si="4"/>
        <v>189999.6</v>
      </c>
      <c r="Q246" s="30" t="s">
        <v>573</v>
      </c>
      <c r="R246" s="31">
        <v>189999.6</v>
      </c>
    </row>
    <row r="247" s="1" customFormat="1" ht="16.35" hidden="1" customHeight="1" spans="1:18">
      <c r="A247" s="6" t="s">
        <v>4506</v>
      </c>
      <c r="B247" s="6">
        <v>2016</v>
      </c>
      <c r="C247" s="6">
        <v>6</v>
      </c>
      <c r="D247" s="7">
        <v>29</v>
      </c>
      <c r="E247" s="6" t="s">
        <v>4622</v>
      </c>
      <c r="F247" s="6" t="s">
        <v>4508</v>
      </c>
      <c r="G247" s="6" t="s">
        <v>25</v>
      </c>
      <c r="H247" s="8"/>
      <c r="I247" s="8">
        <v>186667</v>
      </c>
      <c r="J247" s="6" t="s">
        <v>3384</v>
      </c>
      <c r="K247" s="6" t="s">
        <v>583</v>
      </c>
      <c r="L247" s="6" t="s">
        <v>4509</v>
      </c>
      <c r="M247" s="6" t="s">
        <v>4537</v>
      </c>
      <c r="N247" s="6" t="s">
        <v>583</v>
      </c>
      <c r="O247" s="29">
        <f t="shared" si="4"/>
        <v>196000.35</v>
      </c>
      <c r="Q247" s="30" t="s">
        <v>583</v>
      </c>
      <c r="R247" s="31">
        <v>196000.35</v>
      </c>
    </row>
    <row r="248" s="1" customFormat="1" ht="16.35" hidden="1" customHeight="1" spans="1:18">
      <c r="A248" s="6" t="s">
        <v>4506</v>
      </c>
      <c r="B248" s="6">
        <v>2016</v>
      </c>
      <c r="C248" s="6">
        <v>6</v>
      </c>
      <c r="D248" s="7">
        <v>30</v>
      </c>
      <c r="E248" s="6" t="s">
        <v>4623</v>
      </c>
      <c r="F248" s="6" t="s">
        <v>4508</v>
      </c>
      <c r="G248" s="6" t="s">
        <v>25</v>
      </c>
      <c r="H248" s="8"/>
      <c r="I248" s="8">
        <v>133333</v>
      </c>
      <c r="J248" s="6" t="s">
        <v>3401</v>
      </c>
      <c r="K248" s="6" t="s">
        <v>86</v>
      </c>
      <c r="L248" s="6" t="s">
        <v>4509</v>
      </c>
      <c r="M248" s="6" t="s">
        <v>4537</v>
      </c>
      <c r="N248" s="6" t="s">
        <v>86</v>
      </c>
      <c r="O248" s="29">
        <f t="shared" si="4"/>
        <v>139999.65</v>
      </c>
      <c r="Q248" s="30" t="s">
        <v>86</v>
      </c>
      <c r="R248" s="31">
        <v>139999.65</v>
      </c>
    </row>
    <row r="249" s="1" customFormat="1" ht="16.35" hidden="1" customHeight="1" spans="1:18">
      <c r="A249" s="6" t="s">
        <v>4506</v>
      </c>
      <c r="B249" s="6">
        <v>2016</v>
      </c>
      <c r="C249" s="6">
        <v>6</v>
      </c>
      <c r="D249" s="7">
        <v>31</v>
      </c>
      <c r="E249" s="6" t="s">
        <v>4624</v>
      </c>
      <c r="F249" s="6" t="s">
        <v>4508</v>
      </c>
      <c r="G249" s="6" t="s">
        <v>25</v>
      </c>
      <c r="H249" s="8"/>
      <c r="I249" s="8">
        <v>180952</v>
      </c>
      <c r="J249" s="6" t="s">
        <v>4625</v>
      </c>
      <c r="K249" s="6" t="s">
        <v>571</v>
      </c>
      <c r="L249" s="6" t="s">
        <v>4509</v>
      </c>
      <c r="M249" s="6" t="s">
        <v>4537</v>
      </c>
      <c r="N249" s="6" t="s">
        <v>571</v>
      </c>
      <c r="O249" s="29">
        <f t="shared" si="4"/>
        <v>189999.6</v>
      </c>
      <c r="Q249" s="30" t="s">
        <v>571</v>
      </c>
      <c r="R249" s="31">
        <v>189999.6</v>
      </c>
    </row>
    <row r="250" s="1" customFormat="1" ht="16.35" hidden="1" customHeight="1" spans="1:18">
      <c r="A250" s="6" t="s">
        <v>4506</v>
      </c>
      <c r="B250" s="6">
        <v>2016</v>
      </c>
      <c r="C250" s="6">
        <v>6</v>
      </c>
      <c r="D250" s="7">
        <v>32</v>
      </c>
      <c r="E250" s="6" t="s">
        <v>4626</v>
      </c>
      <c r="F250" s="6" t="s">
        <v>4508</v>
      </c>
      <c r="G250" s="6" t="s">
        <v>25</v>
      </c>
      <c r="H250" s="8"/>
      <c r="I250" s="8">
        <v>180952</v>
      </c>
      <c r="J250" s="6" t="s">
        <v>3409</v>
      </c>
      <c r="K250" s="6" t="s">
        <v>541</v>
      </c>
      <c r="L250" s="6" t="s">
        <v>4509</v>
      </c>
      <c r="M250" s="6" t="s">
        <v>4537</v>
      </c>
      <c r="N250" s="6" t="s">
        <v>541</v>
      </c>
      <c r="O250" s="29">
        <f t="shared" si="4"/>
        <v>189999.6</v>
      </c>
      <c r="Q250" s="30" t="s">
        <v>541</v>
      </c>
      <c r="R250" s="31">
        <v>189999.6</v>
      </c>
    </row>
    <row r="251" s="1" customFormat="1" ht="16.35" hidden="1" customHeight="1" spans="1:18">
      <c r="A251" s="6" t="s">
        <v>4506</v>
      </c>
      <c r="B251" s="6">
        <v>2016</v>
      </c>
      <c r="C251" s="6">
        <v>6</v>
      </c>
      <c r="D251" s="7">
        <v>33</v>
      </c>
      <c r="E251" s="6" t="s">
        <v>4627</v>
      </c>
      <c r="F251" s="6" t="s">
        <v>4508</v>
      </c>
      <c r="G251" s="6" t="s">
        <v>25</v>
      </c>
      <c r="H251" s="8"/>
      <c r="I251" s="8">
        <v>186667</v>
      </c>
      <c r="J251" s="6" t="s">
        <v>3411</v>
      </c>
      <c r="K251" s="6" t="s">
        <v>142</v>
      </c>
      <c r="L251" s="6" t="s">
        <v>4509</v>
      </c>
      <c r="M251" s="6" t="s">
        <v>4537</v>
      </c>
      <c r="N251" s="6" t="s">
        <v>142</v>
      </c>
      <c r="O251" s="29">
        <f t="shared" si="4"/>
        <v>196000.35</v>
      </c>
      <c r="Q251" s="30" t="s">
        <v>142</v>
      </c>
      <c r="R251" s="31">
        <v>196000.35</v>
      </c>
    </row>
    <row r="252" s="1" customFormat="1" ht="16.35" hidden="1" customHeight="1" spans="1:18">
      <c r="A252" s="6" t="s">
        <v>4506</v>
      </c>
      <c r="B252" s="6">
        <v>2016</v>
      </c>
      <c r="C252" s="6">
        <v>6</v>
      </c>
      <c r="D252" s="7">
        <v>34</v>
      </c>
      <c r="E252" s="6" t="s">
        <v>4628</v>
      </c>
      <c r="F252" s="6" t="s">
        <v>4508</v>
      </c>
      <c r="G252" s="6" t="s">
        <v>25</v>
      </c>
      <c r="H252" s="8"/>
      <c r="I252" s="8">
        <v>171429</v>
      </c>
      <c r="J252" s="6" t="s">
        <v>3418</v>
      </c>
      <c r="K252" s="6" t="s">
        <v>601</v>
      </c>
      <c r="L252" s="6" t="s">
        <v>4509</v>
      </c>
      <c r="M252" s="6" t="s">
        <v>4537</v>
      </c>
      <c r="N252" s="6" t="s">
        <v>601</v>
      </c>
      <c r="O252" s="29">
        <f t="shared" si="4"/>
        <v>180000.45</v>
      </c>
      <c r="Q252" s="30" t="s">
        <v>601</v>
      </c>
      <c r="R252" s="31">
        <v>180000.45</v>
      </c>
    </row>
    <row r="253" s="1" customFormat="1" ht="16.35" hidden="1" customHeight="1" spans="1:18">
      <c r="A253" s="6" t="s">
        <v>4506</v>
      </c>
      <c r="B253" s="6">
        <v>2016</v>
      </c>
      <c r="C253" s="6">
        <v>6</v>
      </c>
      <c r="D253" s="7">
        <v>35</v>
      </c>
      <c r="E253" s="6" t="s">
        <v>4629</v>
      </c>
      <c r="F253" s="6" t="s">
        <v>4508</v>
      </c>
      <c r="G253" s="6" t="s">
        <v>25</v>
      </c>
      <c r="H253" s="8"/>
      <c r="I253" s="8">
        <v>190476</v>
      </c>
      <c r="J253" s="6" t="s">
        <v>3420</v>
      </c>
      <c r="K253" s="6" t="s">
        <v>646</v>
      </c>
      <c r="L253" s="6" t="s">
        <v>4509</v>
      </c>
      <c r="M253" s="6" t="s">
        <v>4537</v>
      </c>
      <c r="N253" s="6" t="s">
        <v>646</v>
      </c>
      <c r="O253" s="29">
        <f t="shared" si="4"/>
        <v>199999.8</v>
      </c>
      <c r="Q253" s="30" t="s">
        <v>646</v>
      </c>
      <c r="R253" s="31">
        <v>199999.8</v>
      </c>
    </row>
    <row r="254" s="1" customFormat="1" ht="16.35" hidden="1" customHeight="1" spans="1:18">
      <c r="A254" s="6" t="s">
        <v>4506</v>
      </c>
      <c r="B254" s="6">
        <v>2016</v>
      </c>
      <c r="C254" s="6">
        <v>6</v>
      </c>
      <c r="D254" s="7">
        <v>41</v>
      </c>
      <c r="E254" s="6" t="s">
        <v>4630</v>
      </c>
      <c r="F254" s="6" t="s">
        <v>4508</v>
      </c>
      <c r="G254" s="6" t="s">
        <v>25</v>
      </c>
      <c r="H254" s="8"/>
      <c r="I254" s="8">
        <v>190476</v>
      </c>
      <c r="J254" s="6" t="s">
        <v>3422</v>
      </c>
      <c r="K254" s="6" t="s">
        <v>648</v>
      </c>
      <c r="L254" s="6" t="s">
        <v>4509</v>
      </c>
      <c r="M254" s="6" t="s">
        <v>4537</v>
      </c>
      <c r="N254" s="6" t="s">
        <v>648</v>
      </c>
      <c r="O254" s="29">
        <f t="shared" si="4"/>
        <v>199999.8</v>
      </c>
      <c r="Q254" s="30" t="s">
        <v>648</v>
      </c>
      <c r="R254" s="31">
        <v>199999.8</v>
      </c>
    </row>
    <row r="255" s="1" customFormat="1" ht="16.35" hidden="1" customHeight="1" spans="1:18">
      <c r="A255" s="6" t="s">
        <v>4506</v>
      </c>
      <c r="B255" s="6">
        <v>2016</v>
      </c>
      <c r="C255" s="6">
        <v>6</v>
      </c>
      <c r="D255" s="7">
        <v>42</v>
      </c>
      <c r="E255" s="6" t="s">
        <v>4631</v>
      </c>
      <c r="F255" s="6" t="s">
        <v>4508</v>
      </c>
      <c r="G255" s="6" t="s">
        <v>25</v>
      </c>
      <c r="H255" s="8"/>
      <c r="I255" s="8">
        <v>194286</v>
      </c>
      <c r="J255" s="6" t="s">
        <v>3427</v>
      </c>
      <c r="K255" s="6" t="s">
        <v>82</v>
      </c>
      <c r="L255" s="6" t="s">
        <v>4509</v>
      </c>
      <c r="M255" s="6" t="s">
        <v>4537</v>
      </c>
      <c r="N255" s="6" t="s">
        <v>82</v>
      </c>
      <c r="O255" s="29">
        <f t="shared" si="4"/>
        <v>204000.3</v>
      </c>
      <c r="Q255" s="30" t="s">
        <v>82</v>
      </c>
      <c r="R255" s="31">
        <v>204000.3</v>
      </c>
    </row>
    <row r="256" s="1" customFormat="1" ht="16.35" hidden="1" customHeight="1" spans="1:18">
      <c r="A256" s="6" t="s">
        <v>4506</v>
      </c>
      <c r="B256" s="6">
        <v>2016</v>
      </c>
      <c r="C256" s="6">
        <v>6</v>
      </c>
      <c r="D256" s="7">
        <v>43</v>
      </c>
      <c r="E256" s="6" t="s">
        <v>4632</v>
      </c>
      <c r="F256" s="6" t="s">
        <v>4508</v>
      </c>
      <c r="G256" s="6" t="s">
        <v>25</v>
      </c>
      <c r="H256" s="8"/>
      <c r="I256" s="8">
        <v>1216</v>
      </c>
      <c r="J256" s="6" t="s">
        <v>3429</v>
      </c>
      <c r="K256" s="6" t="s">
        <v>547</v>
      </c>
      <c r="L256" s="6" t="s">
        <v>4509</v>
      </c>
      <c r="M256" s="6" t="s">
        <v>4537</v>
      </c>
      <c r="N256" s="6" t="s">
        <v>547</v>
      </c>
      <c r="O256" s="29">
        <f t="shared" si="4"/>
        <v>1276.8</v>
      </c>
      <c r="Q256" s="30" t="s">
        <v>547</v>
      </c>
      <c r="R256" s="31">
        <v>1276.8</v>
      </c>
    </row>
    <row r="257" s="1" customFormat="1" ht="16.35" hidden="1" customHeight="1" spans="1:18">
      <c r="A257" s="6" t="s">
        <v>4506</v>
      </c>
      <c r="B257" s="6">
        <v>2016</v>
      </c>
      <c r="C257" s="6">
        <v>6</v>
      </c>
      <c r="D257" s="7">
        <v>49</v>
      </c>
      <c r="E257" s="6" t="s">
        <v>4633</v>
      </c>
      <c r="F257" s="6" t="s">
        <v>4508</v>
      </c>
      <c r="G257" s="6" t="s">
        <v>25</v>
      </c>
      <c r="H257" s="8"/>
      <c r="I257" s="8">
        <v>161905</v>
      </c>
      <c r="J257" s="6" t="s">
        <v>3431</v>
      </c>
      <c r="K257" s="6" t="s">
        <v>533</v>
      </c>
      <c r="L257" s="6" t="s">
        <v>4509</v>
      </c>
      <c r="M257" s="6" t="s">
        <v>4537</v>
      </c>
      <c r="N257" s="6" t="s">
        <v>533</v>
      </c>
      <c r="O257" s="29">
        <f t="shared" si="4"/>
        <v>170000.25</v>
      </c>
      <c r="Q257" s="30" t="s">
        <v>533</v>
      </c>
      <c r="R257" s="31">
        <v>170000.25</v>
      </c>
    </row>
    <row r="258" s="1" customFormat="1" ht="16.35" hidden="1" customHeight="1" spans="1:18">
      <c r="A258" s="6" t="s">
        <v>4506</v>
      </c>
      <c r="B258" s="6">
        <v>2016</v>
      </c>
      <c r="C258" s="6">
        <v>6</v>
      </c>
      <c r="D258" s="7">
        <v>50</v>
      </c>
      <c r="E258" s="6" t="s">
        <v>4634</v>
      </c>
      <c r="F258" s="6" t="s">
        <v>4508</v>
      </c>
      <c r="G258" s="6" t="s">
        <v>25</v>
      </c>
      <c r="H258" s="8"/>
      <c r="I258" s="8">
        <v>178095</v>
      </c>
      <c r="J258" s="6" t="s">
        <v>3437</v>
      </c>
      <c r="K258" s="6" t="s">
        <v>597</v>
      </c>
      <c r="L258" s="6" t="s">
        <v>4509</v>
      </c>
      <c r="M258" s="6" t="s">
        <v>4537</v>
      </c>
      <c r="N258" s="6" t="s">
        <v>597</v>
      </c>
      <c r="O258" s="29">
        <f t="shared" si="4"/>
        <v>186999.75</v>
      </c>
      <c r="Q258" s="30" t="s">
        <v>597</v>
      </c>
      <c r="R258" s="31">
        <v>186999.75</v>
      </c>
    </row>
    <row r="259" s="1" customFormat="1" ht="16.35" hidden="1" customHeight="1" spans="1:18">
      <c r="A259" s="6" t="s">
        <v>4506</v>
      </c>
      <c r="B259" s="6">
        <v>2016</v>
      </c>
      <c r="C259" s="6">
        <v>6</v>
      </c>
      <c r="D259" s="7">
        <v>57</v>
      </c>
      <c r="E259" s="6" t="s">
        <v>4635</v>
      </c>
      <c r="F259" s="6" t="s">
        <v>4508</v>
      </c>
      <c r="G259" s="6" t="s">
        <v>25</v>
      </c>
      <c r="H259" s="8"/>
      <c r="I259" s="8">
        <v>180000</v>
      </c>
      <c r="J259" s="6" t="s">
        <v>3445</v>
      </c>
      <c r="K259" s="6" t="s">
        <v>585</v>
      </c>
      <c r="L259" s="6" t="s">
        <v>4509</v>
      </c>
      <c r="M259" s="6" t="s">
        <v>4537</v>
      </c>
      <c r="N259" s="6" t="s">
        <v>585</v>
      </c>
      <c r="O259" s="29">
        <f t="shared" si="4"/>
        <v>189000</v>
      </c>
      <c r="Q259" s="30" t="s">
        <v>585</v>
      </c>
      <c r="R259" s="31">
        <v>189000</v>
      </c>
    </row>
    <row r="260" s="1" customFormat="1" ht="16.35" hidden="1" customHeight="1" spans="1:18">
      <c r="A260" s="6" t="s">
        <v>4506</v>
      </c>
      <c r="B260" s="6">
        <v>2016</v>
      </c>
      <c r="C260" s="6">
        <v>7</v>
      </c>
      <c r="D260" s="7">
        <v>2</v>
      </c>
      <c r="E260" s="6" t="s">
        <v>4636</v>
      </c>
      <c r="F260" s="6" t="s">
        <v>4508</v>
      </c>
      <c r="G260" s="6" t="s">
        <v>25</v>
      </c>
      <c r="H260" s="8"/>
      <c r="I260" s="8">
        <v>142857</v>
      </c>
      <c r="J260" s="6" t="s">
        <v>3230</v>
      </c>
      <c r="K260" s="6" t="s">
        <v>322</v>
      </c>
      <c r="L260" s="6" t="s">
        <v>4509</v>
      </c>
      <c r="M260" s="6" t="s">
        <v>4537</v>
      </c>
      <c r="N260" s="6" t="s">
        <v>322</v>
      </c>
      <c r="O260" s="29">
        <f t="shared" si="4"/>
        <v>149999.85</v>
      </c>
      <c r="Q260" s="30" t="s">
        <v>322</v>
      </c>
      <c r="R260" s="31">
        <v>149999.85</v>
      </c>
    </row>
    <row r="261" s="1" customFormat="1" ht="16.35" hidden="1" customHeight="1" spans="1:18">
      <c r="A261" s="6" t="s">
        <v>4506</v>
      </c>
      <c r="B261" s="6">
        <v>2016</v>
      </c>
      <c r="C261" s="6">
        <v>7</v>
      </c>
      <c r="D261" s="7">
        <v>3</v>
      </c>
      <c r="E261" s="6" t="s">
        <v>4637</v>
      </c>
      <c r="F261" s="6" t="s">
        <v>4508</v>
      </c>
      <c r="G261" s="6" t="s">
        <v>25</v>
      </c>
      <c r="H261" s="8"/>
      <c r="I261" s="8">
        <v>163810</v>
      </c>
      <c r="J261" s="6" t="s">
        <v>3192</v>
      </c>
      <c r="K261" s="6" t="s">
        <v>90</v>
      </c>
      <c r="L261" s="6" t="s">
        <v>4509</v>
      </c>
      <c r="M261" s="6" t="s">
        <v>4537</v>
      </c>
      <c r="N261" s="6" t="s">
        <v>90</v>
      </c>
      <c r="O261" s="29">
        <f t="shared" si="4"/>
        <v>172000.5</v>
      </c>
      <c r="Q261" s="30" t="s">
        <v>90</v>
      </c>
      <c r="R261" s="31">
        <v>172000.5</v>
      </c>
    </row>
    <row r="262" s="1" customFormat="1" ht="16.35" hidden="1" customHeight="1" spans="1:18">
      <c r="A262" s="6" t="s">
        <v>4506</v>
      </c>
      <c r="B262" s="6">
        <v>2016</v>
      </c>
      <c r="C262" s="6">
        <v>7</v>
      </c>
      <c r="D262" s="7">
        <v>6</v>
      </c>
      <c r="E262" s="6" t="s">
        <v>4638</v>
      </c>
      <c r="F262" s="6" t="s">
        <v>4508</v>
      </c>
      <c r="G262" s="6" t="s">
        <v>25</v>
      </c>
      <c r="H262" s="8"/>
      <c r="I262" s="8">
        <v>1950476</v>
      </c>
      <c r="J262" s="6" t="s">
        <v>3448</v>
      </c>
      <c r="K262" s="6" t="s">
        <v>4639</v>
      </c>
      <c r="L262" s="6" t="s">
        <v>4509</v>
      </c>
      <c r="M262" s="6" t="s">
        <v>4537</v>
      </c>
      <c r="N262" s="6" t="s">
        <v>4639</v>
      </c>
      <c r="O262" s="29">
        <f t="shared" si="4"/>
        <v>2047999.8</v>
      </c>
      <c r="Q262" s="30" t="s">
        <v>4639</v>
      </c>
      <c r="R262" s="31">
        <v>2047999.8</v>
      </c>
    </row>
    <row r="263" s="1" customFormat="1" ht="16.35" hidden="1" customHeight="1" spans="1:18">
      <c r="A263" s="6" t="s">
        <v>4506</v>
      </c>
      <c r="B263" s="6">
        <v>2016</v>
      </c>
      <c r="C263" s="6">
        <v>7</v>
      </c>
      <c r="D263" s="7">
        <v>7</v>
      </c>
      <c r="E263" s="6" t="s">
        <v>4640</v>
      </c>
      <c r="F263" s="6" t="s">
        <v>4508</v>
      </c>
      <c r="G263" s="6" t="s">
        <v>25</v>
      </c>
      <c r="H263" s="8"/>
      <c r="I263" s="8">
        <v>9524</v>
      </c>
      <c r="J263" s="6" t="s">
        <v>3458</v>
      </c>
      <c r="K263" s="6" t="s">
        <v>805</v>
      </c>
      <c r="L263" s="6" t="s">
        <v>4509</v>
      </c>
      <c r="M263" s="6" t="s">
        <v>4537</v>
      </c>
      <c r="N263" s="6" t="s">
        <v>805</v>
      </c>
      <c r="O263" s="29">
        <f t="shared" si="4"/>
        <v>10000.2</v>
      </c>
      <c r="Q263" s="30" t="s">
        <v>805</v>
      </c>
      <c r="R263" s="31">
        <v>10000.2</v>
      </c>
    </row>
    <row r="264" s="1" customFormat="1" ht="16.35" hidden="1" customHeight="1" spans="1:18">
      <c r="A264" s="6" t="s">
        <v>4506</v>
      </c>
      <c r="B264" s="6">
        <v>2016</v>
      </c>
      <c r="C264" s="6">
        <v>7</v>
      </c>
      <c r="D264" s="7">
        <v>8</v>
      </c>
      <c r="E264" s="6" t="s">
        <v>4641</v>
      </c>
      <c r="F264" s="6" t="s">
        <v>4508</v>
      </c>
      <c r="G264" s="6" t="s">
        <v>25</v>
      </c>
      <c r="H264" s="8"/>
      <c r="I264" s="8">
        <v>9524</v>
      </c>
      <c r="J264" s="6" t="s">
        <v>3460</v>
      </c>
      <c r="K264" s="6" t="s">
        <v>862</v>
      </c>
      <c r="L264" s="6" t="s">
        <v>4509</v>
      </c>
      <c r="M264" s="6" t="s">
        <v>4537</v>
      </c>
      <c r="N264" s="6" t="s">
        <v>862</v>
      </c>
      <c r="O264" s="29">
        <f t="shared" si="4"/>
        <v>10000.2</v>
      </c>
      <c r="Q264" s="30" t="s">
        <v>862</v>
      </c>
      <c r="R264" s="31">
        <v>10000.2</v>
      </c>
    </row>
    <row r="265" s="1" customFormat="1" ht="16.35" hidden="1" customHeight="1" spans="1:18">
      <c r="A265" s="6" t="s">
        <v>4506</v>
      </c>
      <c r="B265" s="6">
        <v>2016</v>
      </c>
      <c r="C265" s="6">
        <v>7</v>
      </c>
      <c r="D265" s="7">
        <v>9</v>
      </c>
      <c r="E265" s="6" t="s">
        <v>4642</v>
      </c>
      <c r="F265" s="6" t="s">
        <v>4508</v>
      </c>
      <c r="G265" s="6" t="s">
        <v>25</v>
      </c>
      <c r="H265" s="8"/>
      <c r="I265" s="8">
        <v>9524</v>
      </c>
      <c r="J265" s="6" t="s">
        <v>3462</v>
      </c>
      <c r="K265" s="6" t="s">
        <v>803</v>
      </c>
      <c r="L265" s="6" t="s">
        <v>4509</v>
      </c>
      <c r="M265" s="6" t="s">
        <v>4537</v>
      </c>
      <c r="N265" s="6" t="s">
        <v>803</v>
      </c>
      <c r="O265" s="29">
        <f t="shared" si="4"/>
        <v>10000.2</v>
      </c>
      <c r="Q265" s="30" t="s">
        <v>803</v>
      </c>
      <c r="R265" s="31">
        <v>10000.2</v>
      </c>
    </row>
    <row r="266" s="1" customFormat="1" ht="16.35" hidden="1" customHeight="1" spans="1:19">
      <c r="A266" s="6" t="s">
        <v>4506</v>
      </c>
      <c r="B266" s="6">
        <v>2016</v>
      </c>
      <c r="C266" s="6">
        <v>7</v>
      </c>
      <c r="D266" s="7">
        <v>15</v>
      </c>
      <c r="E266" s="6" t="s">
        <v>4643</v>
      </c>
      <c r="F266" s="6" t="s">
        <v>4508</v>
      </c>
      <c r="G266" s="6" t="s">
        <v>25</v>
      </c>
      <c r="H266" s="8"/>
      <c r="I266" s="8">
        <v>476190</v>
      </c>
      <c r="J266" s="6" t="s">
        <v>3114</v>
      </c>
      <c r="K266" s="6" t="s">
        <v>4536</v>
      </c>
      <c r="L266" s="6" t="s">
        <v>4509</v>
      </c>
      <c r="M266" s="6" t="s">
        <v>4537</v>
      </c>
      <c r="N266" s="6" t="s">
        <v>4536</v>
      </c>
      <c r="O266" s="29">
        <f t="shared" si="4"/>
        <v>499999.5</v>
      </c>
      <c r="Q266" s="30" t="s">
        <v>4536</v>
      </c>
      <c r="R266" s="31">
        <v>499999.5</v>
      </c>
      <c r="S266" s="1">
        <f>R266-I266</f>
        <v>23809.5</v>
      </c>
    </row>
    <row r="267" s="1" customFormat="1" ht="16.35" customHeight="1" spans="1:18">
      <c r="A267" s="6" t="s">
        <v>4506</v>
      </c>
      <c r="B267" s="6">
        <v>2016</v>
      </c>
      <c r="C267" s="6">
        <v>7</v>
      </c>
      <c r="D267" s="7">
        <v>16</v>
      </c>
      <c r="E267" s="6" t="s">
        <v>4644</v>
      </c>
      <c r="F267" s="6" t="s">
        <v>4508</v>
      </c>
      <c r="G267" s="6" t="s">
        <v>25</v>
      </c>
      <c r="H267" s="8"/>
      <c r="I267" s="8">
        <v>142857</v>
      </c>
      <c r="J267" s="6" t="s">
        <v>3471</v>
      </c>
      <c r="K267" s="6" t="s">
        <v>561</v>
      </c>
      <c r="L267" s="6" t="s">
        <v>4509</v>
      </c>
      <c r="M267" s="6" t="s">
        <v>4537</v>
      </c>
      <c r="N267" s="6" t="s">
        <v>561</v>
      </c>
      <c r="O267" s="29">
        <f t="shared" si="4"/>
        <v>149999.85</v>
      </c>
      <c r="Q267" s="30" t="s">
        <v>561</v>
      </c>
      <c r="R267" s="31">
        <v>149999.85</v>
      </c>
    </row>
    <row r="268" s="1" customFormat="1" ht="16.35" hidden="1" customHeight="1" spans="1:18">
      <c r="A268" s="6" t="s">
        <v>4506</v>
      </c>
      <c r="B268" s="6">
        <v>2016</v>
      </c>
      <c r="C268" s="6">
        <v>7</v>
      </c>
      <c r="D268" s="7">
        <v>19</v>
      </c>
      <c r="E268" s="6" t="s">
        <v>4645</v>
      </c>
      <c r="F268" s="6" t="s">
        <v>4508</v>
      </c>
      <c r="G268" s="6" t="s">
        <v>25</v>
      </c>
      <c r="H268" s="8"/>
      <c r="I268" s="8">
        <v>-180000</v>
      </c>
      <c r="J268" s="6" t="s">
        <v>3445</v>
      </c>
      <c r="K268" s="6" t="s">
        <v>585</v>
      </c>
      <c r="L268" s="6" t="s">
        <v>4509</v>
      </c>
      <c r="M268" s="6" t="s">
        <v>4537</v>
      </c>
      <c r="N268" s="6" t="s">
        <v>585</v>
      </c>
      <c r="O268" s="29">
        <f t="shared" si="4"/>
        <v>-189000</v>
      </c>
      <c r="Q268" s="30" t="s">
        <v>585</v>
      </c>
      <c r="R268" s="31">
        <v>-189000</v>
      </c>
    </row>
    <row r="269" s="1" customFormat="1" ht="16.35" hidden="1" customHeight="1" spans="1:18">
      <c r="A269" s="6" t="s">
        <v>4506</v>
      </c>
      <c r="B269" s="6">
        <v>2016</v>
      </c>
      <c r="C269" s="6">
        <v>7</v>
      </c>
      <c r="D269" s="7">
        <v>20</v>
      </c>
      <c r="E269" s="6" t="s">
        <v>4646</v>
      </c>
      <c r="F269" s="6" t="s">
        <v>4508</v>
      </c>
      <c r="G269" s="6" t="s">
        <v>25</v>
      </c>
      <c r="H269" s="8"/>
      <c r="I269" s="8">
        <v>-76404</v>
      </c>
      <c r="J269" s="6" t="s">
        <v>3205</v>
      </c>
      <c r="K269" s="6" t="s">
        <v>535</v>
      </c>
      <c r="L269" s="6" t="s">
        <v>4509</v>
      </c>
      <c r="M269" s="6" t="s">
        <v>4537</v>
      </c>
      <c r="N269" s="6" t="s">
        <v>535</v>
      </c>
      <c r="O269" s="29">
        <f t="shared" si="4"/>
        <v>-80224.2</v>
      </c>
      <c r="Q269" s="30" t="s">
        <v>535</v>
      </c>
      <c r="R269" s="31">
        <v>-80224.2</v>
      </c>
    </row>
    <row r="270" s="1" customFormat="1" ht="16.35" hidden="1" customHeight="1" spans="1:18">
      <c r="A270" s="6" t="s">
        <v>4506</v>
      </c>
      <c r="B270" s="6">
        <v>2016</v>
      </c>
      <c r="C270" s="6">
        <v>7</v>
      </c>
      <c r="D270" s="7">
        <v>21</v>
      </c>
      <c r="E270" s="6" t="s">
        <v>4647</v>
      </c>
      <c r="F270" s="6" t="s">
        <v>4508</v>
      </c>
      <c r="G270" s="6" t="s">
        <v>25</v>
      </c>
      <c r="H270" s="8"/>
      <c r="I270" s="8">
        <v>-180952</v>
      </c>
      <c r="J270" s="6" t="s">
        <v>3188</v>
      </c>
      <c r="K270" s="6" t="s">
        <v>58</v>
      </c>
      <c r="L270" s="6" t="s">
        <v>4509</v>
      </c>
      <c r="M270" s="6" t="s">
        <v>4537</v>
      </c>
      <c r="N270" s="6" t="s">
        <v>58</v>
      </c>
      <c r="O270" s="29">
        <f t="shared" si="4"/>
        <v>-189999.6</v>
      </c>
      <c r="Q270" s="30" t="s">
        <v>58</v>
      </c>
      <c r="R270" s="31">
        <v>-189999.6</v>
      </c>
    </row>
    <row r="271" s="1" customFormat="1" ht="16.35" hidden="1" customHeight="1" spans="1:18">
      <c r="A271" s="6" t="s">
        <v>4506</v>
      </c>
      <c r="B271" s="6">
        <v>2016</v>
      </c>
      <c r="C271" s="6">
        <v>7</v>
      </c>
      <c r="D271" s="7">
        <v>22</v>
      </c>
      <c r="E271" s="6" t="s">
        <v>4648</v>
      </c>
      <c r="F271" s="6" t="s">
        <v>4508</v>
      </c>
      <c r="G271" s="6" t="s">
        <v>25</v>
      </c>
      <c r="H271" s="8"/>
      <c r="I271" s="8">
        <v>-76190</v>
      </c>
      <c r="J271" s="6" t="s">
        <v>3418</v>
      </c>
      <c r="K271" s="6" t="s">
        <v>601</v>
      </c>
      <c r="L271" s="6" t="s">
        <v>4509</v>
      </c>
      <c r="M271" s="6" t="s">
        <v>4537</v>
      </c>
      <c r="N271" s="6" t="s">
        <v>601</v>
      </c>
      <c r="O271" s="29">
        <f t="shared" si="4"/>
        <v>-79999.5</v>
      </c>
      <c r="Q271" s="30" t="s">
        <v>601</v>
      </c>
      <c r="R271" s="31">
        <v>-79999.5</v>
      </c>
    </row>
    <row r="272" s="1" customFormat="1" ht="16.35" hidden="1" customHeight="1" spans="1:18">
      <c r="A272" s="6" t="s">
        <v>4506</v>
      </c>
      <c r="B272" s="6">
        <v>2016</v>
      </c>
      <c r="C272" s="6">
        <v>7</v>
      </c>
      <c r="D272" s="7">
        <v>23</v>
      </c>
      <c r="E272" s="6" t="s">
        <v>4649</v>
      </c>
      <c r="F272" s="6" t="s">
        <v>4508</v>
      </c>
      <c r="G272" s="6" t="s">
        <v>25</v>
      </c>
      <c r="H272" s="8"/>
      <c r="I272" s="8">
        <v>-95238</v>
      </c>
      <c r="J272" s="6" t="s">
        <v>3312</v>
      </c>
      <c r="K272" s="6" t="s">
        <v>78</v>
      </c>
      <c r="L272" s="6" t="s">
        <v>4509</v>
      </c>
      <c r="M272" s="6" t="s">
        <v>4537</v>
      </c>
      <c r="N272" s="6" t="s">
        <v>78</v>
      </c>
      <c r="O272" s="29">
        <f t="shared" si="4"/>
        <v>-99999.9</v>
      </c>
      <c r="Q272" s="30" t="s">
        <v>78</v>
      </c>
      <c r="R272" s="31">
        <v>-99999.9</v>
      </c>
    </row>
    <row r="273" s="1" customFormat="1" ht="16.35" hidden="1" customHeight="1" spans="1:18">
      <c r="A273" s="6" t="s">
        <v>4506</v>
      </c>
      <c r="B273" s="6">
        <v>2016</v>
      </c>
      <c r="C273" s="6">
        <v>7</v>
      </c>
      <c r="D273" s="7">
        <v>24</v>
      </c>
      <c r="E273" s="6" t="s">
        <v>4650</v>
      </c>
      <c r="F273" s="6" t="s">
        <v>4508</v>
      </c>
      <c r="G273" s="6" t="s">
        <v>25</v>
      </c>
      <c r="H273" s="8"/>
      <c r="I273" s="8">
        <v>-190476</v>
      </c>
      <c r="J273" s="6" t="s">
        <v>3308</v>
      </c>
      <c r="K273" s="6" t="s">
        <v>473</v>
      </c>
      <c r="L273" s="6" t="s">
        <v>4509</v>
      </c>
      <c r="M273" s="6" t="s">
        <v>4537</v>
      </c>
      <c r="N273" s="6" t="s">
        <v>473</v>
      </c>
      <c r="O273" s="29">
        <f t="shared" si="4"/>
        <v>-199999.8</v>
      </c>
      <c r="Q273" s="30" t="s">
        <v>473</v>
      </c>
      <c r="R273" s="31">
        <v>-199999.8</v>
      </c>
    </row>
    <row r="274" s="1" customFormat="1" ht="16.35" hidden="1" customHeight="1" spans="1:18">
      <c r="A274" s="6" t="s">
        <v>4506</v>
      </c>
      <c r="B274" s="6">
        <v>2016</v>
      </c>
      <c r="C274" s="6">
        <v>7</v>
      </c>
      <c r="D274" s="7">
        <v>25</v>
      </c>
      <c r="E274" s="6" t="s">
        <v>4651</v>
      </c>
      <c r="F274" s="6" t="s">
        <v>4508</v>
      </c>
      <c r="G274" s="6" t="s">
        <v>25</v>
      </c>
      <c r="H274" s="8"/>
      <c r="I274" s="8">
        <v>160000</v>
      </c>
      <c r="J274" s="6" t="s">
        <v>2941</v>
      </c>
      <c r="K274" s="6" t="s">
        <v>622</v>
      </c>
      <c r="L274" s="6" t="s">
        <v>4509</v>
      </c>
      <c r="M274" s="6" t="s">
        <v>4537</v>
      </c>
      <c r="N274" s="6" t="s">
        <v>622</v>
      </c>
      <c r="O274" s="29">
        <f t="shared" si="4"/>
        <v>168000</v>
      </c>
      <c r="Q274" s="30" t="s">
        <v>622</v>
      </c>
      <c r="R274" s="31">
        <v>168000</v>
      </c>
    </row>
    <row r="275" s="1" customFormat="1" ht="16.35" hidden="1" customHeight="1" spans="1:18">
      <c r="A275" s="6" t="s">
        <v>4506</v>
      </c>
      <c r="B275" s="6">
        <v>2016</v>
      </c>
      <c r="C275" s="6">
        <v>7</v>
      </c>
      <c r="D275" s="7">
        <v>29</v>
      </c>
      <c r="E275" s="6" t="s">
        <v>4652</v>
      </c>
      <c r="F275" s="6" t="s">
        <v>4508</v>
      </c>
      <c r="G275" s="6" t="s">
        <v>25</v>
      </c>
      <c r="H275" s="8"/>
      <c r="I275" s="8">
        <v>9524</v>
      </c>
      <c r="J275" s="6" t="s">
        <v>3473</v>
      </c>
      <c r="K275" s="6" t="s">
        <v>850</v>
      </c>
      <c r="L275" s="6" t="s">
        <v>4509</v>
      </c>
      <c r="M275" s="6" t="s">
        <v>4537</v>
      </c>
      <c r="N275" s="6" t="s">
        <v>850</v>
      </c>
      <c r="O275" s="29">
        <f t="shared" si="4"/>
        <v>10000.2</v>
      </c>
      <c r="Q275" s="30" t="s">
        <v>850</v>
      </c>
      <c r="R275" s="31">
        <v>10000.2</v>
      </c>
    </row>
    <row r="276" s="1" customFormat="1" ht="16.35" hidden="1" customHeight="1" spans="1:18">
      <c r="A276" s="6" t="s">
        <v>4506</v>
      </c>
      <c r="B276" s="6">
        <v>2016</v>
      </c>
      <c r="C276" s="6">
        <v>7</v>
      </c>
      <c r="D276" s="7">
        <v>30</v>
      </c>
      <c r="E276" s="6" t="s">
        <v>4653</v>
      </c>
      <c r="F276" s="6" t="s">
        <v>4508</v>
      </c>
      <c r="G276" s="6" t="s">
        <v>25</v>
      </c>
      <c r="H276" s="8"/>
      <c r="I276" s="8">
        <v>9524</v>
      </c>
      <c r="J276" s="6" t="s">
        <v>3475</v>
      </c>
      <c r="K276" s="6" t="s">
        <v>808</v>
      </c>
      <c r="L276" s="6" t="s">
        <v>4509</v>
      </c>
      <c r="M276" s="6" t="s">
        <v>4537</v>
      </c>
      <c r="N276" s="6" t="s">
        <v>808</v>
      </c>
      <c r="O276" s="29">
        <f t="shared" si="4"/>
        <v>10000.2</v>
      </c>
      <c r="Q276" s="30" t="s">
        <v>808</v>
      </c>
      <c r="R276" s="31">
        <v>10000.2</v>
      </c>
    </row>
    <row r="277" s="1" customFormat="1" ht="16.35" hidden="1" customHeight="1" spans="1:18">
      <c r="A277" s="6" t="s">
        <v>4506</v>
      </c>
      <c r="B277" s="6">
        <v>2016</v>
      </c>
      <c r="C277" s="6">
        <v>7</v>
      </c>
      <c r="D277" s="7">
        <v>34</v>
      </c>
      <c r="E277" s="6" t="s">
        <v>4654</v>
      </c>
      <c r="F277" s="6" t="s">
        <v>4508</v>
      </c>
      <c r="G277" s="6" t="s">
        <v>25</v>
      </c>
      <c r="H277" s="8"/>
      <c r="I277" s="8">
        <v>4762</v>
      </c>
      <c r="J277" s="6" t="s">
        <v>3477</v>
      </c>
      <c r="K277" s="6" t="s">
        <v>901</v>
      </c>
      <c r="L277" s="6" t="s">
        <v>4509</v>
      </c>
      <c r="M277" s="6" t="s">
        <v>4537</v>
      </c>
      <c r="N277" s="6" t="s">
        <v>901</v>
      </c>
      <c r="O277" s="29">
        <f t="shared" si="4"/>
        <v>5000.1</v>
      </c>
      <c r="Q277" s="30" t="s">
        <v>901</v>
      </c>
      <c r="R277" s="31">
        <v>5000.1</v>
      </c>
    </row>
    <row r="278" s="1" customFormat="1" ht="16.35" hidden="1" customHeight="1" spans="1:18">
      <c r="A278" s="6" t="s">
        <v>4506</v>
      </c>
      <c r="B278" s="6">
        <v>2016</v>
      </c>
      <c r="C278" s="6">
        <v>7</v>
      </c>
      <c r="D278" s="7">
        <v>35</v>
      </c>
      <c r="E278" s="6" t="s">
        <v>4654</v>
      </c>
      <c r="F278" s="6" t="s">
        <v>4508</v>
      </c>
      <c r="G278" s="6" t="s">
        <v>25</v>
      </c>
      <c r="H278" s="8"/>
      <c r="I278" s="8">
        <v>4762</v>
      </c>
      <c r="J278" s="6" t="s">
        <v>3477</v>
      </c>
      <c r="K278" s="6" t="s">
        <v>901</v>
      </c>
      <c r="L278" s="6" t="s">
        <v>4509</v>
      </c>
      <c r="M278" s="6" t="s">
        <v>4537</v>
      </c>
      <c r="N278" s="6" t="s">
        <v>901</v>
      </c>
      <c r="O278" s="29">
        <f t="shared" si="4"/>
        <v>5000.1</v>
      </c>
      <c r="Q278" s="30" t="s">
        <v>901</v>
      </c>
      <c r="R278" s="31">
        <v>5000.1</v>
      </c>
    </row>
    <row r="279" s="1" customFormat="1" ht="16.35" hidden="1" customHeight="1" spans="1:18">
      <c r="A279" s="6" t="s">
        <v>4506</v>
      </c>
      <c r="B279" s="6">
        <v>2016</v>
      </c>
      <c r="C279" s="6">
        <v>7</v>
      </c>
      <c r="D279" s="7">
        <v>38</v>
      </c>
      <c r="E279" s="6" t="s">
        <v>4655</v>
      </c>
      <c r="F279" s="6" t="s">
        <v>4508</v>
      </c>
      <c r="G279" s="6" t="s">
        <v>25</v>
      </c>
      <c r="H279" s="8"/>
      <c r="I279" s="8">
        <v>75050</v>
      </c>
      <c r="J279" s="6" t="s">
        <v>3481</v>
      </c>
      <c r="K279" s="6" t="s">
        <v>138</v>
      </c>
      <c r="L279" s="6" t="s">
        <v>4509</v>
      </c>
      <c r="M279" s="6" t="s">
        <v>4537</v>
      </c>
      <c r="N279" s="6" t="s">
        <v>138</v>
      </c>
      <c r="O279" s="29">
        <f t="shared" si="4"/>
        <v>78802.5</v>
      </c>
      <c r="Q279" s="30" t="s">
        <v>138</v>
      </c>
      <c r="R279" s="31">
        <v>78802.5</v>
      </c>
    </row>
    <row r="280" s="1" customFormat="1" ht="16.35" hidden="1" customHeight="1" spans="1:18">
      <c r="A280" s="6" t="s">
        <v>4506</v>
      </c>
      <c r="B280" s="6">
        <v>2016</v>
      </c>
      <c r="C280" s="6">
        <v>7</v>
      </c>
      <c r="D280" s="7">
        <v>39</v>
      </c>
      <c r="E280" s="6" t="s">
        <v>4656</v>
      </c>
      <c r="F280" s="6" t="s">
        <v>4508</v>
      </c>
      <c r="G280" s="6" t="s">
        <v>25</v>
      </c>
      <c r="H280" s="8"/>
      <c r="I280" s="8">
        <v>29141</v>
      </c>
      <c r="J280" s="6" t="s">
        <v>3483</v>
      </c>
      <c r="K280" s="6" t="s">
        <v>469</v>
      </c>
      <c r="L280" s="6" t="s">
        <v>4509</v>
      </c>
      <c r="M280" s="6" t="s">
        <v>4537</v>
      </c>
      <c r="N280" s="6" t="s">
        <v>469</v>
      </c>
      <c r="O280" s="29">
        <f t="shared" si="4"/>
        <v>30598.05</v>
      </c>
      <c r="Q280" s="30" t="s">
        <v>469</v>
      </c>
      <c r="R280" s="31">
        <v>30598.05</v>
      </c>
    </row>
    <row r="281" s="1" customFormat="1" ht="16.35" customHeight="1" spans="1:18">
      <c r="A281" s="6" t="s">
        <v>4506</v>
      </c>
      <c r="B281" s="6">
        <v>2016</v>
      </c>
      <c r="C281" s="6">
        <v>8</v>
      </c>
      <c r="D281" s="7">
        <v>2</v>
      </c>
      <c r="E281" s="6" t="s">
        <v>4657</v>
      </c>
      <c r="F281" s="6" t="s">
        <v>4508</v>
      </c>
      <c r="G281" s="6" t="s">
        <v>25</v>
      </c>
      <c r="H281" s="8"/>
      <c r="I281" s="8">
        <v>-142857</v>
      </c>
      <c r="J281" s="6" t="s">
        <v>3471</v>
      </c>
      <c r="K281" s="6" t="s">
        <v>561</v>
      </c>
      <c r="L281" s="6" t="s">
        <v>4509</v>
      </c>
      <c r="M281" s="6" t="s">
        <v>4537</v>
      </c>
      <c r="N281" s="6" t="s">
        <v>561</v>
      </c>
      <c r="O281" s="29">
        <f t="shared" ref="O281:O344" si="5">I281*1.05</f>
        <v>-149999.85</v>
      </c>
      <c r="Q281" s="30" t="s">
        <v>561</v>
      </c>
      <c r="R281" s="31">
        <v>-149999.85</v>
      </c>
    </row>
    <row r="282" s="1" customFormat="1" ht="16.35" hidden="1" customHeight="1" spans="1:18">
      <c r="A282" s="6" t="s">
        <v>4506</v>
      </c>
      <c r="B282" s="6">
        <v>2016</v>
      </c>
      <c r="C282" s="6">
        <v>8</v>
      </c>
      <c r="D282" s="7">
        <v>3</v>
      </c>
      <c r="E282" s="6" t="s">
        <v>4658</v>
      </c>
      <c r="F282" s="6" t="s">
        <v>4508</v>
      </c>
      <c r="G282" s="6" t="s">
        <v>25</v>
      </c>
      <c r="H282" s="8"/>
      <c r="I282" s="8">
        <v>4762</v>
      </c>
      <c r="J282" s="6" t="s">
        <v>3485</v>
      </c>
      <c r="K282" s="6" t="s">
        <v>888</v>
      </c>
      <c r="L282" s="6" t="s">
        <v>4509</v>
      </c>
      <c r="M282" s="6" t="s">
        <v>4537</v>
      </c>
      <c r="N282" s="6" t="s">
        <v>888</v>
      </c>
      <c r="O282" s="29">
        <f t="shared" si="5"/>
        <v>5000.1</v>
      </c>
      <c r="Q282" s="30" t="s">
        <v>888</v>
      </c>
      <c r="R282" s="31">
        <v>5000.1</v>
      </c>
    </row>
    <row r="283" s="1" customFormat="1" ht="16.35" hidden="1" customHeight="1" spans="1:18">
      <c r="A283" s="6" t="s">
        <v>4506</v>
      </c>
      <c r="B283" s="6">
        <v>2016</v>
      </c>
      <c r="C283" s="6">
        <v>8</v>
      </c>
      <c r="D283" s="7">
        <v>5</v>
      </c>
      <c r="E283" s="6" t="s">
        <v>4659</v>
      </c>
      <c r="F283" s="6" t="s">
        <v>4508</v>
      </c>
      <c r="G283" s="6" t="s">
        <v>25</v>
      </c>
      <c r="H283" s="8"/>
      <c r="I283" s="8">
        <v>180000</v>
      </c>
      <c r="J283" s="6" t="s">
        <v>3150</v>
      </c>
      <c r="K283" s="6" t="s">
        <v>609</v>
      </c>
      <c r="L283" s="6" t="s">
        <v>4509</v>
      </c>
      <c r="M283" s="6" t="s">
        <v>4537</v>
      </c>
      <c r="N283" s="6" t="s">
        <v>609</v>
      </c>
      <c r="O283" s="29">
        <f t="shared" si="5"/>
        <v>189000</v>
      </c>
      <c r="Q283" s="30" t="s">
        <v>609</v>
      </c>
      <c r="R283" s="31">
        <v>189000</v>
      </c>
    </row>
    <row r="284" s="1" customFormat="1" ht="16.35" hidden="1" customHeight="1" spans="1:18">
      <c r="A284" s="6" t="s">
        <v>4506</v>
      </c>
      <c r="B284" s="6">
        <v>2016</v>
      </c>
      <c r="C284" s="6">
        <v>8</v>
      </c>
      <c r="D284" s="7">
        <v>10</v>
      </c>
      <c r="E284" s="6" t="s">
        <v>4660</v>
      </c>
      <c r="F284" s="6" t="s">
        <v>4508</v>
      </c>
      <c r="G284" s="6" t="s">
        <v>25</v>
      </c>
      <c r="H284" s="8"/>
      <c r="I284" s="8">
        <v>57143</v>
      </c>
      <c r="J284" s="6" t="s">
        <v>3487</v>
      </c>
      <c r="K284" s="6" t="s">
        <v>880</v>
      </c>
      <c r="L284" s="6" t="s">
        <v>4509</v>
      </c>
      <c r="M284" s="6" t="s">
        <v>4537</v>
      </c>
      <c r="N284" s="6" t="s">
        <v>880</v>
      </c>
      <c r="O284" s="29">
        <f t="shared" si="5"/>
        <v>60000.15</v>
      </c>
      <c r="Q284" s="30" t="s">
        <v>880</v>
      </c>
      <c r="R284" s="31">
        <v>60000.15</v>
      </c>
    </row>
    <row r="285" s="1" customFormat="1" ht="16.35" hidden="1" customHeight="1" spans="1:18">
      <c r="A285" s="6" t="s">
        <v>4506</v>
      </c>
      <c r="B285" s="6">
        <v>2016</v>
      </c>
      <c r="C285" s="6">
        <v>8</v>
      </c>
      <c r="D285" s="7">
        <v>11</v>
      </c>
      <c r="E285" s="6" t="s">
        <v>4661</v>
      </c>
      <c r="F285" s="6" t="s">
        <v>4508</v>
      </c>
      <c r="G285" s="6" t="s">
        <v>25</v>
      </c>
      <c r="H285" s="8"/>
      <c r="I285" s="8">
        <v>23810</v>
      </c>
      <c r="J285" s="6" t="s">
        <v>3489</v>
      </c>
      <c r="K285" s="6" t="s">
        <v>603</v>
      </c>
      <c r="L285" s="6" t="s">
        <v>4509</v>
      </c>
      <c r="M285" s="6" t="s">
        <v>4537</v>
      </c>
      <c r="N285" s="6" t="s">
        <v>603</v>
      </c>
      <c r="O285" s="29">
        <f t="shared" si="5"/>
        <v>25000.5</v>
      </c>
      <c r="Q285" s="30" t="s">
        <v>603</v>
      </c>
      <c r="R285" s="31">
        <v>25000.5</v>
      </c>
    </row>
    <row r="286" s="1" customFormat="1" ht="16.35" hidden="1" customHeight="1" spans="1:18">
      <c r="A286" s="6" t="s">
        <v>4506</v>
      </c>
      <c r="B286" s="6">
        <v>2016</v>
      </c>
      <c r="C286" s="6">
        <v>8</v>
      </c>
      <c r="D286" s="7">
        <v>13</v>
      </c>
      <c r="E286" s="6" t="s">
        <v>4662</v>
      </c>
      <c r="F286" s="6" t="s">
        <v>4508</v>
      </c>
      <c r="G286" s="6" t="s">
        <v>25</v>
      </c>
      <c r="H286" s="8"/>
      <c r="I286" s="8">
        <v>-180952</v>
      </c>
      <c r="J286" s="6" t="s">
        <v>4625</v>
      </c>
      <c r="K286" s="6" t="s">
        <v>571</v>
      </c>
      <c r="L286" s="6" t="s">
        <v>4509</v>
      </c>
      <c r="M286" s="6" t="s">
        <v>4537</v>
      </c>
      <c r="N286" s="6" t="s">
        <v>571</v>
      </c>
      <c r="O286" s="29">
        <f t="shared" si="5"/>
        <v>-189999.6</v>
      </c>
      <c r="Q286" s="30" t="s">
        <v>571</v>
      </c>
      <c r="R286" s="31">
        <v>-189999.6</v>
      </c>
    </row>
    <row r="287" s="1" customFormat="1" ht="16.35" hidden="1" customHeight="1" spans="1:18">
      <c r="A287" s="6" t="s">
        <v>4506</v>
      </c>
      <c r="B287" s="6">
        <v>2016</v>
      </c>
      <c r="C287" s="6">
        <v>8</v>
      </c>
      <c r="D287" s="7">
        <v>25</v>
      </c>
      <c r="E287" s="6" t="s">
        <v>4663</v>
      </c>
      <c r="F287" s="6" t="s">
        <v>4508</v>
      </c>
      <c r="G287" s="6" t="s">
        <v>25</v>
      </c>
      <c r="H287" s="8"/>
      <c r="I287" s="8">
        <v>95238</v>
      </c>
      <c r="J287" s="6" t="s">
        <v>3491</v>
      </c>
      <c r="K287" s="6" t="s">
        <v>569</v>
      </c>
      <c r="L287" s="6" t="s">
        <v>4509</v>
      </c>
      <c r="M287" s="6" t="s">
        <v>4537</v>
      </c>
      <c r="N287" s="6" t="s">
        <v>569</v>
      </c>
      <c r="O287" s="29">
        <f t="shared" si="5"/>
        <v>99999.9</v>
      </c>
      <c r="Q287" s="30" t="s">
        <v>569</v>
      </c>
      <c r="R287" s="31">
        <v>99999.9</v>
      </c>
    </row>
    <row r="288" s="1" customFormat="1" ht="16.35" hidden="1" customHeight="1" spans="1:18">
      <c r="A288" s="6" t="s">
        <v>4506</v>
      </c>
      <c r="B288" s="6">
        <v>2016</v>
      </c>
      <c r="C288" s="6">
        <v>8</v>
      </c>
      <c r="D288" s="7">
        <v>27</v>
      </c>
      <c r="E288" s="6" t="s">
        <v>4664</v>
      </c>
      <c r="F288" s="6" t="s">
        <v>4508</v>
      </c>
      <c r="G288" s="6" t="s">
        <v>25</v>
      </c>
      <c r="H288" s="8"/>
      <c r="I288" s="8">
        <v>9524</v>
      </c>
      <c r="J288" s="6" t="s">
        <v>3494</v>
      </c>
      <c r="K288" s="6" t="s">
        <v>786</v>
      </c>
      <c r="L288" s="6" t="s">
        <v>4509</v>
      </c>
      <c r="M288" s="6" t="s">
        <v>4537</v>
      </c>
      <c r="N288" s="6" t="s">
        <v>786</v>
      </c>
      <c r="O288" s="29">
        <f t="shared" si="5"/>
        <v>10000.2</v>
      </c>
      <c r="Q288" s="30" t="s">
        <v>786</v>
      </c>
      <c r="R288" s="31">
        <v>10000.2</v>
      </c>
    </row>
    <row r="289" s="1" customFormat="1" ht="16.35" hidden="1" customHeight="1" spans="1:18">
      <c r="A289" s="6" t="s">
        <v>4506</v>
      </c>
      <c r="B289" s="6">
        <v>2016</v>
      </c>
      <c r="C289" s="6">
        <v>8</v>
      </c>
      <c r="D289" s="7">
        <v>28</v>
      </c>
      <c r="E289" s="6" t="s">
        <v>4665</v>
      </c>
      <c r="F289" s="6" t="s">
        <v>4508</v>
      </c>
      <c r="G289" s="6" t="s">
        <v>25</v>
      </c>
      <c r="H289" s="8"/>
      <c r="I289" s="8">
        <v>9524</v>
      </c>
      <c r="J289" s="6" t="s">
        <v>3496</v>
      </c>
      <c r="K289" s="6" t="s">
        <v>864</v>
      </c>
      <c r="L289" s="6" t="s">
        <v>4509</v>
      </c>
      <c r="M289" s="6" t="s">
        <v>4537</v>
      </c>
      <c r="N289" s="6" t="s">
        <v>864</v>
      </c>
      <c r="O289" s="29">
        <f t="shared" si="5"/>
        <v>10000.2</v>
      </c>
      <c r="Q289" s="30" t="s">
        <v>864</v>
      </c>
      <c r="R289" s="31">
        <v>10000.2</v>
      </c>
    </row>
    <row r="290" s="1" customFormat="1" ht="16.35" hidden="1" customHeight="1" spans="1:18">
      <c r="A290" s="6" t="s">
        <v>4506</v>
      </c>
      <c r="B290" s="6">
        <v>2016</v>
      </c>
      <c r="C290" s="6">
        <v>8</v>
      </c>
      <c r="D290" s="7">
        <v>29</v>
      </c>
      <c r="E290" s="6" t="s">
        <v>4666</v>
      </c>
      <c r="F290" s="6" t="s">
        <v>4508</v>
      </c>
      <c r="G290" s="6" t="s">
        <v>25</v>
      </c>
      <c r="H290" s="8"/>
      <c r="I290" s="8">
        <v>-133333</v>
      </c>
      <c r="J290" s="6" t="s">
        <v>3401</v>
      </c>
      <c r="K290" s="6" t="s">
        <v>86</v>
      </c>
      <c r="L290" s="6" t="s">
        <v>4509</v>
      </c>
      <c r="M290" s="6" t="s">
        <v>4537</v>
      </c>
      <c r="N290" s="6" t="s">
        <v>86</v>
      </c>
      <c r="O290" s="29">
        <f t="shared" si="5"/>
        <v>-139999.65</v>
      </c>
      <c r="Q290" s="30" t="s">
        <v>86</v>
      </c>
      <c r="R290" s="31">
        <v>-139999.65</v>
      </c>
    </row>
    <row r="291" s="1" customFormat="1" ht="16.35" hidden="1" customHeight="1" spans="1:18">
      <c r="A291" s="6" t="s">
        <v>4506</v>
      </c>
      <c r="B291" s="6">
        <v>2016</v>
      </c>
      <c r="C291" s="6">
        <v>8</v>
      </c>
      <c r="D291" s="7">
        <v>30</v>
      </c>
      <c r="E291" s="6" t="s">
        <v>4667</v>
      </c>
      <c r="F291" s="6" t="s">
        <v>4508</v>
      </c>
      <c r="G291" s="6" t="s">
        <v>25</v>
      </c>
      <c r="H291" s="8"/>
      <c r="I291" s="8">
        <v>201905</v>
      </c>
      <c r="J291" s="6" t="s">
        <v>3281</v>
      </c>
      <c r="K291" s="6" t="s">
        <v>449</v>
      </c>
      <c r="L291" s="6" t="s">
        <v>4509</v>
      </c>
      <c r="M291" s="6" t="s">
        <v>4537</v>
      </c>
      <c r="N291" s="6" t="s">
        <v>449</v>
      </c>
      <c r="O291" s="29">
        <f t="shared" si="5"/>
        <v>212000.25</v>
      </c>
      <c r="Q291" s="30" t="s">
        <v>449</v>
      </c>
      <c r="R291" s="31">
        <v>212000.25</v>
      </c>
    </row>
    <row r="292" s="1" customFormat="1" ht="16.35" hidden="1" customHeight="1" spans="1:18">
      <c r="A292" s="6" t="s">
        <v>4506</v>
      </c>
      <c r="B292" s="6">
        <v>2016</v>
      </c>
      <c r="C292" s="6">
        <v>8</v>
      </c>
      <c r="D292" s="7">
        <v>32</v>
      </c>
      <c r="E292" s="6" t="s">
        <v>4668</v>
      </c>
      <c r="F292" s="6" t="s">
        <v>4508</v>
      </c>
      <c r="G292" s="6" t="s">
        <v>25</v>
      </c>
      <c r="H292" s="8"/>
      <c r="I292" s="8">
        <v>9524</v>
      </c>
      <c r="J292" s="6" t="s">
        <v>3498</v>
      </c>
      <c r="K292" s="6" t="s">
        <v>820</v>
      </c>
      <c r="L292" s="6" t="s">
        <v>4509</v>
      </c>
      <c r="M292" s="6" t="s">
        <v>4537</v>
      </c>
      <c r="N292" s="6" t="s">
        <v>820</v>
      </c>
      <c r="O292" s="29">
        <f t="shared" si="5"/>
        <v>10000.2</v>
      </c>
      <c r="Q292" s="30" t="s">
        <v>820</v>
      </c>
      <c r="R292" s="31">
        <v>10000.2</v>
      </c>
    </row>
    <row r="293" s="1" customFormat="1" ht="16.35" hidden="1" customHeight="1" spans="1:19">
      <c r="A293" s="6" t="s">
        <v>4506</v>
      </c>
      <c r="B293" s="6">
        <v>2016</v>
      </c>
      <c r="C293" s="6">
        <v>8</v>
      </c>
      <c r="D293" s="7">
        <v>34</v>
      </c>
      <c r="E293" s="6" t="s">
        <v>29</v>
      </c>
      <c r="F293" s="6" t="s">
        <v>4508</v>
      </c>
      <c r="G293" s="6" t="s">
        <v>25</v>
      </c>
      <c r="H293" s="8"/>
      <c r="I293" s="8">
        <v>285714</v>
      </c>
      <c r="J293" s="6" t="s">
        <v>3114</v>
      </c>
      <c r="K293" s="6" t="s">
        <v>4536</v>
      </c>
      <c r="L293" s="6" t="s">
        <v>4509</v>
      </c>
      <c r="M293" s="6" t="s">
        <v>4537</v>
      </c>
      <c r="N293" s="6" t="s">
        <v>4536</v>
      </c>
      <c r="O293" s="29">
        <f t="shared" si="5"/>
        <v>299999.7</v>
      </c>
      <c r="Q293" s="30" t="s">
        <v>4536</v>
      </c>
      <c r="R293" s="31">
        <v>299999.7</v>
      </c>
      <c r="S293" s="1">
        <f>R293-I293</f>
        <v>14285.7</v>
      </c>
    </row>
    <row r="294" s="1" customFormat="1" ht="16.35" hidden="1" customHeight="1" spans="1:18">
      <c r="A294" s="6" t="s">
        <v>4506</v>
      </c>
      <c r="B294" s="6">
        <v>2016</v>
      </c>
      <c r="C294" s="6">
        <v>8</v>
      </c>
      <c r="D294" s="7">
        <v>35</v>
      </c>
      <c r="E294" s="6" t="s">
        <v>4669</v>
      </c>
      <c r="F294" s="6" t="s">
        <v>4508</v>
      </c>
      <c r="G294" s="6" t="s">
        <v>25</v>
      </c>
      <c r="H294" s="8"/>
      <c r="I294" s="8">
        <v>51283</v>
      </c>
      <c r="J294" s="6" t="s">
        <v>3501</v>
      </c>
      <c r="K294" s="6" t="s">
        <v>854</v>
      </c>
      <c r="L294" s="6" t="s">
        <v>4509</v>
      </c>
      <c r="M294" s="6" t="s">
        <v>4537</v>
      </c>
      <c r="N294" s="6" t="s">
        <v>854</v>
      </c>
      <c r="O294" s="29">
        <f t="shared" si="5"/>
        <v>53847.15</v>
      </c>
      <c r="Q294" s="30" t="s">
        <v>854</v>
      </c>
      <c r="R294" s="31">
        <v>53847.15</v>
      </c>
    </row>
    <row r="295" s="1" customFormat="1" ht="16.35" hidden="1" customHeight="1" spans="1:18">
      <c r="A295" s="6" t="s">
        <v>4506</v>
      </c>
      <c r="B295" s="6">
        <v>2016</v>
      </c>
      <c r="C295" s="6">
        <v>8</v>
      </c>
      <c r="D295" s="7">
        <v>36</v>
      </c>
      <c r="E295" s="6" t="s">
        <v>4670</v>
      </c>
      <c r="F295" s="6" t="s">
        <v>4508</v>
      </c>
      <c r="G295" s="6" t="s">
        <v>25</v>
      </c>
      <c r="H295" s="8"/>
      <c r="I295" s="8">
        <v>158545</v>
      </c>
      <c r="J295" s="6" t="s">
        <v>3503</v>
      </c>
      <c r="K295" s="6" t="s">
        <v>701</v>
      </c>
      <c r="L295" s="6" t="s">
        <v>4509</v>
      </c>
      <c r="M295" s="6" t="s">
        <v>4537</v>
      </c>
      <c r="N295" s="6" t="s">
        <v>701</v>
      </c>
      <c r="O295" s="29">
        <f t="shared" si="5"/>
        <v>166472.25</v>
      </c>
      <c r="Q295" s="30" t="s">
        <v>701</v>
      </c>
      <c r="R295" s="31">
        <v>166472.25</v>
      </c>
    </row>
    <row r="296" s="1" customFormat="1" ht="16.35" hidden="1" customHeight="1" spans="1:18">
      <c r="A296" s="6" t="s">
        <v>4506</v>
      </c>
      <c r="B296" s="6">
        <v>2016</v>
      </c>
      <c r="C296" s="6">
        <v>8</v>
      </c>
      <c r="D296" s="7">
        <v>37</v>
      </c>
      <c r="E296" s="6" t="s">
        <v>4671</v>
      </c>
      <c r="F296" s="6" t="s">
        <v>4508</v>
      </c>
      <c r="G296" s="6" t="s">
        <v>25</v>
      </c>
      <c r="H296" s="8"/>
      <c r="I296" s="8">
        <v>9524</v>
      </c>
      <c r="J296" s="6" t="s">
        <v>3505</v>
      </c>
      <c r="K296" s="6" t="s">
        <v>703</v>
      </c>
      <c r="L296" s="6" t="s">
        <v>4509</v>
      </c>
      <c r="M296" s="6" t="s">
        <v>4537</v>
      </c>
      <c r="N296" s="6" t="s">
        <v>703</v>
      </c>
      <c r="O296" s="29">
        <f t="shared" si="5"/>
        <v>10000.2</v>
      </c>
      <c r="Q296" s="30" t="s">
        <v>703</v>
      </c>
      <c r="R296" s="31">
        <v>10000.2</v>
      </c>
    </row>
    <row r="297" s="1" customFormat="1" ht="16.35" hidden="1" customHeight="1" spans="1:18">
      <c r="A297" s="6" t="s">
        <v>4506</v>
      </c>
      <c r="B297" s="6">
        <v>2016</v>
      </c>
      <c r="C297" s="6">
        <v>8</v>
      </c>
      <c r="D297" s="7">
        <v>38</v>
      </c>
      <c r="E297" s="6" t="s">
        <v>4672</v>
      </c>
      <c r="F297" s="6" t="s">
        <v>4508</v>
      </c>
      <c r="G297" s="6" t="s">
        <v>25</v>
      </c>
      <c r="H297" s="8"/>
      <c r="I297" s="8">
        <v>60</v>
      </c>
      <c r="J297" s="6" t="s">
        <v>3507</v>
      </c>
      <c r="K297" s="6" t="s">
        <v>118</v>
      </c>
      <c r="L297" s="6" t="s">
        <v>4509</v>
      </c>
      <c r="M297" s="6" t="s">
        <v>4537</v>
      </c>
      <c r="N297" s="6" t="s">
        <v>118</v>
      </c>
      <c r="O297" s="29">
        <f t="shared" si="5"/>
        <v>63</v>
      </c>
      <c r="Q297" s="30" t="s">
        <v>118</v>
      </c>
      <c r="R297" s="31">
        <v>63</v>
      </c>
    </row>
    <row r="298" s="1" customFormat="1" ht="16.35" hidden="1" customHeight="1" spans="1:18">
      <c r="A298" s="6" t="s">
        <v>4506</v>
      </c>
      <c r="B298" s="6">
        <v>2016</v>
      </c>
      <c r="C298" s="6">
        <v>8</v>
      </c>
      <c r="D298" s="7">
        <v>44</v>
      </c>
      <c r="E298" s="6" t="s">
        <v>4673</v>
      </c>
      <c r="F298" s="6" t="s">
        <v>4508</v>
      </c>
      <c r="G298" s="6" t="s">
        <v>25</v>
      </c>
      <c r="H298" s="8"/>
      <c r="I298" s="8">
        <v>9524</v>
      </c>
      <c r="J298" s="6" t="s">
        <v>3509</v>
      </c>
      <c r="K298" s="6" t="s">
        <v>866</v>
      </c>
      <c r="L298" s="6" t="s">
        <v>4509</v>
      </c>
      <c r="M298" s="6" t="s">
        <v>4537</v>
      </c>
      <c r="N298" s="6" t="s">
        <v>866</v>
      </c>
      <c r="O298" s="29">
        <f t="shared" si="5"/>
        <v>10000.2</v>
      </c>
      <c r="Q298" s="30" t="s">
        <v>866</v>
      </c>
      <c r="R298" s="31">
        <v>10000.2</v>
      </c>
    </row>
    <row r="299" s="1" customFormat="1" ht="16.35" hidden="1" customHeight="1" spans="1:18">
      <c r="A299" s="6" t="s">
        <v>4506</v>
      </c>
      <c r="B299" s="6">
        <v>2016</v>
      </c>
      <c r="C299" s="6">
        <v>8</v>
      </c>
      <c r="D299" s="7">
        <v>50</v>
      </c>
      <c r="E299" s="6" t="s">
        <v>4674</v>
      </c>
      <c r="F299" s="6" t="s">
        <v>4508</v>
      </c>
      <c r="G299" s="6" t="s">
        <v>25</v>
      </c>
      <c r="H299" s="8"/>
      <c r="I299" s="8">
        <v>-160000</v>
      </c>
      <c r="J299" s="6" t="s">
        <v>2941</v>
      </c>
      <c r="K299" s="6" t="s">
        <v>622</v>
      </c>
      <c r="L299" s="6" t="s">
        <v>4509</v>
      </c>
      <c r="M299" s="6" t="s">
        <v>4537</v>
      </c>
      <c r="N299" s="6" t="s">
        <v>622</v>
      </c>
      <c r="O299" s="29">
        <f t="shared" si="5"/>
        <v>-168000</v>
      </c>
      <c r="Q299" s="30" t="s">
        <v>622</v>
      </c>
      <c r="R299" s="31">
        <v>-168000</v>
      </c>
    </row>
    <row r="300" s="1" customFormat="1" ht="16.35" hidden="1" customHeight="1" spans="1:18">
      <c r="A300" s="6" t="s">
        <v>4506</v>
      </c>
      <c r="B300" s="6">
        <v>2016</v>
      </c>
      <c r="C300" s="6">
        <v>8</v>
      </c>
      <c r="D300" s="7">
        <v>53</v>
      </c>
      <c r="E300" s="6" t="s">
        <v>4675</v>
      </c>
      <c r="F300" s="6" t="s">
        <v>4508</v>
      </c>
      <c r="G300" s="6" t="s">
        <v>25</v>
      </c>
      <c r="H300" s="8"/>
      <c r="I300" s="8">
        <v>291360</v>
      </c>
      <c r="J300" s="6" t="s">
        <v>3308</v>
      </c>
      <c r="K300" s="6" t="s">
        <v>473</v>
      </c>
      <c r="L300" s="6" t="s">
        <v>4509</v>
      </c>
      <c r="M300" s="6" t="s">
        <v>4537</v>
      </c>
      <c r="N300" s="6" t="s">
        <v>473</v>
      </c>
      <c r="O300" s="29">
        <f t="shared" si="5"/>
        <v>305928</v>
      </c>
      <c r="Q300" s="30" t="s">
        <v>473</v>
      </c>
      <c r="R300" s="31">
        <v>305928</v>
      </c>
    </row>
    <row r="301" s="1" customFormat="1" ht="16.35" hidden="1" customHeight="1" spans="1:18">
      <c r="A301" s="6" t="s">
        <v>4506</v>
      </c>
      <c r="B301" s="6">
        <v>2016</v>
      </c>
      <c r="C301" s="6">
        <v>9</v>
      </c>
      <c r="D301" s="7">
        <v>10</v>
      </c>
      <c r="E301" s="6" t="s">
        <v>4673</v>
      </c>
      <c r="F301" s="6" t="s">
        <v>4508</v>
      </c>
      <c r="G301" s="6" t="s">
        <v>25</v>
      </c>
      <c r="H301" s="8"/>
      <c r="I301" s="8">
        <v>47895</v>
      </c>
      <c r="J301" s="6" t="s">
        <v>3509</v>
      </c>
      <c r="K301" s="6" t="s">
        <v>866</v>
      </c>
      <c r="L301" s="6" t="s">
        <v>4509</v>
      </c>
      <c r="M301" s="6" t="s">
        <v>4537</v>
      </c>
      <c r="N301" s="6" t="s">
        <v>866</v>
      </c>
      <c r="O301" s="29">
        <f t="shared" si="5"/>
        <v>50289.75</v>
      </c>
      <c r="Q301" s="30" t="s">
        <v>866</v>
      </c>
      <c r="R301" s="31">
        <v>50289.75</v>
      </c>
    </row>
    <row r="302" s="1" customFormat="1" ht="16.35" hidden="1" customHeight="1" spans="1:18">
      <c r="A302" s="6" t="s">
        <v>4506</v>
      </c>
      <c r="B302" s="6">
        <v>2016</v>
      </c>
      <c r="C302" s="6">
        <v>9</v>
      </c>
      <c r="D302" s="7">
        <v>11</v>
      </c>
      <c r="E302" s="6" t="s">
        <v>4654</v>
      </c>
      <c r="F302" s="6" t="s">
        <v>4508</v>
      </c>
      <c r="G302" s="6" t="s">
        <v>25</v>
      </c>
      <c r="H302" s="8"/>
      <c r="I302" s="8">
        <v>17748</v>
      </c>
      <c r="J302" s="6" t="s">
        <v>3477</v>
      </c>
      <c r="K302" s="6" t="s">
        <v>901</v>
      </c>
      <c r="L302" s="6" t="s">
        <v>4509</v>
      </c>
      <c r="M302" s="6" t="s">
        <v>4537</v>
      </c>
      <c r="N302" s="6" t="s">
        <v>901</v>
      </c>
      <c r="O302" s="29">
        <f t="shared" si="5"/>
        <v>18635.4</v>
      </c>
      <c r="Q302" s="30" t="s">
        <v>901</v>
      </c>
      <c r="R302" s="31">
        <v>18635.4</v>
      </c>
    </row>
    <row r="303" s="1" customFormat="1" ht="16.35" hidden="1" customHeight="1" spans="1:18">
      <c r="A303" s="6" t="s">
        <v>4506</v>
      </c>
      <c r="B303" s="6">
        <v>2016</v>
      </c>
      <c r="C303" s="6">
        <v>9</v>
      </c>
      <c r="D303" s="7">
        <v>12</v>
      </c>
      <c r="E303" s="6" t="s">
        <v>4676</v>
      </c>
      <c r="F303" s="6" t="s">
        <v>4508</v>
      </c>
      <c r="G303" s="6" t="s">
        <v>25</v>
      </c>
      <c r="H303" s="8"/>
      <c r="I303" s="8">
        <v>9524</v>
      </c>
      <c r="J303" s="6" t="s">
        <v>3513</v>
      </c>
      <c r="K303" s="6" t="s">
        <v>402</v>
      </c>
      <c r="L303" s="6" t="s">
        <v>4509</v>
      </c>
      <c r="M303" s="6" t="s">
        <v>4537</v>
      </c>
      <c r="N303" s="6" t="s">
        <v>402</v>
      </c>
      <c r="O303" s="29">
        <f t="shared" si="5"/>
        <v>10000.2</v>
      </c>
      <c r="Q303" s="30" t="s">
        <v>402</v>
      </c>
      <c r="R303" s="31">
        <v>10000.2</v>
      </c>
    </row>
    <row r="304" s="1" customFormat="1" ht="16.35" hidden="1" customHeight="1" spans="1:18">
      <c r="A304" s="6" t="s">
        <v>4506</v>
      </c>
      <c r="B304" s="6">
        <v>2016</v>
      </c>
      <c r="C304" s="6">
        <v>9</v>
      </c>
      <c r="D304" s="7">
        <v>13</v>
      </c>
      <c r="E304" s="6" t="s">
        <v>4677</v>
      </c>
      <c r="F304" s="6" t="s">
        <v>4508</v>
      </c>
      <c r="G304" s="6" t="s">
        <v>25</v>
      </c>
      <c r="H304" s="8"/>
      <c r="I304" s="8">
        <v>261863</v>
      </c>
      <c r="J304" s="6" t="s">
        <v>3199</v>
      </c>
      <c r="K304" s="6" t="s">
        <v>824</v>
      </c>
      <c r="L304" s="6" t="s">
        <v>4509</v>
      </c>
      <c r="M304" s="6" t="s">
        <v>4537</v>
      </c>
      <c r="N304" s="6" t="s">
        <v>824</v>
      </c>
      <c r="O304" s="29">
        <f t="shared" si="5"/>
        <v>274956.15</v>
      </c>
      <c r="Q304" s="30" t="s">
        <v>824</v>
      </c>
      <c r="R304" s="31">
        <v>274956.15</v>
      </c>
    </row>
    <row r="305" s="1" customFormat="1" ht="16.35" hidden="1" customHeight="1" spans="1:18">
      <c r="A305" s="6" t="s">
        <v>4506</v>
      </c>
      <c r="B305" s="6">
        <v>2016</v>
      </c>
      <c r="C305" s="6">
        <v>9</v>
      </c>
      <c r="D305" s="7">
        <v>14</v>
      </c>
      <c r="E305" s="6" t="s">
        <v>4678</v>
      </c>
      <c r="F305" s="6" t="s">
        <v>4508</v>
      </c>
      <c r="G305" s="6" t="s">
        <v>25</v>
      </c>
      <c r="H305" s="8"/>
      <c r="I305" s="8">
        <v>54277</v>
      </c>
      <c r="J305" s="6" t="s">
        <v>3516</v>
      </c>
      <c r="K305" s="6" t="s">
        <v>814</v>
      </c>
      <c r="L305" s="6" t="s">
        <v>4509</v>
      </c>
      <c r="M305" s="6" t="s">
        <v>4537</v>
      </c>
      <c r="N305" s="6" t="s">
        <v>814</v>
      </c>
      <c r="O305" s="29">
        <f t="shared" si="5"/>
        <v>56990.85</v>
      </c>
      <c r="Q305" s="30" t="s">
        <v>814</v>
      </c>
      <c r="R305" s="31">
        <v>56990.85</v>
      </c>
    </row>
    <row r="306" s="1" customFormat="1" ht="16.35" hidden="1" customHeight="1" spans="1:18">
      <c r="A306" s="6" t="s">
        <v>4506</v>
      </c>
      <c r="B306" s="6">
        <v>2016</v>
      </c>
      <c r="C306" s="6">
        <v>9</v>
      </c>
      <c r="D306" s="7">
        <v>15</v>
      </c>
      <c r="E306" s="6" t="s">
        <v>4679</v>
      </c>
      <c r="F306" s="6" t="s">
        <v>4508</v>
      </c>
      <c r="G306" s="6" t="s">
        <v>25</v>
      </c>
      <c r="H306" s="8"/>
      <c r="I306" s="8">
        <v>88843</v>
      </c>
      <c r="J306" s="6" t="s">
        <v>3435</v>
      </c>
      <c r="K306" s="6" t="s">
        <v>727</v>
      </c>
      <c r="L306" s="6" t="s">
        <v>4509</v>
      </c>
      <c r="M306" s="6" t="s">
        <v>4537</v>
      </c>
      <c r="N306" s="6" t="s">
        <v>727</v>
      </c>
      <c r="O306" s="29">
        <f t="shared" si="5"/>
        <v>93285.15</v>
      </c>
      <c r="Q306" s="30" t="s">
        <v>727</v>
      </c>
      <c r="R306" s="31">
        <v>93285.15</v>
      </c>
    </row>
    <row r="307" s="1" customFormat="1" ht="16.35" hidden="1" customHeight="1" spans="1:18">
      <c r="A307" s="6" t="s">
        <v>4506</v>
      </c>
      <c r="B307" s="6">
        <v>2016</v>
      </c>
      <c r="C307" s="6">
        <v>9</v>
      </c>
      <c r="D307" s="7">
        <v>16</v>
      </c>
      <c r="E307" s="6" t="s">
        <v>4680</v>
      </c>
      <c r="F307" s="6" t="s">
        <v>4508</v>
      </c>
      <c r="G307" s="6" t="s">
        <v>25</v>
      </c>
      <c r="H307" s="8"/>
      <c r="I307" s="8">
        <v>9524</v>
      </c>
      <c r="J307" s="6" t="s">
        <v>3520</v>
      </c>
      <c r="K307" s="6" t="s">
        <v>818</v>
      </c>
      <c r="L307" s="6" t="s">
        <v>4509</v>
      </c>
      <c r="M307" s="6" t="s">
        <v>4537</v>
      </c>
      <c r="N307" s="6" t="s">
        <v>818</v>
      </c>
      <c r="O307" s="29">
        <f t="shared" si="5"/>
        <v>10000.2</v>
      </c>
      <c r="Q307" s="30" t="s">
        <v>818</v>
      </c>
      <c r="R307" s="31">
        <v>10000.2</v>
      </c>
    </row>
    <row r="308" s="1" customFormat="1" ht="16.35" hidden="1" customHeight="1" spans="1:18">
      <c r="A308" s="6" t="s">
        <v>4506</v>
      </c>
      <c r="B308" s="6">
        <v>2016</v>
      </c>
      <c r="C308" s="6">
        <v>9</v>
      </c>
      <c r="D308" s="7">
        <v>17</v>
      </c>
      <c r="E308" s="6" t="s">
        <v>4681</v>
      </c>
      <c r="F308" s="6" t="s">
        <v>4508</v>
      </c>
      <c r="G308" s="6" t="s">
        <v>25</v>
      </c>
      <c r="H308" s="8"/>
      <c r="I308" s="8">
        <v>9524</v>
      </c>
      <c r="J308" s="6" t="s">
        <v>3522</v>
      </c>
      <c r="K308" s="6" t="s">
        <v>777</v>
      </c>
      <c r="L308" s="6" t="s">
        <v>4509</v>
      </c>
      <c r="M308" s="6" t="s">
        <v>4537</v>
      </c>
      <c r="N308" s="6" t="s">
        <v>777</v>
      </c>
      <c r="O308" s="29">
        <f t="shared" si="5"/>
        <v>10000.2</v>
      </c>
      <c r="Q308" s="30" t="s">
        <v>777</v>
      </c>
      <c r="R308" s="31">
        <v>10000.2</v>
      </c>
    </row>
    <row r="309" s="1" customFormat="1" ht="16.35" hidden="1" customHeight="1" spans="1:18">
      <c r="A309" s="6" t="s">
        <v>4506</v>
      </c>
      <c r="B309" s="6">
        <v>2016</v>
      </c>
      <c r="C309" s="6">
        <v>9</v>
      </c>
      <c r="D309" s="7">
        <v>18</v>
      </c>
      <c r="E309" s="6" t="s">
        <v>4658</v>
      </c>
      <c r="F309" s="6" t="s">
        <v>4508</v>
      </c>
      <c r="G309" s="6" t="s">
        <v>25</v>
      </c>
      <c r="H309" s="8"/>
      <c r="I309" s="8">
        <v>68071</v>
      </c>
      <c r="J309" s="6" t="s">
        <v>3485</v>
      </c>
      <c r="K309" s="6" t="s">
        <v>888</v>
      </c>
      <c r="L309" s="6" t="s">
        <v>4509</v>
      </c>
      <c r="M309" s="6" t="s">
        <v>4537</v>
      </c>
      <c r="N309" s="6" t="s">
        <v>888</v>
      </c>
      <c r="O309" s="29">
        <f t="shared" si="5"/>
        <v>71474.55</v>
      </c>
      <c r="Q309" s="30" t="s">
        <v>888</v>
      </c>
      <c r="R309" s="31">
        <v>71474.55</v>
      </c>
    </row>
    <row r="310" s="1" customFormat="1" ht="16.35" hidden="1" customHeight="1" spans="1:18">
      <c r="A310" s="6" t="s">
        <v>4506</v>
      </c>
      <c r="B310" s="6">
        <v>2016</v>
      </c>
      <c r="C310" s="6">
        <v>9</v>
      </c>
      <c r="D310" s="7">
        <v>19</v>
      </c>
      <c r="E310" s="6" t="s">
        <v>4682</v>
      </c>
      <c r="F310" s="6" t="s">
        <v>4508</v>
      </c>
      <c r="G310" s="6" t="s">
        <v>25</v>
      </c>
      <c r="H310" s="8"/>
      <c r="I310" s="8">
        <v>73424</v>
      </c>
      <c r="J310" s="6" t="s">
        <v>3190</v>
      </c>
      <c r="K310" s="6" t="s">
        <v>852</v>
      </c>
      <c r="L310" s="6" t="s">
        <v>4509</v>
      </c>
      <c r="M310" s="6" t="s">
        <v>4537</v>
      </c>
      <c r="N310" s="6" t="s">
        <v>852</v>
      </c>
      <c r="O310" s="29">
        <f t="shared" si="5"/>
        <v>77095.2</v>
      </c>
      <c r="Q310" s="30" t="s">
        <v>852</v>
      </c>
      <c r="R310" s="31">
        <v>77095.2</v>
      </c>
    </row>
    <row r="311" s="1" customFormat="1" ht="16.35" hidden="1" customHeight="1" spans="1:18">
      <c r="A311" s="6" t="s">
        <v>4506</v>
      </c>
      <c r="B311" s="6">
        <v>2016</v>
      </c>
      <c r="C311" s="6">
        <v>9</v>
      </c>
      <c r="D311" s="7">
        <v>20</v>
      </c>
      <c r="E311" s="6" t="s">
        <v>4683</v>
      </c>
      <c r="F311" s="6" t="s">
        <v>4508</v>
      </c>
      <c r="G311" s="6" t="s">
        <v>25</v>
      </c>
      <c r="H311" s="8"/>
      <c r="I311" s="8">
        <v>132863</v>
      </c>
      <c r="J311" s="6" t="s">
        <v>3174</v>
      </c>
      <c r="K311" s="6" t="s">
        <v>844</v>
      </c>
      <c r="L311" s="6" t="s">
        <v>4509</v>
      </c>
      <c r="M311" s="6" t="s">
        <v>4537</v>
      </c>
      <c r="N311" s="6" t="s">
        <v>844</v>
      </c>
      <c r="O311" s="29">
        <f t="shared" si="5"/>
        <v>139506.15</v>
      </c>
      <c r="Q311" s="30" t="s">
        <v>844</v>
      </c>
      <c r="R311" s="31">
        <v>139506.15</v>
      </c>
    </row>
    <row r="312" s="1" customFormat="1" ht="16.35" hidden="1" customHeight="1" spans="1:18">
      <c r="A312" s="6" t="s">
        <v>4506</v>
      </c>
      <c r="B312" s="6">
        <v>2016</v>
      </c>
      <c r="C312" s="6">
        <v>9</v>
      </c>
      <c r="D312" s="7">
        <v>21</v>
      </c>
      <c r="E312" s="6" t="s">
        <v>4656</v>
      </c>
      <c r="F312" s="6" t="s">
        <v>4508</v>
      </c>
      <c r="G312" s="6" t="s">
        <v>25</v>
      </c>
      <c r="H312" s="8"/>
      <c r="I312" s="8">
        <v>151429</v>
      </c>
      <c r="J312" s="6" t="s">
        <v>3483</v>
      </c>
      <c r="K312" s="6" t="s">
        <v>469</v>
      </c>
      <c r="L312" s="6" t="s">
        <v>4509</v>
      </c>
      <c r="M312" s="6" t="s">
        <v>4537</v>
      </c>
      <c r="N312" s="6" t="s">
        <v>469</v>
      </c>
      <c r="O312" s="29">
        <f t="shared" si="5"/>
        <v>159000.45</v>
      </c>
      <c r="Q312" s="30" t="s">
        <v>469</v>
      </c>
      <c r="R312" s="31">
        <v>159000.45</v>
      </c>
    </row>
    <row r="313" s="1" customFormat="1" ht="16.35" hidden="1" customHeight="1" spans="1:18">
      <c r="A313" s="6" t="s">
        <v>4506</v>
      </c>
      <c r="B313" s="6">
        <v>2016</v>
      </c>
      <c r="C313" s="6">
        <v>9</v>
      </c>
      <c r="D313" s="7">
        <v>22</v>
      </c>
      <c r="E313" s="6" t="s">
        <v>4684</v>
      </c>
      <c r="F313" s="6" t="s">
        <v>4508</v>
      </c>
      <c r="G313" s="6" t="s">
        <v>25</v>
      </c>
      <c r="H313" s="8"/>
      <c r="I313" s="8">
        <v>9524</v>
      </c>
      <c r="J313" s="6" t="s">
        <v>3525</v>
      </c>
      <c r="K313" s="6" t="s">
        <v>832</v>
      </c>
      <c r="L313" s="6" t="s">
        <v>4509</v>
      </c>
      <c r="M313" s="6" t="s">
        <v>4537</v>
      </c>
      <c r="N313" s="6" t="s">
        <v>832</v>
      </c>
      <c r="O313" s="29">
        <f t="shared" si="5"/>
        <v>10000.2</v>
      </c>
      <c r="Q313" s="30" t="s">
        <v>832</v>
      </c>
      <c r="R313" s="31">
        <v>10000.2</v>
      </c>
    </row>
    <row r="314" s="1" customFormat="1" ht="16.35" hidden="1" customHeight="1" spans="1:18">
      <c r="A314" s="6" t="s">
        <v>4506</v>
      </c>
      <c r="B314" s="6">
        <v>2016</v>
      </c>
      <c r="C314" s="6">
        <v>9</v>
      </c>
      <c r="D314" s="7">
        <v>24</v>
      </c>
      <c r="E314" s="6" t="s">
        <v>4685</v>
      </c>
      <c r="F314" s="6" t="s">
        <v>4508</v>
      </c>
      <c r="G314" s="6" t="s">
        <v>25</v>
      </c>
      <c r="H314" s="8"/>
      <c r="I314" s="8">
        <v>84200</v>
      </c>
      <c r="J314" s="6" t="s">
        <v>3197</v>
      </c>
      <c r="K314" s="6" t="s">
        <v>878</v>
      </c>
      <c r="L314" s="6" t="s">
        <v>4509</v>
      </c>
      <c r="M314" s="6" t="s">
        <v>4537</v>
      </c>
      <c r="N314" s="6" t="s">
        <v>878</v>
      </c>
      <c r="O314" s="29">
        <f t="shared" si="5"/>
        <v>88410</v>
      </c>
      <c r="Q314" s="30" t="s">
        <v>878</v>
      </c>
      <c r="R314" s="31">
        <v>88410</v>
      </c>
    </row>
    <row r="315" s="1" customFormat="1" ht="16.35" hidden="1" customHeight="1" spans="1:18">
      <c r="A315" s="6" t="s">
        <v>4506</v>
      </c>
      <c r="B315" s="6">
        <v>2016</v>
      </c>
      <c r="C315" s="6">
        <v>9</v>
      </c>
      <c r="D315" s="7">
        <v>25</v>
      </c>
      <c r="E315" s="6" t="s">
        <v>4686</v>
      </c>
      <c r="F315" s="6" t="s">
        <v>4508</v>
      </c>
      <c r="G315" s="6" t="s">
        <v>25</v>
      </c>
      <c r="H315" s="8"/>
      <c r="I315" s="8">
        <v>24245</v>
      </c>
      <c r="J315" s="6" t="s">
        <v>3283</v>
      </c>
      <c r="K315" s="6" t="s">
        <v>709</v>
      </c>
      <c r="L315" s="6" t="s">
        <v>4509</v>
      </c>
      <c r="M315" s="6" t="s">
        <v>4537</v>
      </c>
      <c r="N315" s="6" t="s">
        <v>709</v>
      </c>
      <c r="O315" s="29">
        <f t="shared" si="5"/>
        <v>25457.25</v>
      </c>
      <c r="Q315" s="30" t="s">
        <v>709</v>
      </c>
      <c r="R315" s="31">
        <v>25457.25</v>
      </c>
    </row>
    <row r="316" s="1" customFormat="1" ht="16.35" hidden="1" customHeight="1" spans="1:18">
      <c r="A316" s="6" t="s">
        <v>4506</v>
      </c>
      <c r="B316" s="6">
        <v>2016</v>
      </c>
      <c r="C316" s="6">
        <v>9</v>
      </c>
      <c r="D316" s="7">
        <v>27</v>
      </c>
      <c r="E316" s="6" t="s">
        <v>4678</v>
      </c>
      <c r="F316" s="6" t="s">
        <v>4508</v>
      </c>
      <c r="G316" s="6" t="s">
        <v>25</v>
      </c>
      <c r="H316" s="8"/>
      <c r="I316" s="8">
        <v>9524</v>
      </c>
      <c r="J316" s="6" t="s">
        <v>3516</v>
      </c>
      <c r="K316" s="6" t="s">
        <v>814</v>
      </c>
      <c r="L316" s="6" t="s">
        <v>4509</v>
      </c>
      <c r="M316" s="6" t="s">
        <v>4537</v>
      </c>
      <c r="N316" s="6" t="s">
        <v>814</v>
      </c>
      <c r="O316" s="29">
        <f t="shared" si="5"/>
        <v>10000.2</v>
      </c>
      <c r="Q316" s="30" t="s">
        <v>814</v>
      </c>
      <c r="R316" s="31">
        <v>10000.2</v>
      </c>
    </row>
    <row r="317" s="1" customFormat="1" ht="16.35" hidden="1" customHeight="1" spans="1:18">
      <c r="A317" s="6" t="s">
        <v>4506</v>
      </c>
      <c r="B317" s="6">
        <v>2016</v>
      </c>
      <c r="C317" s="6">
        <v>9</v>
      </c>
      <c r="D317" s="7">
        <v>28</v>
      </c>
      <c r="E317" s="6" t="s">
        <v>4687</v>
      </c>
      <c r="F317" s="6" t="s">
        <v>4508</v>
      </c>
      <c r="G317" s="6" t="s">
        <v>25</v>
      </c>
      <c r="H317" s="8"/>
      <c r="I317" s="8">
        <v>50938</v>
      </c>
      <c r="J317" s="6" t="s">
        <v>3460</v>
      </c>
      <c r="K317" s="6" t="s">
        <v>862</v>
      </c>
      <c r="L317" s="6" t="s">
        <v>4509</v>
      </c>
      <c r="M317" s="6" t="s">
        <v>4537</v>
      </c>
      <c r="N317" s="6" t="s">
        <v>862</v>
      </c>
      <c r="O317" s="29">
        <f t="shared" si="5"/>
        <v>53484.9</v>
      </c>
      <c r="Q317" s="30" t="s">
        <v>862</v>
      </c>
      <c r="R317" s="31">
        <v>53484.9</v>
      </c>
    </row>
    <row r="318" s="1" customFormat="1" ht="16.35" hidden="1" customHeight="1" spans="1:18">
      <c r="A318" s="6" t="s">
        <v>4506</v>
      </c>
      <c r="B318" s="6">
        <v>2016</v>
      </c>
      <c r="C318" s="6">
        <v>9</v>
      </c>
      <c r="D318" s="7">
        <v>29</v>
      </c>
      <c r="E318" s="6" t="s">
        <v>4688</v>
      </c>
      <c r="F318" s="6" t="s">
        <v>4508</v>
      </c>
      <c r="G318" s="6" t="s">
        <v>25</v>
      </c>
      <c r="H318" s="8"/>
      <c r="I318" s="8">
        <v>35017</v>
      </c>
      <c r="J318" s="6" t="s">
        <v>3537</v>
      </c>
      <c r="K318" s="6" t="s">
        <v>711</v>
      </c>
      <c r="L318" s="6" t="s">
        <v>4509</v>
      </c>
      <c r="M318" s="6" t="s">
        <v>4537</v>
      </c>
      <c r="N318" s="6" t="s">
        <v>711</v>
      </c>
      <c r="O318" s="29">
        <f t="shared" si="5"/>
        <v>36767.85</v>
      </c>
      <c r="Q318" s="30" t="s">
        <v>711</v>
      </c>
      <c r="R318" s="31">
        <v>36767.85</v>
      </c>
    </row>
    <row r="319" s="1" customFormat="1" ht="16.35" hidden="1" customHeight="1" spans="1:18">
      <c r="A319" s="6" t="s">
        <v>4506</v>
      </c>
      <c r="B319" s="6">
        <v>2016</v>
      </c>
      <c r="C319" s="6">
        <v>9</v>
      </c>
      <c r="D319" s="7">
        <v>30</v>
      </c>
      <c r="E319" s="6" t="s">
        <v>4689</v>
      </c>
      <c r="F319" s="6" t="s">
        <v>4508</v>
      </c>
      <c r="G319" s="6" t="s">
        <v>25</v>
      </c>
      <c r="H319" s="8"/>
      <c r="I319" s="8">
        <v>9524</v>
      </c>
      <c r="J319" s="6" t="s">
        <v>3435</v>
      </c>
      <c r="K319" s="6" t="s">
        <v>727</v>
      </c>
      <c r="L319" s="6" t="s">
        <v>4509</v>
      </c>
      <c r="M319" s="6" t="s">
        <v>4537</v>
      </c>
      <c r="N319" s="6" t="s">
        <v>727</v>
      </c>
      <c r="O319" s="29">
        <f t="shared" si="5"/>
        <v>10000.2</v>
      </c>
      <c r="Q319" s="30" t="s">
        <v>727</v>
      </c>
      <c r="R319" s="31">
        <v>10000.2</v>
      </c>
    </row>
    <row r="320" s="1" customFormat="1" ht="16.35" hidden="1" customHeight="1" spans="1:18">
      <c r="A320" s="6" t="s">
        <v>4506</v>
      </c>
      <c r="B320" s="6">
        <v>2016</v>
      </c>
      <c r="C320" s="6">
        <v>9</v>
      </c>
      <c r="D320" s="7">
        <v>31</v>
      </c>
      <c r="E320" s="6" t="s">
        <v>4690</v>
      </c>
      <c r="F320" s="6" t="s">
        <v>4508</v>
      </c>
      <c r="G320" s="6" t="s">
        <v>25</v>
      </c>
      <c r="H320" s="8"/>
      <c r="I320" s="8">
        <v>83017</v>
      </c>
      <c r="J320" s="6" t="s">
        <v>3161</v>
      </c>
      <c r="K320" s="6" t="s">
        <v>834</v>
      </c>
      <c r="L320" s="6" t="s">
        <v>4509</v>
      </c>
      <c r="M320" s="6" t="s">
        <v>4537</v>
      </c>
      <c r="N320" s="6" t="s">
        <v>834</v>
      </c>
      <c r="O320" s="29">
        <f t="shared" si="5"/>
        <v>87167.85</v>
      </c>
      <c r="Q320" s="30" t="s">
        <v>834</v>
      </c>
      <c r="R320" s="31">
        <v>87167.85</v>
      </c>
    </row>
    <row r="321" s="1" customFormat="1" ht="16.35" hidden="1" customHeight="1" spans="1:18">
      <c r="A321" s="6" t="s">
        <v>4506</v>
      </c>
      <c r="B321" s="6">
        <v>2016</v>
      </c>
      <c r="C321" s="6">
        <v>9</v>
      </c>
      <c r="D321" s="7">
        <v>39</v>
      </c>
      <c r="E321" s="6" t="s">
        <v>4691</v>
      </c>
      <c r="F321" s="6" t="s">
        <v>4508</v>
      </c>
      <c r="G321" s="6" t="s">
        <v>25</v>
      </c>
      <c r="H321" s="8"/>
      <c r="I321" s="8">
        <v>-180952</v>
      </c>
      <c r="J321" s="6" t="s">
        <v>3205</v>
      </c>
      <c r="K321" s="6" t="s">
        <v>535</v>
      </c>
      <c r="L321" s="6" t="s">
        <v>4509</v>
      </c>
      <c r="M321" s="6" t="s">
        <v>4537</v>
      </c>
      <c r="N321" s="6" t="s">
        <v>535</v>
      </c>
      <c r="O321" s="29">
        <f t="shared" si="5"/>
        <v>-189999.6</v>
      </c>
      <c r="Q321" s="30" t="s">
        <v>535</v>
      </c>
      <c r="R321" s="31">
        <v>-189999.6</v>
      </c>
    </row>
    <row r="322" s="1" customFormat="1" ht="16.35" hidden="1" customHeight="1" spans="1:18">
      <c r="A322" s="6" t="s">
        <v>4506</v>
      </c>
      <c r="B322" s="6">
        <v>2016</v>
      </c>
      <c r="C322" s="6">
        <v>9</v>
      </c>
      <c r="D322" s="7">
        <v>41</v>
      </c>
      <c r="E322" s="6" t="s">
        <v>4692</v>
      </c>
      <c r="F322" s="6" t="s">
        <v>4508</v>
      </c>
      <c r="G322" s="6" t="s">
        <v>25</v>
      </c>
      <c r="H322" s="8"/>
      <c r="I322" s="8">
        <v>159840</v>
      </c>
      <c r="J322" s="6" t="s">
        <v>3195</v>
      </c>
      <c r="K322" s="6" t="s">
        <v>810</v>
      </c>
      <c r="L322" s="6" t="s">
        <v>4509</v>
      </c>
      <c r="M322" s="6" t="s">
        <v>4537</v>
      </c>
      <c r="N322" s="6" t="s">
        <v>810</v>
      </c>
      <c r="O322" s="29">
        <f t="shared" si="5"/>
        <v>167832</v>
      </c>
      <c r="Q322" s="30" t="s">
        <v>810</v>
      </c>
      <c r="R322" s="31">
        <v>167832</v>
      </c>
    </row>
    <row r="323" s="1" customFormat="1" ht="16.35" hidden="1" customHeight="1" spans="1:18">
      <c r="A323" s="6" t="s">
        <v>4506</v>
      </c>
      <c r="B323" s="6">
        <v>2016</v>
      </c>
      <c r="C323" s="6">
        <v>9</v>
      </c>
      <c r="D323" s="7">
        <v>42</v>
      </c>
      <c r="E323" s="6" t="s">
        <v>4693</v>
      </c>
      <c r="F323" s="6" t="s">
        <v>4508</v>
      </c>
      <c r="G323" s="6" t="s">
        <v>25</v>
      </c>
      <c r="H323" s="8"/>
      <c r="I323" s="8">
        <v>89976</v>
      </c>
      <c r="J323" s="6" t="s">
        <v>3277</v>
      </c>
      <c r="K323" s="6" t="s">
        <v>886</v>
      </c>
      <c r="L323" s="6" t="s">
        <v>4509</v>
      </c>
      <c r="M323" s="6" t="s">
        <v>4537</v>
      </c>
      <c r="N323" s="6" t="s">
        <v>886</v>
      </c>
      <c r="O323" s="29">
        <f t="shared" si="5"/>
        <v>94474.8</v>
      </c>
      <c r="Q323" s="30" t="s">
        <v>886</v>
      </c>
      <c r="R323" s="31">
        <v>94474.8</v>
      </c>
    </row>
    <row r="324" s="1" customFormat="1" ht="16.35" hidden="1" customHeight="1" spans="1:18">
      <c r="A324" s="6" t="s">
        <v>4506</v>
      </c>
      <c r="B324" s="6">
        <v>2016</v>
      </c>
      <c r="C324" s="6">
        <v>9</v>
      </c>
      <c r="D324" s="7">
        <v>43</v>
      </c>
      <c r="E324" s="6" t="s">
        <v>4694</v>
      </c>
      <c r="F324" s="6" t="s">
        <v>4508</v>
      </c>
      <c r="G324" s="6" t="s">
        <v>25</v>
      </c>
      <c r="H324" s="8"/>
      <c r="I324" s="8">
        <v>-95238</v>
      </c>
      <c r="J324" s="6" t="s">
        <v>3491</v>
      </c>
      <c r="K324" s="6" t="s">
        <v>569</v>
      </c>
      <c r="L324" s="6" t="s">
        <v>4509</v>
      </c>
      <c r="M324" s="6" t="s">
        <v>4537</v>
      </c>
      <c r="N324" s="6" t="s">
        <v>569</v>
      </c>
      <c r="O324" s="29">
        <f t="shared" si="5"/>
        <v>-99999.9</v>
      </c>
      <c r="Q324" s="30" t="s">
        <v>569</v>
      </c>
      <c r="R324" s="31">
        <v>-99999.9</v>
      </c>
    </row>
    <row r="325" s="1" customFormat="1" ht="16.35" hidden="1" customHeight="1" spans="1:18">
      <c r="A325" s="6" t="s">
        <v>4506</v>
      </c>
      <c r="B325" s="6">
        <v>2016</v>
      </c>
      <c r="C325" s="6">
        <v>9</v>
      </c>
      <c r="D325" s="7">
        <v>49</v>
      </c>
      <c r="E325" s="6" t="s">
        <v>4695</v>
      </c>
      <c r="F325" s="6" t="s">
        <v>4508</v>
      </c>
      <c r="G325" s="6" t="s">
        <v>25</v>
      </c>
      <c r="H325" s="8"/>
      <c r="I325" s="8">
        <v>118644</v>
      </c>
      <c r="J325" s="6" t="s">
        <v>3540</v>
      </c>
      <c r="K325" s="6" t="s">
        <v>812</v>
      </c>
      <c r="L325" s="6" t="s">
        <v>4509</v>
      </c>
      <c r="M325" s="6" t="s">
        <v>4537</v>
      </c>
      <c r="N325" s="6" t="s">
        <v>812</v>
      </c>
      <c r="O325" s="29">
        <f t="shared" si="5"/>
        <v>124576.2</v>
      </c>
      <c r="Q325" s="30" t="s">
        <v>812</v>
      </c>
      <c r="R325" s="31">
        <v>124576.2</v>
      </c>
    </row>
    <row r="326" s="1" customFormat="1" ht="16.35" hidden="1" customHeight="1" spans="1:18">
      <c r="A326" s="6" t="s">
        <v>4506</v>
      </c>
      <c r="B326" s="6">
        <v>2016</v>
      </c>
      <c r="C326" s="6">
        <v>9</v>
      </c>
      <c r="D326" s="7">
        <v>50</v>
      </c>
      <c r="E326" s="6" t="s">
        <v>4696</v>
      </c>
      <c r="F326" s="6" t="s">
        <v>4508</v>
      </c>
      <c r="G326" s="6" t="s">
        <v>25</v>
      </c>
      <c r="H326" s="8"/>
      <c r="I326" s="8">
        <v>180952</v>
      </c>
      <c r="J326" s="6" t="s">
        <v>3205</v>
      </c>
      <c r="K326" s="6" t="s">
        <v>535</v>
      </c>
      <c r="L326" s="6" t="s">
        <v>4509</v>
      </c>
      <c r="M326" s="6" t="s">
        <v>4537</v>
      </c>
      <c r="N326" s="6" t="s">
        <v>535</v>
      </c>
      <c r="O326" s="29">
        <f t="shared" si="5"/>
        <v>189999.6</v>
      </c>
      <c r="Q326" s="30" t="s">
        <v>535</v>
      </c>
      <c r="R326" s="31">
        <v>189999.6</v>
      </c>
    </row>
    <row r="327" s="1" customFormat="1" ht="16.35" hidden="1" customHeight="1" spans="1:18">
      <c r="A327" s="6" t="s">
        <v>4506</v>
      </c>
      <c r="B327" s="6">
        <v>2016</v>
      </c>
      <c r="C327" s="6">
        <v>9</v>
      </c>
      <c r="D327" s="7">
        <v>54</v>
      </c>
      <c r="E327" s="6" t="s">
        <v>4697</v>
      </c>
      <c r="F327" s="6" t="s">
        <v>4508</v>
      </c>
      <c r="G327" s="6" t="s">
        <v>25</v>
      </c>
      <c r="H327" s="8"/>
      <c r="I327" s="8">
        <v>101408</v>
      </c>
      <c r="J327" s="6" t="s">
        <v>3208</v>
      </c>
      <c r="K327" s="6" t="s">
        <v>906</v>
      </c>
      <c r="L327" s="6" t="s">
        <v>4509</v>
      </c>
      <c r="M327" s="6" t="s">
        <v>4537</v>
      </c>
      <c r="N327" s="6" t="s">
        <v>906</v>
      </c>
      <c r="O327" s="29">
        <f t="shared" si="5"/>
        <v>106478.4</v>
      </c>
      <c r="Q327" s="30" t="s">
        <v>906</v>
      </c>
      <c r="R327" s="31">
        <v>106478.4</v>
      </c>
    </row>
    <row r="328" s="1" customFormat="1" ht="16.35" hidden="1" customHeight="1" spans="1:18">
      <c r="A328" s="6" t="s">
        <v>4506</v>
      </c>
      <c r="B328" s="6">
        <v>2016</v>
      </c>
      <c r="C328" s="6">
        <v>9</v>
      </c>
      <c r="D328" s="7">
        <v>55</v>
      </c>
      <c r="E328" s="6" t="s">
        <v>4617</v>
      </c>
      <c r="F328" s="6" t="s">
        <v>4508</v>
      </c>
      <c r="G328" s="6" t="s">
        <v>25</v>
      </c>
      <c r="H328" s="8"/>
      <c r="I328" s="8">
        <v>265740</v>
      </c>
      <c r="J328" s="6" t="s">
        <v>3292</v>
      </c>
      <c r="K328" s="6" t="s">
        <v>816</v>
      </c>
      <c r="L328" s="6" t="s">
        <v>4509</v>
      </c>
      <c r="M328" s="6" t="s">
        <v>4537</v>
      </c>
      <c r="N328" s="6" t="s">
        <v>816</v>
      </c>
      <c r="O328" s="29">
        <f t="shared" si="5"/>
        <v>279027</v>
      </c>
      <c r="Q328" s="30" t="s">
        <v>816</v>
      </c>
      <c r="R328" s="31">
        <v>279027</v>
      </c>
    </row>
    <row r="329" s="1" customFormat="1" ht="16.35" hidden="1" customHeight="1" spans="1:18">
      <c r="A329" s="6" t="s">
        <v>4506</v>
      </c>
      <c r="B329" s="6">
        <v>2016</v>
      </c>
      <c r="C329" s="6">
        <v>9</v>
      </c>
      <c r="D329" s="7">
        <v>56</v>
      </c>
      <c r="E329" s="6" t="s">
        <v>4698</v>
      </c>
      <c r="F329" s="6" t="s">
        <v>4508</v>
      </c>
      <c r="G329" s="6" t="s">
        <v>25</v>
      </c>
      <c r="H329" s="8"/>
      <c r="I329" s="8">
        <v>64152</v>
      </c>
      <c r="J329" s="6" t="s">
        <v>3462</v>
      </c>
      <c r="K329" s="6" t="s">
        <v>803</v>
      </c>
      <c r="L329" s="6" t="s">
        <v>4509</v>
      </c>
      <c r="M329" s="6" t="s">
        <v>4537</v>
      </c>
      <c r="N329" s="6" t="s">
        <v>803</v>
      </c>
      <c r="O329" s="29">
        <f t="shared" si="5"/>
        <v>67359.6</v>
      </c>
      <c r="Q329" s="30" t="s">
        <v>803</v>
      </c>
      <c r="R329" s="31">
        <v>67359.6</v>
      </c>
    </row>
    <row r="330" s="1" customFormat="1" ht="16.35" hidden="1" customHeight="1" spans="1:18">
      <c r="A330" s="6" t="s">
        <v>4506</v>
      </c>
      <c r="B330" s="6">
        <v>2016</v>
      </c>
      <c r="C330" s="6">
        <v>9</v>
      </c>
      <c r="D330" s="7">
        <v>57</v>
      </c>
      <c r="E330" s="6" t="s">
        <v>4699</v>
      </c>
      <c r="F330" s="6" t="s">
        <v>4508</v>
      </c>
      <c r="G330" s="6" t="s">
        <v>25</v>
      </c>
      <c r="H330" s="8"/>
      <c r="I330" s="8">
        <v>64152</v>
      </c>
      <c r="J330" s="6" t="s">
        <v>3458</v>
      </c>
      <c r="K330" s="6" t="s">
        <v>805</v>
      </c>
      <c r="L330" s="6" t="s">
        <v>4509</v>
      </c>
      <c r="M330" s="6" t="s">
        <v>4537</v>
      </c>
      <c r="N330" s="6" t="s">
        <v>805</v>
      </c>
      <c r="O330" s="29">
        <f t="shared" si="5"/>
        <v>67359.6</v>
      </c>
      <c r="Q330" s="30" t="s">
        <v>805</v>
      </c>
      <c r="R330" s="31">
        <v>67359.6</v>
      </c>
    </row>
    <row r="331" s="1" customFormat="1" ht="16.35" hidden="1" customHeight="1" spans="1:18">
      <c r="A331" s="6" t="s">
        <v>4506</v>
      </c>
      <c r="B331" s="6">
        <v>2016</v>
      </c>
      <c r="C331" s="6">
        <v>9</v>
      </c>
      <c r="D331" s="7">
        <v>63</v>
      </c>
      <c r="E331" s="6" t="s">
        <v>4700</v>
      </c>
      <c r="F331" s="6" t="s">
        <v>4508</v>
      </c>
      <c r="G331" s="6" t="s">
        <v>25</v>
      </c>
      <c r="H331" s="8"/>
      <c r="I331" s="8">
        <v>-12955</v>
      </c>
      <c r="J331" s="6" t="s">
        <v>3547</v>
      </c>
      <c r="K331" s="6" t="s">
        <v>4701</v>
      </c>
      <c r="L331" s="6" t="s">
        <v>4509</v>
      </c>
      <c r="M331" s="6" t="s">
        <v>4537</v>
      </c>
      <c r="N331" s="6" t="s">
        <v>4701</v>
      </c>
      <c r="O331" s="29">
        <f t="shared" si="5"/>
        <v>-13602.75</v>
      </c>
      <c r="Q331" s="30" t="s">
        <v>4701</v>
      </c>
      <c r="R331" s="31">
        <v>-13602.75</v>
      </c>
    </row>
    <row r="332" s="1" customFormat="1" ht="16.35" hidden="1" customHeight="1" spans="1:18">
      <c r="A332" s="6" t="s">
        <v>4506</v>
      </c>
      <c r="B332" s="6">
        <v>2016</v>
      </c>
      <c r="C332" s="6">
        <v>10</v>
      </c>
      <c r="D332" s="7">
        <v>1</v>
      </c>
      <c r="E332" s="6" t="s">
        <v>4702</v>
      </c>
      <c r="F332" s="6" t="s">
        <v>4508</v>
      </c>
      <c r="G332" s="6" t="s">
        <v>25</v>
      </c>
      <c r="H332" s="8"/>
      <c r="I332" s="8">
        <v>-92541</v>
      </c>
      <c r="J332" s="6" t="s">
        <v>3161</v>
      </c>
      <c r="K332" s="6" t="s">
        <v>834</v>
      </c>
      <c r="L332" s="6" t="s">
        <v>4509</v>
      </c>
      <c r="M332" s="6" t="s">
        <v>4537</v>
      </c>
      <c r="N332" s="6" t="s">
        <v>834</v>
      </c>
      <c r="O332" s="29">
        <f t="shared" si="5"/>
        <v>-97168.05</v>
      </c>
      <c r="Q332" s="30" t="s">
        <v>834</v>
      </c>
      <c r="R332" s="31">
        <v>-97168.05</v>
      </c>
    </row>
    <row r="333" s="1" customFormat="1" ht="16.35" hidden="1" customHeight="1" spans="1:18">
      <c r="A333" s="6" t="s">
        <v>4506</v>
      </c>
      <c r="B333" s="6">
        <v>2016</v>
      </c>
      <c r="C333" s="6">
        <v>10</v>
      </c>
      <c r="D333" s="7">
        <v>1</v>
      </c>
      <c r="E333" s="6" t="s">
        <v>4702</v>
      </c>
      <c r="F333" s="6" t="s">
        <v>4508</v>
      </c>
      <c r="G333" s="6" t="s">
        <v>25</v>
      </c>
      <c r="H333" s="8"/>
      <c r="I333" s="8">
        <v>92541</v>
      </c>
      <c r="J333" s="6" t="s">
        <v>3550</v>
      </c>
      <c r="K333" s="6" t="s">
        <v>840</v>
      </c>
      <c r="L333" s="6" t="s">
        <v>4509</v>
      </c>
      <c r="M333" s="6" t="s">
        <v>4537</v>
      </c>
      <c r="N333" s="6" t="s">
        <v>840</v>
      </c>
      <c r="O333" s="29">
        <f t="shared" si="5"/>
        <v>97168.05</v>
      </c>
      <c r="Q333" s="30" t="s">
        <v>840</v>
      </c>
      <c r="R333" s="31">
        <v>97168.05</v>
      </c>
    </row>
    <row r="334" s="1" customFormat="1" ht="16.35" hidden="1" customHeight="1" spans="1:18">
      <c r="A334" s="6" t="s">
        <v>4506</v>
      </c>
      <c r="B334" s="6">
        <v>2016</v>
      </c>
      <c r="C334" s="6">
        <v>10</v>
      </c>
      <c r="D334" s="7">
        <v>2</v>
      </c>
      <c r="E334" s="6" t="s">
        <v>4703</v>
      </c>
      <c r="F334" s="6" t="s">
        <v>4508</v>
      </c>
      <c r="G334" s="6" t="s">
        <v>25</v>
      </c>
      <c r="H334" s="8"/>
      <c r="I334" s="8">
        <v>17151</v>
      </c>
      <c r="J334" s="6" t="s">
        <v>3498</v>
      </c>
      <c r="K334" s="6" t="s">
        <v>820</v>
      </c>
      <c r="L334" s="6" t="s">
        <v>4509</v>
      </c>
      <c r="M334" s="6" t="s">
        <v>4537</v>
      </c>
      <c r="N334" s="6" t="s">
        <v>820</v>
      </c>
      <c r="O334" s="29">
        <f t="shared" si="5"/>
        <v>18008.55</v>
      </c>
      <c r="Q334" s="30" t="s">
        <v>820</v>
      </c>
      <c r="R334" s="31">
        <v>18008.55</v>
      </c>
    </row>
    <row r="335" s="1" customFormat="1" ht="16.35" hidden="1" customHeight="1" spans="1:18">
      <c r="A335" s="6" t="s">
        <v>4506</v>
      </c>
      <c r="B335" s="6">
        <v>2016</v>
      </c>
      <c r="C335" s="6">
        <v>10</v>
      </c>
      <c r="D335" s="7">
        <v>3</v>
      </c>
      <c r="E335" s="6" t="s">
        <v>4703</v>
      </c>
      <c r="F335" s="6" t="s">
        <v>4508</v>
      </c>
      <c r="G335" s="6" t="s">
        <v>25</v>
      </c>
      <c r="H335" s="8"/>
      <c r="I335" s="8">
        <v>28571</v>
      </c>
      <c r="J335" s="6" t="s">
        <v>3498</v>
      </c>
      <c r="K335" s="6" t="s">
        <v>820</v>
      </c>
      <c r="L335" s="6" t="s">
        <v>4509</v>
      </c>
      <c r="M335" s="6" t="s">
        <v>4537</v>
      </c>
      <c r="N335" s="6" t="s">
        <v>820</v>
      </c>
      <c r="O335" s="29">
        <f t="shared" si="5"/>
        <v>29999.55</v>
      </c>
      <c r="Q335" s="30" t="s">
        <v>820</v>
      </c>
      <c r="R335" s="31">
        <v>29999.55</v>
      </c>
    </row>
    <row r="336" s="1" customFormat="1" ht="16.35" hidden="1" customHeight="1" spans="1:18">
      <c r="A336" s="6" t="s">
        <v>4506</v>
      </c>
      <c r="B336" s="6">
        <v>2016</v>
      </c>
      <c r="C336" s="6">
        <v>10</v>
      </c>
      <c r="D336" s="7">
        <v>4</v>
      </c>
      <c r="E336" s="6" t="s">
        <v>4704</v>
      </c>
      <c r="F336" s="6" t="s">
        <v>4508</v>
      </c>
      <c r="G336" s="6" t="s">
        <v>25</v>
      </c>
      <c r="H336" s="8"/>
      <c r="I336" s="8">
        <v>1375</v>
      </c>
      <c r="J336" s="6" t="s">
        <v>3552</v>
      </c>
      <c r="K336" s="6" t="s">
        <v>539</v>
      </c>
      <c r="L336" s="6" t="s">
        <v>4509</v>
      </c>
      <c r="M336" s="6" t="s">
        <v>4537</v>
      </c>
      <c r="N336" s="6" t="s">
        <v>539</v>
      </c>
      <c r="O336" s="29">
        <f t="shared" si="5"/>
        <v>1443.75</v>
      </c>
      <c r="Q336" s="30" t="s">
        <v>539</v>
      </c>
      <c r="R336" s="31">
        <v>1443.75</v>
      </c>
    </row>
    <row r="337" s="1" customFormat="1" ht="16.35" hidden="1" customHeight="1" spans="1:18">
      <c r="A337" s="6" t="s">
        <v>4506</v>
      </c>
      <c r="B337" s="6">
        <v>2016</v>
      </c>
      <c r="C337" s="6">
        <v>10</v>
      </c>
      <c r="D337" s="7">
        <v>5</v>
      </c>
      <c r="E337" s="6" t="s">
        <v>4705</v>
      </c>
      <c r="F337" s="6" t="s">
        <v>4508</v>
      </c>
      <c r="G337" s="6" t="s">
        <v>25</v>
      </c>
      <c r="H337" s="8"/>
      <c r="I337" s="8">
        <v>42215</v>
      </c>
      <c r="J337" s="6" t="s">
        <v>3554</v>
      </c>
      <c r="K337" s="6" t="s">
        <v>719</v>
      </c>
      <c r="L337" s="6" t="s">
        <v>4509</v>
      </c>
      <c r="M337" s="6" t="s">
        <v>4537</v>
      </c>
      <c r="N337" s="6" t="s">
        <v>719</v>
      </c>
      <c r="O337" s="29">
        <f t="shared" si="5"/>
        <v>44325.75</v>
      </c>
      <c r="Q337" s="30" t="s">
        <v>719</v>
      </c>
      <c r="R337" s="31">
        <v>44325.75</v>
      </c>
    </row>
    <row r="338" s="1" customFormat="1" ht="16.35" hidden="1" customHeight="1" spans="1:18">
      <c r="A338" s="6" t="s">
        <v>4506</v>
      </c>
      <c r="B338" s="6">
        <v>2016</v>
      </c>
      <c r="C338" s="6">
        <v>10</v>
      </c>
      <c r="D338" s="7">
        <v>6</v>
      </c>
      <c r="E338" s="6" t="s">
        <v>4706</v>
      </c>
      <c r="F338" s="6" t="s">
        <v>4508</v>
      </c>
      <c r="G338" s="6" t="s">
        <v>25</v>
      </c>
      <c r="H338" s="8"/>
      <c r="I338" s="8">
        <v>145569</v>
      </c>
      <c r="J338" s="6" t="s">
        <v>3556</v>
      </c>
      <c r="K338" s="6" t="s">
        <v>897</v>
      </c>
      <c r="L338" s="6" t="s">
        <v>4509</v>
      </c>
      <c r="M338" s="6" t="s">
        <v>4537</v>
      </c>
      <c r="N338" s="6" t="s">
        <v>897</v>
      </c>
      <c r="O338" s="29">
        <f t="shared" si="5"/>
        <v>152847.45</v>
      </c>
      <c r="Q338" s="30" t="s">
        <v>897</v>
      </c>
      <c r="R338" s="31">
        <v>152847.45</v>
      </c>
    </row>
    <row r="339" s="1" customFormat="1" ht="16.35" hidden="1" customHeight="1" spans="1:18">
      <c r="A339" s="6" t="s">
        <v>4506</v>
      </c>
      <c r="B339" s="6">
        <v>2016</v>
      </c>
      <c r="C339" s="6">
        <v>10</v>
      </c>
      <c r="D339" s="7">
        <v>7</v>
      </c>
      <c r="E339" s="6" t="s">
        <v>4707</v>
      </c>
      <c r="F339" s="6" t="s">
        <v>4508</v>
      </c>
      <c r="G339" s="6" t="s">
        <v>25</v>
      </c>
      <c r="H339" s="8"/>
      <c r="I339" s="8">
        <v>49829</v>
      </c>
      <c r="J339" s="6" t="s">
        <v>3558</v>
      </c>
      <c r="K339" s="6" t="s">
        <v>874</v>
      </c>
      <c r="L339" s="6" t="s">
        <v>4509</v>
      </c>
      <c r="M339" s="6" t="s">
        <v>4537</v>
      </c>
      <c r="N339" s="6" t="s">
        <v>874</v>
      </c>
      <c r="O339" s="29">
        <f t="shared" si="5"/>
        <v>52320.45</v>
      </c>
      <c r="Q339" s="30" t="s">
        <v>874</v>
      </c>
      <c r="R339" s="31">
        <v>52320.45</v>
      </c>
    </row>
    <row r="340" s="1" customFormat="1" ht="16.35" hidden="1" customHeight="1" spans="1:18">
      <c r="A340" s="6" t="s">
        <v>4506</v>
      </c>
      <c r="B340" s="6">
        <v>2016</v>
      </c>
      <c r="C340" s="6">
        <v>10</v>
      </c>
      <c r="D340" s="7">
        <v>8</v>
      </c>
      <c r="E340" s="6" t="s">
        <v>4618</v>
      </c>
      <c r="F340" s="6" t="s">
        <v>4508</v>
      </c>
      <c r="G340" s="6" t="s">
        <v>25</v>
      </c>
      <c r="H340" s="8"/>
      <c r="I340" s="8">
        <v>144507</v>
      </c>
      <c r="J340" s="6" t="s">
        <v>3227</v>
      </c>
      <c r="K340" s="6" t="s">
        <v>895</v>
      </c>
      <c r="L340" s="6" t="s">
        <v>4509</v>
      </c>
      <c r="M340" s="6" t="s">
        <v>4537</v>
      </c>
      <c r="N340" s="6" t="s">
        <v>895</v>
      </c>
      <c r="O340" s="29">
        <f t="shared" si="5"/>
        <v>151732.35</v>
      </c>
      <c r="Q340" s="30" t="s">
        <v>895</v>
      </c>
      <c r="R340" s="31">
        <v>151732.35</v>
      </c>
    </row>
    <row r="341" s="1" customFormat="1" ht="16.35" hidden="1" customHeight="1" spans="1:18">
      <c r="A341" s="6" t="s">
        <v>4506</v>
      </c>
      <c r="B341" s="6">
        <v>2016</v>
      </c>
      <c r="C341" s="6">
        <v>10</v>
      </c>
      <c r="D341" s="7">
        <v>9</v>
      </c>
      <c r="E341" s="6" t="s">
        <v>4664</v>
      </c>
      <c r="F341" s="6" t="s">
        <v>4508</v>
      </c>
      <c r="G341" s="6" t="s">
        <v>25</v>
      </c>
      <c r="H341" s="8"/>
      <c r="I341" s="8">
        <v>45948</v>
      </c>
      <c r="J341" s="6" t="s">
        <v>3494</v>
      </c>
      <c r="K341" s="6" t="s">
        <v>786</v>
      </c>
      <c r="L341" s="6" t="s">
        <v>4509</v>
      </c>
      <c r="M341" s="6" t="s">
        <v>4537</v>
      </c>
      <c r="N341" s="6" t="s">
        <v>786</v>
      </c>
      <c r="O341" s="29">
        <f t="shared" si="5"/>
        <v>48245.4</v>
      </c>
      <c r="Q341" s="30" t="s">
        <v>786</v>
      </c>
      <c r="R341" s="31">
        <v>48245.4</v>
      </c>
    </row>
    <row r="342" s="1" customFormat="1" ht="16.35" hidden="1" customHeight="1" spans="1:18">
      <c r="A342" s="6" t="s">
        <v>4506</v>
      </c>
      <c r="B342" s="6">
        <v>2016</v>
      </c>
      <c r="C342" s="6">
        <v>10</v>
      </c>
      <c r="D342" s="7">
        <v>10</v>
      </c>
      <c r="E342" s="6" t="s">
        <v>4688</v>
      </c>
      <c r="F342" s="6" t="s">
        <v>4508</v>
      </c>
      <c r="G342" s="6" t="s">
        <v>25</v>
      </c>
      <c r="H342" s="8"/>
      <c r="I342" s="8">
        <v>152381</v>
      </c>
      <c r="J342" s="6" t="s">
        <v>3537</v>
      </c>
      <c r="K342" s="6" t="s">
        <v>711</v>
      </c>
      <c r="L342" s="6" t="s">
        <v>4509</v>
      </c>
      <c r="M342" s="6" t="s">
        <v>4537</v>
      </c>
      <c r="N342" s="6" t="s">
        <v>711</v>
      </c>
      <c r="O342" s="29">
        <f t="shared" si="5"/>
        <v>160000.05</v>
      </c>
      <c r="Q342" s="30" t="s">
        <v>711</v>
      </c>
      <c r="R342" s="31">
        <v>160000.05</v>
      </c>
    </row>
    <row r="343" s="1" customFormat="1" ht="16.35" hidden="1" customHeight="1" spans="1:18">
      <c r="A343" s="6" t="s">
        <v>4506</v>
      </c>
      <c r="B343" s="6">
        <v>2016</v>
      </c>
      <c r="C343" s="6">
        <v>10</v>
      </c>
      <c r="D343" s="7">
        <v>11</v>
      </c>
      <c r="E343" s="6" t="s">
        <v>4654</v>
      </c>
      <c r="F343" s="6" t="s">
        <v>4508</v>
      </c>
      <c r="G343" s="6" t="s">
        <v>25</v>
      </c>
      <c r="H343" s="8"/>
      <c r="I343" s="8">
        <v>85714</v>
      </c>
      <c r="J343" s="6" t="s">
        <v>3477</v>
      </c>
      <c r="K343" s="6" t="s">
        <v>901</v>
      </c>
      <c r="L343" s="6" t="s">
        <v>4509</v>
      </c>
      <c r="M343" s="6" t="s">
        <v>4537</v>
      </c>
      <c r="N343" s="6" t="s">
        <v>901</v>
      </c>
      <c r="O343" s="29">
        <f t="shared" si="5"/>
        <v>89999.7</v>
      </c>
      <c r="Q343" s="30" t="s">
        <v>901</v>
      </c>
      <c r="R343" s="31">
        <v>89999.7</v>
      </c>
    </row>
    <row r="344" s="1" customFormat="1" ht="16.35" hidden="1" customHeight="1" spans="1:18">
      <c r="A344" s="6" t="s">
        <v>4506</v>
      </c>
      <c r="B344" s="6">
        <v>2016</v>
      </c>
      <c r="C344" s="6">
        <v>10</v>
      </c>
      <c r="D344" s="7">
        <v>12</v>
      </c>
      <c r="E344" s="6" t="s">
        <v>4685</v>
      </c>
      <c r="F344" s="6" t="s">
        <v>4508</v>
      </c>
      <c r="G344" s="6" t="s">
        <v>25</v>
      </c>
      <c r="H344" s="8"/>
      <c r="I344" s="8">
        <v>190476</v>
      </c>
      <c r="J344" s="6" t="s">
        <v>3197</v>
      </c>
      <c r="K344" s="6" t="s">
        <v>878</v>
      </c>
      <c r="L344" s="6" t="s">
        <v>4509</v>
      </c>
      <c r="M344" s="6" t="s">
        <v>4537</v>
      </c>
      <c r="N344" s="6" t="s">
        <v>878</v>
      </c>
      <c r="O344" s="29">
        <f t="shared" si="5"/>
        <v>199999.8</v>
      </c>
      <c r="Q344" s="30" t="s">
        <v>878</v>
      </c>
      <c r="R344" s="31">
        <v>199999.8</v>
      </c>
    </row>
    <row r="345" s="1" customFormat="1" ht="16.35" hidden="1" customHeight="1" spans="1:18">
      <c r="A345" s="6" t="s">
        <v>4506</v>
      </c>
      <c r="B345" s="6">
        <v>2016</v>
      </c>
      <c r="C345" s="6">
        <v>10</v>
      </c>
      <c r="D345" s="7">
        <v>13</v>
      </c>
      <c r="E345" s="6" t="s">
        <v>4708</v>
      </c>
      <c r="F345" s="6" t="s">
        <v>4508</v>
      </c>
      <c r="G345" s="6" t="s">
        <v>25</v>
      </c>
      <c r="H345" s="8"/>
      <c r="I345" s="8">
        <v>1060</v>
      </c>
      <c r="J345" s="6" t="s">
        <v>3103</v>
      </c>
      <c r="K345" s="6" t="s">
        <v>575</v>
      </c>
      <c r="L345" s="6" t="s">
        <v>4509</v>
      </c>
      <c r="M345" s="6" t="s">
        <v>4537</v>
      </c>
      <c r="N345" s="6" t="s">
        <v>575</v>
      </c>
      <c r="O345" s="29">
        <f>I345</f>
        <v>1060</v>
      </c>
      <c r="Q345" s="30" t="s">
        <v>575</v>
      </c>
      <c r="R345" s="31">
        <v>1060</v>
      </c>
    </row>
    <row r="346" s="1" customFormat="1" ht="16.35" hidden="1" customHeight="1" spans="1:18">
      <c r="A346" s="6" t="s">
        <v>4506</v>
      </c>
      <c r="B346" s="6">
        <v>2016</v>
      </c>
      <c r="C346" s="6">
        <v>10</v>
      </c>
      <c r="D346" s="7">
        <v>14</v>
      </c>
      <c r="E346" s="6" t="s">
        <v>4709</v>
      </c>
      <c r="F346" s="6" t="s">
        <v>4508</v>
      </c>
      <c r="G346" s="6" t="s">
        <v>25</v>
      </c>
      <c r="H346" s="8"/>
      <c r="I346" s="8">
        <v>50570</v>
      </c>
      <c r="J346" s="6" t="s">
        <v>3475</v>
      </c>
      <c r="K346" s="6" t="s">
        <v>808</v>
      </c>
      <c r="L346" s="6" t="s">
        <v>4509</v>
      </c>
      <c r="M346" s="6" t="s">
        <v>4537</v>
      </c>
      <c r="N346" s="6" t="s">
        <v>808</v>
      </c>
      <c r="O346" s="29">
        <f t="shared" ref="O345:O408" si="6">I346*1.05</f>
        <v>53098.5</v>
      </c>
      <c r="Q346" s="30" t="s">
        <v>808</v>
      </c>
      <c r="R346" s="31">
        <v>53098.5</v>
      </c>
    </row>
    <row r="347" s="1" customFormat="1" ht="16.35" hidden="1" customHeight="1" spans="1:18">
      <c r="A347" s="6" t="s">
        <v>4506</v>
      </c>
      <c r="B347" s="6">
        <v>2016</v>
      </c>
      <c r="C347" s="6">
        <v>10</v>
      </c>
      <c r="D347" s="7">
        <v>15</v>
      </c>
      <c r="E347" s="6" t="s">
        <v>4710</v>
      </c>
      <c r="F347" s="6" t="s">
        <v>4508</v>
      </c>
      <c r="G347" s="6" t="s">
        <v>25</v>
      </c>
      <c r="H347" s="8"/>
      <c r="I347" s="8">
        <v>11733</v>
      </c>
      <c r="J347" s="6" t="s">
        <v>3561</v>
      </c>
      <c r="K347" s="6" t="s">
        <v>848</v>
      </c>
      <c r="L347" s="6" t="s">
        <v>4509</v>
      </c>
      <c r="M347" s="6" t="s">
        <v>4537</v>
      </c>
      <c r="N347" s="6" t="s">
        <v>848</v>
      </c>
      <c r="O347" s="29">
        <f t="shared" si="6"/>
        <v>12319.65</v>
      </c>
      <c r="Q347" s="30" t="s">
        <v>848</v>
      </c>
      <c r="R347" s="31">
        <v>12319.65</v>
      </c>
    </row>
    <row r="348" s="1" customFormat="1" ht="16.35" hidden="1" customHeight="1" spans="1:18">
      <c r="A348" s="6" t="s">
        <v>4506</v>
      </c>
      <c r="B348" s="6">
        <v>2016</v>
      </c>
      <c r="C348" s="6">
        <v>10</v>
      </c>
      <c r="D348" s="7">
        <v>16</v>
      </c>
      <c r="E348" s="6" t="s">
        <v>4710</v>
      </c>
      <c r="F348" s="6" t="s">
        <v>4508</v>
      </c>
      <c r="G348" s="6" t="s">
        <v>25</v>
      </c>
      <c r="H348" s="8"/>
      <c r="I348" s="8">
        <v>47619</v>
      </c>
      <c r="J348" s="6" t="s">
        <v>3561</v>
      </c>
      <c r="K348" s="6" t="s">
        <v>848</v>
      </c>
      <c r="L348" s="6" t="s">
        <v>4509</v>
      </c>
      <c r="M348" s="6" t="s">
        <v>4537</v>
      </c>
      <c r="N348" s="6" t="s">
        <v>848</v>
      </c>
      <c r="O348" s="29">
        <f t="shared" si="6"/>
        <v>49999.95</v>
      </c>
      <c r="Q348" s="30" t="s">
        <v>848</v>
      </c>
      <c r="R348" s="31">
        <v>49999.95</v>
      </c>
    </row>
    <row r="349" s="1" customFormat="1" ht="16.35" hidden="1" customHeight="1" spans="1:18">
      <c r="A349" s="6" t="s">
        <v>4506</v>
      </c>
      <c r="B349" s="6">
        <v>2016</v>
      </c>
      <c r="C349" s="6">
        <v>10</v>
      </c>
      <c r="D349" s="7">
        <v>17</v>
      </c>
      <c r="E349" s="6" t="s">
        <v>4669</v>
      </c>
      <c r="F349" s="6" t="s">
        <v>4508</v>
      </c>
      <c r="G349" s="6" t="s">
        <v>25</v>
      </c>
      <c r="H349" s="8"/>
      <c r="I349" s="8">
        <v>200000</v>
      </c>
      <c r="J349" s="6" t="s">
        <v>3501</v>
      </c>
      <c r="K349" s="6" t="s">
        <v>854</v>
      </c>
      <c r="L349" s="6" t="s">
        <v>4509</v>
      </c>
      <c r="M349" s="6" t="s">
        <v>4537</v>
      </c>
      <c r="N349" s="6" t="s">
        <v>854</v>
      </c>
      <c r="O349" s="29">
        <f t="shared" si="6"/>
        <v>210000</v>
      </c>
      <c r="Q349" s="30" t="s">
        <v>854</v>
      </c>
      <c r="R349" s="31">
        <v>210000</v>
      </c>
    </row>
    <row r="350" s="1" customFormat="1" ht="16.35" hidden="1" customHeight="1" spans="1:18">
      <c r="A350" s="6" t="s">
        <v>4506</v>
      </c>
      <c r="B350" s="6">
        <v>2016</v>
      </c>
      <c r="C350" s="6">
        <v>10</v>
      </c>
      <c r="D350" s="7">
        <v>18</v>
      </c>
      <c r="E350" s="6" t="s">
        <v>4711</v>
      </c>
      <c r="F350" s="6" t="s">
        <v>4508</v>
      </c>
      <c r="G350" s="6" t="s">
        <v>25</v>
      </c>
      <c r="H350" s="8"/>
      <c r="I350" s="8">
        <v>187109</v>
      </c>
      <c r="J350" s="6" t="s">
        <v>3563</v>
      </c>
      <c r="K350" s="6" t="s">
        <v>689</v>
      </c>
      <c r="L350" s="6" t="s">
        <v>4509</v>
      </c>
      <c r="M350" s="6" t="s">
        <v>4537</v>
      </c>
      <c r="N350" s="6" t="s">
        <v>689</v>
      </c>
      <c r="O350" s="29">
        <f t="shared" si="6"/>
        <v>196464.45</v>
      </c>
      <c r="Q350" s="30" t="s">
        <v>689</v>
      </c>
      <c r="R350" s="31">
        <v>196464.45</v>
      </c>
    </row>
    <row r="351" s="1" customFormat="1" ht="16.35" hidden="1" customHeight="1" spans="1:18">
      <c r="A351" s="6" t="s">
        <v>4506</v>
      </c>
      <c r="B351" s="6">
        <v>2016</v>
      </c>
      <c r="C351" s="6">
        <v>10</v>
      </c>
      <c r="D351" s="7">
        <v>19</v>
      </c>
      <c r="E351" s="6" t="s">
        <v>4665</v>
      </c>
      <c r="F351" s="6" t="s">
        <v>4508</v>
      </c>
      <c r="G351" s="6" t="s">
        <v>25</v>
      </c>
      <c r="H351" s="8"/>
      <c r="I351" s="8">
        <v>45948</v>
      </c>
      <c r="J351" s="6" t="s">
        <v>3496</v>
      </c>
      <c r="K351" s="6" t="s">
        <v>864</v>
      </c>
      <c r="L351" s="6" t="s">
        <v>4509</v>
      </c>
      <c r="M351" s="6" t="s">
        <v>4537</v>
      </c>
      <c r="N351" s="6" t="s">
        <v>864</v>
      </c>
      <c r="O351" s="29">
        <f t="shared" si="6"/>
        <v>48245.4</v>
      </c>
      <c r="Q351" s="30" t="s">
        <v>864</v>
      </c>
      <c r="R351" s="31">
        <v>48245.4</v>
      </c>
    </row>
    <row r="352" s="1" customFormat="1" ht="16.35" hidden="1" customHeight="1" spans="1:18">
      <c r="A352" s="6" t="s">
        <v>4506</v>
      </c>
      <c r="B352" s="6">
        <v>2016</v>
      </c>
      <c r="C352" s="6">
        <v>10</v>
      </c>
      <c r="D352" s="7">
        <v>20</v>
      </c>
      <c r="E352" s="6" t="s">
        <v>4712</v>
      </c>
      <c r="F352" s="6" t="s">
        <v>4508</v>
      </c>
      <c r="G352" s="6" t="s">
        <v>25</v>
      </c>
      <c r="H352" s="8"/>
      <c r="I352" s="8">
        <v>72571</v>
      </c>
      <c r="J352" s="6" t="s">
        <v>3522</v>
      </c>
      <c r="K352" s="6" t="s">
        <v>777</v>
      </c>
      <c r="L352" s="6" t="s">
        <v>4509</v>
      </c>
      <c r="M352" s="6" t="s">
        <v>4537</v>
      </c>
      <c r="N352" s="6" t="s">
        <v>777</v>
      </c>
      <c r="O352" s="29">
        <f t="shared" si="6"/>
        <v>76199.55</v>
      </c>
      <c r="Q352" s="30" t="s">
        <v>777</v>
      </c>
      <c r="R352" s="31">
        <v>76199.55</v>
      </c>
    </row>
    <row r="353" s="1" customFormat="1" ht="16.35" hidden="1" customHeight="1" spans="1:18">
      <c r="A353" s="6" t="s">
        <v>4506</v>
      </c>
      <c r="B353" s="6">
        <v>2016</v>
      </c>
      <c r="C353" s="6">
        <v>10</v>
      </c>
      <c r="D353" s="7">
        <v>21</v>
      </c>
      <c r="E353" s="6" t="s">
        <v>4713</v>
      </c>
      <c r="F353" s="6" t="s">
        <v>4508</v>
      </c>
      <c r="G353" s="6" t="s">
        <v>25</v>
      </c>
      <c r="H353" s="8"/>
      <c r="I353" s="8">
        <v>26785</v>
      </c>
      <c r="J353" s="6" t="s">
        <v>3239</v>
      </c>
      <c r="K353" s="6" t="s">
        <v>695</v>
      </c>
      <c r="L353" s="6" t="s">
        <v>4509</v>
      </c>
      <c r="M353" s="6" t="s">
        <v>4537</v>
      </c>
      <c r="N353" s="6" t="s">
        <v>695</v>
      </c>
      <c r="O353" s="29">
        <f t="shared" si="6"/>
        <v>28124.25</v>
      </c>
      <c r="Q353" s="30" t="s">
        <v>695</v>
      </c>
      <c r="R353" s="31">
        <v>28124.25</v>
      </c>
    </row>
    <row r="354" s="1" customFormat="1" ht="16.35" hidden="1" customHeight="1" spans="1:18">
      <c r="A354" s="6" t="s">
        <v>4506</v>
      </c>
      <c r="B354" s="6">
        <v>2016</v>
      </c>
      <c r="C354" s="6">
        <v>10</v>
      </c>
      <c r="D354" s="7">
        <v>22</v>
      </c>
      <c r="E354" s="6" t="s">
        <v>4707</v>
      </c>
      <c r="F354" s="6" t="s">
        <v>4508</v>
      </c>
      <c r="G354" s="6" t="s">
        <v>25</v>
      </c>
      <c r="H354" s="8"/>
      <c r="I354" s="8">
        <v>9524</v>
      </c>
      <c r="J354" s="6" t="s">
        <v>3558</v>
      </c>
      <c r="K354" s="6" t="s">
        <v>874</v>
      </c>
      <c r="L354" s="6" t="s">
        <v>4509</v>
      </c>
      <c r="M354" s="6" t="s">
        <v>4537</v>
      </c>
      <c r="N354" s="6" t="s">
        <v>874</v>
      </c>
      <c r="O354" s="29">
        <f t="shared" si="6"/>
        <v>10000.2</v>
      </c>
      <c r="Q354" s="30" t="s">
        <v>874</v>
      </c>
      <c r="R354" s="31">
        <v>10000.2</v>
      </c>
    </row>
    <row r="355" s="1" customFormat="1" ht="16.35" hidden="1" customHeight="1" spans="1:18">
      <c r="A355" s="6" t="s">
        <v>4506</v>
      </c>
      <c r="B355" s="6">
        <v>2016</v>
      </c>
      <c r="C355" s="6">
        <v>10</v>
      </c>
      <c r="D355" s="7">
        <v>23</v>
      </c>
      <c r="E355" s="6" t="s">
        <v>4680</v>
      </c>
      <c r="F355" s="6" t="s">
        <v>4508</v>
      </c>
      <c r="G355" s="6" t="s">
        <v>25</v>
      </c>
      <c r="H355" s="8"/>
      <c r="I355" s="8">
        <v>77202</v>
      </c>
      <c r="J355" s="6" t="s">
        <v>3520</v>
      </c>
      <c r="K355" s="6" t="s">
        <v>818</v>
      </c>
      <c r="L355" s="6" t="s">
        <v>4509</v>
      </c>
      <c r="M355" s="6" t="s">
        <v>4537</v>
      </c>
      <c r="N355" s="6" t="s">
        <v>818</v>
      </c>
      <c r="O355" s="29">
        <f t="shared" si="6"/>
        <v>81062.1</v>
      </c>
      <c r="Q355" s="30" t="s">
        <v>818</v>
      </c>
      <c r="R355" s="31">
        <v>81062.1</v>
      </c>
    </row>
    <row r="356" s="1" customFormat="1" ht="16.35" hidden="1" customHeight="1" spans="1:18">
      <c r="A356" s="6" t="s">
        <v>4506</v>
      </c>
      <c r="B356" s="6">
        <v>2016</v>
      </c>
      <c r="C356" s="6">
        <v>10</v>
      </c>
      <c r="D356" s="7">
        <v>24</v>
      </c>
      <c r="E356" s="6" t="s">
        <v>4714</v>
      </c>
      <c r="F356" s="6" t="s">
        <v>4508</v>
      </c>
      <c r="G356" s="6" t="s">
        <v>25</v>
      </c>
      <c r="H356" s="8"/>
      <c r="I356" s="8">
        <v>9524</v>
      </c>
      <c r="J356" s="6" t="s">
        <v>3565</v>
      </c>
      <c r="K356" s="6" t="s">
        <v>784</v>
      </c>
      <c r="L356" s="6" t="s">
        <v>4509</v>
      </c>
      <c r="M356" s="6" t="s">
        <v>4537</v>
      </c>
      <c r="N356" s="6" t="s">
        <v>784</v>
      </c>
      <c r="O356" s="29">
        <f t="shared" si="6"/>
        <v>10000.2</v>
      </c>
      <c r="Q356" s="30" t="s">
        <v>784</v>
      </c>
      <c r="R356" s="31">
        <v>10000.2</v>
      </c>
    </row>
    <row r="357" s="1" customFormat="1" ht="16.35" hidden="1" customHeight="1" spans="1:18">
      <c r="A357" s="6" t="s">
        <v>4506</v>
      </c>
      <c r="B357" s="6">
        <v>2016</v>
      </c>
      <c r="C357" s="6">
        <v>10</v>
      </c>
      <c r="D357" s="7">
        <v>25</v>
      </c>
      <c r="E357" s="6" t="s">
        <v>4715</v>
      </c>
      <c r="F357" s="6" t="s">
        <v>4508</v>
      </c>
      <c r="G357" s="6" t="s">
        <v>25</v>
      </c>
      <c r="H357" s="8"/>
      <c r="I357" s="8">
        <v>1905</v>
      </c>
      <c r="J357" s="6" t="s">
        <v>3567</v>
      </c>
      <c r="K357" s="6" t="s">
        <v>870</v>
      </c>
      <c r="L357" s="6" t="s">
        <v>4509</v>
      </c>
      <c r="M357" s="6" t="s">
        <v>4537</v>
      </c>
      <c r="N357" s="6" t="s">
        <v>870</v>
      </c>
      <c r="O357" s="29">
        <f t="shared" si="6"/>
        <v>2000.25</v>
      </c>
      <c r="Q357" s="30" t="s">
        <v>870</v>
      </c>
      <c r="R357" s="31">
        <v>2000.25</v>
      </c>
    </row>
    <row r="358" s="1" customFormat="1" ht="16.35" hidden="1" customHeight="1" spans="1:18">
      <c r="A358" s="6" t="s">
        <v>4506</v>
      </c>
      <c r="B358" s="6">
        <v>2016</v>
      </c>
      <c r="C358" s="6">
        <v>10</v>
      </c>
      <c r="D358" s="7">
        <v>26</v>
      </c>
      <c r="E358" s="6" t="s">
        <v>4715</v>
      </c>
      <c r="F358" s="6" t="s">
        <v>4508</v>
      </c>
      <c r="G358" s="6" t="s">
        <v>25</v>
      </c>
      <c r="H358" s="8"/>
      <c r="I358" s="8">
        <v>28571</v>
      </c>
      <c r="J358" s="6" t="s">
        <v>3567</v>
      </c>
      <c r="K358" s="6" t="s">
        <v>870</v>
      </c>
      <c r="L358" s="6" t="s">
        <v>4509</v>
      </c>
      <c r="M358" s="6" t="s">
        <v>4537</v>
      </c>
      <c r="N358" s="6" t="s">
        <v>870</v>
      </c>
      <c r="O358" s="29">
        <f t="shared" si="6"/>
        <v>29999.55</v>
      </c>
      <c r="Q358" s="30" t="s">
        <v>870</v>
      </c>
      <c r="R358" s="31">
        <v>29999.55</v>
      </c>
    </row>
    <row r="359" s="1" customFormat="1" ht="16.35" hidden="1" customHeight="1" spans="1:18">
      <c r="A359" s="6" t="s">
        <v>4506</v>
      </c>
      <c r="B359" s="6">
        <v>2016</v>
      </c>
      <c r="C359" s="6">
        <v>10</v>
      </c>
      <c r="D359" s="7">
        <v>27</v>
      </c>
      <c r="E359" s="6" t="s">
        <v>4716</v>
      </c>
      <c r="F359" s="6" t="s">
        <v>4508</v>
      </c>
      <c r="G359" s="6" t="s">
        <v>25</v>
      </c>
      <c r="H359" s="8"/>
      <c r="I359" s="8">
        <v>4762</v>
      </c>
      <c r="J359" s="6" t="s">
        <v>3569</v>
      </c>
      <c r="K359" s="6" t="s">
        <v>759</v>
      </c>
      <c r="L359" s="6" t="s">
        <v>4509</v>
      </c>
      <c r="M359" s="6" t="s">
        <v>4537</v>
      </c>
      <c r="N359" s="6" t="s">
        <v>759</v>
      </c>
      <c r="O359" s="29">
        <f t="shared" si="6"/>
        <v>5000.1</v>
      </c>
      <c r="Q359" s="30" t="s">
        <v>759</v>
      </c>
      <c r="R359" s="31">
        <v>5000.1</v>
      </c>
    </row>
    <row r="360" s="1" customFormat="1" ht="16.35" hidden="1" customHeight="1" spans="1:18">
      <c r="A360" s="6" t="s">
        <v>4506</v>
      </c>
      <c r="B360" s="6">
        <v>2016</v>
      </c>
      <c r="C360" s="6">
        <v>10</v>
      </c>
      <c r="D360" s="7">
        <v>28</v>
      </c>
      <c r="E360" s="6" t="s">
        <v>4717</v>
      </c>
      <c r="F360" s="6" t="s">
        <v>4508</v>
      </c>
      <c r="G360" s="6" t="s">
        <v>25</v>
      </c>
      <c r="H360" s="8"/>
      <c r="I360" s="8">
        <v>144838</v>
      </c>
      <c r="J360" s="6" t="s">
        <v>3571</v>
      </c>
      <c r="K360" s="6" t="s">
        <v>826</v>
      </c>
      <c r="L360" s="6" t="s">
        <v>4509</v>
      </c>
      <c r="M360" s="6" t="s">
        <v>4537</v>
      </c>
      <c r="N360" s="6" t="s">
        <v>826</v>
      </c>
      <c r="O360" s="29">
        <f t="shared" si="6"/>
        <v>152079.9</v>
      </c>
      <c r="Q360" s="30" t="s">
        <v>826</v>
      </c>
      <c r="R360" s="31">
        <v>152079.9</v>
      </c>
    </row>
    <row r="361" s="1" customFormat="1" ht="16.35" hidden="1" customHeight="1" spans="1:18">
      <c r="A361" s="6" t="s">
        <v>4506</v>
      </c>
      <c r="B361" s="6">
        <v>2016</v>
      </c>
      <c r="C361" s="6">
        <v>10</v>
      </c>
      <c r="D361" s="7">
        <v>29</v>
      </c>
      <c r="E361" s="6" t="s">
        <v>4718</v>
      </c>
      <c r="F361" s="6" t="s">
        <v>4508</v>
      </c>
      <c r="G361" s="6" t="s">
        <v>25</v>
      </c>
      <c r="H361" s="8"/>
      <c r="I361" s="8">
        <v>187581</v>
      </c>
      <c r="J361" s="6" t="s">
        <v>3225</v>
      </c>
      <c r="K361" s="6" t="s">
        <v>691</v>
      </c>
      <c r="L361" s="6" t="s">
        <v>4509</v>
      </c>
      <c r="M361" s="6" t="s">
        <v>4537</v>
      </c>
      <c r="N361" s="6" t="s">
        <v>691</v>
      </c>
      <c r="O361" s="29">
        <f t="shared" si="6"/>
        <v>196960.05</v>
      </c>
      <c r="Q361" s="30" t="s">
        <v>691</v>
      </c>
      <c r="R361" s="31">
        <v>196960.05</v>
      </c>
    </row>
    <row r="362" s="1" customFormat="1" ht="16.35" hidden="1" customHeight="1" spans="1:18">
      <c r="A362" s="6" t="s">
        <v>4506</v>
      </c>
      <c r="B362" s="6">
        <v>2016</v>
      </c>
      <c r="C362" s="6">
        <v>10</v>
      </c>
      <c r="D362" s="7">
        <v>30</v>
      </c>
      <c r="E362" s="6" t="s">
        <v>4719</v>
      </c>
      <c r="F362" s="6" t="s">
        <v>4508</v>
      </c>
      <c r="G362" s="6" t="s">
        <v>25</v>
      </c>
      <c r="H362" s="8"/>
      <c r="I362" s="8">
        <v>54662</v>
      </c>
      <c r="J362" s="6" t="s">
        <v>3573</v>
      </c>
      <c r="K362" s="6" t="s">
        <v>836</v>
      </c>
      <c r="L362" s="6" t="s">
        <v>4509</v>
      </c>
      <c r="M362" s="6" t="s">
        <v>4537</v>
      </c>
      <c r="N362" s="6" t="s">
        <v>836</v>
      </c>
      <c r="O362" s="29">
        <f t="shared" si="6"/>
        <v>57395.1</v>
      </c>
      <c r="Q362" s="30" t="s">
        <v>836</v>
      </c>
      <c r="R362" s="31">
        <v>57395.1</v>
      </c>
    </row>
    <row r="363" s="1" customFormat="1" ht="16.35" hidden="1" customHeight="1" spans="1:18">
      <c r="A363" s="6" t="s">
        <v>4506</v>
      </c>
      <c r="B363" s="6">
        <v>2016</v>
      </c>
      <c r="C363" s="6">
        <v>10</v>
      </c>
      <c r="D363" s="7">
        <v>31</v>
      </c>
      <c r="E363" s="6" t="s">
        <v>4671</v>
      </c>
      <c r="F363" s="6" t="s">
        <v>4508</v>
      </c>
      <c r="G363" s="6" t="s">
        <v>25</v>
      </c>
      <c r="H363" s="8"/>
      <c r="I363" s="8">
        <v>29370</v>
      </c>
      <c r="J363" s="6" t="s">
        <v>3505</v>
      </c>
      <c r="K363" s="6" t="s">
        <v>703</v>
      </c>
      <c r="L363" s="6" t="s">
        <v>4509</v>
      </c>
      <c r="M363" s="6" t="s">
        <v>4537</v>
      </c>
      <c r="N363" s="6" t="s">
        <v>703</v>
      </c>
      <c r="O363" s="29">
        <f t="shared" si="6"/>
        <v>30838.5</v>
      </c>
      <c r="Q363" s="30" t="s">
        <v>703</v>
      </c>
      <c r="R363" s="31">
        <v>30838.5</v>
      </c>
    </row>
    <row r="364" s="1" customFormat="1" ht="16.35" hidden="1" customHeight="1" spans="1:18">
      <c r="A364" s="6" t="s">
        <v>4506</v>
      </c>
      <c r="B364" s="6">
        <v>2016</v>
      </c>
      <c r="C364" s="6">
        <v>10</v>
      </c>
      <c r="D364" s="7">
        <v>32</v>
      </c>
      <c r="E364" s="6" t="s">
        <v>4720</v>
      </c>
      <c r="F364" s="6" t="s">
        <v>4508</v>
      </c>
      <c r="G364" s="6" t="s">
        <v>25</v>
      </c>
      <c r="H364" s="8"/>
      <c r="I364" s="8">
        <v>45754</v>
      </c>
      <c r="J364" s="6" t="s">
        <v>3117</v>
      </c>
      <c r="K364" s="6" t="s">
        <v>872</v>
      </c>
      <c r="L364" s="6" t="s">
        <v>4509</v>
      </c>
      <c r="M364" s="6" t="s">
        <v>4537</v>
      </c>
      <c r="N364" s="6" t="s">
        <v>872</v>
      </c>
      <c r="O364" s="29">
        <f t="shared" si="6"/>
        <v>48041.7</v>
      </c>
      <c r="Q364" s="30" t="s">
        <v>872</v>
      </c>
      <c r="R364" s="31">
        <v>48041.7</v>
      </c>
    </row>
    <row r="365" s="1" customFormat="1" ht="16.35" hidden="1" customHeight="1" spans="1:18">
      <c r="A365" s="6" t="s">
        <v>4506</v>
      </c>
      <c r="B365" s="6">
        <v>2016</v>
      </c>
      <c r="C365" s="6">
        <v>10</v>
      </c>
      <c r="D365" s="7">
        <v>33</v>
      </c>
      <c r="E365" s="6" t="s">
        <v>4721</v>
      </c>
      <c r="F365" s="6" t="s">
        <v>4508</v>
      </c>
      <c r="G365" s="6" t="s">
        <v>25</v>
      </c>
      <c r="H365" s="8"/>
      <c r="I365" s="8">
        <v>83835</v>
      </c>
      <c r="J365" s="6" t="s">
        <v>3575</v>
      </c>
      <c r="K365" s="6" t="s">
        <v>876</v>
      </c>
      <c r="L365" s="6" t="s">
        <v>4509</v>
      </c>
      <c r="M365" s="6" t="s">
        <v>4537</v>
      </c>
      <c r="N365" s="6" t="s">
        <v>876</v>
      </c>
      <c r="O365" s="29">
        <f t="shared" si="6"/>
        <v>88026.75</v>
      </c>
      <c r="Q365" s="30" t="s">
        <v>876</v>
      </c>
      <c r="R365" s="31">
        <v>88026.75</v>
      </c>
    </row>
    <row r="366" s="1" customFormat="1" ht="16.35" hidden="1" customHeight="1" spans="1:18">
      <c r="A366" s="6" t="s">
        <v>4506</v>
      </c>
      <c r="B366" s="6">
        <v>2016</v>
      </c>
      <c r="C366" s="6">
        <v>10</v>
      </c>
      <c r="D366" s="7">
        <v>34</v>
      </c>
      <c r="E366" s="6" t="s">
        <v>4652</v>
      </c>
      <c r="F366" s="6" t="s">
        <v>4508</v>
      </c>
      <c r="G366" s="6" t="s">
        <v>25</v>
      </c>
      <c r="H366" s="8"/>
      <c r="I366" s="8">
        <v>46792</v>
      </c>
      <c r="J366" s="6" t="s">
        <v>3473</v>
      </c>
      <c r="K366" s="6" t="s">
        <v>850</v>
      </c>
      <c r="L366" s="6" t="s">
        <v>4509</v>
      </c>
      <c r="M366" s="6" t="s">
        <v>4537</v>
      </c>
      <c r="N366" s="6" t="s">
        <v>850</v>
      </c>
      <c r="O366" s="29">
        <f t="shared" si="6"/>
        <v>49131.6</v>
      </c>
      <c r="Q366" s="30" t="s">
        <v>850</v>
      </c>
      <c r="R366" s="31">
        <v>49131.6</v>
      </c>
    </row>
    <row r="367" s="1" customFormat="1" ht="16.35" hidden="1" customHeight="1" spans="1:18">
      <c r="A367" s="6" t="s">
        <v>4506</v>
      </c>
      <c r="B367" s="6">
        <v>2016</v>
      </c>
      <c r="C367" s="6">
        <v>10</v>
      </c>
      <c r="D367" s="7">
        <v>35</v>
      </c>
      <c r="E367" s="6" t="s">
        <v>4710</v>
      </c>
      <c r="F367" s="6" t="s">
        <v>4508</v>
      </c>
      <c r="G367" s="6" t="s">
        <v>25</v>
      </c>
      <c r="H367" s="8"/>
      <c r="I367" s="8">
        <v>26638</v>
      </c>
      <c r="J367" s="6" t="s">
        <v>3561</v>
      </c>
      <c r="K367" s="6" t="s">
        <v>848</v>
      </c>
      <c r="L367" s="6" t="s">
        <v>4509</v>
      </c>
      <c r="M367" s="6" t="s">
        <v>4537</v>
      </c>
      <c r="N367" s="6" t="s">
        <v>848</v>
      </c>
      <c r="O367" s="29">
        <f t="shared" si="6"/>
        <v>27969.9</v>
      </c>
      <c r="Q367" s="30" t="s">
        <v>848</v>
      </c>
      <c r="R367" s="31">
        <v>27969.9</v>
      </c>
    </row>
    <row r="368" s="1" customFormat="1" ht="16.35" hidden="1" customHeight="1" spans="1:18">
      <c r="A368" s="6" t="s">
        <v>4506</v>
      </c>
      <c r="B368" s="6">
        <v>2016</v>
      </c>
      <c r="C368" s="6">
        <v>10</v>
      </c>
      <c r="D368" s="7">
        <v>36</v>
      </c>
      <c r="E368" s="6" t="s">
        <v>4714</v>
      </c>
      <c r="F368" s="6" t="s">
        <v>4508</v>
      </c>
      <c r="G368" s="6" t="s">
        <v>25</v>
      </c>
      <c r="H368" s="8"/>
      <c r="I368" s="8">
        <v>52586</v>
      </c>
      <c r="J368" s="6" t="s">
        <v>3565</v>
      </c>
      <c r="K368" s="6" t="s">
        <v>784</v>
      </c>
      <c r="L368" s="6" t="s">
        <v>4509</v>
      </c>
      <c r="M368" s="6" t="s">
        <v>4537</v>
      </c>
      <c r="N368" s="6" t="s">
        <v>784</v>
      </c>
      <c r="O368" s="29">
        <f t="shared" si="6"/>
        <v>55215.3</v>
      </c>
      <c r="Q368" s="30" t="s">
        <v>784</v>
      </c>
      <c r="R368" s="31">
        <v>55215.3</v>
      </c>
    </row>
    <row r="369" s="1" customFormat="1" ht="16.35" hidden="1" customHeight="1" spans="1:18">
      <c r="A369" s="6" t="s">
        <v>4506</v>
      </c>
      <c r="B369" s="6">
        <v>2016</v>
      </c>
      <c r="C369" s="6">
        <v>10</v>
      </c>
      <c r="D369" s="7">
        <v>37</v>
      </c>
      <c r="E369" s="6" t="s">
        <v>4715</v>
      </c>
      <c r="F369" s="6" t="s">
        <v>4508</v>
      </c>
      <c r="G369" s="6" t="s">
        <v>25</v>
      </c>
      <c r="H369" s="8"/>
      <c r="I369" s="8">
        <v>26019</v>
      </c>
      <c r="J369" s="6" t="s">
        <v>3567</v>
      </c>
      <c r="K369" s="6" t="s">
        <v>870</v>
      </c>
      <c r="L369" s="6" t="s">
        <v>4509</v>
      </c>
      <c r="M369" s="6" t="s">
        <v>4537</v>
      </c>
      <c r="N369" s="6" t="s">
        <v>870</v>
      </c>
      <c r="O369" s="29">
        <f t="shared" si="6"/>
        <v>27319.95</v>
      </c>
      <c r="Q369" s="30" t="s">
        <v>870</v>
      </c>
      <c r="R369" s="31">
        <v>27319.95</v>
      </c>
    </row>
    <row r="370" s="1" customFormat="1" ht="16.35" hidden="1" customHeight="1" spans="1:18">
      <c r="A370" s="6" t="s">
        <v>4506</v>
      </c>
      <c r="B370" s="6">
        <v>2016</v>
      </c>
      <c r="C370" s="6">
        <v>10</v>
      </c>
      <c r="D370" s="7">
        <v>38</v>
      </c>
      <c r="E370" s="6" t="s">
        <v>4722</v>
      </c>
      <c r="F370" s="6" t="s">
        <v>4508</v>
      </c>
      <c r="G370" s="6" t="s">
        <v>25</v>
      </c>
      <c r="H370" s="8"/>
      <c r="I370" s="8">
        <v>9524</v>
      </c>
      <c r="J370" s="6" t="s">
        <v>3518</v>
      </c>
      <c r="K370" s="6" t="s">
        <v>954</v>
      </c>
      <c r="L370" s="6" t="s">
        <v>4509</v>
      </c>
      <c r="M370" s="6" t="s">
        <v>4537</v>
      </c>
      <c r="N370" s="6" t="s">
        <v>954</v>
      </c>
      <c r="O370" s="29">
        <f t="shared" si="6"/>
        <v>10000.2</v>
      </c>
      <c r="Q370" s="30" t="s">
        <v>954</v>
      </c>
      <c r="R370" s="31">
        <v>10000.2</v>
      </c>
    </row>
    <row r="371" s="1" customFormat="1" ht="16.35" hidden="1" customHeight="1" spans="1:18">
      <c r="A371" s="6" t="s">
        <v>4506</v>
      </c>
      <c r="B371" s="6">
        <v>2016</v>
      </c>
      <c r="C371" s="6">
        <v>10</v>
      </c>
      <c r="D371" s="7">
        <v>58</v>
      </c>
      <c r="E371" s="6" t="s">
        <v>4721</v>
      </c>
      <c r="F371" s="6" t="s">
        <v>4508</v>
      </c>
      <c r="G371" s="6" t="s">
        <v>25</v>
      </c>
      <c r="H371" s="8"/>
      <c r="I371" s="8">
        <v>52381</v>
      </c>
      <c r="J371" s="6" t="s">
        <v>3575</v>
      </c>
      <c r="K371" s="6" t="s">
        <v>876</v>
      </c>
      <c r="L371" s="6" t="s">
        <v>4509</v>
      </c>
      <c r="M371" s="6" t="s">
        <v>4537</v>
      </c>
      <c r="N371" s="6" t="s">
        <v>876</v>
      </c>
      <c r="O371" s="29">
        <f t="shared" si="6"/>
        <v>55000.05</v>
      </c>
      <c r="Q371" s="30" t="s">
        <v>876</v>
      </c>
      <c r="R371" s="31">
        <v>55000.05</v>
      </c>
    </row>
    <row r="372" s="1" customFormat="1" ht="16.35" hidden="1" customHeight="1" spans="1:18">
      <c r="A372" s="6" t="s">
        <v>4506</v>
      </c>
      <c r="B372" s="6">
        <v>2016</v>
      </c>
      <c r="C372" s="6">
        <v>10</v>
      </c>
      <c r="D372" s="7">
        <v>62</v>
      </c>
      <c r="E372" s="6" t="s">
        <v>4723</v>
      </c>
      <c r="F372" s="6" t="s">
        <v>4508</v>
      </c>
      <c r="G372" s="6" t="s">
        <v>25</v>
      </c>
      <c r="H372" s="8"/>
      <c r="I372" s="8">
        <v>1377</v>
      </c>
      <c r="J372" s="6" t="s">
        <v>4512</v>
      </c>
      <c r="K372" s="6" t="s">
        <v>587</v>
      </c>
      <c r="L372" s="6" t="s">
        <v>4509</v>
      </c>
      <c r="M372" s="6" t="s">
        <v>4537</v>
      </c>
      <c r="N372" s="6" t="s">
        <v>587</v>
      </c>
      <c r="O372" s="29">
        <v>1446</v>
      </c>
      <c r="Q372" s="30" t="s">
        <v>587</v>
      </c>
      <c r="R372" s="31">
        <v>1446</v>
      </c>
    </row>
    <row r="373" s="1" customFormat="1" ht="16.35" hidden="1" customHeight="1" spans="1:18">
      <c r="A373" s="6" t="s">
        <v>4506</v>
      </c>
      <c r="B373" s="6">
        <v>2016</v>
      </c>
      <c r="C373" s="6">
        <v>10</v>
      </c>
      <c r="D373" s="7">
        <v>63</v>
      </c>
      <c r="E373" s="6" t="s">
        <v>4724</v>
      </c>
      <c r="F373" s="6" t="s">
        <v>4508</v>
      </c>
      <c r="G373" s="6" t="s">
        <v>25</v>
      </c>
      <c r="H373" s="8"/>
      <c r="I373" s="8">
        <v>1351</v>
      </c>
      <c r="J373" s="6" t="s">
        <v>3580</v>
      </c>
      <c r="K373" s="6" t="s">
        <v>527</v>
      </c>
      <c r="L373" s="6" t="s">
        <v>4509</v>
      </c>
      <c r="M373" s="6" t="s">
        <v>4537</v>
      </c>
      <c r="N373" s="6" t="s">
        <v>527</v>
      </c>
      <c r="O373" s="29">
        <f t="shared" si="6"/>
        <v>1418.55</v>
      </c>
      <c r="Q373" s="30" t="s">
        <v>527</v>
      </c>
      <c r="R373" s="31">
        <v>1418.55</v>
      </c>
    </row>
    <row r="374" s="1" customFormat="1" ht="16.35" hidden="1" customHeight="1" spans="1:18">
      <c r="A374" s="6" t="s">
        <v>4506</v>
      </c>
      <c r="B374" s="6">
        <v>2016</v>
      </c>
      <c r="C374" s="6">
        <v>10</v>
      </c>
      <c r="D374" s="7">
        <v>64</v>
      </c>
      <c r="E374" s="6" t="s">
        <v>4710</v>
      </c>
      <c r="F374" s="6" t="s">
        <v>4508</v>
      </c>
      <c r="G374" s="6" t="s">
        <v>25</v>
      </c>
      <c r="H374" s="8"/>
      <c r="I374" s="8">
        <v>190476</v>
      </c>
      <c r="J374" s="6" t="s">
        <v>3561</v>
      </c>
      <c r="K374" s="6" t="s">
        <v>848</v>
      </c>
      <c r="L374" s="6" t="s">
        <v>4509</v>
      </c>
      <c r="M374" s="6" t="s">
        <v>4537</v>
      </c>
      <c r="N374" s="6" t="s">
        <v>848</v>
      </c>
      <c r="O374" s="29">
        <f t="shared" si="6"/>
        <v>199999.8</v>
      </c>
      <c r="Q374" s="30" t="s">
        <v>848</v>
      </c>
      <c r="R374" s="31">
        <v>199999.8</v>
      </c>
    </row>
    <row r="375" s="1" customFormat="1" ht="16.35" hidden="1" customHeight="1" spans="1:18">
      <c r="A375" s="6" t="s">
        <v>4506</v>
      </c>
      <c r="B375" s="6">
        <v>2016</v>
      </c>
      <c r="C375" s="6">
        <v>10</v>
      </c>
      <c r="D375" s="7">
        <v>65</v>
      </c>
      <c r="E375" s="6" t="s">
        <v>4725</v>
      </c>
      <c r="F375" s="6" t="s">
        <v>4508</v>
      </c>
      <c r="G375" s="6" t="s">
        <v>25</v>
      </c>
      <c r="H375" s="8"/>
      <c r="I375" s="8">
        <v>0.95</v>
      </c>
      <c r="J375" s="6" t="s">
        <v>3582</v>
      </c>
      <c r="K375" s="6" t="s">
        <v>116</v>
      </c>
      <c r="L375" s="6" t="s">
        <v>4509</v>
      </c>
      <c r="M375" s="6" t="s">
        <v>4537</v>
      </c>
      <c r="N375" s="6" t="s">
        <v>116</v>
      </c>
      <c r="O375" s="29">
        <f t="shared" si="6"/>
        <v>0.9975</v>
      </c>
      <c r="Q375" s="30" t="s">
        <v>116</v>
      </c>
      <c r="R375" s="31">
        <v>0.9975</v>
      </c>
    </row>
    <row r="376" s="1" customFormat="1" ht="16.35" hidden="1" customHeight="1" spans="1:18">
      <c r="A376" s="6" t="s">
        <v>4506</v>
      </c>
      <c r="B376" s="6">
        <v>2016</v>
      </c>
      <c r="C376" s="6">
        <v>10</v>
      </c>
      <c r="D376" s="7">
        <v>66</v>
      </c>
      <c r="E376" s="6" t="s">
        <v>4726</v>
      </c>
      <c r="F376" s="6" t="s">
        <v>4508</v>
      </c>
      <c r="G376" s="6" t="s">
        <v>25</v>
      </c>
      <c r="H376" s="8"/>
      <c r="I376" s="8">
        <v>1415</v>
      </c>
      <c r="J376" s="6" t="s">
        <v>3584</v>
      </c>
      <c r="K376" s="6" t="s">
        <v>543</v>
      </c>
      <c r="L376" s="6" t="s">
        <v>4509</v>
      </c>
      <c r="M376" s="6" t="s">
        <v>4537</v>
      </c>
      <c r="N376" s="6" t="s">
        <v>543</v>
      </c>
      <c r="O376" s="29">
        <f t="shared" si="6"/>
        <v>1485.75</v>
      </c>
      <c r="Q376" s="30" t="s">
        <v>543</v>
      </c>
      <c r="R376" s="31">
        <v>1485.75</v>
      </c>
    </row>
    <row r="377" s="1" customFormat="1" ht="16.35" hidden="1" customHeight="1" spans="1:18">
      <c r="A377" s="6" t="s">
        <v>4506</v>
      </c>
      <c r="B377" s="6">
        <v>2016</v>
      </c>
      <c r="C377" s="6">
        <v>10</v>
      </c>
      <c r="D377" s="7">
        <v>70</v>
      </c>
      <c r="E377" s="6" t="s">
        <v>4727</v>
      </c>
      <c r="F377" s="6" t="s">
        <v>4508</v>
      </c>
      <c r="G377" s="6" t="s">
        <v>25</v>
      </c>
      <c r="H377" s="8"/>
      <c r="I377" s="8">
        <v>169524</v>
      </c>
      <c r="J377" s="6" t="s">
        <v>3485</v>
      </c>
      <c r="K377" s="6" t="s">
        <v>888</v>
      </c>
      <c r="L377" s="6" t="s">
        <v>4509</v>
      </c>
      <c r="M377" s="6" t="s">
        <v>4537</v>
      </c>
      <c r="N377" s="6" t="s">
        <v>888</v>
      </c>
      <c r="O377" s="29">
        <f t="shared" si="6"/>
        <v>178000.2</v>
      </c>
      <c r="Q377" s="30" t="s">
        <v>888</v>
      </c>
      <c r="R377" s="31">
        <v>178000.2</v>
      </c>
    </row>
    <row r="378" s="1" customFormat="1" ht="16.35" hidden="1" customHeight="1" spans="1:18">
      <c r="A378" s="6" t="s">
        <v>4506</v>
      </c>
      <c r="B378" s="6">
        <v>2016</v>
      </c>
      <c r="C378" s="6">
        <v>10</v>
      </c>
      <c r="D378" s="7">
        <v>71</v>
      </c>
      <c r="E378" s="6" t="s">
        <v>4728</v>
      </c>
      <c r="F378" s="6" t="s">
        <v>4508</v>
      </c>
      <c r="G378" s="6" t="s">
        <v>25</v>
      </c>
      <c r="H378" s="8"/>
      <c r="I378" s="8">
        <v>95238</v>
      </c>
      <c r="J378" s="6" t="s">
        <v>3195</v>
      </c>
      <c r="K378" s="6" t="s">
        <v>810</v>
      </c>
      <c r="L378" s="6" t="s">
        <v>4509</v>
      </c>
      <c r="M378" s="6" t="s">
        <v>4537</v>
      </c>
      <c r="N378" s="6" t="s">
        <v>810</v>
      </c>
      <c r="O378" s="29">
        <f t="shared" si="6"/>
        <v>99999.9</v>
      </c>
      <c r="Q378" s="30" t="s">
        <v>810</v>
      </c>
      <c r="R378" s="31">
        <v>99999.9</v>
      </c>
    </row>
    <row r="379" s="1" customFormat="1" ht="16.35" hidden="1" customHeight="1" spans="1:18">
      <c r="A379" s="6" t="s">
        <v>4506</v>
      </c>
      <c r="B379" s="6">
        <v>2016</v>
      </c>
      <c r="C379" s="6">
        <v>10</v>
      </c>
      <c r="D379" s="7">
        <v>72</v>
      </c>
      <c r="E379" s="6" t="s">
        <v>4729</v>
      </c>
      <c r="F379" s="6" t="s">
        <v>4508</v>
      </c>
      <c r="G379" s="6" t="s">
        <v>25</v>
      </c>
      <c r="H379" s="8"/>
      <c r="I379" s="8">
        <v>209524</v>
      </c>
      <c r="J379" s="6" t="s">
        <v>3516</v>
      </c>
      <c r="K379" s="6" t="s">
        <v>814</v>
      </c>
      <c r="L379" s="6" t="s">
        <v>4509</v>
      </c>
      <c r="M379" s="6" t="s">
        <v>4537</v>
      </c>
      <c r="N379" s="6" t="s">
        <v>814</v>
      </c>
      <c r="O379" s="29">
        <f t="shared" si="6"/>
        <v>220000.2</v>
      </c>
      <c r="Q379" s="30" t="s">
        <v>814</v>
      </c>
      <c r="R379" s="31">
        <v>220000.2</v>
      </c>
    </row>
    <row r="380" s="1" customFormat="1" ht="16.35" hidden="1" customHeight="1" spans="1:18">
      <c r="A380" s="6" t="s">
        <v>4506</v>
      </c>
      <c r="B380" s="6">
        <v>2016</v>
      </c>
      <c r="C380" s="6">
        <v>10</v>
      </c>
      <c r="D380" s="7">
        <v>73</v>
      </c>
      <c r="E380" s="6" t="s">
        <v>4689</v>
      </c>
      <c r="F380" s="6" t="s">
        <v>4508</v>
      </c>
      <c r="G380" s="6" t="s">
        <v>25</v>
      </c>
      <c r="H380" s="8"/>
      <c r="I380" s="8">
        <v>95238</v>
      </c>
      <c r="J380" s="6" t="s">
        <v>3435</v>
      </c>
      <c r="K380" s="6" t="s">
        <v>727</v>
      </c>
      <c r="L380" s="6" t="s">
        <v>4509</v>
      </c>
      <c r="M380" s="6" t="s">
        <v>4537</v>
      </c>
      <c r="N380" s="6" t="s">
        <v>727</v>
      </c>
      <c r="O380" s="29">
        <f t="shared" si="6"/>
        <v>99999.9</v>
      </c>
      <c r="Q380" s="30" t="s">
        <v>727</v>
      </c>
      <c r="R380" s="31">
        <v>99999.9</v>
      </c>
    </row>
    <row r="381" s="1" customFormat="1" ht="16.35" hidden="1" customHeight="1" spans="1:18">
      <c r="A381" s="6" t="s">
        <v>4506</v>
      </c>
      <c r="B381" s="6">
        <v>2016</v>
      </c>
      <c r="C381" s="6">
        <v>10</v>
      </c>
      <c r="D381" s="7">
        <v>74</v>
      </c>
      <c r="E381" s="6" t="s">
        <v>4698</v>
      </c>
      <c r="F381" s="6" t="s">
        <v>4508</v>
      </c>
      <c r="G381" s="6" t="s">
        <v>25</v>
      </c>
      <c r="H381" s="8"/>
      <c r="I381" s="8">
        <v>170476</v>
      </c>
      <c r="J381" s="6" t="s">
        <v>3462</v>
      </c>
      <c r="K381" s="6" t="s">
        <v>803</v>
      </c>
      <c r="L381" s="6" t="s">
        <v>4509</v>
      </c>
      <c r="M381" s="6" t="s">
        <v>4537</v>
      </c>
      <c r="N381" s="6" t="s">
        <v>803</v>
      </c>
      <c r="O381" s="29">
        <f t="shared" si="6"/>
        <v>178999.8</v>
      </c>
      <c r="Q381" s="30" t="s">
        <v>803</v>
      </c>
      <c r="R381" s="31">
        <v>178999.8</v>
      </c>
    </row>
    <row r="382" s="1" customFormat="1" ht="16.35" hidden="1" customHeight="1" spans="1:18">
      <c r="A382" s="6" t="s">
        <v>4506</v>
      </c>
      <c r="B382" s="6">
        <v>2016</v>
      </c>
      <c r="C382" s="6">
        <v>10</v>
      </c>
      <c r="D382" s="7">
        <v>75</v>
      </c>
      <c r="E382" s="6" t="s">
        <v>4699</v>
      </c>
      <c r="F382" s="6" t="s">
        <v>4508</v>
      </c>
      <c r="G382" s="6" t="s">
        <v>25</v>
      </c>
      <c r="H382" s="8"/>
      <c r="I382" s="8">
        <v>170476</v>
      </c>
      <c r="J382" s="6" t="s">
        <v>3458</v>
      </c>
      <c r="K382" s="6" t="s">
        <v>805</v>
      </c>
      <c r="L382" s="6" t="s">
        <v>4509</v>
      </c>
      <c r="M382" s="6" t="s">
        <v>4537</v>
      </c>
      <c r="N382" s="6" t="s">
        <v>805</v>
      </c>
      <c r="O382" s="29">
        <f t="shared" si="6"/>
        <v>178999.8</v>
      </c>
      <c r="Q382" s="30" t="s">
        <v>805</v>
      </c>
      <c r="R382" s="31">
        <v>178999.8</v>
      </c>
    </row>
    <row r="383" s="1" customFormat="1" ht="16.35" hidden="1" customHeight="1" spans="1:18">
      <c r="A383" s="6" t="s">
        <v>4506</v>
      </c>
      <c r="B383" s="6">
        <v>2016</v>
      </c>
      <c r="C383" s="6">
        <v>10</v>
      </c>
      <c r="D383" s="7">
        <v>76</v>
      </c>
      <c r="E383" s="6" t="s">
        <v>4680</v>
      </c>
      <c r="F383" s="6" t="s">
        <v>4508</v>
      </c>
      <c r="G383" s="6" t="s">
        <v>25</v>
      </c>
      <c r="H383" s="8"/>
      <c r="I383" s="8">
        <v>190476</v>
      </c>
      <c r="J383" s="6" t="s">
        <v>3520</v>
      </c>
      <c r="K383" s="6" t="s">
        <v>818</v>
      </c>
      <c r="L383" s="6" t="s">
        <v>4509</v>
      </c>
      <c r="M383" s="6" t="s">
        <v>4537</v>
      </c>
      <c r="N383" s="6" t="s">
        <v>818</v>
      </c>
      <c r="O383" s="29">
        <f t="shared" si="6"/>
        <v>199999.8</v>
      </c>
      <c r="Q383" s="30" t="s">
        <v>818</v>
      </c>
      <c r="R383" s="31">
        <v>199999.8</v>
      </c>
    </row>
    <row r="384" s="1" customFormat="1" ht="16.35" hidden="1" customHeight="1" spans="1:18">
      <c r="A384" s="6" t="s">
        <v>4506</v>
      </c>
      <c r="B384" s="6">
        <v>2016</v>
      </c>
      <c r="C384" s="6">
        <v>10</v>
      </c>
      <c r="D384" s="7">
        <v>77</v>
      </c>
      <c r="E384" s="6" t="s">
        <v>4713</v>
      </c>
      <c r="F384" s="6" t="s">
        <v>4508</v>
      </c>
      <c r="G384" s="6" t="s">
        <v>25</v>
      </c>
      <c r="H384" s="8"/>
      <c r="I384" s="8">
        <v>142857</v>
      </c>
      <c r="J384" s="6" t="s">
        <v>3239</v>
      </c>
      <c r="K384" s="6" t="s">
        <v>695</v>
      </c>
      <c r="L384" s="6" t="s">
        <v>4509</v>
      </c>
      <c r="M384" s="6" t="s">
        <v>4537</v>
      </c>
      <c r="N384" s="6" t="s">
        <v>695</v>
      </c>
      <c r="O384" s="29">
        <f t="shared" si="6"/>
        <v>149999.85</v>
      </c>
      <c r="Q384" s="30" t="s">
        <v>695</v>
      </c>
      <c r="R384" s="31">
        <v>149999.85</v>
      </c>
    </row>
    <row r="385" s="1" customFormat="1" ht="16.35" hidden="1" customHeight="1" spans="1:18">
      <c r="A385" s="6" t="s">
        <v>4506</v>
      </c>
      <c r="B385" s="6">
        <v>2016</v>
      </c>
      <c r="C385" s="6">
        <v>10</v>
      </c>
      <c r="D385" s="7">
        <v>78</v>
      </c>
      <c r="E385" s="6" t="s">
        <v>4686</v>
      </c>
      <c r="F385" s="6" t="s">
        <v>4508</v>
      </c>
      <c r="G385" s="6" t="s">
        <v>25</v>
      </c>
      <c r="H385" s="8"/>
      <c r="I385" s="8">
        <v>133333</v>
      </c>
      <c r="J385" s="6" t="s">
        <v>3283</v>
      </c>
      <c r="K385" s="6" t="s">
        <v>709</v>
      </c>
      <c r="L385" s="6" t="s">
        <v>4509</v>
      </c>
      <c r="M385" s="6" t="s">
        <v>4537</v>
      </c>
      <c r="N385" s="6" t="s">
        <v>709</v>
      </c>
      <c r="O385" s="29">
        <f t="shared" si="6"/>
        <v>139999.65</v>
      </c>
      <c r="Q385" s="30" t="s">
        <v>709</v>
      </c>
      <c r="R385" s="31">
        <v>139999.65</v>
      </c>
    </row>
    <row r="386" s="1" customFormat="1" ht="16.35" hidden="1" customHeight="1" spans="1:18">
      <c r="A386" s="6" t="s">
        <v>4506</v>
      </c>
      <c r="B386" s="6">
        <v>2016</v>
      </c>
      <c r="C386" s="6">
        <v>10</v>
      </c>
      <c r="D386" s="7">
        <v>79</v>
      </c>
      <c r="E386" s="6" t="s">
        <v>4695</v>
      </c>
      <c r="F386" s="6" t="s">
        <v>4508</v>
      </c>
      <c r="G386" s="6" t="s">
        <v>25</v>
      </c>
      <c r="H386" s="8"/>
      <c r="I386" s="8">
        <v>133333</v>
      </c>
      <c r="J386" s="6" t="s">
        <v>3540</v>
      </c>
      <c r="K386" s="6" t="s">
        <v>812</v>
      </c>
      <c r="L386" s="6" t="s">
        <v>4509</v>
      </c>
      <c r="M386" s="6" t="s">
        <v>4537</v>
      </c>
      <c r="N386" s="6" t="s">
        <v>812</v>
      </c>
      <c r="O386" s="29">
        <f t="shared" si="6"/>
        <v>139999.65</v>
      </c>
      <c r="Q386" s="30" t="s">
        <v>812</v>
      </c>
      <c r="R386" s="31">
        <v>139999.65</v>
      </c>
    </row>
    <row r="387" s="1" customFormat="1" ht="16.35" hidden="1" customHeight="1" spans="1:18">
      <c r="A387" s="6" t="s">
        <v>4506</v>
      </c>
      <c r="B387" s="6">
        <v>2016</v>
      </c>
      <c r="C387" s="6">
        <v>10</v>
      </c>
      <c r="D387" s="7">
        <v>80</v>
      </c>
      <c r="E387" s="6" t="s">
        <v>4730</v>
      </c>
      <c r="F387" s="6" t="s">
        <v>4508</v>
      </c>
      <c r="G387" s="6" t="s">
        <v>25</v>
      </c>
      <c r="H387" s="8"/>
      <c r="I387" s="8">
        <v>83162</v>
      </c>
      <c r="J387" s="6" t="s">
        <v>3513</v>
      </c>
      <c r="K387" s="6" t="s">
        <v>402</v>
      </c>
      <c r="L387" s="6" t="s">
        <v>4509</v>
      </c>
      <c r="M387" s="6" t="s">
        <v>4537</v>
      </c>
      <c r="N387" s="6" t="s">
        <v>402</v>
      </c>
      <c r="O387" s="29">
        <f t="shared" si="6"/>
        <v>87320.1</v>
      </c>
      <c r="Q387" s="30" t="s">
        <v>402</v>
      </c>
      <c r="R387" s="31">
        <v>87320.1</v>
      </c>
    </row>
    <row r="388" s="1" customFormat="1" ht="16.35" hidden="1" customHeight="1" spans="1:18">
      <c r="A388" s="6" t="s">
        <v>4506</v>
      </c>
      <c r="B388" s="6">
        <v>2016</v>
      </c>
      <c r="C388" s="6">
        <v>11</v>
      </c>
      <c r="D388" s="7">
        <v>17</v>
      </c>
      <c r="E388" s="6" t="s">
        <v>4731</v>
      </c>
      <c r="F388" s="6" t="s">
        <v>4508</v>
      </c>
      <c r="G388" s="6" t="s">
        <v>25</v>
      </c>
      <c r="H388" s="8"/>
      <c r="I388" s="8">
        <v>190476</v>
      </c>
      <c r="J388" s="6" t="s">
        <v>3550</v>
      </c>
      <c r="K388" s="6" t="s">
        <v>840</v>
      </c>
      <c r="L388" s="6" t="s">
        <v>4509</v>
      </c>
      <c r="M388" s="6" t="s">
        <v>4537</v>
      </c>
      <c r="N388" s="6" t="s">
        <v>840</v>
      </c>
      <c r="O388" s="29">
        <f t="shared" si="6"/>
        <v>199999.8</v>
      </c>
      <c r="Q388" s="30" t="s">
        <v>840</v>
      </c>
      <c r="R388" s="31">
        <v>199999.8</v>
      </c>
    </row>
    <row r="389" s="1" customFormat="1" ht="16.35" hidden="1" customHeight="1" spans="1:18">
      <c r="A389" s="6" t="s">
        <v>4506</v>
      </c>
      <c r="B389" s="6">
        <v>2016</v>
      </c>
      <c r="C389" s="6">
        <v>11</v>
      </c>
      <c r="D389" s="7">
        <v>19</v>
      </c>
      <c r="E389" s="6" t="s">
        <v>4732</v>
      </c>
      <c r="F389" s="6" t="s">
        <v>4508</v>
      </c>
      <c r="G389" s="6" t="s">
        <v>25</v>
      </c>
      <c r="H389" s="8"/>
      <c r="I389" s="8">
        <v>218095</v>
      </c>
      <c r="J389" s="6" t="s">
        <v>3496</v>
      </c>
      <c r="K389" s="6" t="s">
        <v>864</v>
      </c>
      <c r="L389" s="6" t="s">
        <v>4509</v>
      </c>
      <c r="M389" s="6" t="s">
        <v>4537</v>
      </c>
      <c r="N389" s="6" t="s">
        <v>864</v>
      </c>
      <c r="O389" s="29">
        <f t="shared" si="6"/>
        <v>228999.75</v>
      </c>
      <c r="Q389" s="30" t="s">
        <v>864</v>
      </c>
      <c r="R389" s="31">
        <v>228999.75</v>
      </c>
    </row>
    <row r="390" s="1" customFormat="1" ht="16.35" hidden="1" customHeight="1" spans="1:18">
      <c r="A390" s="6" t="s">
        <v>4506</v>
      </c>
      <c r="B390" s="6">
        <v>2016</v>
      </c>
      <c r="C390" s="6">
        <v>11</v>
      </c>
      <c r="D390" s="7">
        <v>20</v>
      </c>
      <c r="E390" s="6" t="s">
        <v>4733</v>
      </c>
      <c r="F390" s="6" t="s">
        <v>4508</v>
      </c>
      <c r="G390" s="6" t="s">
        <v>25</v>
      </c>
      <c r="H390" s="8"/>
      <c r="I390" s="8">
        <v>152381</v>
      </c>
      <c r="J390" s="6" t="s">
        <v>3140</v>
      </c>
      <c r="K390" s="6" t="s">
        <v>525</v>
      </c>
      <c r="L390" s="6" t="s">
        <v>4509</v>
      </c>
      <c r="M390" s="6" t="s">
        <v>4537</v>
      </c>
      <c r="N390" s="6" t="s">
        <v>525</v>
      </c>
      <c r="O390" s="29">
        <f t="shared" si="6"/>
        <v>160000.05</v>
      </c>
      <c r="Q390" s="30" t="s">
        <v>525</v>
      </c>
      <c r="R390" s="31">
        <v>160000.05</v>
      </c>
    </row>
    <row r="391" s="1" customFormat="1" ht="16.35" hidden="1" customHeight="1" spans="1:18">
      <c r="A391" s="6" t="s">
        <v>4506</v>
      </c>
      <c r="B391" s="6">
        <v>2016</v>
      </c>
      <c r="C391" s="6">
        <v>11</v>
      </c>
      <c r="D391" s="7">
        <v>21</v>
      </c>
      <c r="E391" s="6" t="s">
        <v>4661</v>
      </c>
      <c r="F391" s="6" t="s">
        <v>4508</v>
      </c>
      <c r="G391" s="6" t="s">
        <v>25</v>
      </c>
      <c r="H391" s="8"/>
      <c r="I391" s="8">
        <v>138095</v>
      </c>
      <c r="J391" s="6" t="s">
        <v>3489</v>
      </c>
      <c r="K391" s="6" t="s">
        <v>603</v>
      </c>
      <c r="L391" s="6" t="s">
        <v>4509</v>
      </c>
      <c r="M391" s="6" t="s">
        <v>4537</v>
      </c>
      <c r="N391" s="6" t="s">
        <v>603</v>
      </c>
      <c r="O391" s="29">
        <f t="shared" si="6"/>
        <v>144999.75</v>
      </c>
      <c r="Q391" s="30" t="s">
        <v>603</v>
      </c>
      <c r="R391" s="31">
        <v>144999.75</v>
      </c>
    </row>
    <row r="392" s="1" customFormat="1" ht="16.35" hidden="1" customHeight="1" spans="1:18">
      <c r="A392" s="6" t="s">
        <v>4506</v>
      </c>
      <c r="B392" s="6">
        <v>2016</v>
      </c>
      <c r="C392" s="6">
        <v>11</v>
      </c>
      <c r="D392" s="7">
        <v>22</v>
      </c>
      <c r="E392" s="6" t="s">
        <v>4655</v>
      </c>
      <c r="F392" s="6" t="s">
        <v>4508</v>
      </c>
      <c r="G392" s="6" t="s">
        <v>25</v>
      </c>
      <c r="H392" s="8"/>
      <c r="I392" s="8">
        <v>219048</v>
      </c>
      <c r="J392" s="6" t="s">
        <v>3481</v>
      </c>
      <c r="K392" s="6" t="s">
        <v>138</v>
      </c>
      <c r="L392" s="6" t="s">
        <v>4509</v>
      </c>
      <c r="M392" s="6" t="s">
        <v>4537</v>
      </c>
      <c r="N392" s="6" t="s">
        <v>138</v>
      </c>
      <c r="O392" s="29">
        <f t="shared" si="6"/>
        <v>230000.4</v>
      </c>
      <c r="Q392" s="30" t="s">
        <v>138</v>
      </c>
      <c r="R392" s="31">
        <v>230000.4</v>
      </c>
    </row>
    <row r="393" s="1" customFormat="1" ht="16.35" hidden="1" customHeight="1" spans="1:18">
      <c r="A393" s="6" t="s">
        <v>4506</v>
      </c>
      <c r="B393" s="6">
        <v>2016</v>
      </c>
      <c r="C393" s="6">
        <v>11</v>
      </c>
      <c r="D393" s="7">
        <v>23</v>
      </c>
      <c r="E393" s="6" t="s">
        <v>4734</v>
      </c>
      <c r="F393" s="6" t="s">
        <v>4508</v>
      </c>
      <c r="G393" s="6" t="s">
        <v>25</v>
      </c>
      <c r="H393" s="8"/>
      <c r="I393" s="8">
        <v>54476</v>
      </c>
      <c r="J393" s="6" t="s">
        <v>3586</v>
      </c>
      <c r="K393" s="6" t="s">
        <v>782</v>
      </c>
      <c r="L393" s="6" t="s">
        <v>4509</v>
      </c>
      <c r="M393" s="6" t="s">
        <v>4537</v>
      </c>
      <c r="N393" s="6" t="s">
        <v>782</v>
      </c>
      <c r="O393" s="29">
        <f t="shared" si="6"/>
        <v>57199.8</v>
      </c>
      <c r="Q393" s="30" t="s">
        <v>782</v>
      </c>
      <c r="R393" s="31">
        <v>57199.8</v>
      </c>
    </row>
    <row r="394" s="1" customFormat="1" ht="16.35" hidden="1" customHeight="1" spans="1:18">
      <c r="A394" s="6" t="s">
        <v>4506</v>
      </c>
      <c r="B394" s="6">
        <v>2016</v>
      </c>
      <c r="C394" s="6">
        <v>11</v>
      </c>
      <c r="D394" s="7">
        <v>24</v>
      </c>
      <c r="E394" s="6" t="s">
        <v>4721</v>
      </c>
      <c r="F394" s="6" t="s">
        <v>4508</v>
      </c>
      <c r="G394" s="6" t="s">
        <v>25</v>
      </c>
      <c r="H394" s="8"/>
      <c r="I394" s="8">
        <v>136190</v>
      </c>
      <c r="J394" s="6" t="s">
        <v>3575</v>
      </c>
      <c r="K394" s="6" t="s">
        <v>876</v>
      </c>
      <c r="L394" s="6" t="s">
        <v>4509</v>
      </c>
      <c r="M394" s="6" t="s">
        <v>4537</v>
      </c>
      <c r="N394" s="6" t="s">
        <v>876</v>
      </c>
      <c r="O394" s="29">
        <f t="shared" si="6"/>
        <v>142999.5</v>
      </c>
      <c r="Q394" s="30" t="s">
        <v>876</v>
      </c>
      <c r="R394" s="31">
        <v>142999.5</v>
      </c>
    </row>
    <row r="395" s="1" customFormat="1" ht="16.35" hidden="1" customHeight="1" spans="1:18">
      <c r="A395" s="6" t="s">
        <v>4506</v>
      </c>
      <c r="B395" s="6">
        <v>2016</v>
      </c>
      <c r="C395" s="6">
        <v>11</v>
      </c>
      <c r="D395" s="7">
        <v>25</v>
      </c>
      <c r="E395" s="6" t="s">
        <v>4735</v>
      </c>
      <c r="F395" s="6" t="s">
        <v>4508</v>
      </c>
      <c r="G395" s="6" t="s">
        <v>25</v>
      </c>
      <c r="H395" s="8"/>
      <c r="I395" s="8">
        <v>9524</v>
      </c>
      <c r="J395" s="6" t="s">
        <v>3588</v>
      </c>
      <c r="K395" s="6" t="s">
        <v>858</v>
      </c>
      <c r="L395" s="6" t="s">
        <v>4509</v>
      </c>
      <c r="M395" s="6" t="s">
        <v>4537</v>
      </c>
      <c r="N395" s="6" t="s">
        <v>858</v>
      </c>
      <c r="O395" s="29">
        <f t="shared" si="6"/>
        <v>10000.2</v>
      </c>
      <c r="Q395" s="30" t="s">
        <v>858</v>
      </c>
      <c r="R395" s="31">
        <v>10000.2</v>
      </c>
    </row>
    <row r="396" s="1" customFormat="1" ht="16.35" hidden="1" customHeight="1" spans="1:18">
      <c r="A396" s="6" t="s">
        <v>4506</v>
      </c>
      <c r="B396" s="6">
        <v>2016</v>
      </c>
      <c r="C396" s="6">
        <v>11</v>
      </c>
      <c r="D396" s="7">
        <v>26</v>
      </c>
      <c r="E396" s="6" t="s">
        <v>4720</v>
      </c>
      <c r="F396" s="6" t="s">
        <v>4508</v>
      </c>
      <c r="G396" s="6" t="s">
        <v>25</v>
      </c>
      <c r="H396" s="8"/>
      <c r="I396" s="8">
        <v>218095</v>
      </c>
      <c r="J396" s="6" t="s">
        <v>3117</v>
      </c>
      <c r="K396" s="6" t="s">
        <v>872</v>
      </c>
      <c r="L396" s="6" t="s">
        <v>4509</v>
      </c>
      <c r="M396" s="6" t="s">
        <v>4537</v>
      </c>
      <c r="N396" s="6" t="s">
        <v>872</v>
      </c>
      <c r="O396" s="29">
        <f t="shared" si="6"/>
        <v>228999.75</v>
      </c>
      <c r="Q396" s="30" t="s">
        <v>872</v>
      </c>
      <c r="R396" s="31">
        <v>228999.75</v>
      </c>
    </row>
    <row r="397" s="1" customFormat="1" ht="16.35" hidden="1" customHeight="1" spans="1:18">
      <c r="A397" s="6" t="s">
        <v>4506</v>
      </c>
      <c r="B397" s="6">
        <v>2016</v>
      </c>
      <c r="C397" s="6">
        <v>11</v>
      </c>
      <c r="D397" s="7">
        <v>27</v>
      </c>
      <c r="E397" s="6" t="s">
        <v>4719</v>
      </c>
      <c r="F397" s="6" t="s">
        <v>4508</v>
      </c>
      <c r="G397" s="6" t="s">
        <v>25</v>
      </c>
      <c r="H397" s="8"/>
      <c r="I397" s="8">
        <v>219048</v>
      </c>
      <c r="J397" s="6" t="s">
        <v>3573</v>
      </c>
      <c r="K397" s="6" t="s">
        <v>836</v>
      </c>
      <c r="L397" s="6" t="s">
        <v>4509</v>
      </c>
      <c r="M397" s="6" t="s">
        <v>4537</v>
      </c>
      <c r="N397" s="6" t="s">
        <v>836</v>
      </c>
      <c r="O397" s="29">
        <f t="shared" si="6"/>
        <v>230000.4</v>
      </c>
      <c r="Q397" s="30" t="s">
        <v>836</v>
      </c>
      <c r="R397" s="31">
        <v>230000.4</v>
      </c>
    </row>
    <row r="398" s="1" customFormat="1" ht="16.35" hidden="1" customHeight="1" spans="1:18">
      <c r="A398" s="6" t="s">
        <v>4506</v>
      </c>
      <c r="B398" s="6">
        <v>2016</v>
      </c>
      <c r="C398" s="6">
        <v>11</v>
      </c>
      <c r="D398" s="7">
        <v>28</v>
      </c>
      <c r="E398" s="6" t="s">
        <v>4682</v>
      </c>
      <c r="F398" s="6" t="s">
        <v>4508</v>
      </c>
      <c r="G398" s="6" t="s">
        <v>25</v>
      </c>
      <c r="H398" s="8"/>
      <c r="I398" s="8">
        <v>180952</v>
      </c>
      <c r="J398" s="6" t="s">
        <v>3190</v>
      </c>
      <c r="K398" s="6" t="s">
        <v>852</v>
      </c>
      <c r="L398" s="6" t="s">
        <v>4509</v>
      </c>
      <c r="M398" s="6" t="s">
        <v>4537</v>
      </c>
      <c r="N398" s="6" t="s">
        <v>852</v>
      </c>
      <c r="O398" s="29">
        <f t="shared" si="6"/>
        <v>189999.6</v>
      </c>
      <c r="Q398" s="30" t="s">
        <v>852</v>
      </c>
      <c r="R398" s="31">
        <v>189999.6</v>
      </c>
    </row>
    <row r="399" s="1" customFormat="1" ht="16.35" hidden="1" customHeight="1" spans="1:18">
      <c r="A399" s="6" t="s">
        <v>4506</v>
      </c>
      <c r="B399" s="6">
        <v>2016</v>
      </c>
      <c r="C399" s="6">
        <v>11</v>
      </c>
      <c r="D399" s="7">
        <v>29</v>
      </c>
      <c r="E399" s="6" t="s">
        <v>4717</v>
      </c>
      <c r="F399" s="6" t="s">
        <v>4508</v>
      </c>
      <c r="G399" s="6" t="s">
        <v>25</v>
      </c>
      <c r="H399" s="8"/>
      <c r="I399" s="8">
        <v>133333</v>
      </c>
      <c r="J399" s="6" t="s">
        <v>3571</v>
      </c>
      <c r="K399" s="6" t="s">
        <v>826</v>
      </c>
      <c r="L399" s="6" t="s">
        <v>4509</v>
      </c>
      <c r="M399" s="6" t="s">
        <v>4537</v>
      </c>
      <c r="N399" s="6" t="s">
        <v>826</v>
      </c>
      <c r="O399" s="29">
        <f t="shared" si="6"/>
        <v>139999.65</v>
      </c>
      <c r="Q399" s="30" t="s">
        <v>826</v>
      </c>
      <c r="R399" s="31">
        <v>139999.65</v>
      </c>
    </row>
    <row r="400" s="1" customFormat="1" ht="16.35" hidden="1" customHeight="1" spans="1:18">
      <c r="A400" s="6" t="s">
        <v>4506</v>
      </c>
      <c r="B400" s="6">
        <v>2016</v>
      </c>
      <c r="C400" s="6">
        <v>11</v>
      </c>
      <c r="D400" s="7">
        <v>30</v>
      </c>
      <c r="E400" s="6" t="s">
        <v>4736</v>
      </c>
      <c r="F400" s="6" t="s">
        <v>4508</v>
      </c>
      <c r="G400" s="6" t="s">
        <v>25</v>
      </c>
      <c r="H400" s="8"/>
      <c r="I400" s="8">
        <v>182997</v>
      </c>
      <c r="J400" s="6" t="s">
        <v>3590</v>
      </c>
      <c r="K400" s="6" t="s">
        <v>374</v>
      </c>
      <c r="L400" s="6" t="s">
        <v>4509</v>
      </c>
      <c r="M400" s="6" t="s">
        <v>4537</v>
      </c>
      <c r="N400" s="6" t="s">
        <v>374</v>
      </c>
      <c r="O400" s="29">
        <f t="shared" si="6"/>
        <v>192146.85</v>
      </c>
      <c r="Q400" s="30" t="s">
        <v>374</v>
      </c>
      <c r="R400" s="31">
        <v>192146.85</v>
      </c>
    </row>
    <row r="401" s="1" customFormat="1" ht="16.35" hidden="1" customHeight="1" spans="1:18">
      <c r="A401" s="6" t="s">
        <v>4506</v>
      </c>
      <c r="B401" s="6">
        <v>2016</v>
      </c>
      <c r="C401" s="6">
        <v>11</v>
      </c>
      <c r="D401" s="7">
        <v>31</v>
      </c>
      <c r="E401" s="6" t="s">
        <v>4737</v>
      </c>
      <c r="F401" s="6" t="s">
        <v>4508</v>
      </c>
      <c r="G401" s="6" t="s">
        <v>25</v>
      </c>
      <c r="H401" s="8"/>
      <c r="I401" s="8">
        <v>1343</v>
      </c>
      <c r="J401" s="6" t="s">
        <v>3592</v>
      </c>
      <c r="K401" s="6" t="s">
        <v>523</v>
      </c>
      <c r="L401" s="6" t="s">
        <v>4509</v>
      </c>
      <c r="M401" s="6" t="s">
        <v>4537</v>
      </c>
      <c r="N401" s="6" t="s">
        <v>523</v>
      </c>
      <c r="O401" s="29">
        <f t="shared" si="6"/>
        <v>1410.15</v>
      </c>
      <c r="Q401" s="30" t="s">
        <v>523</v>
      </c>
      <c r="R401" s="31">
        <v>1410.15</v>
      </c>
    </row>
    <row r="402" s="1" customFormat="1" ht="16.35" hidden="1" customHeight="1" spans="1:18">
      <c r="A402" s="6" t="s">
        <v>4506</v>
      </c>
      <c r="B402" s="6">
        <v>2016</v>
      </c>
      <c r="C402" s="6">
        <v>11</v>
      </c>
      <c r="D402" s="7">
        <v>32</v>
      </c>
      <c r="E402" s="6" t="s">
        <v>4738</v>
      </c>
      <c r="F402" s="6" t="s">
        <v>4508</v>
      </c>
      <c r="G402" s="6" t="s">
        <v>25</v>
      </c>
      <c r="H402" s="8"/>
      <c r="I402" s="8">
        <v>1072</v>
      </c>
      <c r="J402" s="6" t="s">
        <v>3119</v>
      </c>
      <c r="K402" s="6" t="s">
        <v>599</v>
      </c>
      <c r="L402" s="6" t="s">
        <v>4509</v>
      </c>
      <c r="M402" s="6" t="s">
        <v>4537</v>
      </c>
      <c r="N402" s="6" t="s">
        <v>599</v>
      </c>
      <c r="O402" s="29">
        <f t="shared" si="6"/>
        <v>1125.6</v>
      </c>
      <c r="Q402" s="30" t="s">
        <v>599</v>
      </c>
      <c r="R402" s="31">
        <v>1125.6</v>
      </c>
    </row>
    <row r="403" s="1" customFormat="1" ht="16.35" hidden="1" customHeight="1" spans="1:18">
      <c r="A403" s="6" t="s">
        <v>4506</v>
      </c>
      <c r="B403" s="6">
        <v>2016</v>
      </c>
      <c r="C403" s="6">
        <v>11</v>
      </c>
      <c r="D403" s="7">
        <v>33</v>
      </c>
      <c r="E403" s="6" t="s">
        <v>4739</v>
      </c>
      <c r="F403" s="6" t="s">
        <v>4508</v>
      </c>
      <c r="G403" s="6" t="s">
        <v>25</v>
      </c>
      <c r="H403" s="8"/>
      <c r="I403" s="8">
        <v>1124</v>
      </c>
      <c r="J403" s="6" t="s">
        <v>3142</v>
      </c>
      <c r="K403" s="6" t="s">
        <v>537</v>
      </c>
      <c r="L403" s="6" t="s">
        <v>4509</v>
      </c>
      <c r="M403" s="6" t="s">
        <v>4537</v>
      </c>
      <c r="N403" s="6" t="s">
        <v>537</v>
      </c>
      <c r="O403" s="29">
        <f t="shared" si="6"/>
        <v>1180.2</v>
      </c>
      <c r="Q403" s="30" t="s">
        <v>537</v>
      </c>
      <c r="R403" s="31">
        <v>1180.2</v>
      </c>
    </row>
    <row r="404" s="1" customFormat="1" ht="16.35" hidden="1" customHeight="1" spans="1:18">
      <c r="A404" s="6" t="s">
        <v>4506</v>
      </c>
      <c r="B404" s="6">
        <v>2016</v>
      </c>
      <c r="C404" s="6">
        <v>11</v>
      </c>
      <c r="D404" s="7">
        <v>34</v>
      </c>
      <c r="E404" s="6" t="s">
        <v>4740</v>
      </c>
      <c r="F404" s="6" t="s">
        <v>4508</v>
      </c>
      <c r="G404" s="6" t="s">
        <v>25</v>
      </c>
      <c r="H404" s="8"/>
      <c r="I404" s="8">
        <v>16149</v>
      </c>
      <c r="J404" s="6" t="s">
        <v>3594</v>
      </c>
      <c r="K404" s="6" t="s">
        <v>775</v>
      </c>
      <c r="L404" s="6" t="s">
        <v>4509</v>
      </c>
      <c r="M404" s="6" t="s">
        <v>4537</v>
      </c>
      <c r="N404" s="6" t="s">
        <v>775</v>
      </c>
      <c r="O404" s="29">
        <f t="shared" si="6"/>
        <v>16956.45</v>
      </c>
      <c r="Q404" s="30" t="s">
        <v>775</v>
      </c>
      <c r="R404" s="31">
        <v>16956.45</v>
      </c>
    </row>
    <row r="405" s="1" customFormat="1" ht="16.35" hidden="1" customHeight="1" spans="1:18">
      <c r="A405" s="6" t="s">
        <v>4506</v>
      </c>
      <c r="B405" s="6">
        <v>2016</v>
      </c>
      <c r="C405" s="6">
        <v>11</v>
      </c>
      <c r="D405" s="7">
        <v>35</v>
      </c>
      <c r="E405" s="6" t="s">
        <v>4741</v>
      </c>
      <c r="F405" s="6" t="s">
        <v>4508</v>
      </c>
      <c r="G405" s="6" t="s">
        <v>25</v>
      </c>
      <c r="H405" s="8"/>
      <c r="I405" s="8">
        <v>1080</v>
      </c>
      <c r="J405" s="6" t="s">
        <v>3096</v>
      </c>
      <c r="K405" s="6" t="s">
        <v>613</v>
      </c>
      <c r="L405" s="6" t="s">
        <v>4509</v>
      </c>
      <c r="M405" s="6" t="s">
        <v>4537</v>
      </c>
      <c r="N405" s="6" t="s">
        <v>613</v>
      </c>
      <c r="O405" s="29">
        <f t="shared" si="6"/>
        <v>1134</v>
      </c>
      <c r="Q405" s="30" t="s">
        <v>613</v>
      </c>
      <c r="R405" s="31">
        <v>1134</v>
      </c>
    </row>
    <row r="406" s="1" customFormat="1" ht="16.35" hidden="1" customHeight="1" spans="1:18">
      <c r="A406" s="6" t="s">
        <v>4506</v>
      </c>
      <c r="B406" s="6">
        <v>2016</v>
      </c>
      <c r="C406" s="6">
        <v>11</v>
      </c>
      <c r="D406" s="7">
        <v>36</v>
      </c>
      <c r="E406" s="6" t="s">
        <v>4742</v>
      </c>
      <c r="F406" s="6" t="s">
        <v>4508</v>
      </c>
      <c r="G406" s="6" t="s">
        <v>25</v>
      </c>
      <c r="H406" s="8"/>
      <c r="I406" s="8">
        <v>0.95</v>
      </c>
      <c r="J406" s="6" t="s">
        <v>3596</v>
      </c>
      <c r="K406" s="6" t="s">
        <v>531</v>
      </c>
      <c r="L406" s="6" t="s">
        <v>4509</v>
      </c>
      <c r="M406" s="6" t="s">
        <v>4537</v>
      </c>
      <c r="N406" s="6" t="s">
        <v>531</v>
      </c>
      <c r="O406" s="29">
        <f t="shared" si="6"/>
        <v>0.9975</v>
      </c>
      <c r="Q406" s="30" t="s">
        <v>531</v>
      </c>
      <c r="R406" s="31">
        <v>0.9975</v>
      </c>
    </row>
    <row r="407" s="1" customFormat="1" ht="16.35" hidden="1" customHeight="1" spans="1:18">
      <c r="A407" s="6" t="s">
        <v>4506</v>
      </c>
      <c r="B407" s="6">
        <v>2016</v>
      </c>
      <c r="C407" s="6">
        <v>11</v>
      </c>
      <c r="D407" s="7">
        <v>37</v>
      </c>
      <c r="E407" s="6" t="s">
        <v>4743</v>
      </c>
      <c r="F407" s="6" t="s">
        <v>4508</v>
      </c>
      <c r="G407" s="6" t="s">
        <v>25</v>
      </c>
      <c r="H407" s="8"/>
      <c r="I407" s="8">
        <v>1216</v>
      </c>
      <c r="J407" s="6" t="s">
        <v>3092</v>
      </c>
      <c r="K407" s="6" t="s">
        <v>557</v>
      </c>
      <c r="L407" s="6" t="s">
        <v>4509</v>
      </c>
      <c r="M407" s="6" t="s">
        <v>4537</v>
      </c>
      <c r="N407" s="6" t="s">
        <v>557</v>
      </c>
      <c r="O407" s="29">
        <f t="shared" si="6"/>
        <v>1276.8</v>
      </c>
      <c r="Q407" s="30" t="s">
        <v>557</v>
      </c>
      <c r="R407" s="31">
        <v>1276.8</v>
      </c>
    </row>
    <row r="408" s="1" customFormat="1" ht="16.35" hidden="1" customHeight="1" spans="1:18">
      <c r="A408" s="6" t="s">
        <v>4506</v>
      </c>
      <c r="B408" s="6">
        <v>2016</v>
      </c>
      <c r="C408" s="6">
        <v>11</v>
      </c>
      <c r="D408" s="7">
        <v>38</v>
      </c>
      <c r="E408" s="6" t="s">
        <v>4744</v>
      </c>
      <c r="F408" s="6" t="s">
        <v>4508</v>
      </c>
      <c r="G408" s="6" t="s">
        <v>25</v>
      </c>
      <c r="H408" s="8"/>
      <c r="I408" s="8">
        <v>1060</v>
      </c>
      <c r="J408" s="6" t="s">
        <v>3105</v>
      </c>
      <c r="K408" s="6" t="s">
        <v>577</v>
      </c>
      <c r="L408" s="6" t="s">
        <v>4509</v>
      </c>
      <c r="M408" s="6" t="s">
        <v>4537</v>
      </c>
      <c r="N408" s="6" t="s">
        <v>577</v>
      </c>
      <c r="O408" s="29">
        <f>I408</f>
        <v>1060</v>
      </c>
      <c r="Q408" s="30" t="s">
        <v>577</v>
      </c>
      <c r="R408" s="31">
        <v>1060</v>
      </c>
    </row>
    <row r="409" s="1" customFormat="1" ht="16.35" hidden="1" customHeight="1" spans="1:18">
      <c r="A409" s="6" t="s">
        <v>4506</v>
      </c>
      <c r="B409" s="6">
        <v>2016</v>
      </c>
      <c r="C409" s="6">
        <v>11</v>
      </c>
      <c r="D409" s="7">
        <v>39</v>
      </c>
      <c r="E409" s="6" t="s">
        <v>4745</v>
      </c>
      <c r="F409" s="6" t="s">
        <v>4508</v>
      </c>
      <c r="G409" s="6" t="s">
        <v>25</v>
      </c>
      <c r="H409" s="8"/>
      <c r="I409" s="8">
        <v>1200</v>
      </c>
      <c r="J409" s="6" t="s">
        <v>3598</v>
      </c>
      <c r="K409" s="6" t="s">
        <v>559</v>
      </c>
      <c r="L409" s="6" t="s">
        <v>4509</v>
      </c>
      <c r="M409" s="6" t="s">
        <v>4537</v>
      </c>
      <c r="N409" s="6" t="s">
        <v>559</v>
      </c>
      <c r="O409" s="29">
        <f t="shared" ref="O409:O472" si="7">I409*1.05</f>
        <v>1260</v>
      </c>
      <c r="Q409" s="30" t="s">
        <v>559</v>
      </c>
      <c r="R409" s="31">
        <v>1260</v>
      </c>
    </row>
    <row r="410" s="1" customFormat="1" ht="16.35" hidden="1" customHeight="1" spans="1:18">
      <c r="A410" s="6" t="s">
        <v>4506</v>
      </c>
      <c r="B410" s="6">
        <v>2016</v>
      </c>
      <c r="C410" s="6">
        <v>11</v>
      </c>
      <c r="D410" s="7">
        <v>40</v>
      </c>
      <c r="E410" s="6" t="s">
        <v>4746</v>
      </c>
      <c r="F410" s="6" t="s">
        <v>4508</v>
      </c>
      <c r="G410" s="6" t="s">
        <v>25</v>
      </c>
      <c r="H410" s="8"/>
      <c r="I410" s="8">
        <v>1377</v>
      </c>
      <c r="J410" s="6" t="s">
        <v>4509</v>
      </c>
      <c r="K410" s="6" t="s">
        <v>589</v>
      </c>
      <c r="L410" s="6" t="s">
        <v>4509</v>
      </c>
      <c r="M410" s="6" t="s">
        <v>4537</v>
      </c>
      <c r="N410" s="6" t="s">
        <v>589</v>
      </c>
      <c r="O410" s="29">
        <v>1446</v>
      </c>
      <c r="Q410" s="30" t="s">
        <v>589</v>
      </c>
      <c r="R410" s="31">
        <f>O410</f>
        <v>1446</v>
      </c>
    </row>
    <row r="411" s="1" customFormat="1" ht="16.35" hidden="1" customHeight="1" spans="1:18">
      <c r="A411" s="6" t="s">
        <v>4506</v>
      </c>
      <c r="B411" s="6">
        <v>2016</v>
      </c>
      <c r="C411" s="6">
        <v>11</v>
      </c>
      <c r="D411" s="7">
        <v>41</v>
      </c>
      <c r="E411" s="6" t="s">
        <v>4747</v>
      </c>
      <c r="F411" s="6" t="s">
        <v>4508</v>
      </c>
      <c r="G411" s="6" t="s">
        <v>25</v>
      </c>
      <c r="H411" s="8"/>
      <c r="I411" s="8">
        <v>1236</v>
      </c>
      <c r="J411" s="6" t="s">
        <v>3600</v>
      </c>
      <c r="K411" s="6" t="s">
        <v>615</v>
      </c>
      <c r="L411" s="6" t="s">
        <v>4509</v>
      </c>
      <c r="M411" s="6" t="s">
        <v>4537</v>
      </c>
      <c r="N411" s="6" t="s">
        <v>615</v>
      </c>
      <c r="O411" s="29">
        <f t="shared" si="7"/>
        <v>1297.8</v>
      </c>
      <c r="Q411" s="30" t="s">
        <v>615</v>
      </c>
      <c r="R411" s="31">
        <v>1297.8</v>
      </c>
    </row>
    <row r="412" s="1" customFormat="1" ht="16.35" hidden="1" customHeight="1" spans="1:18">
      <c r="A412" s="6" t="s">
        <v>4506</v>
      </c>
      <c r="B412" s="6">
        <v>2016</v>
      </c>
      <c r="C412" s="6">
        <v>11</v>
      </c>
      <c r="D412" s="7">
        <v>42</v>
      </c>
      <c r="E412" s="6" t="s">
        <v>4748</v>
      </c>
      <c r="F412" s="6" t="s">
        <v>4508</v>
      </c>
      <c r="G412" s="6" t="s">
        <v>25</v>
      </c>
      <c r="H412" s="8"/>
      <c r="I412" s="8">
        <v>1100</v>
      </c>
      <c r="J412" s="6" t="s">
        <v>3067</v>
      </c>
      <c r="K412" s="6" t="s">
        <v>549</v>
      </c>
      <c r="L412" s="6" t="s">
        <v>4509</v>
      </c>
      <c r="M412" s="6" t="s">
        <v>4537</v>
      </c>
      <c r="N412" s="6" t="s">
        <v>549</v>
      </c>
      <c r="O412" s="29">
        <f t="shared" si="7"/>
        <v>1155</v>
      </c>
      <c r="Q412" s="30" t="s">
        <v>549</v>
      </c>
      <c r="R412" s="31">
        <v>1155</v>
      </c>
    </row>
    <row r="413" s="1" customFormat="1" ht="16.35" hidden="1" customHeight="1" spans="1:18">
      <c r="A413" s="6" t="s">
        <v>4506</v>
      </c>
      <c r="B413" s="6">
        <v>2016</v>
      </c>
      <c r="C413" s="6">
        <v>11</v>
      </c>
      <c r="D413" s="7">
        <v>43</v>
      </c>
      <c r="E413" s="6" t="s">
        <v>4742</v>
      </c>
      <c r="F413" s="6" t="s">
        <v>4508</v>
      </c>
      <c r="G413" s="6" t="s">
        <v>25</v>
      </c>
      <c r="H413" s="8"/>
      <c r="I413" s="8">
        <v>1228</v>
      </c>
      <c r="J413" s="6" t="s">
        <v>3596</v>
      </c>
      <c r="K413" s="6" t="s">
        <v>531</v>
      </c>
      <c r="L413" s="6" t="s">
        <v>4509</v>
      </c>
      <c r="M413" s="6" t="s">
        <v>4537</v>
      </c>
      <c r="N413" s="6" t="s">
        <v>531</v>
      </c>
      <c r="O413" s="29">
        <f t="shared" si="7"/>
        <v>1289.4</v>
      </c>
      <c r="Q413" s="30" t="s">
        <v>531</v>
      </c>
      <c r="R413" s="31">
        <v>1289.4</v>
      </c>
    </row>
    <row r="414" s="1" customFormat="1" ht="16.35" hidden="1" customHeight="1" spans="1:18">
      <c r="A414" s="6" t="s">
        <v>4506</v>
      </c>
      <c r="B414" s="6">
        <v>2016</v>
      </c>
      <c r="C414" s="6">
        <v>11</v>
      </c>
      <c r="D414" s="7">
        <v>44</v>
      </c>
      <c r="E414" s="6" t="s">
        <v>4749</v>
      </c>
      <c r="F414" s="6" t="s">
        <v>4508</v>
      </c>
      <c r="G414" s="6" t="s">
        <v>25</v>
      </c>
      <c r="H414" s="8"/>
      <c r="I414" s="8">
        <v>1107</v>
      </c>
      <c r="J414" s="6" t="s">
        <v>3603</v>
      </c>
      <c r="K414" s="6" t="s">
        <v>551</v>
      </c>
      <c r="L414" s="6" t="s">
        <v>4509</v>
      </c>
      <c r="M414" s="6" t="s">
        <v>4537</v>
      </c>
      <c r="N414" s="6" t="s">
        <v>551</v>
      </c>
      <c r="O414" s="29">
        <f t="shared" si="7"/>
        <v>1162.35</v>
      </c>
      <c r="Q414" s="30" t="s">
        <v>551</v>
      </c>
      <c r="R414" s="31">
        <v>1162.35</v>
      </c>
    </row>
    <row r="415" s="1" customFormat="1" ht="16.35" hidden="1" customHeight="1" spans="1:18">
      <c r="A415" s="6" t="s">
        <v>4506</v>
      </c>
      <c r="B415" s="6">
        <v>2016</v>
      </c>
      <c r="C415" s="6">
        <v>11</v>
      </c>
      <c r="D415" s="7">
        <v>45</v>
      </c>
      <c r="E415" s="6" t="s">
        <v>4750</v>
      </c>
      <c r="F415" s="6" t="s">
        <v>4508</v>
      </c>
      <c r="G415" s="6" t="s">
        <v>25</v>
      </c>
      <c r="H415" s="8"/>
      <c r="I415" s="8">
        <v>25</v>
      </c>
      <c r="J415" s="6" t="s">
        <v>3605</v>
      </c>
      <c r="K415" s="6" t="s">
        <v>106</v>
      </c>
      <c r="L415" s="6" t="s">
        <v>4509</v>
      </c>
      <c r="M415" s="6" t="s">
        <v>4537</v>
      </c>
      <c r="N415" s="6" t="s">
        <v>106</v>
      </c>
      <c r="O415" s="29">
        <f t="shared" si="7"/>
        <v>26.25</v>
      </c>
      <c r="Q415" s="30" t="s">
        <v>106</v>
      </c>
      <c r="R415" s="31">
        <v>26.25</v>
      </c>
    </row>
    <row r="416" s="1" customFormat="1" ht="16.35" hidden="1" customHeight="1" spans="1:18">
      <c r="A416" s="6" t="s">
        <v>4506</v>
      </c>
      <c r="B416" s="6">
        <v>2016</v>
      </c>
      <c r="C416" s="6">
        <v>11</v>
      </c>
      <c r="D416" s="7">
        <v>46</v>
      </c>
      <c r="E416" s="6" t="s">
        <v>4751</v>
      </c>
      <c r="F416" s="6" t="s">
        <v>4508</v>
      </c>
      <c r="G416" s="6" t="s">
        <v>25</v>
      </c>
      <c r="H416" s="8"/>
      <c r="I416" s="8">
        <v>21</v>
      </c>
      <c r="J416" s="6" t="s">
        <v>3607</v>
      </c>
      <c r="K416" s="6" t="s">
        <v>112</v>
      </c>
      <c r="L416" s="6" t="s">
        <v>4509</v>
      </c>
      <c r="M416" s="6" t="s">
        <v>4537</v>
      </c>
      <c r="N416" s="6" t="s">
        <v>112</v>
      </c>
      <c r="O416" s="29">
        <f t="shared" si="7"/>
        <v>22.05</v>
      </c>
      <c r="Q416" s="30" t="s">
        <v>112</v>
      </c>
      <c r="R416" s="31">
        <v>22.05</v>
      </c>
    </row>
    <row r="417" s="1" customFormat="1" ht="16.35" hidden="1" customHeight="1" spans="1:18">
      <c r="A417" s="6" t="s">
        <v>4506</v>
      </c>
      <c r="B417" s="6">
        <v>2016</v>
      </c>
      <c r="C417" s="6">
        <v>11</v>
      </c>
      <c r="D417" s="7">
        <v>47</v>
      </c>
      <c r="E417" s="6" t="s">
        <v>4752</v>
      </c>
      <c r="F417" s="6" t="s">
        <v>4508</v>
      </c>
      <c r="G417" s="6" t="s">
        <v>25</v>
      </c>
      <c r="H417" s="8"/>
      <c r="I417" s="8">
        <v>27</v>
      </c>
      <c r="J417" s="6" t="s">
        <v>3179</v>
      </c>
      <c r="K417" s="6" t="s">
        <v>104</v>
      </c>
      <c r="L417" s="6" t="s">
        <v>4509</v>
      </c>
      <c r="M417" s="6" t="s">
        <v>4537</v>
      </c>
      <c r="N417" s="6" t="s">
        <v>104</v>
      </c>
      <c r="O417" s="29">
        <f t="shared" si="7"/>
        <v>28.35</v>
      </c>
      <c r="Q417" s="30" t="s">
        <v>104</v>
      </c>
      <c r="R417" s="31">
        <v>28.35</v>
      </c>
    </row>
    <row r="418" s="1" customFormat="1" ht="16.35" hidden="1" customHeight="1" spans="1:18">
      <c r="A418" s="6" t="s">
        <v>4506</v>
      </c>
      <c r="B418" s="6">
        <v>2016</v>
      </c>
      <c r="C418" s="6">
        <v>11</v>
      </c>
      <c r="D418" s="7">
        <v>48</v>
      </c>
      <c r="E418" s="6" t="s">
        <v>4601</v>
      </c>
      <c r="F418" s="6" t="s">
        <v>4508</v>
      </c>
      <c r="G418" s="6" t="s">
        <v>25</v>
      </c>
      <c r="H418" s="8"/>
      <c r="I418" s="8">
        <v>27</v>
      </c>
      <c r="J418" s="6" t="s">
        <v>3310</v>
      </c>
      <c r="K418" s="6" t="s">
        <v>102</v>
      </c>
      <c r="L418" s="6" t="s">
        <v>4509</v>
      </c>
      <c r="M418" s="6" t="s">
        <v>4537</v>
      </c>
      <c r="N418" s="6" t="s">
        <v>102</v>
      </c>
      <c r="O418" s="29">
        <f t="shared" si="7"/>
        <v>28.35</v>
      </c>
      <c r="Q418" s="30" t="s">
        <v>102</v>
      </c>
      <c r="R418" s="31">
        <v>28.35</v>
      </c>
    </row>
    <row r="419" s="1" customFormat="1" ht="16.35" hidden="1" customHeight="1" spans="1:18">
      <c r="A419" s="6" t="s">
        <v>4506</v>
      </c>
      <c r="B419" s="6">
        <v>2016</v>
      </c>
      <c r="C419" s="6">
        <v>11</v>
      </c>
      <c r="D419" s="7">
        <v>54</v>
      </c>
      <c r="E419" s="6" t="s">
        <v>4753</v>
      </c>
      <c r="F419" s="6" t="s">
        <v>4508</v>
      </c>
      <c r="G419" s="6" t="s">
        <v>25</v>
      </c>
      <c r="H419" s="8"/>
      <c r="I419" s="8">
        <v>29</v>
      </c>
      <c r="J419" s="6" t="s">
        <v>3170</v>
      </c>
      <c r="K419" s="6" t="s">
        <v>100</v>
      </c>
      <c r="L419" s="6" t="s">
        <v>4509</v>
      </c>
      <c r="M419" s="6" t="s">
        <v>4537</v>
      </c>
      <c r="N419" s="6" t="s">
        <v>100</v>
      </c>
      <c r="O419" s="29">
        <f t="shared" si="7"/>
        <v>30.45</v>
      </c>
      <c r="Q419" s="30" t="s">
        <v>100</v>
      </c>
      <c r="R419" s="31">
        <v>30.45</v>
      </c>
    </row>
    <row r="420" s="1" customFormat="1" ht="16.35" hidden="1" customHeight="1" spans="1:18">
      <c r="A420" s="6" t="s">
        <v>4506</v>
      </c>
      <c r="B420" s="6">
        <v>2016</v>
      </c>
      <c r="C420" s="6">
        <v>11</v>
      </c>
      <c r="D420" s="7">
        <v>55</v>
      </c>
      <c r="E420" s="6" t="s">
        <v>4754</v>
      </c>
      <c r="F420" s="6" t="s">
        <v>4508</v>
      </c>
      <c r="G420" s="6" t="s">
        <v>25</v>
      </c>
      <c r="H420" s="8"/>
      <c r="I420" s="8">
        <v>30</v>
      </c>
      <c r="J420" s="6" t="s">
        <v>3181</v>
      </c>
      <c r="K420" s="6" t="s">
        <v>94</v>
      </c>
      <c r="L420" s="6" t="s">
        <v>4509</v>
      </c>
      <c r="M420" s="6" t="s">
        <v>4537</v>
      </c>
      <c r="N420" s="6" t="s">
        <v>94</v>
      </c>
      <c r="O420" s="29">
        <f t="shared" si="7"/>
        <v>31.5</v>
      </c>
      <c r="Q420" s="30" t="s">
        <v>94</v>
      </c>
      <c r="R420" s="31">
        <v>31.5</v>
      </c>
    </row>
    <row r="421" s="1" customFormat="1" ht="16.35" hidden="1" customHeight="1" spans="1:18">
      <c r="A421" s="6" t="s">
        <v>4506</v>
      </c>
      <c r="B421" s="6">
        <v>2016</v>
      </c>
      <c r="C421" s="6">
        <v>11</v>
      </c>
      <c r="D421" s="7">
        <v>56</v>
      </c>
      <c r="E421" s="6" t="s">
        <v>4755</v>
      </c>
      <c r="F421" s="6" t="s">
        <v>4508</v>
      </c>
      <c r="G421" s="6" t="s">
        <v>25</v>
      </c>
      <c r="H421" s="8"/>
      <c r="I421" s="8">
        <v>-9524</v>
      </c>
      <c r="J421" s="6" t="s">
        <v>3525</v>
      </c>
      <c r="K421" s="6" t="s">
        <v>832</v>
      </c>
      <c r="L421" s="6" t="s">
        <v>4509</v>
      </c>
      <c r="M421" s="6" t="s">
        <v>4537</v>
      </c>
      <c r="N421" s="6" t="s">
        <v>832</v>
      </c>
      <c r="O421" s="29">
        <f t="shared" si="7"/>
        <v>-10000.2</v>
      </c>
      <c r="Q421" s="30" t="s">
        <v>832</v>
      </c>
      <c r="R421" s="31">
        <v>-10000.2</v>
      </c>
    </row>
    <row r="422" s="1" customFormat="1" ht="16.35" hidden="1" customHeight="1" spans="1:18">
      <c r="A422" s="6" t="s">
        <v>4506</v>
      </c>
      <c r="B422" s="6">
        <v>2016</v>
      </c>
      <c r="C422" s="6">
        <v>11</v>
      </c>
      <c r="D422" s="7">
        <v>56</v>
      </c>
      <c r="E422" s="6" t="s">
        <v>4755</v>
      </c>
      <c r="F422" s="6" t="s">
        <v>4508</v>
      </c>
      <c r="G422" s="6" t="s">
        <v>25</v>
      </c>
      <c r="H422" s="8"/>
      <c r="I422" s="8">
        <v>9524</v>
      </c>
      <c r="J422" s="6" t="s">
        <v>3573</v>
      </c>
      <c r="K422" s="6" t="s">
        <v>836</v>
      </c>
      <c r="L422" s="6" t="s">
        <v>4509</v>
      </c>
      <c r="M422" s="6" t="s">
        <v>4537</v>
      </c>
      <c r="N422" s="6" t="s">
        <v>836</v>
      </c>
      <c r="O422" s="29">
        <f t="shared" si="7"/>
        <v>10000.2</v>
      </c>
      <c r="Q422" s="30" t="s">
        <v>836</v>
      </c>
      <c r="R422" s="31">
        <v>10000.2</v>
      </c>
    </row>
    <row r="423" s="1" customFormat="1" ht="16.35" hidden="1" customHeight="1" spans="1:18">
      <c r="A423" s="6" t="s">
        <v>4506</v>
      </c>
      <c r="B423" s="6">
        <v>2016</v>
      </c>
      <c r="C423" s="6">
        <v>11</v>
      </c>
      <c r="D423" s="7">
        <v>56</v>
      </c>
      <c r="E423" s="6" t="s">
        <v>4756</v>
      </c>
      <c r="F423" s="6" t="s">
        <v>4508</v>
      </c>
      <c r="G423" s="6" t="s">
        <v>25</v>
      </c>
      <c r="H423" s="8"/>
      <c r="I423" s="8">
        <v>753</v>
      </c>
      <c r="J423" s="6" t="s">
        <v>3573</v>
      </c>
      <c r="K423" s="6" t="s">
        <v>836</v>
      </c>
      <c r="L423" s="6" t="s">
        <v>4509</v>
      </c>
      <c r="M423" s="6" t="s">
        <v>4537</v>
      </c>
      <c r="N423" s="6" t="s">
        <v>836</v>
      </c>
      <c r="O423" s="29">
        <f t="shared" si="7"/>
        <v>790.65</v>
      </c>
      <c r="Q423" s="30" t="s">
        <v>836</v>
      </c>
      <c r="R423" s="31">
        <v>790.65</v>
      </c>
    </row>
    <row r="424" s="1" customFormat="1" ht="16.35" hidden="1" customHeight="1" spans="1:18">
      <c r="A424" s="6" t="s">
        <v>4506</v>
      </c>
      <c r="B424" s="6">
        <v>2016</v>
      </c>
      <c r="C424" s="6">
        <v>11</v>
      </c>
      <c r="D424" s="7">
        <v>57</v>
      </c>
      <c r="E424" s="6" t="s">
        <v>4757</v>
      </c>
      <c r="F424" s="6" t="s">
        <v>4508</v>
      </c>
      <c r="G424" s="6" t="s">
        <v>25</v>
      </c>
      <c r="H424" s="8"/>
      <c r="I424" s="8">
        <v>19048</v>
      </c>
      <c r="J424" s="6" t="s">
        <v>3609</v>
      </c>
      <c r="K424" s="6" t="s">
        <v>763</v>
      </c>
      <c r="L424" s="6" t="s">
        <v>4509</v>
      </c>
      <c r="M424" s="6" t="s">
        <v>4537</v>
      </c>
      <c r="N424" s="6" t="s">
        <v>763</v>
      </c>
      <c r="O424" s="29">
        <f t="shared" si="7"/>
        <v>20000.4</v>
      </c>
      <c r="Q424" s="30" t="s">
        <v>763</v>
      </c>
      <c r="R424" s="31">
        <v>20000.4</v>
      </c>
    </row>
    <row r="425" s="1" customFormat="1" ht="16.35" hidden="1" customHeight="1" spans="1:18">
      <c r="A425" s="6" t="s">
        <v>4506</v>
      </c>
      <c r="B425" s="6">
        <v>2016</v>
      </c>
      <c r="C425" s="6">
        <v>11</v>
      </c>
      <c r="D425" s="7">
        <v>58</v>
      </c>
      <c r="E425" s="6" t="s">
        <v>4614</v>
      </c>
      <c r="F425" s="6" t="s">
        <v>4508</v>
      </c>
      <c r="G425" s="6" t="s">
        <v>25</v>
      </c>
      <c r="H425" s="8"/>
      <c r="I425" s="8">
        <v>53</v>
      </c>
      <c r="J425" s="6" t="s">
        <v>3361</v>
      </c>
      <c r="K425" s="6" t="s">
        <v>124</v>
      </c>
      <c r="L425" s="6" t="s">
        <v>4509</v>
      </c>
      <c r="M425" s="6" t="s">
        <v>4537</v>
      </c>
      <c r="N425" s="6" t="s">
        <v>124</v>
      </c>
      <c r="O425" s="29">
        <f t="shared" si="7"/>
        <v>55.65</v>
      </c>
      <c r="Q425" s="30" t="s">
        <v>124</v>
      </c>
      <c r="R425" s="31">
        <v>55.65</v>
      </c>
    </row>
    <row r="426" s="1" customFormat="1" ht="16.35" hidden="1" customHeight="1" spans="1:18">
      <c r="A426" s="6" t="s">
        <v>4506</v>
      </c>
      <c r="B426" s="6">
        <v>2016</v>
      </c>
      <c r="C426" s="6">
        <v>11</v>
      </c>
      <c r="D426" s="7">
        <v>59</v>
      </c>
      <c r="E426" s="6" t="s">
        <v>4609</v>
      </c>
      <c r="F426" s="6" t="s">
        <v>4508</v>
      </c>
      <c r="G426" s="6" t="s">
        <v>25</v>
      </c>
      <c r="H426" s="8"/>
      <c r="I426" s="8">
        <v>61</v>
      </c>
      <c r="J426" s="6" t="s">
        <v>3240</v>
      </c>
      <c r="K426" s="6" t="s">
        <v>120</v>
      </c>
      <c r="L426" s="6" t="s">
        <v>4509</v>
      </c>
      <c r="M426" s="6" t="s">
        <v>4537</v>
      </c>
      <c r="N426" s="6" t="s">
        <v>120</v>
      </c>
      <c r="O426" s="29">
        <f t="shared" si="7"/>
        <v>64.05</v>
      </c>
      <c r="Q426" s="30" t="s">
        <v>120</v>
      </c>
      <c r="R426" s="31">
        <v>64.05</v>
      </c>
    </row>
    <row r="427" s="1" customFormat="1" ht="16.35" hidden="1" customHeight="1" spans="1:18">
      <c r="A427" s="6" t="s">
        <v>4506</v>
      </c>
      <c r="B427" s="6">
        <v>2016</v>
      </c>
      <c r="C427" s="6">
        <v>11</v>
      </c>
      <c r="D427" s="7">
        <v>60</v>
      </c>
      <c r="E427" s="6" t="s">
        <v>4758</v>
      </c>
      <c r="F427" s="6" t="s">
        <v>4508</v>
      </c>
      <c r="G427" s="6" t="s">
        <v>25</v>
      </c>
      <c r="H427" s="8"/>
      <c r="I427" s="8">
        <v>49</v>
      </c>
      <c r="J427" s="6" t="s">
        <v>3611</v>
      </c>
      <c r="K427" s="6" t="s">
        <v>126</v>
      </c>
      <c r="L427" s="6" t="s">
        <v>4509</v>
      </c>
      <c r="M427" s="6" t="s">
        <v>4537</v>
      </c>
      <c r="N427" s="6" t="s">
        <v>126</v>
      </c>
      <c r="O427" s="29">
        <f t="shared" si="7"/>
        <v>51.45</v>
      </c>
      <c r="Q427" s="30" t="s">
        <v>126</v>
      </c>
      <c r="R427" s="31">
        <v>51.45</v>
      </c>
    </row>
    <row r="428" s="1" customFormat="1" ht="16.35" hidden="1" customHeight="1" spans="1:18">
      <c r="A428" s="6" t="s">
        <v>4506</v>
      </c>
      <c r="B428" s="6">
        <v>2016</v>
      </c>
      <c r="C428" s="6">
        <v>11</v>
      </c>
      <c r="D428" s="7">
        <v>61</v>
      </c>
      <c r="E428" s="6" t="s">
        <v>4608</v>
      </c>
      <c r="F428" s="6" t="s">
        <v>4508</v>
      </c>
      <c r="G428" s="6" t="s">
        <v>25</v>
      </c>
      <c r="H428" s="8"/>
      <c r="I428" s="8">
        <v>61</v>
      </c>
      <c r="J428" s="6" t="s">
        <v>3332</v>
      </c>
      <c r="K428" s="6" t="s">
        <v>136</v>
      </c>
      <c r="L428" s="6" t="s">
        <v>4509</v>
      </c>
      <c r="M428" s="6" t="s">
        <v>4537</v>
      </c>
      <c r="N428" s="6" t="s">
        <v>136</v>
      </c>
      <c r="O428" s="29">
        <f t="shared" si="7"/>
        <v>64.05</v>
      </c>
      <c r="Q428" s="30" t="s">
        <v>136</v>
      </c>
      <c r="R428" s="31">
        <v>64.05</v>
      </c>
    </row>
    <row r="429" s="1" customFormat="1" ht="16.35" hidden="1" customHeight="1" spans="1:18">
      <c r="A429" s="6" t="s">
        <v>4506</v>
      </c>
      <c r="B429" s="6">
        <v>2016</v>
      </c>
      <c r="C429" s="6">
        <v>11</v>
      </c>
      <c r="D429" s="7">
        <v>62</v>
      </c>
      <c r="E429" s="6" t="s">
        <v>4759</v>
      </c>
      <c r="F429" s="6" t="s">
        <v>4508</v>
      </c>
      <c r="G429" s="6" t="s">
        <v>25</v>
      </c>
      <c r="H429" s="8"/>
      <c r="I429" s="8">
        <v>42</v>
      </c>
      <c r="J429" s="6" t="s">
        <v>3177</v>
      </c>
      <c r="K429" s="6" t="s">
        <v>152</v>
      </c>
      <c r="L429" s="6" t="s">
        <v>4509</v>
      </c>
      <c r="M429" s="6" t="s">
        <v>4537</v>
      </c>
      <c r="N429" s="6" t="s">
        <v>152</v>
      </c>
      <c r="O429" s="29">
        <f t="shared" si="7"/>
        <v>44.1</v>
      </c>
      <c r="Q429" s="30" t="s">
        <v>152</v>
      </c>
      <c r="R429" s="31">
        <v>44.1</v>
      </c>
    </row>
    <row r="430" s="1" customFormat="1" ht="16.35" hidden="1" customHeight="1" spans="1:18">
      <c r="A430" s="6" t="s">
        <v>4506</v>
      </c>
      <c r="B430" s="6">
        <v>2016</v>
      </c>
      <c r="C430" s="6">
        <v>11</v>
      </c>
      <c r="D430" s="7">
        <v>63</v>
      </c>
      <c r="E430" s="6" t="s">
        <v>4606</v>
      </c>
      <c r="F430" s="6" t="s">
        <v>4508</v>
      </c>
      <c r="G430" s="6" t="s">
        <v>25</v>
      </c>
      <c r="H430" s="8"/>
      <c r="I430" s="8">
        <v>42</v>
      </c>
      <c r="J430" s="6" t="s">
        <v>3325</v>
      </c>
      <c r="K430" s="6" t="s">
        <v>132</v>
      </c>
      <c r="L430" s="6" t="s">
        <v>4509</v>
      </c>
      <c r="M430" s="6" t="s">
        <v>4537</v>
      </c>
      <c r="N430" s="6" t="s">
        <v>132</v>
      </c>
      <c r="O430" s="29">
        <f t="shared" si="7"/>
        <v>44.1</v>
      </c>
      <c r="Q430" s="30" t="s">
        <v>132</v>
      </c>
      <c r="R430" s="31">
        <v>44.1</v>
      </c>
    </row>
    <row r="431" s="1" customFormat="1" ht="16.35" hidden="1" customHeight="1" spans="1:18">
      <c r="A431" s="6" t="s">
        <v>4506</v>
      </c>
      <c r="B431" s="6">
        <v>2016</v>
      </c>
      <c r="C431" s="6">
        <v>11</v>
      </c>
      <c r="D431" s="7">
        <v>64</v>
      </c>
      <c r="E431" s="6" t="s">
        <v>4603</v>
      </c>
      <c r="F431" s="6" t="s">
        <v>4508</v>
      </c>
      <c r="G431" s="6" t="s">
        <v>25</v>
      </c>
      <c r="H431" s="8"/>
      <c r="I431" s="8">
        <v>42</v>
      </c>
      <c r="J431" s="6" t="s">
        <v>3314</v>
      </c>
      <c r="K431" s="6" t="s">
        <v>130</v>
      </c>
      <c r="L431" s="6" t="s">
        <v>4509</v>
      </c>
      <c r="M431" s="6" t="s">
        <v>4537</v>
      </c>
      <c r="N431" s="6" t="s">
        <v>130</v>
      </c>
      <c r="O431" s="29">
        <f t="shared" si="7"/>
        <v>44.1</v>
      </c>
      <c r="Q431" s="30" t="s">
        <v>130</v>
      </c>
      <c r="R431" s="31">
        <v>44.1</v>
      </c>
    </row>
    <row r="432" s="1" customFormat="1" ht="16.35" hidden="1" customHeight="1" spans="1:18">
      <c r="A432" s="6" t="s">
        <v>4506</v>
      </c>
      <c r="B432" s="6">
        <v>2016</v>
      </c>
      <c r="C432" s="6">
        <v>11</v>
      </c>
      <c r="D432" s="7">
        <v>65</v>
      </c>
      <c r="E432" s="6" t="s">
        <v>4760</v>
      </c>
      <c r="F432" s="6" t="s">
        <v>4508</v>
      </c>
      <c r="G432" s="6" t="s">
        <v>25</v>
      </c>
      <c r="H432" s="8"/>
      <c r="I432" s="8">
        <v>60</v>
      </c>
      <c r="J432" s="6" t="s">
        <v>3167</v>
      </c>
      <c r="K432" s="6" t="s">
        <v>114</v>
      </c>
      <c r="L432" s="6" t="s">
        <v>4509</v>
      </c>
      <c r="M432" s="6" t="s">
        <v>4537</v>
      </c>
      <c r="N432" s="6" t="s">
        <v>114</v>
      </c>
      <c r="O432" s="29">
        <f t="shared" si="7"/>
        <v>63</v>
      </c>
      <c r="Q432" s="30" t="s">
        <v>114</v>
      </c>
      <c r="R432" s="31">
        <v>63</v>
      </c>
    </row>
    <row r="433" s="1" customFormat="1" ht="16.35" hidden="1" customHeight="1" spans="1:18">
      <c r="A433" s="6" t="s">
        <v>4506</v>
      </c>
      <c r="B433" s="6">
        <v>2016</v>
      </c>
      <c r="C433" s="6">
        <v>11</v>
      </c>
      <c r="D433" s="7">
        <v>66</v>
      </c>
      <c r="E433" s="6" t="s">
        <v>4761</v>
      </c>
      <c r="F433" s="6" t="s">
        <v>4508</v>
      </c>
      <c r="G433" s="6" t="s">
        <v>25</v>
      </c>
      <c r="H433" s="8"/>
      <c r="I433" s="8">
        <v>219048</v>
      </c>
      <c r="J433" s="6" t="s">
        <v>3475</v>
      </c>
      <c r="K433" s="6" t="s">
        <v>808</v>
      </c>
      <c r="L433" s="6" t="s">
        <v>4509</v>
      </c>
      <c r="M433" s="6" t="s">
        <v>4537</v>
      </c>
      <c r="N433" s="6" t="s">
        <v>808</v>
      </c>
      <c r="O433" s="29">
        <f t="shared" si="7"/>
        <v>230000.4</v>
      </c>
      <c r="Q433" s="30" t="s">
        <v>808</v>
      </c>
      <c r="R433" s="31">
        <v>230000.4</v>
      </c>
    </row>
    <row r="434" s="1" customFormat="1" ht="16.35" hidden="1" customHeight="1" spans="1:18">
      <c r="A434" s="6" t="s">
        <v>4506</v>
      </c>
      <c r="B434" s="6">
        <v>2016</v>
      </c>
      <c r="C434" s="6">
        <v>11</v>
      </c>
      <c r="D434" s="7">
        <v>67</v>
      </c>
      <c r="E434" s="6" t="s">
        <v>4707</v>
      </c>
      <c r="F434" s="6" t="s">
        <v>4508</v>
      </c>
      <c r="G434" s="6" t="s">
        <v>25</v>
      </c>
      <c r="H434" s="8"/>
      <c r="I434" s="8">
        <v>219048</v>
      </c>
      <c r="J434" s="6" t="s">
        <v>3558</v>
      </c>
      <c r="K434" s="6" t="s">
        <v>874</v>
      </c>
      <c r="L434" s="6" t="s">
        <v>4509</v>
      </c>
      <c r="M434" s="6" t="s">
        <v>4537</v>
      </c>
      <c r="N434" s="6" t="s">
        <v>874</v>
      </c>
      <c r="O434" s="29">
        <f t="shared" si="7"/>
        <v>230000.4</v>
      </c>
      <c r="Q434" s="30" t="s">
        <v>874</v>
      </c>
      <c r="R434" s="31">
        <v>230000.4</v>
      </c>
    </row>
    <row r="435" s="1" customFormat="1" ht="16.35" hidden="1" customHeight="1" spans="1:18">
      <c r="A435" s="6" t="s">
        <v>4506</v>
      </c>
      <c r="B435" s="6">
        <v>2016</v>
      </c>
      <c r="C435" s="6">
        <v>11</v>
      </c>
      <c r="D435" s="7">
        <v>68</v>
      </c>
      <c r="E435" s="6" t="s">
        <v>4712</v>
      </c>
      <c r="F435" s="6" t="s">
        <v>4508</v>
      </c>
      <c r="G435" s="6" t="s">
        <v>25</v>
      </c>
      <c r="H435" s="8"/>
      <c r="I435" s="8">
        <v>188571</v>
      </c>
      <c r="J435" s="6" t="s">
        <v>3522</v>
      </c>
      <c r="K435" s="6" t="s">
        <v>777</v>
      </c>
      <c r="L435" s="6" t="s">
        <v>4509</v>
      </c>
      <c r="M435" s="6" t="s">
        <v>4537</v>
      </c>
      <c r="N435" s="6" t="s">
        <v>777</v>
      </c>
      <c r="O435" s="29">
        <f t="shared" si="7"/>
        <v>197999.55</v>
      </c>
      <c r="Q435" s="30" t="s">
        <v>777</v>
      </c>
      <c r="R435" s="31">
        <v>197999.55</v>
      </c>
    </row>
    <row r="436" s="1" customFormat="1" ht="16.35" hidden="1" customHeight="1" spans="1:18">
      <c r="A436" s="6" t="s">
        <v>4506</v>
      </c>
      <c r="B436" s="6">
        <v>2016</v>
      </c>
      <c r="C436" s="6">
        <v>11</v>
      </c>
      <c r="D436" s="7">
        <v>69</v>
      </c>
      <c r="E436" s="6" t="s">
        <v>4762</v>
      </c>
      <c r="F436" s="6" t="s">
        <v>4508</v>
      </c>
      <c r="G436" s="6" t="s">
        <v>25</v>
      </c>
      <c r="H436" s="8"/>
      <c r="I436" s="8">
        <v>234286</v>
      </c>
      <c r="J436" s="6" t="s">
        <v>3619</v>
      </c>
      <c r="K436" s="6" t="s">
        <v>882</v>
      </c>
      <c r="L436" s="6" t="s">
        <v>4509</v>
      </c>
      <c r="M436" s="6" t="s">
        <v>4537</v>
      </c>
      <c r="N436" s="6" t="s">
        <v>882</v>
      </c>
      <c r="O436" s="29">
        <f t="shared" si="7"/>
        <v>246000.3</v>
      </c>
      <c r="Q436" s="30" t="s">
        <v>882</v>
      </c>
      <c r="R436" s="31">
        <v>246000.3</v>
      </c>
    </row>
    <row r="437" s="1" customFormat="1" ht="16.35" hidden="1" customHeight="1" spans="1:18">
      <c r="A437" s="6" t="s">
        <v>4506</v>
      </c>
      <c r="B437" s="6">
        <v>2016</v>
      </c>
      <c r="C437" s="6">
        <v>11</v>
      </c>
      <c r="D437" s="7">
        <v>70</v>
      </c>
      <c r="E437" s="6" t="s">
        <v>4763</v>
      </c>
      <c r="F437" s="6" t="s">
        <v>4508</v>
      </c>
      <c r="G437" s="6" t="s">
        <v>25</v>
      </c>
      <c r="H437" s="8"/>
      <c r="I437" s="8">
        <v>219048</v>
      </c>
      <c r="J437" s="6" t="s">
        <v>3613</v>
      </c>
      <c r="K437" s="6" t="s">
        <v>794</v>
      </c>
      <c r="L437" s="6" t="s">
        <v>4509</v>
      </c>
      <c r="M437" s="6" t="s">
        <v>4537</v>
      </c>
      <c r="N437" s="6" t="s">
        <v>794</v>
      </c>
      <c r="O437" s="29">
        <f t="shared" si="7"/>
        <v>230000.4</v>
      </c>
      <c r="Q437" s="30" t="s">
        <v>794</v>
      </c>
      <c r="R437" s="31">
        <v>230000.4</v>
      </c>
    </row>
    <row r="438" s="1" customFormat="1" ht="16.35" hidden="1" customHeight="1" spans="1:18">
      <c r="A438" s="6" t="s">
        <v>4506</v>
      </c>
      <c r="B438" s="6">
        <v>2016</v>
      </c>
      <c r="C438" s="6">
        <v>11</v>
      </c>
      <c r="D438" s="7">
        <v>71</v>
      </c>
      <c r="E438" s="6" t="s">
        <v>4764</v>
      </c>
      <c r="F438" s="6" t="s">
        <v>4508</v>
      </c>
      <c r="G438" s="6" t="s">
        <v>25</v>
      </c>
      <c r="H438" s="8"/>
      <c r="I438" s="8">
        <v>209524</v>
      </c>
      <c r="J438" s="6" t="s">
        <v>3615</v>
      </c>
      <c r="K438" s="6" t="s">
        <v>868</v>
      </c>
      <c r="L438" s="6" t="s">
        <v>4509</v>
      </c>
      <c r="M438" s="6" t="s">
        <v>4537</v>
      </c>
      <c r="N438" s="6" t="s">
        <v>868</v>
      </c>
      <c r="O438" s="29">
        <f t="shared" si="7"/>
        <v>220000.2</v>
      </c>
      <c r="Q438" s="30" t="s">
        <v>868</v>
      </c>
      <c r="R438" s="31">
        <v>220000.2</v>
      </c>
    </row>
    <row r="439" s="1" customFormat="1" ht="16.35" hidden="1" customHeight="1" spans="1:18">
      <c r="A439" s="6" t="s">
        <v>4506</v>
      </c>
      <c r="B439" s="6">
        <v>2016</v>
      </c>
      <c r="C439" s="6">
        <v>11</v>
      </c>
      <c r="D439" s="7">
        <v>74</v>
      </c>
      <c r="E439" s="6" t="s">
        <v>4764</v>
      </c>
      <c r="F439" s="6" t="s">
        <v>4508</v>
      </c>
      <c r="G439" s="6" t="s">
        <v>25</v>
      </c>
      <c r="H439" s="8"/>
      <c r="I439" s="8">
        <v>61143</v>
      </c>
      <c r="J439" s="6" t="s">
        <v>3615</v>
      </c>
      <c r="K439" s="6" t="s">
        <v>868</v>
      </c>
      <c r="L439" s="6" t="s">
        <v>4509</v>
      </c>
      <c r="M439" s="6" t="s">
        <v>4537</v>
      </c>
      <c r="N439" s="6" t="s">
        <v>868</v>
      </c>
      <c r="O439" s="29">
        <f t="shared" si="7"/>
        <v>64200.15</v>
      </c>
      <c r="Q439" s="30" t="s">
        <v>868</v>
      </c>
      <c r="R439" s="31">
        <v>64200.15</v>
      </c>
    </row>
    <row r="440" s="1" customFormat="1" ht="16.35" hidden="1" customHeight="1" spans="1:18">
      <c r="A440" s="6" t="s">
        <v>4506</v>
      </c>
      <c r="B440" s="6">
        <v>2016</v>
      </c>
      <c r="C440" s="6">
        <v>11</v>
      </c>
      <c r="D440" s="7">
        <v>75</v>
      </c>
      <c r="E440" s="6" t="s">
        <v>4714</v>
      </c>
      <c r="F440" s="6" t="s">
        <v>4508</v>
      </c>
      <c r="G440" s="6" t="s">
        <v>25</v>
      </c>
      <c r="H440" s="8"/>
      <c r="I440" s="8">
        <v>209524</v>
      </c>
      <c r="J440" s="6" t="s">
        <v>3565</v>
      </c>
      <c r="K440" s="6" t="s">
        <v>784</v>
      </c>
      <c r="L440" s="6" t="s">
        <v>4509</v>
      </c>
      <c r="M440" s="6" t="s">
        <v>4537</v>
      </c>
      <c r="N440" s="6" t="s">
        <v>784</v>
      </c>
      <c r="O440" s="29">
        <f t="shared" si="7"/>
        <v>220000.2</v>
      </c>
      <c r="Q440" s="30" t="s">
        <v>784</v>
      </c>
      <c r="R440" s="31">
        <v>220000.2</v>
      </c>
    </row>
    <row r="441" s="1" customFormat="1" ht="16.35" hidden="1" customHeight="1" spans="1:18">
      <c r="A441" s="6" t="s">
        <v>4506</v>
      </c>
      <c r="B441" s="6">
        <v>2016</v>
      </c>
      <c r="C441" s="6">
        <v>11</v>
      </c>
      <c r="D441" s="7">
        <v>76</v>
      </c>
      <c r="E441" s="6" t="s">
        <v>4664</v>
      </c>
      <c r="F441" s="6" t="s">
        <v>4508</v>
      </c>
      <c r="G441" s="6" t="s">
        <v>25</v>
      </c>
      <c r="H441" s="8"/>
      <c r="I441" s="8">
        <v>218095</v>
      </c>
      <c r="J441" s="6" t="s">
        <v>3494</v>
      </c>
      <c r="K441" s="6" t="s">
        <v>786</v>
      </c>
      <c r="L441" s="6" t="s">
        <v>4509</v>
      </c>
      <c r="M441" s="6" t="s">
        <v>4537</v>
      </c>
      <c r="N441" s="6" t="s">
        <v>786</v>
      </c>
      <c r="O441" s="29">
        <f t="shared" si="7"/>
        <v>228999.75</v>
      </c>
      <c r="Q441" s="30" t="s">
        <v>786</v>
      </c>
      <c r="R441" s="31">
        <v>228999.75</v>
      </c>
    </row>
    <row r="442" s="1" customFormat="1" ht="16.35" hidden="1" customHeight="1" spans="1:18">
      <c r="A442" s="6" t="s">
        <v>4506</v>
      </c>
      <c r="B442" s="6">
        <v>2016</v>
      </c>
      <c r="C442" s="6">
        <v>11</v>
      </c>
      <c r="D442" s="7">
        <v>77</v>
      </c>
      <c r="E442" s="6" t="s">
        <v>4715</v>
      </c>
      <c r="F442" s="6" t="s">
        <v>4508</v>
      </c>
      <c r="G442" s="6" t="s">
        <v>25</v>
      </c>
      <c r="H442" s="8"/>
      <c r="I442" s="8">
        <v>221905</v>
      </c>
      <c r="J442" s="6" t="s">
        <v>3567</v>
      </c>
      <c r="K442" s="6" t="s">
        <v>870</v>
      </c>
      <c r="L442" s="6" t="s">
        <v>4509</v>
      </c>
      <c r="M442" s="6" t="s">
        <v>4537</v>
      </c>
      <c r="N442" s="6" t="s">
        <v>870</v>
      </c>
      <c r="O442" s="29">
        <f t="shared" si="7"/>
        <v>233000.25</v>
      </c>
      <c r="Q442" s="30" t="s">
        <v>870</v>
      </c>
      <c r="R442" s="31">
        <v>233000.25</v>
      </c>
    </row>
    <row r="443" s="1" customFormat="1" ht="16.35" hidden="1" customHeight="1" spans="1:18">
      <c r="A443" s="6" t="s">
        <v>4506</v>
      </c>
      <c r="B443" s="6">
        <v>2016</v>
      </c>
      <c r="C443" s="6">
        <v>11</v>
      </c>
      <c r="D443" s="7">
        <v>78</v>
      </c>
      <c r="E443" s="6" t="s">
        <v>4765</v>
      </c>
      <c r="F443" s="6" t="s">
        <v>4508</v>
      </c>
      <c r="G443" s="6" t="s">
        <v>25</v>
      </c>
      <c r="H443" s="8"/>
      <c r="I443" s="8">
        <v>228571</v>
      </c>
      <c r="J443" s="6" t="s">
        <v>3460</v>
      </c>
      <c r="K443" s="6" t="s">
        <v>862</v>
      </c>
      <c r="L443" s="6" t="s">
        <v>4509</v>
      </c>
      <c r="M443" s="6" t="s">
        <v>4537</v>
      </c>
      <c r="N443" s="6" t="s">
        <v>862</v>
      </c>
      <c r="O443" s="29">
        <f t="shared" si="7"/>
        <v>239999.55</v>
      </c>
      <c r="Q443" s="30" t="s">
        <v>862</v>
      </c>
      <c r="R443" s="31">
        <v>239999.55</v>
      </c>
    </row>
    <row r="444" s="1" customFormat="1" ht="16.35" hidden="1" customHeight="1" spans="1:18">
      <c r="A444" s="6" t="s">
        <v>4506</v>
      </c>
      <c r="B444" s="6">
        <v>2016</v>
      </c>
      <c r="C444" s="6">
        <v>11</v>
      </c>
      <c r="D444" s="7">
        <v>79</v>
      </c>
      <c r="E444" s="6" t="s">
        <v>4766</v>
      </c>
      <c r="F444" s="6" t="s">
        <v>4508</v>
      </c>
      <c r="G444" s="6" t="s">
        <v>25</v>
      </c>
      <c r="H444" s="8"/>
      <c r="I444" s="8">
        <v>142857</v>
      </c>
      <c r="J444" s="6" t="s">
        <v>3277</v>
      </c>
      <c r="K444" s="6" t="s">
        <v>886</v>
      </c>
      <c r="L444" s="6" t="s">
        <v>4509</v>
      </c>
      <c r="M444" s="6" t="s">
        <v>4537</v>
      </c>
      <c r="N444" s="6" t="s">
        <v>886</v>
      </c>
      <c r="O444" s="29">
        <f t="shared" si="7"/>
        <v>149999.85</v>
      </c>
      <c r="Q444" s="30" t="s">
        <v>886</v>
      </c>
      <c r="R444" s="31">
        <v>149999.85</v>
      </c>
    </row>
    <row r="445" s="1" customFormat="1" ht="16.35" hidden="1" customHeight="1" spans="1:18">
      <c r="A445" s="6" t="s">
        <v>4506</v>
      </c>
      <c r="B445" s="6">
        <v>2016</v>
      </c>
      <c r="C445" s="6">
        <v>11</v>
      </c>
      <c r="D445" s="7">
        <v>82</v>
      </c>
      <c r="E445" s="6" t="s">
        <v>4673</v>
      </c>
      <c r="F445" s="6" t="s">
        <v>4508</v>
      </c>
      <c r="G445" s="6" t="s">
        <v>25</v>
      </c>
      <c r="H445" s="8"/>
      <c r="I445" s="8">
        <v>219048</v>
      </c>
      <c r="J445" s="6" t="s">
        <v>3509</v>
      </c>
      <c r="K445" s="6" t="s">
        <v>866</v>
      </c>
      <c r="L445" s="6" t="s">
        <v>4509</v>
      </c>
      <c r="M445" s="6" t="s">
        <v>4537</v>
      </c>
      <c r="N445" s="6" t="s">
        <v>866</v>
      </c>
      <c r="O445" s="29">
        <f t="shared" si="7"/>
        <v>230000.4</v>
      </c>
      <c r="Q445" s="30" t="s">
        <v>866</v>
      </c>
      <c r="R445" s="31">
        <v>230000.4</v>
      </c>
    </row>
    <row r="446" s="1" customFormat="1" ht="16.35" hidden="1" customHeight="1" spans="1:18">
      <c r="A446" s="6" t="s">
        <v>4506</v>
      </c>
      <c r="B446" s="6">
        <v>2016</v>
      </c>
      <c r="C446" s="6">
        <v>11</v>
      </c>
      <c r="D446" s="7">
        <v>83</v>
      </c>
      <c r="E446" s="6" t="s">
        <v>4716</v>
      </c>
      <c r="F446" s="6" t="s">
        <v>4508</v>
      </c>
      <c r="G446" s="6" t="s">
        <v>25</v>
      </c>
      <c r="H446" s="8"/>
      <c r="I446" s="8">
        <v>114286</v>
      </c>
      <c r="J446" s="6" t="s">
        <v>3569</v>
      </c>
      <c r="K446" s="6" t="s">
        <v>759</v>
      </c>
      <c r="L446" s="6" t="s">
        <v>4509</v>
      </c>
      <c r="M446" s="6" t="s">
        <v>4537</v>
      </c>
      <c r="N446" s="6" t="s">
        <v>759</v>
      </c>
      <c r="O446" s="29">
        <f t="shared" si="7"/>
        <v>120000.3</v>
      </c>
      <c r="Q446" s="30" t="s">
        <v>759</v>
      </c>
      <c r="R446" s="31">
        <v>120000.3</v>
      </c>
    </row>
    <row r="447" s="1" customFormat="1" ht="16.35" hidden="1" customHeight="1" spans="1:18">
      <c r="A447" s="6" t="s">
        <v>4506</v>
      </c>
      <c r="B447" s="6">
        <v>2016</v>
      </c>
      <c r="C447" s="6">
        <v>11</v>
      </c>
      <c r="D447" s="7">
        <v>84</v>
      </c>
      <c r="E447" s="6" t="s">
        <v>4767</v>
      </c>
      <c r="F447" s="6" t="s">
        <v>4508</v>
      </c>
      <c r="G447" s="6" t="s">
        <v>25</v>
      </c>
      <c r="H447" s="8"/>
      <c r="I447" s="8">
        <v>190476</v>
      </c>
      <c r="J447" s="6" t="s">
        <v>3621</v>
      </c>
      <c r="K447" s="6" t="s">
        <v>860</v>
      </c>
      <c r="L447" s="6" t="s">
        <v>4509</v>
      </c>
      <c r="M447" s="6" t="s">
        <v>4537</v>
      </c>
      <c r="N447" s="6" t="s">
        <v>860</v>
      </c>
      <c r="O447" s="29">
        <f t="shared" si="7"/>
        <v>199999.8</v>
      </c>
      <c r="Q447" s="30" t="s">
        <v>860</v>
      </c>
      <c r="R447" s="31">
        <v>199999.8</v>
      </c>
    </row>
    <row r="448" s="1" customFormat="1" ht="16.35" hidden="1" customHeight="1" spans="1:18">
      <c r="A448" s="6" t="s">
        <v>4506</v>
      </c>
      <c r="B448" s="6">
        <v>2016</v>
      </c>
      <c r="C448" s="6">
        <v>11</v>
      </c>
      <c r="D448" s="7">
        <v>85</v>
      </c>
      <c r="E448" s="6" t="s">
        <v>4705</v>
      </c>
      <c r="F448" s="6" t="s">
        <v>4508</v>
      </c>
      <c r="G448" s="6" t="s">
        <v>25</v>
      </c>
      <c r="H448" s="8"/>
      <c r="I448" s="8">
        <v>142857</v>
      </c>
      <c r="J448" s="6" t="s">
        <v>3554</v>
      </c>
      <c r="K448" s="6" t="s">
        <v>719</v>
      </c>
      <c r="L448" s="6" t="s">
        <v>4509</v>
      </c>
      <c r="M448" s="6" t="s">
        <v>4537</v>
      </c>
      <c r="N448" s="6" t="s">
        <v>719</v>
      </c>
      <c r="O448" s="29">
        <f t="shared" si="7"/>
        <v>149999.85</v>
      </c>
      <c r="Q448" s="30" t="s">
        <v>719</v>
      </c>
      <c r="R448" s="31">
        <v>149999.85</v>
      </c>
    </row>
    <row r="449" s="1" customFormat="1" ht="16.35" hidden="1" customHeight="1" spans="1:18">
      <c r="A449" s="6" t="s">
        <v>4506</v>
      </c>
      <c r="B449" s="6">
        <v>2016</v>
      </c>
      <c r="C449" s="6">
        <v>11</v>
      </c>
      <c r="D449" s="7">
        <v>86</v>
      </c>
      <c r="E449" s="6" t="s">
        <v>4768</v>
      </c>
      <c r="F449" s="6" t="s">
        <v>4508</v>
      </c>
      <c r="G449" s="6" t="s">
        <v>25</v>
      </c>
      <c r="H449" s="8"/>
      <c r="I449" s="8">
        <v>219048</v>
      </c>
      <c r="J449" s="6" t="s">
        <v>3085</v>
      </c>
      <c r="K449" s="6" t="s">
        <v>607</v>
      </c>
      <c r="L449" s="6" t="s">
        <v>4509</v>
      </c>
      <c r="M449" s="6" t="s">
        <v>4537</v>
      </c>
      <c r="N449" s="6" t="s">
        <v>607</v>
      </c>
      <c r="O449" s="29">
        <f t="shared" si="7"/>
        <v>230000.4</v>
      </c>
      <c r="Q449" s="30" t="s">
        <v>607</v>
      </c>
      <c r="R449" s="31">
        <v>230000.4</v>
      </c>
    </row>
    <row r="450" s="1" customFormat="1" ht="16.35" hidden="1" customHeight="1" spans="1:18">
      <c r="A450" s="6" t="s">
        <v>4506</v>
      </c>
      <c r="B450" s="6">
        <v>2016</v>
      </c>
      <c r="C450" s="6">
        <v>11</v>
      </c>
      <c r="D450" s="7">
        <v>87</v>
      </c>
      <c r="E450" s="6" t="s">
        <v>4682</v>
      </c>
      <c r="F450" s="6" t="s">
        <v>4508</v>
      </c>
      <c r="G450" s="6" t="s">
        <v>25</v>
      </c>
      <c r="H450" s="8"/>
      <c r="I450" s="8">
        <v>4762</v>
      </c>
      <c r="J450" s="6" t="s">
        <v>3190</v>
      </c>
      <c r="K450" s="6" t="s">
        <v>852</v>
      </c>
      <c r="L450" s="6" t="s">
        <v>4509</v>
      </c>
      <c r="M450" s="6" t="s">
        <v>4537</v>
      </c>
      <c r="N450" s="6" t="s">
        <v>852</v>
      </c>
      <c r="O450" s="29">
        <f t="shared" si="7"/>
        <v>5000.1</v>
      </c>
      <c r="Q450" s="30" t="s">
        <v>852</v>
      </c>
      <c r="R450" s="31">
        <v>5000.1</v>
      </c>
    </row>
    <row r="451" s="1" customFormat="1" ht="16.35" hidden="1" customHeight="1" spans="1:18">
      <c r="A451" s="6" t="s">
        <v>4506</v>
      </c>
      <c r="B451" s="6">
        <v>2016</v>
      </c>
      <c r="C451" s="6">
        <v>11</v>
      </c>
      <c r="D451" s="7">
        <v>88</v>
      </c>
      <c r="E451" s="6" t="s">
        <v>4716</v>
      </c>
      <c r="F451" s="6" t="s">
        <v>4508</v>
      </c>
      <c r="G451" s="6" t="s">
        <v>25</v>
      </c>
      <c r="H451" s="8"/>
      <c r="I451" s="8">
        <v>47795</v>
      </c>
      <c r="J451" s="6" t="s">
        <v>3569</v>
      </c>
      <c r="K451" s="6" t="s">
        <v>759</v>
      </c>
      <c r="L451" s="6" t="s">
        <v>4509</v>
      </c>
      <c r="M451" s="6" t="s">
        <v>4537</v>
      </c>
      <c r="N451" s="6" t="s">
        <v>759</v>
      </c>
      <c r="O451" s="29">
        <f t="shared" si="7"/>
        <v>50184.75</v>
      </c>
      <c r="Q451" s="30" t="s">
        <v>759</v>
      </c>
      <c r="R451" s="31">
        <v>50184.75</v>
      </c>
    </row>
    <row r="452" s="1" customFormat="1" ht="16.35" hidden="1" customHeight="1" spans="1:18">
      <c r="A452" s="6" t="s">
        <v>4506</v>
      </c>
      <c r="B452" s="6">
        <v>2016</v>
      </c>
      <c r="C452" s="6">
        <v>11</v>
      </c>
      <c r="D452" s="7">
        <v>89</v>
      </c>
      <c r="E452" s="6" t="s">
        <v>4736</v>
      </c>
      <c r="F452" s="6" t="s">
        <v>4508</v>
      </c>
      <c r="G452" s="6" t="s">
        <v>25</v>
      </c>
      <c r="H452" s="8"/>
      <c r="I452" s="8">
        <v>273333</v>
      </c>
      <c r="J452" s="6" t="s">
        <v>3590</v>
      </c>
      <c r="K452" s="6" t="s">
        <v>374</v>
      </c>
      <c r="L452" s="6" t="s">
        <v>4509</v>
      </c>
      <c r="M452" s="6" t="s">
        <v>4537</v>
      </c>
      <c r="N452" s="6" t="s">
        <v>374</v>
      </c>
      <c r="O452" s="29">
        <f t="shared" si="7"/>
        <v>286999.65</v>
      </c>
      <c r="Q452" s="30" t="s">
        <v>374</v>
      </c>
      <c r="R452" s="31">
        <v>286999.65</v>
      </c>
    </row>
    <row r="453" s="1" customFormat="1" ht="16.35" hidden="1" customHeight="1" spans="1:18">
      <c r="A453" s="6" t="s">
        <v>4506</v>
      </c>
      <c r="B453" s="6">
        <v>2016</v>
      </c>
      <c r="C453" s="6">
        <v>11</v>
      </c>
      <c r="D453" s="7">
        <v>90</v>
      </c>
      <c r="E453" s="6" t="s">
        <v>4769</v>
      </c>
      <c r="F453" s="6" t="s">
        <v>4508</v>
      </c>
      <c r="G453" s="6" t="s">
        <v>25</v>
      </c>
      <c r="H453" s="8"/>
      <c r="I453" s="8">
        <v>214286</v>
      </c>
      <c r="J453" s="6" t="s">
        <v>3625</v>
      </c>
      <c r="K453" s="6" t="s">
        <v>842</v>
      </c>
      <c r="L453" s="6" t="s">
        <v>4509</v>
      </c>
      <c r="M453" s="6" t="s">
        <v>4537</v>
      </c>
      <c r="N453" s="6" t="s">
        <v>842</v>
      </c>
      <c r="O453" s="29">
        <f t="shared" si="7"/>
        <v>225000.3</v>
      </c>
      <c r="Q453" s="30" t="s">
        <v>842</v>
      </c>
      <c r="R453" s="31">
        <v>225000.3</v>
      </c>
    </row>
    <row r="454" s="1" customFormat="1" ht="16.35" hidden="1" customHeight="1" spans="1:18">
      <c r="A454" s="6" t="s">
        <v>4506</v>
      </c>
      <c r="B454" s="6">
        <v>2016</v>
      </c>
      <c r="C454" s="6">
        <v>11</v>
      </c>
      <c r="D454" s="7">
        <v>94</v>
      </c>
      <c r="E454" s="6" t="s">
        <v>4770</v>
      </c>
      <c r="F454" s="6" t="s">
        <v>4508</v>
      </c>
      <c r="G454" s="6" t="s">
        <v>25</v>
      </c>
      <c r="H454" s="8"/>
      <c r="I454" s="8">
        <v>130476</v>
      </c>
      <c r="J454" s="6" t="s">
        <v>3627</v>
      </c>
      <c r="K454" s="6" t="s">
        <v>765</v>
      </c>
      <c r="L454" s="6" t="s">
        <v>4509</v>
      </c>
      <c r="M454" s="6" t="s">
        <v>4537</v>
      </c>
      <c r="N454" s="6" t="s">
        <v>765</v>
      </c>
      <c r="O454" s="29">
        <f t="shared" si="7"/>
        <v>136999.8</v>
      </c>
      <c r="Q454" s="30" t="s">
        <v>765</v>
      </c>
      <c r="R454" s="31">
        <v>136999.8</v>
      </c>
    </row>
    <row r="455" s="1" customFormat="1" ht="16.35" hidden="1" customHeight="1" spans="1:18">
      <c r="A455" s="6" t="s">
        <v>4506</v>
      </c>
      <c r="B455" s="6">
        <v>2016</v>
      </c>
      <c r="C455" s="6">
        <v>11</v>
      </c>
      <c r="D455" s="7">
        <v>95</v>
      </c>
      <c r="E455" s="6" t="s">
        <v>4771</v>
      </c>
      <c r="F455" s="6" t="s">
        <v>4508</v>
      </c>
      <c r="G455" s="6" t="s">
        <v>25</v>
      </c>
      <c r="H455" s="8"/>
      <c r="I455" s="8">
        <v>2857</v>
      </c>
      <c r="J455" s="6" t="s">
        <v>3629</v>
      </c>
      <c r="K455" s="6" t="s">
        <v>761</v>
      </c>
      <c r="L455" s="6" t="s">
        <v>4509</v>
      </c>
      <c r="M455" s="6" t="s">
        <v>4537</v>
      </c>
      <c r="N455" s="6" t="s">
        <v>761</v>
      </c>
      <c r="O455" s="29">
        <f t="shared" si="7"/>
        <v>2999.85</v>
      </c>
      <c r="Q455" s="30" t="s">
        <v>761</v>
      </c>
      <c r="R455" s="31">
        <v>2999.85</v>
      </c>
    </row>
    <row r="456" s="1" customFormat="1" ht="16.35" hidden="1" customHeight="1" spans="1:18">
      <c r="A456" s="6" t="s">
        <v>4506</v>
      </c>
      <c r="B456" s="6">
        <v>2016</v>
      </c>
      <c r="C456" s="6">
        <v>11</v>
      </c>
      <c r="D456" s="7">
        <v>96</v>
      </c>
      <c r="E456" s="6" t="s">
        <v>4772</v>
      </c>
      <c r="F456" s="6" t="s">
        <v>4508</v>
      </c>
      <c r="G456" s="6" t="s">
        <v>25</v>
      </c>
      <c r="H456" s="8"/>
      <c r="I456" s="8">
        <v>5714</v>
      </c>
      <c r="J456" s="6" t="s">
        <v>3632</v>
      </c>
      <c r="K456" s="6" t="s">
        <v>904</v>
      </c>
      <c r="L456" s="6" t="s">
        <v>4509</v>
      </c>
      <c r="M456" s="6" t="s">
        <v>4537</v>
      </c>
      <c r="N456" s="6" t="s">
        <v>904</v>
      </c>
      <c r="O456" s="29">
        <f t="shared" si="7"/>
        <v>5999.7</v>
      </c>
      <c r="Q456" s="30" t="s">
        <v>904</v>
      </c>
      <c r="R456" s="31">
        <v>5999.7</v>
      </c>
    </row>
    <row r="457" s="1" customFormat="1" ht="16.35" hidden="1" customHeight="1" spans="1:18">
      <c r="A457" s="6" t="s">
        <v>4506</v>
      </c>
      <c r="B457" s="6">
        <v>2016</v>
      </c>
      <c r="C457" s="6">
        <v>11</v>
      </c>
      <c r="D457" s="7">
        <v>98</v>
      </c>
      <c r="E457" s="6" t="s">
        <v>4735</v>
      </c>
      <c r="F457" s="6" t="s">
        <v>4508</v>
      </c>
      <c r="G457" s="6" t="s">
        <v>25</v>
      </c>
      <c r="H457" s="8"/>
      <c r="I457" s="8">
        <v>48862</v>
      </c>
      <c r="J457" s="6" t="s">
        <v>3588</v>
      </c>
      <c r="K457" s="6" t="s">
        <v>858</v>
      </c>
      <c r="L457" s="6" t="s">
        <v>4509</v>
      </c>
      <c r="M457" s="6" t="s">
        <v>4537</v>
      </c>
      <c r="N457" s="6" t="s">
        <v>858</v>
      </c>
      <c r="O457" s="29">
        <f t="shared" si="7"/>
        <v>51305.1</v>
      </c>
      <c r="Q457" s="30" t="s">
        <v>858</v>
      </c>
      <c r="R457" s="31">
        <v>51305.1</v>
      </c>
    </row>
    <row r="458" s="1" customFormat="1" ht="16.35" hidden="1" customHeight="1" spans="1:18">
      <c r="A458" s="6" t="s">
        <v>4506</v>
      </c>
      <c r="B458" s="6">
        <v>2016</v>
      </c>
      <c r="C458" s="6">
        <v>11</v>
      </c>
      <c r="D458" s="7">
        <v>99</v>
      </c>
      <c r="E458" s="6" t="s">
        <v>4773</v>
      </c>
      <c r="F458" s="6" t="s">
        <v>4508</v>
      </c>
      <c r="G458" s="6" t="s">
        <v>25</v>
      </c>
      <c r="H458" s="8"/>
      <c r="I458" s="8">
        <v>205627</v>
      </c>
      <c r="J458" s="6" t="s">
        <v>3634</v>
      </c>
      <c r="K458" s="6" t="s">
        <v>365</v>
      </c>
      <c r="L458" s="6" t="s">
        <v>4509</v>
      </c>
      <c r="M458" s="6" t="s">
        <v>4537</v>
      </c>
      <c r="N458" s="6" t="s">
        <v>365</v>
      </c>
      <c r="O458" s="29">
        <f t="shared" si="7"/>
        <v>215908.35</v>
      </c>
      <c r="Q458" s="30" t="s">
        <v>365</v>
      </c>
      <c r="R458" s="31">
        <v>215908</v>
      </c>
    </row>
    <row r="459" s="1" customFormat="1" ht="16.35" hidden="1" customHeight="1" spans="1:18">
      <c r="A459" s="6" t="s">
        <v>4506</v>
      </c>
      <c r="B459" s="6">
        <v>2016</v>
      </c>
      <c r="C459" s="6">
        <v>11</v>
      </c>
      <c r="D459" s="7">
        <v>104</v>
      </c>
      <c r="E459" s="6" t="s">
        <v>4774</v>
      </c>
      <c r="F459" s="6" t="s">
        <v>4508</v>
      </c>
      <c r="G459" s="6" t="s">
        <v>25</v>
      </c>
      <c r="H459" s="8"/>
      <c r="I459" s="8">
        <v>-219048</v>
      </c>
      <c r="J459" s="6" t="s">
        <v>3085</v>
      </c>
      <c r="K459" s="6" t="s">
        <v>607</v>
      </c>
      <c r="L459" s="6" t="s">
        <v>4509</v>
      </c>
      <c r="M459" s="6" t="s">
        <v>4537</v>
      </c>
      <c r="N459" s="6" t="s">
        <v>607</v>
      </c>
      <c r="O459" s="29">
        <f t="shared" si="7"/>
        <v>-230000.4</v>
      </c>
      <c r="Q459" s="30" t="s">
        <v>607</v>
      </c>
      <c r="R459" s="31">
        <v>-230000.4</v>
      </c>
    </row>
    <row r="460" s="1" customFormat="1" ht="16.35" hidden="1" customHeight="1" spans="1:18">
      <c r="A460" s="6" t="s">
        <v>4506</v>
      </c>
      <c r="B460" s="6">
        <v>2016</v>
      </c>
      <c r="C460" s="6">
        <v>12</v>
      </c>
      <c r="D460" s="7">
        <v>1</v>
      </c>
      <c r="E460" s="6" t="s">
        <v>4730</v>
      </c>
      <c r="F460" s="6" t="s">
        <v>4508</v>
      </c>
      <c r="G460" s="6" t="s">
        <v>25</v>
      </c>
      <c r="H460" s="8"/>
      <c r="I460" s="8">
        <v>342857</v>
      </c>
      <c r="J460" s="6" t="s">
        <v>3513</v>
      </c>
      <c r="K460" s="6" t="s">
        <v>402</v>
      </c>
      <c r="L460" s="6" t="s">
        <v>4509</v>
      </c>
      <c r="M460" s="6" t="s">
        <v>4537</v>
      </c>
      <c r="N460" s="6" t="s">
        <v>402</v>
      </c>
      <c r="O460" s="29">
        <f t="shared" si="7"/>
        <v>359999.85</v>
      </c>
      <c r="Q460" s="30" t="s">
        <v>402</v>
      </c>
      <c r="R460" s="31">
        <v>359999.85</v>
      </c>
    </row>
    <row r="461" s="1" customFormat="1" ht="16.35" hidden="1" customHeight="1" spans="1:18">
      <c r="A461" s="6" t="s">
        <v>4506</v>
      </c>
      <c r="B461" s="6">
        <v>2016</v>
      </c>
      <c r="C461" s="6">
        <v>12</v>
      </c>
      <c r="D461" s="7">
        <v>2</v>
      </c>
      <c r="E461" s="6" t="s">
        <v>4652</v>
      </c>
      <c r="F461" s="6" t="s">
        <v>4508</v>
      </c>
      <c r="G461" s="6" t="s">
        <v>25</v>
      </c>
      <c r="H461" s="8"/>
      <c r="I461" s="8">
        <v>209524</v>
      </c>
      <c r="J461" s="6" t="s">
        <v>3473</v>
      </c>
      <c r="K461" s="6" t="s">
        <v>850</v>
      </c>
      <c r="L461" s="6" t="s">
        <v>4509</v>
      </c>
      <c r="M461" s="6" t="s">
        <v>4537</v>
      </c>
      <c r="N461" s="6" t="s">
        <v>850</v>
      </c>
      <c r="O461" s="29">
        <f t="shared" si="7"/>
        <v>220000.2</v>
      </c>
      <c r="Q461" s="30" t="s">
        <v>850</v>
      </c>
      <c r="R461" s="31">
        <v>220000.2</v>
      </c>
    </row>
    <row r="462" s="1" customFormat="1" ht="16.35" hidden="1" customHeight="1" spans="1:18">
      <c r="A462" s="6" t="s">
        <v>4506</v>
      </c>
      <c r="B462" s="6">
        <v>2016</v>
      </c>
      <c r="C462" s="6">
        <v>12</v>
      </c>
      <c r="D462" s="7">
        <v>3</v>
      </c>
      <c r="E462" s="6" t="s">
        <v>4671</v>
      </c>
      <c r="F462" s="6" t="s">
        <v>4508</v>
      </c>
      <c r="G462" s="6" t="s">
        <v>25</v>
      </c>
      <c r="H462" s="8"/>
      <c r="I462" s="8">
        <v>151429</v>
      </c>
      <c r="J462" s="6" t="s">
        <v>3505</v>
      </c>
      <c r="K462" s="6" t="s">
        <v>703</v>
      </c>
      <c r="L462" s="6" t="s">
        <v>4509</v>
      </c>
      <c r="M462" s="6" t="s">
        <v>4537</v>
      </c>
      <c r="N462" s="6" t="s">
        <v>703</v>
      </c>
      <c r="O462" s="29">
        <f t="shared" si="7"/>
        <v>159000.45</v>
      </c>
      <c r="Q462" s="30" t="s">
        <v>703</v>
      </c>
      <c r="R462" s="31">
        <v>159000.45</v>
      </c>
    </row>
    <row r="463" s="1" customFormat="1" ht="16.35" hidden="1" customHeight="1" spans="1:18">
      <c r="A463" s="6" t="s">
        <v>4506</v>
      </c>
      <c r="B463" s="6">
        <v>2016</v>
      </c>
      <c r="C463" s="6">
        <v>12</v>
      </c>
      <c r="D463" s="7">
        <v>6</v>
      </c>
      <c r="E463" s="6" t="s">
        <v>4771</v>
      </c>
      <c r="F463" s="6" t="s">
        <v>4508</v>
      </c>
      <c r="G463" s="6" t="s">
        <v>25</v>
      </c>
      <c r="H463" s="8"/>
      <c r="I463" s="8">
        <v>97649</v>
      </c>
      <c r="J463" s="6" t="s">
        <v>3629</v>
      </c>
      <c r="K463" s="6" t="s">
        <v>761</v>
      </c>
      <c r="L463" s="6" t="s">
        <v>4509</v>
      </c>
      <c r="M463" s="6" t="s">
        <v>4537</v>
      </c>
      <c r="N463" s="6" t="s">
        <v>761</v>
      </c>
      <c r="O463" s="29">
        <f t="shared" si="7"/>
        <v>102531.45</v>
      </c>
      <c r="Q463" s="30" t="s">
        <v>761</v>
      </c>
      <c r="R463" s="31">
        <v>102531.45</v>
      </c>
    </row>
    <row r="464" s="1" customFormat="1" ht="16.35" hidden="1" customHeight="1" spans="1:18">
      <c r="A464" s="6" t="s">
        <v>4506</v>
      </c>
      <c r="B464" s="6">
        <v>2016</v>
      </c>
      <c r="C464" s="6">
        <v>12</v>
      </c>
      <c r="D464" s="7">
        <v>7</v>
      </c>
      <c r="E464" s="6" t="s">
        <v>4683</v>
      </c>
      <c r="F464" s="6" t="s">
        <v>4508</v>
      </c>
      <c r="G464" s="6" t="s">
        <v>25</v>
      </c>
      <c r="H464" s="8"/>
      <c r="I464" s="8">
        <v>95238</v>
      </c>
      <c r="J464" s="6" t="s">
        <v>3174</v>
      </c>
      <c r="K464" s="6" t="s">
        <v>844</v>
      </c>
      <c r="L464" s="6" t="s">
        <v>4509</v>
      </c>
      <c r="M464" s="6" t="s">
        <v>4537</v>
      </c>
      <c r="N464" s="6" t="s">
        <v>844</v>
      </c>
      <c r="O464" s="29">
        <f t="shared" si="7"/>
        <v>99999.9</v>
      </c>
      <c r="Q464" s="30" t="s">
        <v>844</v>
      </c>
      <c r="R464" s="31">
        <v>99999.9</v>
      </c>
    </row>
    <row r="465" s="1" customFormat="1" ht="16.35" hidden="1" customHeight="1" spans="1:18">
      <c r="A465" s="6" t="s">
        <v>4506</v>
      </c>
      <c r="B465" s="6">
        <v>2016</v>
      </c>
      <c r="C465" s="6">
        <v>12</v>
      </c>
      <c r="D465" s="7">
        <v>8</v>
      </c>
      <c r="E465" s="6" t="s">
        <v>4775</v>
      </c>
      <c r="F465" s="6" t="s">
        <v>4508</v>
      </c>
      <c r="G465" s="6" t="s">
        <v>25</v>
      </c>
      <c r="H465" s="8"/>
      <c r="I465" s="8">
        <v>271007</v>
      </c>
      <c r="J465" s="6" t="s">
        <v>3637</v>
      </c>
      <c r="K465" s="6" t="s">
        <v>96</v>
      </c>
      <c r="L465" s="6" t="s">
        <v>4509</v>
      </c>
      <c r="M465" s="6" t="s">
        <v>4537</v>
      </c>
      <c r="N465" s="6" t="s">
        <v>96</v>
      </c>
      <c r="O465" s="29">
        <f t="shared" si="7"/>
        <v>284557.35</v>
      </c>
      <c r="Q465" s="30" t="s">
        <v>96</v>
      </c>
      <c r="R465" s="31">
        <v>284557.35</v>
      </c>
    </row>
    <row r="466" s="1" customFormat="1" ht="16.35" hidden="1" customHeight="1" spans="1:18">
      <c r="A466" s="6" t="s">
        <v>4506</v>
      </c>
      <c r="B466" s="6">
        <v>2016</v>
      </c>
      <c r="C466" s="6">
        <v>12</v>
      </c>
      <c r="D466" s="7">
        <v>9</v>
      </c>
      <c r="E466" s="6" t="s">
        <v>4652</v>
      </c>
      <c r="F466" s="6" t="s">
        <v>4508</v>
      </c>
      <c r="G466" s="6" t="s">
        <v>25</v>
      </c>
      <c r="H466" s="8"/>
      <c r="I466" s="8">
        <v>13333</v>
      </c>
      <c r="J466" s="6" t="s">
        <v>3473</v>
      </c>
      <c r="K466" s="6" t="s">
        <v>850</v>
      </c>
      <c r="L466" s="6" t="s">
        <v>4509</v>
      </c>
      <c r="M466" s="6" t="s">
        <v>4537</v>
      </c>
      <c r="N466" s="6" t="s">
        <v>850</v>
      </c>
      <c r="O466" s="29">
        <f t="shared" si="7"/>
        <v>13999.65</v>
      </c>
      <c r="Q466" s="30" t="s">
        <v>850</v>
      </c>
      <c r="R466" s="31">
        <v>13999.65</v>
      </c>
    </row>
    <row r="467" s="1" customFormat="1" ht="16.35" hidden="1" customHeight="1" spans="1:18">
      <c r="A467" s="6" t="s">
        <v>4506</v>
      </c>
      <c r="B467" s="6">
        <v>2016</v>
      </c>
      <c r="C467" s="6">
        <v>12</v>
      </c>
      <c r="D467" s="7">
        <v>10</v>
      </c>
      <c r="E467" s="6" t="s">
        <v>4776</v>
      </c>
      <c r="F467" s="6" t="s">
        <v>4508</v>
      </c>
      <c r="G467" s="6" t="s">
        <v>25</v>
      </c>
      <c r="H467" s="8"/>
      <c r="I467" s="8">
        <v>19048</v>
      </c>
      <c r="J467" s="6" t="s">
        <v>3639</v>
      </c>
      <c r="K467" s="6" t="s">
        <v>717</v>
      </c>
      <c r="L467" s="6" t="s">
        <v>4509</v>
      </c>
      <c r="M467" s="6" t="s">
        <v>4537</v>
      </c>
      <c r="N467" s="6" t="s">
        <v>717</v>
      </c>
      <c r="O467" s="29">
        <f t="shared" si="7"/>
        <v>20000.4</v>
      </c>
      <c r="Q467" s="30" t="s">
        <v>717</v>
      </c>
      <c r="R467" s="31">
        <v>20000.4</v>
      </c>
    </row>
    <row r="468" s="1" customFormat="1" ht="16.35" hidden="1" customHeight="1" spans="1:18">
      <c r="A468" s="6" t="s">
        <v>4506</v>
      </c>
      <c r="B468" s="6">
        <v>2016</v>
      </c>
      <c r="C468" s="6">
        <v>12</v>
      </c>
      <c r="D468" s="7">
        <v>11</v>
      </c>
      <c r="E468" s="6" t="s">
        <v>4777</v>
      </c>
      <c r="F468" s="6" t="s">
        <v>4508</v>
      </c>
      <c r="G468" s="6" t="s">
        <v>25</v>
      </c>
      <c r="H468" s="8"/>
      <c r="I468" s="8">
        <v>-236190</v>
      </c>
      <c r="J468" s="6" t="s">
        <v>3138</v>
      </c>
      <c r="K468" s="6" t="s">
        <v>394</v>
      </c>
      <c r="L468" s="6" t="s">
        <v>4509</v>
      </c>
      <c r="M468" s="6" t="s">
        <v>4537</v>
      </c>
      <c r="N468" s="6" t="s">
        <v>394</v>
      </c>
      <c r="O468" s="29">
        <f t="shared" si="7"/>
        <v>-247999.5</v>
      </c>
      <c r="Q468" s="30" t="s">
        <v>394</v>
      </c>
      <c r="R468" s="31">
        <v>-247999.5</v>
      </c>
    </row>
    <row r="469" s="1" customFormat="1" ht="16.35" hidden="1" customHeight="1" spans="1:18">
      <c r="A469" s="6" t="s">
        <v>4506</v>
      </c>
      <c r="B469" s="6">
        <v>2016</v>
      </c>
      <c r="C469" s="6">
        <v>12</v>
      </c>
      <c r="D469" s="7">
        <v>19</v>
      </c>
      <c r="E469" s="6" t="s">
        <v>4773</v>
      </c>
      <c r="F469" s="6" t="s">
        <v>4508</v>
      </c>
      <c r="G469" s="6" t="s">
        <v>25</v>
      </c>
      <c r="H469" s="8"/>
      <c r="I469" s="8">
        <v>200000</v>
      </c>
      <c r="J469" s="6" t="s">
        <v>3634</v>
      </c>
      <c r="K469" s="6" t="s">
        <v>365</v>
      </c>
      <c r="L469" s="6" t="s">
        <v>4509</v>
      </c>
      <c r="M469" s="6" t="s">
        <v>4537</v>
      </c>
      <c r="N469" s="6" t="s">
        <v>365</v>
      </c>
      <c r="O469" s="29">
        <f t="shared" si="7"/>
        <v>210000</v>
      </c>
      <c r="Q469" s="30" t="s">
        <v>365</v>
      </c>
      <c r="R469" s="31">
        <v>210000</v>
      </c>
    </row>
    <row r="470" s="1" customFormat="1" ht="16.35" hidden="1" customHeight="1" spans="1:18">
      <c r="A470" s="6" t="s">
        <v>4506</v>
      </c>
      <c r="B470" s="6">
        <v>2016</v>
      </c>
      <c r="C470" s="6">
        <v>12</v>
      </c>
      <c r="D470" s="7">
        <v>20</v>
      </c>
      <c r="E470" s="6" t="s">
        <v>4778</v>
      </c>
      <c r="F470" s="6" t="s">
        <v>4508</v>
      </c>
      <c r="G470" s="6" t="s">
        <v>25</v>
      </c>
      <c r="H470" s="8"/>
      <c r="I470" s="8">
        <v>236190</v>
      </c>
      <c r="J470" s="6" t="s">
        <v>3138</v>
      </c>
      <c r="K470" s="6" t="s">
        <v>394</v>
      </c>
      <c r="L470" s="6" t="s">
        <v>4509</v>
      </c>
      <c r="M470" s="6" t="s">
        <v>4537</v>
      </c>
      <c r="N470" s="6" t="s">
        <v>394</v>
      </c>
      <c r="O470" s="29">
        <f t="shared" si="7"/>
        <v>247999.5</v>
      </c>
      <c r="Q470" s="30" t="s">
        <v>394</v>
      </c>
      <c r="R470" s="31">
        <v>247999.5</v>
      </c>
    </row>
    <row r="471" s="1" customFormat="1" ht="16.35" hidden="1" customHeight="1" spans="1:18">
      <c r="A471" s="6" t="s">
        <v>4506</v>
      </c>
      <c r="B471" s="6">
        <v>2016</v>
      </c>
      <c r="C471" s="6">
        <v>12</v>
      </c>
      <c r="D471" s="7">
        <v>21</v>
      </c>
      <c r="E471" s="6" t="s">
        <v>4779</v>
      </c>
      <c r="F471" s="6" t="s">
        <v>4508</v>
      </c>
      <c r="G471" s="6" t="s">
        <v>25</v>
      </c>
      <c r="H471" s="8"/>
      <c r="I471" s="8">
        <v>81905</v>
      </c>
      <c r="J471" s="6" t="s">
        <v>3244</v>
      </c>
      <c r="K471" s="6" t="s">
        <v>687</v>
      </c>
      <c r="L471" s="6" t="s">
        <v>4509</v>
      </c>
      <c r="M471" s="6" t="s">
        <v>4537</v>
      </c>
      <c r="N471" s="6" t="s">
        <v>687</v>
      </c>
      <c r="O471" s="29">
        <f t="shared" si="7"/>
        <v>86000.25</v>
      </c>
      <c r="Q471" s="30" t="s">
        <v>687</v>
      </c>
      <c r="R471" s="31">
        <v>86000.25</v>
      </c>
    </row>
    <row r="472" s="1" customFormat="1" ht="16.35" hidden="1" customHeight="1" spans="1:18">
      <c r="A472" s="6" t="s">
        <v>4506</v>
      </c>
      <c r="B472" s="6">
        <v>2016</v>
      </c>
      <c r="C472" s="6">
        <v>12</v>
      </c>
      <c r="D472" s="7">
        <v>22</v>
      </c>
      <c r="E472" s="6" t="s">
        <v>4780</v>
      </c>
      <c r="F472" s="6" t="s">
        <v>4508</v>
      </c>
      <c r="G472" s="6" t="s">
        <v>25</v>
      </c>
      <c r="H472" s="8"/>
      <c r="I472" s="8">
        <v>227619</v>
      </c>
      <c r="J472" s="6" t="s">
        <v>3644</v>
      </c>
      <c r="K472" s="6" t="s">
        <v>788</v>
      </c>
      <c r="L472" s="6" t="s">
        <v>4509</v>
      </c>
      <c r="M472" s="6" t="s">
        <v>4537</v>
      </c>
      <c r="N472" s="6" t="s">
        <v>788</v>
      </c>
      <c r="O472" s="29">
        <f t="shared" si="7"/>
        <v>238999.95</v>
      </c>
      <c r="Q472" s="30" t="s">
        <v>788</v>
      </c>
      <c r="R472" s="31">
        <v>238999.95</v>
      </c>
    </row>
    <row r="473" s="1" customFormat="1" ht="16.35" hidden="1" customHeight="1" spans="1:18">
      <c r="A473" s="6" t="s">
        <v>4506</v>
      </c>
      <c r="B473" s="6">
        <v>2016</v>
      </c>
      <c r="C473" s="6">
        <v>12</v>
      </c>
      <c r="D473" s="7">
        <v>23</v>
      </c>
      <c r="E473" s="6" t="s">
        <v>4781</v>
      </c>
      <c r="F473" s="6" t="s">
        <v>4508</v>
      </c>
      <c r="G473" s="6" t="s">
        <v>25</v>
      </c>
      <c r="H473" s="8"/>
      <c r="I473" s="8">
        <v>-152381</v>
      </c>
      <c r="J473" s="6" t="s">
        <v>3140</v>
      </c>
      <c r="K473" s="6" t="s">
        <v>525</v>
      </c>
      <c r="L473" s="6" t="s">
        <v>4509</v>
      </c>
      <c r="M473" s="6" t="s">
        <v>4537</v>
      </c>
      <c r="N473" s="6" t="s">
        <v>525</v>
      </c>
      <c r="O473" s="29">
        <f t="shared" ref="O473:O536" si="8">I473*1.05</f>
        <v>-160000.05</v>
      </c>
      <c r="Q473" s="30" t="s">
        <v>525</v>
      </c>
      <c r="R473" s="31">
        <v>-160000.05</v>
      </c>
    </row>
    <row r="474" s="1" customFormat="1" ht="16.35" hidden="1" customHeight="1" spans="1:18">
      <c r="A474" s="6" t="s">
        <v>4506</v>
      </c>
      <c r="B474" s="6">
        <v>2016</v>
      </c>
      <c r="C474" s="6">
        <v>12</v>
      </c>
      <c r="D474" s="7">
        <v>29</v>
      </c>
      <c r="E474" s="6" t="s">
        <v>4778</v>
      </c>
      <c r="F474" s="6" t="s">
        <v>4508</v>
      </c>
      <c r="G474" s="6" t="s">
        <v>25</v>
      </c>
      <c r="H474" s="8"/>
      <c r="I474" s="8">
        <v>1.9</v>
      </c>
      <c r="J474" s="6" t="s">
        <v>3138</v>
      </c>
      <c r="K474" s="6" t="s">
        <v>394</v>
      </c>
      <c r="L474" s="6" t="s">
        <v>4509</v>
      </c>
      <c r="M474" s="6" t="s">
        <v>4537</v>
      </c>
      <c r="N474" s="6" t="s">
        <v>394</v>
      </c>
      <c r="O474" s="29">
        <f>I474</f>
        <v>1.9</v>
      </c>
      <c r="Q474" s="30" t="s">
        <v>394</v>
      </c>
      <c r="R474" s="31">
        <v>1.995</v>
      </c>
    </row>
    <row r="475" s="1" customFormat="1" ht="16.35" hidden="1" customHeight="1" spans="1:18">
      <c r="A475" s="6" t="s">
        <v>4506</v>
      </c>
      <c r="B475" s="6">
        <v>2016</v>
      </c>
      <c r="C475" s="6">
        <v>12</v>
      </c>
      <c r="D475" s="7">
        <v>30</v>
      </c>
      <c r="E475" s="6" t="s">
        <v>4782</v>
      </c>
      <c r="F475" s="6" t="s">
        <v>4508</v>
      </c>
      <c r="G475" s="6" t="s">
        <v>25</v>
      </c>
      <c r="H475" s="8"/>
      <c r="I475" s="8">
        <v>9524</v>
      </c>
      <c r="J475" s="6" t="s">
        <v>3646</v>
      </c>
      <c r="K475" s="6" t="s">
        <v>735</v>
      </c>
      <c r="L475" s="6" t="s">
        <v>4509</v>
      </c>
      <c r="M475" s="6" t="s">
        <v>4537</v>
      </c>
      <c r="N475" s="6" t="s">
        <v>735</v>
      </c>
      <c r="O475" s="29">
        <f t="shared" si="8"/>
        <v>10000.2</v>
      </c>
      <c r="Q475" s="30" t="s">
        <v>735</v>
      </c>
      <c r="R475" s="31">
        <v>10000.2</v>
      </c>
    </row>
    <row r="476" s="1" customFormat="1" ht="16.35" hidden="1" customHeight="1" spans="1:18">
      <c r="A476" s="6" t="s">
        <v>4506</v>
      </c>
      <c r="B476" s="6">
        <v>2016</v>
      </c>
      <c r="C476" s="6">
        <v>12</v>
      </c>
      <c r="D476" s="7">
        <v>31</v>
      </c>
      <c r="E476" s="6" t="s">
        <v>4783</v>
      </c>
      <c r="F476" s="6" t="s">
        <v>4508</v>
      </c>
      <c r="G476" s="6" t="s">
        <v>25</v>
      </c>
      <c r="H476" s="8"/>
      <c r="I476" s="8">
        <v>17162</v>
      </c>
      <c r="J476" s="6" t="s">
        <v>3609</v>
      </c>
      <c r="K476" s="6" t="s">
        <v>763</v>
      </c>
      <c r="L476" s="6" t="s">
        <v>4509</v>
      </c>
      <c r="M476" s="6" t="s">
        <v>4537</v>
      </c>
      <c r="N476" s="6" t="s">
        <v>763</v>
      </c>
      <c r="O476" s="29">
        <f t="shared" si="8"/>
        <v>18020.1</v>
      </c>
      <c r="Q476" s="30" t="s">
        <v>763</v>
      </c>
      <c r="R476" s="31">
        <v>18020.1</v>
      </c>
    </row>
    <row r="477" s="1" customFormat="1" ht="16.35" hidden="1" customHeight="1" spans="1:18">
      <c r="A477" s="6" t="s">
        <v>4506</v>
      </c>
      <c r="B477" s="6">
        <v>2016</v>
      </c>
      <c r="C477" s="6">
        <v>12</v>
      </c>
      <c r="D477" s="7">
        <v>34</v>
      </c>
      <c r="E477" s="6" t="s">
        <v>4734</v>
      </c>
      <c r="F477" s="6" t="s">
        <v>4508</v>
      </c>
      <c r="G477" s="6" t="s">
        <v>25</v>
      </c>
      <c r="H477" s="8"/>
      <c r="I477" s="8">
        <v>216190</v>
      </c>
      <c r="J477" s="6" t="s">
        <v>3586</v>
      </c>
      <c r="K477" s="6" t="s">
        <v>782</v>
      </c>
      <c r="L477" s="6" t="s">
        <v>4509</v>
      </c>
      <c r="M477" s="6" t="s">
        <v>4537</v>
      </c>
      <c r="N477" s="6" t="s">
        <v>782</v>
      </c>
      <c r="O477" s="29">
        <f t="shared" si="8"/>
        <v>226999.5</v>
      </c>
      <c r="Q477" s="30" t="s">
        <v>782</v>
      </c>
      <c r="R477" s="31">
        <v>226999.5</v>
      </c>
    </row>
    <row r="478" s="1" customFormat="1" ht="16.35" hidden="1" customHeight="1" spans="1:18">
      <c r="A478" s="6" t="s">
        <v>4506</v>
      </c>
      <c r="B478" s="6">
        <v>2016</v>
      </c>
      <c r="C478" s="6">
        <v>12</v>
      </c>
      <c r="D478" s="7">
        <v>37</v>
      </c>
      <c r="E478" s="6" t="s">
        <v>4784</v>
      </c>
      <c r="F478" s="6" t="s">
        <v>4508</v>
      </c>
      <c r="G478" s="6" t="s">
        <v>25</v>
      </c>
      <c r="H478" s="8"/>
      <c r="I478" s="8">
        <v>817143</v>
      </c>
      <c r="J478" s="6" t="s">
        <v>3148</v>
      </c>
      <c r="K478" s="6" t="s">
        <v>4559</v>
      </c>
      <c r="L478" s="6" t="s">
        <v>4509</v>
      </c>
      <c r="M478" s="6" t="s">
        <v>4537</v>
      </c>
      <c r="N478" s="6" t="s">
        <v>4559</v>
      </c>
      <c r="O478" s="29">
        <f t="shared" si="8"/>
        <v>858000.15</v>
      </c>
      <c r="Q478" s="30" t="s">
        <v>4559</v>
      </c>
      <c r="R478" s="31">
        <v>858000.15</v>
      </c>
    </row>
    <row r="479" s="1" customFormat="1" ht="16.35" hidden="1" customHeight="1" spans="1:18">
      <c r="A479" s="6" t="s">
        <v>4506</v>
      </c>
      <c r="B479" s="6">
        <v>2016</v>
      </c>
      <c r="C479" s="6">
        <v>12</v>
      </c>
      <c r="D479" s="7">
        <v>48</v>
      </c>
      <c r="E479" s="6" t="s">
        <v>4785</v>
      </c>
      <c r="F479" s="6" t="s">
        <v>4508</v>
      </c>
      <c r="G479" s="6" t="s">
        <v>25</v>
      </c>
      <c r="H479" s="8"/>
      <c r="I479" s="8">
        <v>37233</v>
      </c>
      <c r="J479" s="6" t="s">
        <v>3650</v>
      </c>
      <c r="K479" s="6" t="s">
        <v>725</v>
      </c>
      <c r="L479" s="6" t="s">
        <v>4509</v>
      </c>
      <c r="M479" s="6" t="s">
        <v>4537</v>
      </c>
      <c r="N479" s="6" t="s">
        <v>725</v>
      </c>
      <c r="O479" s="29">
        <f t="shared" si="8"/>
        <v>39094.65</v>
      </c>
      <c r="Q479" s="30" t="s">
        <v>725</v>
      </c>
      <c r="R479" s="31">
        <v>39094.65</v>
      </c>
    </row>
    <row r="480" s="1" customFormat="1" ht="16.35" hidden="1" customHeight="1" spans="1:18">
      <c r="A480" s="6" t="s">
        <v>4506</v>
      </c>
      <c r="B480" s="6">
        <v>2016</v>
      </c>
      <c r="C480" s="6">
        <v>12</v>
      </c>
      <c r="D480" s="7">
        <v>49</v>
      </c>
      <c r="E480" s="6" t="s">
        <v>4786</v>
      </c>
      <c r="F480" s="6" t="s">
        <v>4508</v>
      </c>
      <c r="G480" s="6" t="s">
        <v>25</v>
      </c>
      <c r="H480" s="8"/>
      <c r="I480" s="8">
        <v>9524</v>
      </c>
      <c r="J480" s="6" t="s">
        <v>3242</v>
      </c>
      <c r="K480" s="6" t="s">
        <v>773</v>
      </c>
      <c r="L480" s="6" t="s">
        <v>4509</v>
      </c>
      <c r="M480" s="6" t="s">
        <v>4537</v>
      </c>
      <c r="N480" s="6" t="s">
        <v>773</v>
      </c>
      <c r="O480" s="29">
        <f t="shared" si="8"/>
        <v>10000.2</v>
      </c>
      <c r="Q480" s="30" t="s">
        <v>773</v>
      </c>
      <c r="R480" s="31">
        <v>10000.2</v>
      </c>
    </row>
    <row r="481" s="1" customFormat="1" ht="16.35" hidden="1" customHeight="1" spans="1:18">
      <c r="A481" s="6" t="s">
        <v>4506</v>
      </c>
      <c r="B481" s="6">
        <v>2016</v>
      </c>
      <c r="C481" s="6">
        <v>12</v>
      </c>
      <c r="D481" s="7">
        <v>50</v>
      </c>
      <c r="E481" s="6" t="s">
        <v>4787</v>
      </c>
      <c r="F481" s="6" t="s">
        <v>4508</v>
      </c>
      <c r="G481" s="6" t="s">
        <v>25</v>
      </c>
      <c r="H481" s="8"/>
      <c r="I481" s="8">
        <v>4762</v>
      </c>
      <c r="J481" s="6" t="s">
        <v>3243</v>
      </c>
      <c r="K481" s="6" t="s">
        <v>693</v>
      </c>
      <c r="L481" s="6" t="s">
        <v>4509</v>
      </c>
      <c r="M481" s="6" t="s">
        <v>4537</v>
      </c>
      <c r="N481" s="6" t="s">
        <v>693</v>
      </c>
      <c r="O481" s="29">
        <f t="shared" si="8"/>
        <v>5000.1</v>
      </c>
      <c r="Q481" s="30" t="s">
        <v>693</v>
      </c>
      <c r="R481" s="31">
        <v>5000.1</v>
      </c>
    </row>
    <row r="482" s="1" customFormat="1" ht="16.35" hidden="1" customHeight="1" spans="1:18">
      <c r="A482" s="6" t="s">
        <v>4506</v>
      </c>
      <c r="B482" s="6">
        <v>2016</v>
      </c>
      <c r="C482" s="6">
        <v>12</v>
      </c>
      <c r="D482" s="7">
        <v>51</v>
      </c>
      <c r="E482" s="6" t="s">
        <v>4786</v>
      </c>
      <c r="F482" s="6" t="s">
        <v>4508</v>
      </c>
      <c r="G482" s="6" t="s">
        <v>25</v>
      </c>
      <c r="H482" s="8"/>
      <c r="I482" s="8">
        <v>51762</v>
      </c>
      <c r="J482" s="6" t="s">
        <v>3242</v>
      </c>
      <c r="K482" s="6" t="s">
        <v>773</v>
      </c>
      <c r="L482" s="6" t="s">
        <v>4509</v>
      </c>
      <c r="M482" s="6" t="s">
        <v>4537</v>
      </c>
      <c r="N482" s="6" t="s">
        <v>773</v>
      </c>
      <c r="O482" s="29">
        <f t="shared" si="8"/>
        <v>54350.1</v>
      </c>
      <c r="Q482" s="30" t="s">
        <v>773</v>
      </c>
      <c r="R482" s="31">
        <v>54350.1</v>
      </c>
    </row>
    <row r="483" s="1" customFormat="1" ht="16.35" hidden="1" customHeight="1" spans="1:18">
      <c r="A483" s="6" t="s">
        <v>4506</v>
      </c>
      <c r="B483" s="6">
        <v>2016</v>
      </c>
      <c r="C483" s="6">
        <v>12</v>
      </c>
      <c r="D483" s="7">
        <v>53</v>
      </c>
      <c r="E483" s="6" t="s">
        <v>4771</v>
      </c>
      <c r="F483" s="6" t="s">
        <v>4508</v>
      </c>
      <c r="G483" s="6" t="s">
        <v>25</v>
      </c>
      <c r="H483" s="8"/>
      <c r="I483" s="8">
        <v>76190</v>
      </c>
      <c r="J483" s="6" t="s">
        <v>3629</v>
      </c>
      <c r="K483" s="6" t="s">
        <v>761</v>
      </c>
      <c r="L483" s="6" t="s">
        <v>4509</v>
      </c>
      <c r="M483" s="6" t="s">
        <v>4537</v>
      </c>
      <c r="N483" s="6" t="s">
        <v>761</v>
      </c>
      <c r="O483" s="29">
        <f t="shared" si="8"/>
        <v>79999.5</v>
      </c>
      <c r="Q483" s="30" t="s">
        <v>761</v>
      </c>
      <c r="R483" s="31">
        <v>79999.5</v>
      </c>
    </row>
    <row r="484" s="1" customFormat="1" ht="16.35" hidden="1" customHeight="1" spans="1:18">
      <c r="A484" s="6" t="s">
        <v>4506</v>
      </c>
      <c r="B484" s="6">
        <v>2016</v>
      </c>
      <c r="C484" s="6">
        <v>12</v>
      </c>
      <c r="D484" s="7">
        <v>71</v>
      </c>
      <c r="E484" s="6" t="s">
        <v>4788</v>
      </c>
      <c r="F484" s="6" t="s">
        <v>4508</v>
      </c>
      <c r="G484" s="6" t="s">
        <v>25</v>
      </c>
      <c r="H484" s="8"/>
      <c r="I484" s="8">
        <v>-95238</v>
      </c>
      <c r="J484" s="6" t="s">
        <v>3418</v>
      </c>
      <c r="K484" s="6" t="s">
        <v>601</v>
      </c>
      <c r="L484" s="6" t="s">
        <v>4509</v>
      </c>
      <c r="M484" s="6" t="s">
        <v>4537</v>
      </c>
      <c r="N484" s="6" t="s">
        <v>601</v>
      </c>
      <c r="O484" s="29">
        <f t="shared" si="8"/>
        <v>-99999.9</v>
      </c>
      <c r="Q484" s="30" t="s">
        <v>601</v>
      </c>
      <c r="R484" s="31">
        <v>-99999.9</v>
      </c>
    </row>
    <row r="485" s="1" customFormat="1" ht="16.35" hidden="1" customHeight="1" spans="1:18">
      <c r="A485" s="6" t="s">
        <v>4506</v>
      </c>
      <c r="B485" s="6">
        <v>2016</v>
      </c>
      <c r="C485" s="6">
        <v>12</v>
      </c>
      <c r="D485" s="7">
        <v>72</v>
      </c>
      <c r="E485" s="6" t="s">
        <v>4789</v>
      </c>
      <c r="F485" s="6" t="s">
        <v>4508</v>
      </c>
      <c r="G485" s="6" t="s">
        <v>25</v>
      </c>
      <c r="H485" s="8"/>
      <c r="I485" s="8">
        <v>-95238</v>
      </c>
      <c r="J485" s="6" t="s">
        <v>3312</v>
      </c>
      <c r="K485" s="6" t="s">
        <v>78</v>
      </c>
      <c r="L485" s="6" t="s">
        <v>4509</v>
      </c>
      <c r="M485" s="6" t="s">
        <v>4537</v>
      </c>
      <c r="N485" s="6" t="s">
        <v>78</v>
      </c>
      <c r="O485" s="29">
        <f t="shared" si="8"/>
        <v>-99999.9</v>
      </c>
      <c r="Q485" s="30" t="s">
        <v>78</v>
      </c>
      <c r="R485" s="31">
        <v>-99999.9</v>
      </c>
    </row>
    <row r="486" s="1" customFormat="1" ht="16.35" hidden="1" customHeight="1" spans="1:18">
      <c r="A486" s="6" t="s">
        <v>4506</v>
      </c>
      <c r="B486" s="6">
        <v>2016</v>
      </c>
      <c r="C486" s="6">
        <v>12</v>
      </c>
      <c r="D486" s="7">
        <v>73</v>
      </c>
      <c r="E486" s="6" t="s">
        <v>4790</v>
      </c>
      <c r="F486" s="6" t="s">
        <v>4508</v>
      </c>
      <c r="G486" s="6" t="s">
        <v>25</v>
      </c>
      <c r="H486" s="8"/>
      <c r="I486" s="8">
        <v>-194286</v>
      </c>
      <c r="J486" s="6" t="s">
        <v>3427</v>
      </c>
      <c r="K486" s="6" t="s">
        <v>82</v>
      </c>
      <c r="L486" s="6" t="s">
        <v>4509</v>
      </c>
      <c r="M486" s="6" t="s">
        <v>4537</v>
      </c>
      <c r="N486" s="6" t="s">
        <v>82</v>
      </c>
      <c r="O486" s="29">
        <f t="shared" si="8"/>
        <v>-204000.3</v>
      </c>
      <c r="Q486" s="30" t="s">
        <v>82</v>
      </c>
      <c r="R486" s="31">
        <v>-204000.3</v>
      </c>
    </row>
    <row r="487" s="1" customFormat="1" ht="16.35" hidden="1" customHeight="1" spans="1:18">
      <c r="A487" s="6" t="s">
        <v>4506</v>
      </c>
      <c r="B487" s="6">
        <v>2016</v>
      </c>
      <c r="C487" s="6">
        <v>12</v>
      </c>
      <c r="D487" s="7">
        <v>74</v>
      </c>
      <c r="E487" s="6" t="s">
        <v>4791</v>
      </c>
      <c r="F487" s="6" t="s">
        <v>4508</v>
      </c>
      <c r="G487" s="6" t="s">
        <v>25</v>
      </c>
      <c r="H487" s="8"/>
      <c r="I487" s="8">
        <v>-209524</v>
      </c>
      <c r="J487" s="6" t="s">
        <v>3285</v>
      </c>
      <c r="K487" s="6" t="s">
        <v>134</v>
      </c>
      <c r="L487" s="6" t="s">
        <v>4509</v>
      </c>
      <c r="M487" s="6" t="s">
        <v>4537</v>
      </c>
      <c r="N487" s="6" t="s">
        <v>134</v>
      </c>
      <c r="O487" s="29">
        <f t="shared" si="8"/>
        <v>-220000.2</v>
      </c>
      <c r="Q487" s="30" t="s">
        <v>134</v>
      </c>
      <c r="R487" s="31">
        <v>-220000.2</v>
      </c>
    </row>
    <row r="488" s="1" customFormat="1" ht="16.35" hidden="1" customHeight="1" spans="1:18">
      <c r="A488" s="6" t="s">
        <v>4506</v>
      </c>
      <c r="B488" s="6">
        <v>2016</v>
      </c>
      <c r="C488" s="6">
        <v>12</v>
      </c>
      <c r="D488" s="7">
        <v>75</v>
      </c>
      <c r="E488" s="6" t="s">
        <v>4792</v>
      </c>
      <c r="F488" s="6" t="s">
        <v>4508</v>
      </c>
      <c r="G488" s="6" t="s">
        <v>25</v>
      </c>
      <c r="H488" s="8"/>
      <c r="I488" s="8">
        <v>-5738</v>
      </c>
      <c r="J488" s="6" t="s">
        <v>3188</v>
      </c>
      <c r="K488" s="6" t="s">
        <v>58</v>
      </c>
      <c r="L488" s="6" t="s">
        <v>4509</v>
      </c>
      <c r="M488" s="6" t="s">
        <v>4537</v>
      </c>
      <c r="N488" s="6" t="s">
        <v>58</v>
      </c>
      <c r="O488" s="29">
        <f t="shared" si="8"/>
        <v>-6024.9</v>
      </c>
      <c r="Q488" s="30" t="s">
        <v>58</v>
      </c>
      <c r="R488" s="31">
        <v>-6024.9</v>
      </c>
    </row>
    <row r="489" s="1" customFormat="1" ht="16.35" hidden="1" customHeight="1" spans="1:18">
      <c r="A489" s="6" t="s">
        <v>4506</v>
      </c>
      <c r="B489" s="6">
        <v>2016</v>
      </c>
      <c r="C489" s="6">
        <v>12</v>
      </c>
      <c r="D489" s="7">
        <v>76</v>
      </c>
      <c r="E489" s="6" t="s">
        <v>4793</v>
      </c>
      <c r="F489" s="6" t="s">
        <v>4508</v>
      </c>
      <c r="G489" s="6" t="s">
        <v>25</v>
      </c>
      <c r="H489" s="8"/>
      <c r="I489" s="8">
        <v>262881</v>
      </c>
      <c r="J489" s="6" t="s">
        <v>3188</v>
      </c>
      <c r="K489" s="6" t="s">
        <v>58</v>
      </c>
      <c r="L489" s="6" t="s">
        <v>4509</v>
      </c>
      <c r="M489" s="6" t="s">
        <v>4537</v>
      </c>
      <c r="N489" s="6" t="s">
        <v>58</v>
      </c>
      <c r="O489" s="29">
        <f t="shared" si="8"/>
        <v>276025.05</v>
      </c>
      <c r="Q489" s="30" t="s">
        <v>58</v>
      </c>
      <c r="R489" s="31">
        <v>276025.05</v>
      </c>
    </row>
    <row r="490" s="1" customFormat="1" ht="16.35" hidden="1" customHeight="1" spans="1:18">
      <c r="A490" s="6" t="s">
        <v>4506</v>
      </c>
      <c r="B490" s="6">
        <v>2016</v>
      </c>
      <c r="C490" s="6">
        <v>12</v>
      </c>
      <c r="D490" s="7">
        <v>77</v>
      </c>
      <c r="E490" s="6" t="s">
        <v>4794</v>
      </c>
      <c r="F490" s="6" t="s">
        <v>4508</v>
      </c>
      <c r="G490" s="6" t="s">
        <v>25</v>
      </c>
      <c r="H490" s="8"/>
      <c r="I490" s="8">
        <v>261000</v>
      </c>
      <c r="J490" s="6" t="s">
        <v>3594</v>
      </c>
      <c r="K490" s="6" t="s">
        <v>775</v>
      </c>
      <c r="L490" s="6" t="s">
        <v>4509</v>
      </c>
      <c r="M490" s="6" t="s">
        <v>4537</v>
      </c>
      <c r="N490" s="6" t="s">
        <v>775</v>
      </c>
      <c r="O490" s="29">
        <f t="shared" si="8"/>
        <v>274050</v>
      </c>
      <c r="Q490" s="30" t="s">
        <v>775</v>
      </c>
      <c r="R490" s="31">
        <v>274050</v>
      </c>
    </row>
    <row r="491" s="1" customFormat="1" ht="16.35" hidden="1" customHeight="1" spans="1:18">
      <c r="A491" s="6" t="s">
        <v>4506</v>
      </c>
      <c r="B491" s="6">
        <v>2016</v>
      </c>
      <c r="C491" s="6">
        <v>12</v>
      </c>
      <c r="D491" s="7">
        <v>78</v>
      </c>
      <c r="E491" s="6" t="s">
        <v>4795</v>
      </c>
      <c r="F491" s="6" t="s">
        <v>4508</v>
      </c>
      <c r="G491" s="6" t="s">
        <v>25</v>
      </c>
      <c r="H491" s="8"/>
      <c r="I491" s="8">
        <v>275533</v>
      </c>
      <c r="J491" s="6" t="s">
        <v>3245</v>
      </c>
      <c r="K491" s="6" t="s">
        <v>628</v>
      </c>
      <c r="L491" s="6" t="s">
        <v>4509</v>
      </c>
      <c r="M491" s="6" t="s">
        <v>4537</v>
      </c>
      <c r="N491" s="6" t="s">
        <v>628</v>
      </c>
      <c r="O491" s="29">
        <f t="shared" si="8"/>
        <v>289309.65</v>
      </c>
      <c r="Q491" s="30" t="s">
        <v>628</v>
      </c>
      <c r="R491" s="31">
        <v>289309.65</v>
      </c>
    </row>
    <row r="492" s="1" customFormat="1" ht="16.35" hidden="1" customHeight="1" spans="1:18">
      <c r="A492" s="6" t="s">
        <v>4506</v>
      </c>
      <c r="B492" s="6">
        <v>2016</v>
      </c>
      <c r="C492" s="6">
        <v>12</v>
      </c>
      <c r="D492" s="7">
        <v>79</v>
      </c>
      <c r="E492" s="6" t="s">
        <v>4796</v>
      </c>
      <c r="F492" s="6" t="s">
        <v>4508</v>
      </c>
      <c r="G492" s="6" t="s">
        <v>25</v>
      </c>
      <c r="H492" s="8"/>
      <c r="I492" s="8">
        <v>238095</v>
      </c>
      <c r="J492" s="6" t="s">
        <v>3246</v>
      </c>
      <c r="K492" s="6" t="s">
        <v>567</v>
      </c>
      <c r="L492" s="6" t="s">
        <v>4509</v>
      </c>
      <c r="M492" s="6" t="s">
        <v>4537</v>
      </c>
      <c r="N492" s="6" t="s">
        <v>567</v>
      </c>
      <c r="O492" s="29">
        <f t="shared" si="8"/>
        <v>249999.75</v>
      </c>
      <c r="Q492" s="30" t="s">
        <v>567</v>
      </c>
      <c r="R492" s="31">
        <v>249999.75</v>
      </c>
    </row>
    <row r="493" s="1" customFormat="1" ht="16.35" hidden="1" customHeight="1" spans="1:18">
      <c r="A493" s="6" t="s">
        <v>4506</v>
      </c>
      <c r="B493" s="6">
        <v>2016</v>
      </c>
      <c r="C493" s="6">
        <v>12</v>
      </c>
      <c r="D493" s="7">
        <v>80</v>
      </c>
      <c r="E493" s="6" t="s">
        <v>4797</v>
      </c>
      <c r="F493" s="6" t="s">
        <v>4508</v>
      </c>
      <c r="G493" s="6" t="s">
        <v>25</v>
      </c>
      <c r="H493" s="8"/>
      <c r="I493" s="8">
        <v>195254</v>
      </c>
      <c r="J493" s="6" t="s">
        <v>3247</v>
      </c>
      <c r="K493" s="6" t="s">
        <v>110</v>
      </c>
      <c r="L493" s="6" t="s">
        <v>4509</v>
      </c>
      <c r="M493" s="6" t="s">
        <v>4537</v>
      </c>
      <c r="N493" s="6" t="s">
        <v>110</v>
      </c>
      <c r="O493" s="29">
        <f t="shared" si="8"/>
        <v>205016.7</v>
      </c>
      <c r="Q493" s="30" t="s">
        <v>110</v>
      </c>
      <c r="R493" s="31">
        <v>205016.7</v>
      </c>
    </row>
    <row r="494" s="1" customFormat="1" ht="16.35" hidden="1" customHeight="1" spans="1:18">
      <c r="A494" s="6" t="s">
        <v>4506</v>
      </c>
      <c r="B494" s="6">
        <v>2016</v>
      </c>
      <c r="C494" s="6">
        <v>12</v>
      </c>
      <c r="D494" s="7">
        <v>80</v>
      </c>
      <c r="E494" s="6" t="s">
        <v>4797</v>
      </c>
      <c r="F494" s="6" t="s">
        <v>4508</v>
      </c>
      <c r="G494" s="6" t="s">
        <v>25</v>
      </c>
      <c r="H494" s="8"/>
      <c r="I494" s="8">
        <v>261870</v>
      </c>
      <c r="J494" s="6" t="s">
        <v>3248</v>
      </c>
      <c r="K494" s="6" t="s">
        <v>88</v>
      </c>
      <c r="L494" s="6" t="s">
        <v>4509</v>
      </c>
      <c r="M494" s="6" t="s">
        <v>4537</v>
      </c>
      <c r="N494" s="6" t="s">
        <v>88</v>
      </c>
      <c r="O494" s="29">
        <f t="shared" si="8"/>
        <v>274963.5</v>
      </c>
      <c r="Q494" s="30" t="s">
        <v>88</v>
      </c>
      <c r="R494" s="31">
        <v>274963.5</v>
      </c>
    </row>
    <row r="495" s="1" customFormat="1" ht="16.35" hidden="1" customHeight="1" spans="1:18">
      <c r="A495" s="6" t="s">
        <v>4506</v>
      </c>
      <c r="B495" s="6">
        <v>2016</v>
      </c>
      <c r="C495" s="6">
        <v>12</v>
      </c>
      <c r="D495" s="7">
        <v>81</v>
      </c>
      <c r="E495" s="6" t="s">
        <v>4798</v>
      </c>
      <c r="F495" s="6" t="s">
        <v>4508</v>
      </c>
      <c r="G495" s="6" t="s">
        <v>25</v>
      </c>
      <c r="H495" s="8"/>
      <c r="I495" s="8">
        <v>368605</v>
      </c>
      <c r="J495" s="6" t="s">
        <v>3249</v>
      </c>
      <c r="K495" s="6" t="s">
        <v>140</v>
      </c>
      <c r="L495" s="6" t="s">
        <v>4509</v>
      </c>
      <c r="M495" s="6" t="s">
        <v>4537</v>
      </c>
      <c r="N495" s="6" t="s">
        <v>140</v>
      </c>
      <c r="O495" s="29">
        <f t="shared" si="8"/>
        <v>387035.25</v>
      </c>
      <c r="Q495" s="30" t="s">
        <v>140</v>
      </c>
      <c r="R495" s="31">
        <v>387035.25</v>
      </c>
    </row>
    <row r="496" s="1" customFormat="1" ht="16.35" hidden="1" customHeight="1" spans="1:18">
      <c r="A496" s="6" t="s">
        <v>4506</v>
      </c>
      <c r="B496" s="6">
        <v>2016</v>
      </c>
      <c r="C496" s="6">
        <v>12</v>
      </c>
      <c r="D496" s="7">
        <v>82</v>
      </c>
      <c r="E496" s="6" t="s">
        <v>4799</v>
      </c>
      <c r="F496" s="6" t="s">
        <v>4508</v>
      </c>
      <c r="G496" s="6" t="s">
        <v>25</v>
      </c>
      <c r="H496" s="8"/>
      <c r="I496" s="8">
        <v>278242</v>
      </c>
      <c r="J496" s="6" t="s">
        <v>3401</v>
      </c>
      <c r="K496" s="6" t="s">
        <v>86</v>
      </c>
      <c r="L496" s="6" t="s">
        <v>4509</v>
      </c>
      <c r="M496" s="6" t="s">
        <v>4537</v>
      </c>
      <c r="N496" s="6" t="s">
        <v>86</v>
      </c>
      <c r="O496" s="29">
        <f t="shared" si="8"/>
        <v>292154.1</v>
      </c>
      <c r="Q496" s="30" t="s">
        <v>86</v>
      </c>
      <c r="R496" s="31">
        <v>292154.1</v>
      </c>
    </row>
    <row r="497" s="1" customFormat="1" ht="16.35" hidden="1" customHeight="1" spans="1:18">
      <c r="A497" s="6" t="s">
        <v>4506</v>
      </c>
      <c r="B497" s="6">
        <v>2016</v>
      </c>
      <c r="C497" s="6">
        <v>12</v>
      </c>
      <c r="D497" s="7">
        <v>82</v>
      </c>
      <c r="E497" s="6" t="s">
        <v>4799</v>
      </c>
      <c r="F497" s="6" t="s">
        <v>4508</v>
      </c>
      <c r="G497" s="6" t="s">
        <v>25</v>
      </c>
      <c r="H497" s="8"/>
      <c r="I497" s="8">
        <v>259255</v>
      </c>
      <c r="J497" s="6" t="s">
        <v>4625</v>
      </c>
      <c r="K497" s="6" t="s">
        <v>571</v>
      </c>
      <c r="L497" s="6" t="s">
        <v>4509</v>
      </c>
      <c r="M497" s="6" t="s">
        <v>4537</v>
      </c>
      <c r="N497" s="6" t="s">
        <v>571</v>
      </c>
      <c r="O497" s="29">
        <f t="shared" si="8"/>
        <v>272217.75</v>
      </c>
      <c r="Q497" s="30" t="s">
        <v>571</v>
      </c>
      <c r="R497" s="31">
        <v>272217.75</v>
      </c>
    </row>
    <row r="498" s="1" customFormat="1" ht="16.35" hidden="1" customHeight="1" spans="1:19">
      <c r="A498" s="6" t="s">
        <v>4506</v>
      </c>
      <c r="B498" s="6">
        <v>2016</v>
      </c>
      <c r="C498" s="6">
        <v>12</v>
      </c>
      <c r="D498" s="7">
        <v>82</v>
      </c>
      <c r="E498" s="6" t="s">
        <v>4799</v>
      </c>
      <c r="F498" s="6" t="s">
        <v>4508</v>
      </c>
      <c r="G498" s="6" t="s">
        <v>25</v>
      </c>
      <c r="H498" s="8"/>
      <c r="I498" s="8">
        <v>441844</v>
      </c>
      <c r="J498" s="6" t="s">
        <v>3250</v>
      </c>
      <c r="K498" s="6" t="s">
        <v>369</v>
      </c>
      <c r="L498" s="6" t="s">
        <v>4509</v>
      </c>
      <c r="M498" s="6" t="s">
        <v>4537</v>
      </c>
      <c r="N498" s="6" t="s">
        <v>369</v>
      </c>
      <c r="O498" s="29">
        <f t="shared" si="8"/>
        <v>463936.2</v>
      </c>
      <c r="Q498" s="30" t="s">
        <v>369</v>
      </c>
      <c r="R498" s="31">
        <v>463936.2</v>
      </c>
      <c r="S498" s="1">
        <f>I498*0.05</f>
        <v>22092.2</v>
      </c>
    </row>
    <row r="499" s="1" customFormat="1" ht="16.35" hidden="1" customHeight="1" spans="1:18">
      <c r="A499" s="6" t="s">
        <v>4506</v>
      </c>
      <c r="B499" s="6">
        <v>2016</v>
      </c>
      <c r="C499" s="6">
        <v>12</v>
      </c>
      <c r="D499" s="7">
        <v>83</v>
      </c>
      <c r="E499" s="6" t="s">
        <v>4800</v>
      </c>
      <c r="F499" s="6" t="s">
        <v>4508</v>
      </c>
      <c r="G499" s="6" t="s">
        <v>25</v>
      </c>
      <c r="H499" s="8"/>
      <c r="I499" s="8">
        <v>274294</v>
      </c>
      <c r="J499" s="6" t="s">
        <v>3642</v>
      </c>
      <c r="K499" s="6" t="s">
        <v>822</v>
      </c>
      <c r="L499" s="6" t="s">
        <v>4509</v>
      </c>
      <c r="M499" s="6" t="s">
        <v>4537</v>
      </c>
      <c r="N499" s="6" t="s">
        <v>822</v>
      </c>
      <c r="O499" s="29">
        <f t="shared" si="8"/>
        <v>288008.7</v>
      </c>
      <c r="Q499" s="30" t="s">
        <v>822</v>
      </c>
      <c r="R499" s="31">
        <v>288008.7</v>
      </c>
    </row>
    <row r="500" s="1" customFormat="1" ht="16.35" hidden="1" customHeight="1" spans="1:18">
      <c r="A500" s="6" t="s">
        <v>4506</v>
      </c>
      <c r="B500" s="6">
        <v>2016</v>
      </c>
      <c r="C500" s="6">
        <v>12</v>
      </c>
      <c r="D500" s="7">
        <v>84</v>
      </c>
      <c r="E500" s="6" t="s">
        <v>4801</v>
      </c>
      <c r="F500" s="6" t="s">
        <v>4508</v>
      </c>
      <c r="G500" s="6" t="s">
        <v>25</v>
      </c>
      <c r="H500" s="8"/>
      <c r="I500" s="8">
        <v>278242</v>
      </c>
      <c r="J500" s="6" t="s">
        <v>3427</v>
      </c>
      <c r="K500" s="6" t="s">
        <v>82</v>
      </c>
      <c r="L500" s="6" t="s">
        <v>4509</v>
      </c>
      <c r="M500" s="6" t="s">
        <v>4537</v>
      </c>
      <c r="N500" s="6" t="s">
        <v>82</v>
      </c>
      <c r="O500" s="29">
        <f t="shared" si="8"/>
        <v>292154.1</v>
      </c>
      <c r="Q500" s="30" t="s">
        <v>82</v>
      </c>
      <c r="R500" s="31">
        <v>292154.1</v>
      </c>
    </row>
    <row r="501" s="1" customFormat="1" ht="16.35" hidden="1" customHeight="1" spans="1:18">
      <c r="A501" s="6" t="s">
        <v>4506</v>
      </c>
      <c r="B501" s="6">
        <v>2016</v>
      </c>
      <c r="C501" s="6">
        <v>12</v>
      </c>
      <c r="D501" s="7">
        <v>85</v>
      </c>
      <c r="E501" s="6" t="s">
        <v>4802</v>
      </c>
      <c r="F501" s="6" t="s">
        <v>4508</v>
      </c>
      <c r="G501" s="6" t="s">
        <v>25</v>
      </c>
      <c r="H501" s="8"/>
      <c r="I501" s="8">
        <v>256763</v>
      </c>
      <c r="J501" s="6" t="s">
        <v>3251</v>
      </c>
      <c r="K501" s="6" t="s">
        <v>69</v>
      </c>
      <c r="L501" s="6" t="s">
        <v>4509</v>
      </c>
      <c r="M501" s="6" t="s">
        <v>4537</v>
      </c>
      <c r="N501" s="6" t="s">
        <v>69</v>
      </c>
      <c r="O501" s="29">
        <f t="shared" si="8"/>
        <v>269601.15</v>
      </c>
      <c r="Q501" s="30" t="s">
        <v>69</v>
      </c>
      <c r="R501" s="31">
        <v>269601.15</v>
      </c>
    </row>
    <row r="502" s="1" customFormat="1" ht="16.35" hidden="1" customHeight="1" spans="1:18">
      <c r="A502" s="6" t="s">
        <v>4506</v>
      </c>
      <c r="B502" s="6">
        <v>2016</v>
      </c>
      <c r="C502" s="6">
        <v>12</v>
      </c>
      <c r="D502" s="7">
        <v>86</v>
      </c>
      <c r="E502" s="6" t="s">
        <v>4803</v>
      </c>
      <c r="F502" s="6" t="s">
        <v>4508</v>
      </c>
      <c r="G502" s="6" t="s">
        <v>25</v>
      </c>
      <c r="H502" s="8"/>
      <c r="I502" s="8">
        <v>301583</v>
      </c>
      <c r="J502" s="6" t="s">
        <v>3285</v>
      </c>
      <c r="K502" s="6" t="s">
        <v>134</v>
      </c>
      <c r="L502" s="6" t="s">
        <v>4509</v>
      </c>
      <c r="M502" s="6" t="s">
        <v>4537</v>
      </c>
      <c r="N502" s="6" t="s">
        <v>134</v>
      </c>
      <c r="O502" s="29">
        <f t="shared" si="8"/>
        <v>316662.15</v>
      </c>
      <c r="Q502" s="30" t="s">
        <v>134</v>
      </c>
      <c r="R502" s="31">
        <v>316662.15</v>
      </c>
    </row>
    <row r="503" s="1" customFormat="1" ht="16.35" hidden="1" customHeight="1" spans="1:18">
      <c r="A503" s="6" t="s">
        <v>4506</v>
      </c>
      <c r="B503" s="6">
        <v>2016</v>
      </c>
      <c r="C503" s="6">
        <v>12</v>
      </c>
      <c r="D503" s="7">
        <v>87</v>
      </c>
      <c r="E503" s="6" t="s">
        <v>4804</v>
      </c>
      <c r="F503" s="6" t="s">
        <v>4508</v>
      </c>
      <c r="G503" s="6" t="s">
        <v>25</v>
      </c>
      <c r="H503" s="8"/>
      <c r="I503" s="8">
        <v>53588</v>
      </c>
      <c r="J503" s="6" t="s">
        <v>3619</v>
      </c>
      <c r="K503" s="6" t="s">
        <v>882</v>
      </c>
      <c r="L503" s="6" t="s">
        <v>4509</v>
      </c>
      <c r="M503" s="6" t="s">
        <v>4537</v>
      </c>
      <c r="N503" s="6" t="s">
        <v>882</v>
      </c>
      <c r="O503" s="29">
        <f t="shared" si="8"/>
        <v>56267.4</v>
      </c>
      <c r="Q503" s="30" t="s">
        <v>882</v>
      </c>
      <c r="R503" s="31">
        <v>56267.4</v>
      </c>
    </row>
    <row r="504" s="1" customFormat="1" ht="16.35" hidden="1" customHeight="1" spans="1:18">
      <c r="A504" s="6" t="s">
        <v>4506</v>
      </c>
      <c r="B504" s="6">
        <v>2016</v>
      </c>
      <c r="C504" s="6">
        <v>12</v>
      </c>
      <c r="D504" s="7">
        <v>88</v>
      </c>
      <c r="E504" s="6" t="s">
        <v>4805</v>
      </c>
      <c r="F504" s="6" t="s">
        <v>4508</v>
      </c>
      <c r="G504" s="6" t="s">
        <v>25</v>
      </c>
      <c r="H504" s="8"/>
      <c r="I504" s="8">
        <v>32830</v>
      </c>
      <c r="J504" s="6" t="s">
        <v>3627</v>
      </c>
      <c r="K504" s="6" t="s">
        <v>765</v>
      </c>
      <c r="L504" s="6" t="s">
        <v>4509</v>
      </c>
      <c r="M504" s="6" t="s">
        <v>4537</v>
      </c>
      <c r="N504" s="6" t="s">
        <v>765</v>
      </c>
      <c r="O504" s="29">
        <f t="shared" si="8"/>
        <v>34471.5</v>
      </c>
      <c r="Q504" s="30" t="s">
        <v>765</v>
      </c>
      <c r="R504" s="31">
        <v>34471.5</v>
      </c>
    </row>
    <row r="505" s="1" customFormat="1" ht="16.35" hidden="1" customHeight="1" spans="1:18">
      <c r="A505" s="6" t="s">
        <v>4506</v>
      </c>
      <c r="B505" s="6">
        <v>2016</v>
      </c>
      <c r="C505" s="6">
        <v>12</v>
      </c>
      <c r="D505" s="7">
        <v>89</v>
      </c>
      <c r="E505" s="6" t="s">
        <v>4800</v>
      </c>
      <c r="F505" s="6" t="s">
        <v>4508</v>
      </c>
      <c r="G505" s="6" t="s">
        <v>25</v>
      </c>
      <c r="H505" s="8"/>
      <c r="I505" s="8">
        <v>114981</v>
      </c>
      <c r="J505" s="6" t="s">
        <v>3244</v>
      </c>
      <c r="K505" s="6" t="s">
        <v>687</v>
      </c>
      <c r="L505" s="6" t="s">
        <v>4509</v>
      </c>
      <c r="M505" s="6" t="s">
        <v>4537</v>
      </c>
      <c r="N505" s="6" t="s">
        <v>687</v>
      </c>
      <c r="O505" s="29">
        <f t="shared" si="8"/>
        <v>120730.05</v>
      </c>
      <c r="Q505" s="30" t="s">
        <v>687</v>
      </c>
      <c r="R505" s="31">
        <v>120730.05</v>
      </c>
    </row>
    <row r="506" s="1" customFormat="1" ht="16.35" hidden="1" customHeight="1" spans="1:18">
      <c r="A506" s="6" t="s">
        <v>4506</v>
      </c>
      <c r="B506" s="6">
        <v>2016</v>
      </c>
      <c r="C506" s="6">
        <v>12</v>
      </c>
      <c r="D506" s="7">
        <v>90</v>
      </c>
      <c r="E506" s="6" t="s">
        <v>4806</v>
      </c>
      <c r="F506" s="6" t="s">
        <v>4508</v>
      </c>
      <c r="G506" s="6" t="s">
        <v>25</v>
      </c>
      <c r="H506" s="8"/>
      <c r="I506" s="8">
        <v>63026</v>
      </c>
      <c r="J506" s="6" t="s">
        <v>3613</v>
      </c>
      <c r="K506" s="6" t="s">
        <v>794</v>
      </c>
      <c r="L506" s="6" t="s">
        <v>4509</v>
      </c>
      <c r="M506" s="6" t="s">
        <v>4537</v>
      </c>
      <c r="N506" s="6" t="s">
        <v>794</v>
      </c>
      <c r="O506" s="29">
        <f t="shared" si="8"/>
        <v>66177.3</v>
      </c>
      <c r="Q506" s="30" t="s">
        <v>794</v>
      </c>
      <c r="R506" s="31">
        <v>66177.3</v>
      </c>
    </row>
    <row r="507" s="1" customFormat="1" ht="16.35" hidden="1" customHeight="1" spans="1:18">
      <c r="A507" s="6" t="s">
        <v>4506</v>
      </c>
      <c r="B507" s="6">
        <v>2016</v>
      </c>
      <c r="C507" s="6">
        <v>12</v>
      </c>
      <c r="D507" s="7">
        <v>91</v>
      </c>
      <c r="E507" s="6" t="s">
        <v>4807</v>
      </c>
      <c r="F507" s="6" t="s">
        <v>4508</v>
      </c>
      <c r="G507" s="6" t="s">
        <v>25</v>
      </c>
      <c r="H507" s="8"/>
      <c r="I507" s="8">
        <v>43862</v>
      </c>
      <c r="J507" s="6" t="s">
        <v>3625</v>
      </c>
      <c r="K507" s="6" t="s">
        <v>842</v>
      </c>
      <c r="L507" s="6" t="s">
        <v>4509</v>
      </c>
      <c r="M507" s="6" t="s">
        <v>4537</v>
      </c>
      <c r="N507" s="6" t="s">
        <v>842</v>
      </c>
      <c r="O507" s="29">
        <f t="shared" si="8"/>
        <v>46055.1</v>
      </c>
      <c r="Q507" s="30" t="s">
        <v>842</v>
      </c>
      <c r="R507" s="31">
        <v>46055.1</v>
      </c>
    </row>
    <row r="508" s="1" customFormat="1" ht="16.35" hidden="1" customHeight="1" spans="1:18">
      <c r="A508" s="6" t="s">
        <v>4506</v>
      </c>
      <c r="B508" s="6">
        <v>2016</v>
      </c>
      <c r="C508" s="6">
        <v>12</v>
      </c>
      <c r="D508" s="7">
        <v>92</v>
      </c>
      <c r="E508" s="6" t="s">
        <v>4802</v>
      </c>
      <c r="F508" s="6" t="s">
        <v>4508</v>
      </c>
      <c r="G508" s="6" t="s">
        <v>25</v>
      </c>
      <c r="H508" s="8"/>
      <c r="I508" s="8">
        <v>48654</v>
      </c>
      <c r="J508" s="6" t="s">
        <v>3644</v>
      </c>
      <c r="K508" s="6" t="s">
        <v>788</v>
      </c>
      <c r="L508" s="6" t="s">
        <v>4509</v>
      </c>
      <c r="M508" s="6" t="s">
        <v>4537</v>
      </c>
      <c r="N508" s="6" t="s">
        <v>788</v>
      </c>
      <c r="O508" s="29">
        <f t="shared" si="8"/>
        <v>51086.7</v>
      </c>
      <c r="Q508" s="30" t="s">
        <v>788</v>
      </c>
      <c r="R508" s="31">
        <v>51086.7</v>
      </c>
    </row>
    <row r="509" s="1" customFormat="1" ht="16.35" hidden="1" customHeight="1" spans="1:18">
      <c r="A509" s="6" t="s">
        <v>4506</v>
      </c>
      <c r="B509" s="6">
        <v>2016</v>
      </c>
      <c r="C509" s="6">
        <v>12</v>
      </c>
      <c r="D509" s="7">
        <v>94</v>
      </c>
      <c r="E509" s="6" t="s">
        <v>4806</v>
      </c>
      <c r="F509" s="6" t="s">
        <v>4508</v>
      </c>
      <c r="G509" s="6" t="s">
        <v>25</v>
      </c>
      <c r="H509" s="8"/>
      <c r="I509" s="8">
        <v>283813</v>
      </c>
      <c r="J509" s="6" t="s">
        <v>3252</v>
      </c>
      <c r="K509" s="6" t="s">
        <v>790</v>
      </c>
      <c r="L509" s="6" t="s">
        <v>4509</v>
      </c>
      <c r="M509" s="6" t="s">
        <v>4537</v>
      </c>
      <c r="N509" s="6" t="s">
        <v>790</v>
      </c>
      <c r="O509" s="29">
        <f t="shared" si="8"/>
        <v>298003.65</v>
      </c>
      <c r="Q509" s="30" t="s">
        <v>790</v>
      </c>
      <c r="R509" s="31">
        <v>298003.65</v>
      </c>
    </row>
    <row r="510" s="1" customFormat="1" ht="16.35" hidden="1" customHeight="1" spans="1:18">
      <c r="A510" s="6" t="s">
        <v>4506</v>
      </c>
      <c r="B510" s="6">
        <v>2016</v>
      </c>
      <c r="C510" s="6">
        <v>12</v>
      </c>
      <c r="D510" s="7">
        <v>95</v>
      </c>
      <c r="E510" s="6" t="s">
        <v>4807</v>
      </c>
      <c r="F510" s="6" t="s">
        <v>4508</v>
      </c>
      <c r="G510" s="6" t="s">
        <v>25</v>
      </c>
      <c r="H510" s="8"/>
      <c r="I510" s="8">
        <v>284200</v>
      </c>
      <c r="J510" s="6" t="s">
        <v>3253</v>
      </c>
      <c r="K510" s="6" t="s">
        <v>792</v>
      </c>
      <c r="L510" s="6" t="s">
        <v>4509</v>
      </c>
      <c r="M510" s="6" t="s">
        <v>4537</v>
      </c>
      <c r="N510" s="6" t="s">
        <v>792</v>
      </c>
      <c r="O510" s="29">
        <f t="shared" si="8"/>
        <v>298410</v>
      </c>
      <c r="Q510" s="30" t="s">
        <v>792</v>
      </c>
      <c r="R510" s="31">
        <v>298410</v>
      </c>
    </row>
    <row r="511" s="1" customFormat="1" ht="16.35" hidden="1" customHeight="1" spans="1:18">
      <c r="A511" s="6" t="s">
        <v>4506</v>
      </c>
      <c r="B511" s="6">
        <v>2016</v>
      </c>
      <c r="C511" s="6">
        <v>12</v>
      </c>
      <c r="D511" s="7">
        <v>96</v>
      </c>
      <c r="E511" s="6" t="s">
        <v>4797</v>
      </c>
      <c r="F511" s="6" t="s">
        <v>4508</v>
      </c>
      <c r="G511" s="6" t="s">
        <v>25</v>
      </c>
      <c r="H511" s="8"/>
      <c r="I511" s="8">
        <v>266734</v>
      </c>
      <c r="J511" s="6" t="s">
        <v>3648</v>
      </c>
      <c r="K511" s="6" t="s">
        <v>806</v>
      </c>
      <c r="L511" s="6" t="s">
        <v>4509</v>
      </c>
      <c r="M511" s="6" t="s">
        <v>4537</v>
      </c>
      <c r="N511" s="6" t="s">
        <v>806</v>
      </c>
      <c r="O511" s="29">
        <f t="shared" si="8"/>
        <v>280070.7</v>
      </c>
      <c r="Q511" s="30" t="s">
        <v>806</v>
      </c>
      <c r="R511" s="31">
        <v>280070.7</v>
      </c>
    </row>
    <row r="512" s="1" customFormat="1" ht="16.35" hidden="1" customHeight="1" spans="1:18">
      <c r="A512" s="6" t="s">
        <v>4506</v>
      </c>
      <c r="B512" s="6">
        <v>2016</v>
      </c>
      <c r="C512" s="6">
        <v>12</v>
      </c>
      <c r="D512" s="7">
        <v>97</v>
      </c>
      <c r="E512" s="6" t="s">
        <v>4804</v>
      </c>
      <c r="F512" s="6" t="s">
        <v>4508</v>
      </c>
      <c r="G512" s="6" t="s">
        <v>25</v>
      </c>
      <c r="H512" s="8"/>
      <c r="I512" s="8">
        <v>423971</v>
      </c>
      <c r="J512" s="6" t="s">
        <v>3254</v>
      </c>
      <c r="K512" s="6" t="s">
        <v>367</v>
      </c>
      <c r="L512" s="6" t="s">
        <v>4509</v>
      </c>
      <c r="M512" s="6" t="s">
        <v>4537</v>
      </c>
      <c r="N512" s="6" t="s">
        <v>367</v>
      </c>
      <c r="O512" s="29">
        <f t="shared" si="8"/>
        <v>445169.55</v>
      </c>
      <c r="Q512" s="30" t="s">
        <v>367</v>
      </c>
      <c r="R512" s="31">
        <v>445169.55</v>
      </c>
    </row>
    <row r="513" s="1" customFormat="1" ht="16.35" hidden="1" customHeight="1" spans="1:18">
      <c r="A513" s="6" t="s">
        <v>4506</v>
      </c>
      <c r="B513" s="6">
        <v>2016</v>
      </c>
      <c r="C513" s="6">
        <v>12</v>
      </c>
      <c r="D513" s="7">
        <v>98</v>
      </c>
      <c r="E513" s="6" t="s">
        <v>4808</v>
      </c>
      <c r="F513" s="6" t="s">
        <v>4508</v>
      </c>
      <c r="G513" s="6" t="s">
        <v>25</v>
      </c>
      <c r="H513" s="8"/>
      <c r="I513" s="8">
        <v>238095</v>
      </c>
      <c r="J513" s="6" t="s">
        <v>3255</v>
      </c>
      <c r="K513" s="6" t="s">
        <v>605</v>
      </c>
      <c r="L513" s="6" t="s">
        <v>4509</v>
      </c>
      <c r="M513" s="6" t="s">
        <v>4537</v>
      </c>
      <c r="N513" s="6" t="s">
        <v>605</v>
      </c>
      <c r="O513" s="29">
        <f t="shared" si="8"/>
        <v>249999.75</v>
      </c>
      <c r="Q513" s="30" t="s">
        <v>605</v>
      </c>
      <c r="R513" s="31">
        <v>249999.75</v>
      </c>
    </row>
    <row r="514" s="1" customFormat="1" ht="16.35" hidden="1" customHeight="1" spans="1:18">
      <c r="A514" s="6" t="s">
        <v>4506</v>
      </c>
      <c r="B514" s="6">
        <v>2016</v>
      </c>
      <c r="C514" s="6">
        <v>12</v>
      </c>
      <c r="D514" s="7">
        <v>99</v>
      </c>
      <c r="E514" s="6" t="s">
        <v>4809</v>
      </c>
      <c r="F514" s="6" t="s">
        <v>4508</v>
      </c>
      <c r="G514" s="6" t="s">
        <v>25</v>
      </c>
      <c r="H514" s="8"/>
      <c r="I514" s="8">
        <v>256395</v>
      </c>
      <c r="J514" s="6" t="s">
        <v>3418</v>
      </c>
      <c r="K514" s="6" t="s">
        <v>601</v>
      </c>
      <c r="L514" s="6" t="s">
        <v>4509</v>
      </c>
      <c r="M514" s="6" t="s">
        <v>4537</v>
      </c>
      <c r="N514" s="6" t="s">
        <v>601</v>
      </c>
      <c r="O514" s="29">
        <f t="shared" si="8"/>
        <v>269214.75</v>
      </c>
      <c r="Q514" s="30" t="s">
        <v>601</v>
      </c>
      <c r="R514" s="31">
        <v>269214.75</v>
      </c>
    </row>
    <row r="515" s="1" customFormat="1" ht="16.35" hidden="1" customHeight="1" spans="1:18">
      <c r="A515" s="6" t="s">
        <v>4506</v>
      </c>
      <c r="B515" s="6">
        <v>2016</v>
      </c>
      <c r="C515" s="6">
        <v>12</v>
      </c>
      <c r="D515" s="7">
        <v>99</v>
      </c>
      <c r="E515" s="6" t="s">
        <v>4809</v>
      </c>
      <c r="F515" s="6" t="s">
        <v>4508</v>
      </c>
      <c r="G515" s="6" t="s">
        <v>25</v>
      </c>
      <c r="H515" s="8"/>
      <c r="I515" s="8">
        <v>273360</v>
      </c>
      <c r="J515" s="6" t="s">
        <v>3312</v>
      </c>
      <c r="K515" s="6" t="s">
        <v>78</v>
      </c>
      <c r="L515" s="6" t="s">
        <v>4509</v>
      </c>
      <c r="M515" s="6" t="s">
        <v>4537</v>
      </c>
      <c r="N515" s="6" t="s">
        <v>78</v>
      </c>
      <c r="O515" s="29">
        <f t="shared" si="8"/>
        <v>287028</v>
      </c>
      <c r="Q515" s="30" t="s">
        <v>78</v>
      </c>
      <c r="R515" s="31">
        <v>287028</v>
      </c>
    </row>
    <row r="516" s="1" customFormat="1" ht="16.35" hidden="1" customHeight="1" spans="1:18">
      <c r="A516" s="6" t="s">
        <v>4506</v>
      </c>
      <c r="B516" s="6">
        <v>2016</v>
      </c>
      <c r="C516" s="6">
        <v>12</v>
      </c>
      <c r="D516" s="7">
        <v>100</v>
      </c>
      <c r="E516" s="6" t="s">
        <v>4810</v>
      </c>
      <c r="F516" s="6" t="s">
        <v>4508</v>
      </c>
      <c r="G516" s="6" t="s">
        <v>25</v>
      </c>
      <c r="H516" s="8"/>
      <c r="I516" s="8">
        <v>209338</v>
      </c>
      <c r="J516" s="6" t="s">
        <v>3256</v>
      </c>
      <c r="K516" s="6" t="s">
        <v>715</v>
      </c>
      <c r="L516" s="6" t="s">
        <v>4509</v>
      </c>
      <c r="M516" s="6" t="s">
        <v>4537</v>
      </c>
      <c r="N516" s="6" t="s">
        <v>715</v>
      </c>
      <c r="O516" s="29">
        <f t="shared" si="8"/>
        <v>219804.9</v>
      </c>
      <c r="Q516" s="30" t="s">
        <v>715</v>
      </c>
      <c r="R516" s="31">
        <v>219804.9</v>
      </c>
    </row>
    <row r="517" s="1" customFormat="1" ht="16.35" hidden="1" customHeight="1" spans="1:18">
      <c r="A517" s="6" t="s">
        <v>4506</v>
      </c>
      <c r="B517" s="6">
        <v>2016</v>
      </c>
      <c r="C517" s="6">
        <v>12</v>
      </c>
      <c r="D517" s="7">
        <v>101</v>
      </c>
      <c r="E517" s="6" t="s">
        <v>4807</v>
      </c>
      <c r="F517" s="6" t="s">
        <v>4508</v>
      </c>
      <c r="G517" s="6" t="s">
        <v>25</v>
      </c>
      <c r="H517" s="8"/>
      <c r="I517" s="8">
        <v>266880</v>
      </c>
      <c r="J517" s="6" t="s">
        <v>3384</v>
      </c>
      <c r="K517" s="6" t="s">
        <v>583</v>
      </c>
      <c r="L517" s="6" t="s">
        <v>4509</v>
      </c>
      <c r="M517" s="6" t="s">
        <v>4537</v>
      </c>
      <c r="N517" s="6" t="s">
        <v>583</v>
      </c>
      <c r="O517" s="29">
        <f t="shared" si="8"/>
        <v>280224</v>
      </c>
      <c r="Q517" s="30" t="s">
        <v>583</v>
      </c>
      <c r="R517" s="31">
        <v>280224</v>
      </c>
    </row>
    <row r="518" s="1" customFormat="1" ht="16.35" hidden="1" customHeight="1" spans="1:18">
      <c r="A518" s="6" t="s">
        <v>4506</v>
      </c>
      <c r="B518" s="6">
        <v>2016</v>
      </c>
      <c r="C518" s="6">
        <v>12</v>
      </c>
      <c r="D518" s="7">
        <v>102</v>
      </c>
      <c r="E518" s="6" t="s">
        <v>4805</v>
      </c>
      <c r="F518" s="6" t="s">
        <v>4508</v>
      </c>
      <c r="G518" s="6" t="s">
        <v>25</v>
      </c>
      <c r="H518" s="8"/>
      <c r="I518" s="8">
        <v>238286</v>
      </c>
      <c r="J518" s="6" t="s">
        <v>3491</v>
      </c>
      <c r="K518" s="6" t="s">
        <v>569</v>
      </c>
      <c r="L518" s="6" t="s">
        <v>4509</v>
      </c>
      <c r="M518" s="6" t="s">
        <v>4537</v>
      </c>
      <c r="N518" s="6" t="s">
        <v>569</v>
      </c>
      <c r="O518" s="29">
        <f t="shared" si="8"/>
        <v>250200.3</v>
      </c>
      <c r="Q518" s="30" t="s">
        <v>569</v>
      </c>
      <c r="R518" s="31">
        <v>250200.3</v>
      </c>
    </row>
    <row r="519" s="1" customFormat="1" ht="16.35" hidden="1" customHeight="1" spans="1:18">
      <c r="A519" s="6" t="s">
        <v>4506</v>
      </c>
      <c r="B519" s="6">
        <v>2016</v>
      </c>
      <c r="C519" s="6">
        <v>12</v>
      </c>
      <c r="D519" s="7">
        <v>103</v>
      </c>
      <c r="E519" s="6" t="s">
        <v>4811</v>
      </c>
      <c r="F519" s="6" t="s">
        <v>4508</v>
      </c>
      <c r="G519" s="6" t="s">
        <v>25</v>
      </c>
      <c r="H519" s="8"/>
      <c r="I519" s="8">
        <v>282847</v>
      </c>
      <c r="J519" s="6" t="s">
        <v>3621</v>
      </c>
      <c r="K519" s="6" t="s">
        <v>860</v>
      </c>
      <c r="L519" s="6" t="s">
        <v>4509</v>
      </c>
      <c r="M519" s="6" t="s">
        <v>4537</v>
      </c>
      <c r="N519" s="6" t="s">
        <v>860</v>
      </c>
      <c r="O519" s="29">
        <f t="shared" si="8"/>
        <v>296989.35</v>
      </c>
      <c r="Q519" s="30" t="s">
        <v>860</v>
      </c>
      <c r="R519" s="31">
        <v>296989.35</v>
      </c>
    </row>
    <row r="520" s="1" customFormat="1" ht="16.35" hidden="1" customHeight="1" spans="1:18">
      <c r="A520" s="6" t="s">
        <v>4506</v>
      </c>
      <c r="B520" s="6">
        <v>2016</v>
      </c>
      <c r="C520" s="6">
        <v>12</v>
      </c>
      <c r="D520" s="7">
        <v>104</v>
      </c>
      <c r="E520" s="6" t="s">
        <v>4812</v>
      </c>
      <c r="F520" s="6" t="s">
        <v>4508</v>
      </c>
      <c r="G520" s="6" t="s">
        <v>25</v>
      </c>
      <c r="H520" s="8"/>
      <c r="I520" s="8">
        <v>76381</v>
      </c>
      <c r="J520" s="6" t="s">
        <v>3489</v>
      </c>
      <c r="K520" s="6" t="s">
        <v>603</v>
      </c>
      <c r="L520" s="6" t="s">
        <v>4509</v>
      </c>
      <c r="M520" s="6" t="s">
        <v>4537</v>
      </c>
      <c r="N520" s="6" t="s">
        <v>603</v>
      </c>
      <c r="O520" s="29">
        <f t="shared" si="8"/>
        <v>80200.05</v>
      </c>
      <c r="Q520" s="30" t="s">
        <v>603</v>
      </c>
      <c r="R520" s="31">
        <v>80200.05</v>
      </c>
    </row>
    <row r="521" s="1" customFormat="1" ht="16.35" hidden="1" customHeight="1" spans="1:18">
      <c r="A521" s="6" t="s">
        <v>4506</v>
      </c>
      <c r="B521" s="6">
        <v>2016</v>
      </c>
      <c r="C521" s="6">
        <v>12</v>
      </c>
      <c r="D521" s="7">
        <v>105</v>
      </c>
      <c r="E521" s="6" t="s">
        <v>4813</v>
      </c>
      <c r="F521" s="6" t="s">
        <v>4508</v>
      </c>
      <c r="G521" s="6" t="s">
        <v>25</v>
      </c>
      <c r="H521" s="8"/>
      <c r="I521" s="8">
        <v>295179</v>
      </c>
      <c r="J521" s="6" t="s">
        <v>3257</v>
      </c>
      <c r="K521" s="6" t="s">
        <v>828</v>
      </c>
      <c r="L521" s="6" t="s">
        <v>4509</v>
      </c>
      <c r="M521" s="6" t="s">
        <v>4537</v>
      </c>
      <c r="N521" s="6" t="s">
        <v>828</v>
      </c>
      <c r="O521" s="29">
        <f t="shared" si="8"/>
        <v>309937.95</v>
      </c>
      <c r="Q521" s="30" t="s">
        <v>828</v>
      </c>
      <c r="R521" s="31">
        <v>309937.95</v>
      </c>
    </row>
    <row r="522" s="1" customFormat="1" ht="16.35" hidden="1" customHeight="1" spans="1:18">
      <c r="A522" s="6" t="s">
        <v>4506</v>
      </c>
      <c r="B522" s="6">
        <v>2016</v>
      </c>
      <c r="C522" s="6">
        <v>12</v>
      </c>
      <c r="D522" s="7">
        <v>107</v>
      </c>
      <c r="E522" s="6" t="s">
        <v>4814</v>
      </c>
      <c r="F522" s="6" t="s">
        <v>4508</v>
      </c>
      <c r="G522" s="6" t="s">
        <v>25</v>
      </c>
      <c r="H522" s="8"/>
      <c r="I522" s="8">
        <v>-179162</v>
      </c>
      <c r="J522" s="6" t="s">
        <v>3384</v>
      </c>
      <c r="K522" s="6" t="s">
        <v>583</v>
      </c>
      <c r="L522" s="6" t="s">
        <v>4509</v>
      </c>
      <c r="M522" s="6" t="s">
        <v>4537</v>
      </c>
      <c r="N522" s="6" t="s">
        <v>583</v>
      </c>
      <c r="O522" s="29">
        <f t="shared" si="8"/>
        <v>-188120.1</v>
      </c>
      <c r="Q522" s="30" t="s">
        <v>583</v>
      </c>
      <c r="R522" s="31">
        <v>-188120.1</v>
      </c>
    </row>
    <row r="523" s="1" customFormat="1" ht="16.35" hidden="1" customHeight="1" spans="1:19">
      <c r="A523" s="6" t="s">
        <v>4506</v>
      </c>
      <c r="B523" s="6">
        <v>2017</v>
      </c>
      <c r="C523" s="6">
        <v>1</v>
      </c>
      <c r="D523" s="7">
        <v>1</v>
      </c>
      <c r="E523" s="6" t="s">
        <v>4815</v>
      </c>
      <c r="F523" s="6" t="s">
        <v>4508</v>
      </c>
      <c r="G523" s="6" t="s">
        <v>25</v>
      </c>
      <c r="H523" s="8"/>
      <c r="I523" s="8">
        <v>-15152</v>
      </c>
      <c r="J523" s="6" t="s">
        <v>3114</v>
      </c>
      <c r="K523" s="6" t="s">
        <v>4536</v>
      </c>
      <c r="L523" s="6" t="s">
        <v>4509</v>
      </c>
      <c r="M523" s="6" t="s">
        <v>4537</v>
      </c>
      <c r="N523" s="6" t="s">
        <v>4536</v>
      </c>
      <c r="O523" s="29">
        <f t="shared" si="8"/>
        <v>-15909.6</v>
      </c>
      <c r="Q523" s="30" t="s">
        <v>4536</v>
      </c>
      <c r="R523" s="31">
        <v>-15909.6</v>
      </c>
      <c r="S523" s="1">
        <f>R523-I523</f>
        <v>-757.6</v>
      </c>
    </row>
    <row r="524" s="1" customFormat="1" ht="16.35" hidden="1" customHeight="1" spans="1:18">
      <c r="A524" s="6" t="s">
        <v>4506</v>
      </c>
      <c r="B524" s="6">
        <v>2017</v>
      </c>
      <c r="C524" s="6">
        <v>1</v>
      </c>
      <c r="D524" s="7">
        <v>2</v>
      </c>
      <c r="E524" s="6" t="s">
        <v>4816</v>
      </c>
      <c r="F524" s="6" t="s">
        <v>4508</v>
      </c>
      <c r="G524" s="6" t="s">
        <v>25</v>
      </c>
      <c r="H524" s="8"/>
      <c r="I524" s="8">
        <v>-219048</v>
      </c>
      <c r="J524" s="6" t="s">
        <v>3253</v>
      </c>
      <c r="K524" s="6" t="s">
        <v>792</v>
      </c>
      <c r="L524" s="6" t="s">
        <v>4509</v>
      </c>
      <c r="M524" s="6" t="s">
        <v>4537</v>
      </c>
      <c r="N524" s="6" t="s">
        <v>792</v>
      </c>
      <c r="O524" s="29">
        <f t="shared" si="8"/>
        <v>-230000.4</v>
      </c>
      <c r="Q524" s="30" t="s">
        <v>792</v>
      </c>
      <c r="R524" s="31">
        <v>-230000.4</v>
      </c>
    </row>
    <row r="525" s="1" customFormat="1" ht="16.35" hidden="1" customHeight="1" spans="1:18">
      <c r="A525" s="6" t="s">
        <v>4506</v>
      </c>
      <c r="B525" s="6">
        <v>2017</v>
      </c>
      <c r="C525" s="6">
        <v>1</v>
      </c>
      <c r="D525" s="7">
        <v>3</v>
      </c>
      <c r="E525" s="6" t="s">
        <v>4716</v>
      </c>
      <c r="F525" s="6" t="s">
        <v>4508</v>
      </c>
      <c r="G525" s="6" t="s">
        <v>25</v>
      </c>
      <c r="H525" s="8"/>
      <c r="I525" s="8">
        <v>6563</v>
      </c>
      <c r="J525" s="6" t="s">
        <v>3569</v>
      </c>
      <c r="K525" s="6" t="s">
        <v>759</v>
      </c>
      <c r="L525" s="6" t="s">
        <v>4509</v>
      </c>
      <c r="M525" s="6" t="s">
        <v>4537</v>
      </c>
      <c r="N525" s="6" t="s">
        <v>759</v>
      </c>
      <c r="O525" s="29">
        <f t="shared" si="8"/>
        <v>6891.15</v>
      </c>
      <c r="Q525" s="30" t="s">
        <v>759</v>
      </c>
      <c r="R525" s="31">
        <v>6891.15</v>
      </c>
    </row>
    <row r="526" s="1" customFormat="1" ht="16.35" hidden="1" customHeight="1" spans="1:18">
      <c r="A526" s="6" t="s">
        <v>4506</v>
      </c>
      <c r="B526" s="6">
        <v>2017</v>
      </c>
      <c r="C526" s="6">
        <v>1</v>
      </c>
      <c r="D526" s="7">
        <v>4</v>
      </c>
      <c r="E526" s="6" t="s">
        <v>4783</v>
      </c>
      <c r="F526" s="6" t="s">
        <v>4508</v>
      </c>
      <c r="G526" s="6" t="s">
        <v>25</v>
      </c>
      <c r="H526" s="8"/>
      <c r="I526" s="8">
        <v>140952</v>
      </c>
      <c r="J526" s="6" t="s">
        <v>3609</v>
      </c>
      <c r="K526" s="6" t="s">
        <v>763</v>
      </c>
      <c r="L526" s="6" t="s">
        <v>4509</v>
      </c>
      <c r="M526" s="6" t="s">
        <v>4537</v>
      </c>
      <c r="N526" s="6" t="s">
        <v>763</v>
      </c>
      <c r="O526" s="29">
        <f t="shared" si="8"/>
        <v>147999.6</v>
      </c>
      <c r="Q526" s="30" t="s">
        <v>763</v>
      </c>
      <c r="R526" s="31">
        <v>147999.6</v>
      </c>
    </row>
    <row r="527" s="1" customFormat="1" ht="16.35" hidden="1" customHeight="1" spans="1:18">
      <c r="A527" s="6" t="s">
        <v>4506</v>
      </c>
      <c r="B527" s="6">
        <v>2017</v>
      </c>
      <c r="C527" s="6">
        <v>1</v>
      </c>
      <c r="D527" s="7">
        <v>5</v>
      </c>
      <c r="E527" s="6" t="s">
        <v>4782</v>
      </c>
      <c r="F527" s="6" t="s">
        <v>4508</v>
      </c>
      <c r="G527" s="6" t="s">
        <v>25</v>
      </c>
      <c r="H527" s="8"/>
      <c r="I527" s="8">
        <v>30387</v>
      </c>
      <c r="J527" s="6" t="s">
        <v>3646</v>
      </c>
      <c r="K527" s="6" t="s">
        <v>735</v>
      </c>
      <c r="L527" s="6" t="s">
        <v>4509</v>
      </c>
      <c r="M527" s="6" t="s">
        <v>4537</v>
      </c>
      <c r="N527" s="6" t="s">
        <v>735</v>
      </c>
      <c r="O527" s="29">
        <f t="shared" si="8"/>
        <v>31906.35</v>
      </c>
      <c r="Q527" s="30" t="s">
        <v>735</v>
      </c>
      <c r="R527" s="31">
        <v>31906.35</v>
      </c>
    </row>
    <row r="528" s="1" customFormat="1" ht="16.35" hidden="1" customHeight="1" spans="1:18">
      <c r="A528" s="6" t="s">
        <v>4506</v>
      </c>
      <c r="B528" s="6">
        <v>2017</v>
      </c>
      <c r="C528" s="6">
        <v>1</v>
      </c>
      <c r="D528" s="7">
        <v>6</v>
      </c>
      <c r="E528" s="6" t="s">
        <v>4817</v>
      </c>
      <c r="F528" s="6" t="s">
        <v>4508</v>
      </c>
      <c r="G528" s="6" t="s">
        <v>25</v>
      </c>
      <c r="H528" s="8"/>
      <c r="I528" s="8">
        <v>38095</v>
      </c>
      <c r="J528" s="6" t="s">
        <v>3799</v>
      </c>
      <c r="K528" s="6" t="s">
        <v>838</v>
      </c>
      <c r="L528" s="6" t="s">
        <v>4509</v>
      </c>
      <c r="M528" s="6" t="s">
        <v>4537</v>
      </c>
      <c r="N528" s="6" t="s">
        <v>838</v>
      </c>
      <c r="O528" s="29">
        <f t="shared" si="8"/>
        <v>39999.75</v>
      </c>
      <c r="Q528" s="30" t="s">
        <v>838</v>
      </c>
      <c r="R528" s="31">
        <v>39999.75</v>
      </c>
    </row>
    <row r="529" s="1" customFormat="1" ht="16.35" hidden="1" customHeight="1" spans="1:18">
      <c r="A529" s="6" t="s">
        <v>4506</v>
      </c>
      <c r="B529" s="6">
        <v>2017</v>
      </c>
      <c r="C529" s="6">
        <v>1</v>
      </c>
      <c r="D529" s="7">
        <v>7</v>
      </c>
      <c r="E529" s="6" t="s">
        <v>4818</v>
      </c>
      <c r="F529" s="6" t="s">
        <v>4508</v>
      </c>
      <c r="G529" s="6" t="s">
        <v>25</v>
      </c>
      <c r="H529" s="8"/>
      <c r="I529" s="8">
        <v>131429</v>
      </c>
      <c r="J529" s="6" t="s">
        <v>3252</v>
      </c>
      <c r="K529" s="6" t="s">
        <v>790</v>
      </c>
      <c r="L529" s="6" t="s">
        <v>4509</v>
      </c>
      <c r="M529" s="6" t="s">
        <v>4537</v>
      </c>
      <c r="N529" s="6" t="s">
        <v>790</v>
      </c>
      <c r="O529" s="29">
        <f t="shared" si="8"/>
        <v>138000.45</v>
      </c>
      <c r="Q529" s="30" t="s">
        <v>790</v>
      </c>
      <c r="R529" s="31">
        <v>138000.45</v>
      </c>
    </row>
    <row r="530" s="1" customFormat="1" ht="16.35" hidden="1" customHeight="1" spans="1:18">
      <c r="A530" s="6" t="s">
        <v>4506</v>
      </c>
      <c r="B530" s="6">
        <v>2017</v>
      </c>
      <c r="C530" s="6">
        <v>1</v>
      </c>
      <c r="D530" s="7">
        <v>8</v>
      </c>
      <c r="E530" s="6" t="s">
        <v>4819</v>
      </c>
      <c r="F530" s="6" t="s">
        <v>4508</v>
      </c>
      <c r="G530" s="6" t="s">
        <v>25</v>
      </c>
      <c r="H530" s="8"/>
      <c r="I530" s="8">
        <v>219048</v>
      </c>
      <c r="J530" s="6" t="s">
        <v>3253</v>
      </c>
      <c r="K530" s="6" t="s">
        <v>792</v>
      </c>
      <c r="L530" s="6" t="s">
        <v>4509</v>
      </c>
      <c r="M530" s="6" t="s">
        <v>4537</v>
      </c>
      <c r="N530" s="6" t="s">
        <v>792</v>
      </c>
      <c r="O530" s="29">
        <f t="shared" si="8"/>
        <v>230000.4</v>
      </c>
      <c r="Q530" s="30" t="s">
        <v>792</v>
      </c>
      <c r="R530" s="31">
        <v>230000.4</v>
      </c>
    </row>
    <row r="531" s="1" customFormat="1" ht="16.35" hidden="1" customHeight="1" spans="1:18">
      <c r="A531" s="6" t="s">
        <v>4506</v>
      </c>
      <c r="B531" s="6">
        <v>2017</v>
      </c>
      <c r="C531" s="6">
        <v>1</v>
      </c>
      <c r="D531" s="7">
        <v>9</v>
      </c>
      <c r="E531" s="6" t="s">
        <v>4820</v>
      </c>
      <c r="F531" s="6" t="s">
        <v>4508</v>
      </c>
      <c r="G531" s="6" t="s">
        <v>25</v>
      </c>
      <c r="H531" s="8"/>
      <c r="I531" s="8">
        <v>9524</v>
      </c>
      <c r="J531" s="6" t="s">
        <v>4821</v>
      </c>
      <c r="K531" s="6" t="s">
        <v>744</v>
      </c>
      <c r="L531" s="6" t="s">
        <v>4509</v>
      </c>
      <c r="M531" s="6" t="s">
        <v>4537</v>
      </c>
      <c r="N531" s="6" t="s">
        <v>744</v>
      </c>
      <c r="O531" s="29">
        <f t="shared" si="8"/>
        <v>10000.2</v>
      </c>
      <c r="Q531" s="30" t="s">
        <v>744</v>
      </c>
      <c r="R531" s="31">
        <v>10000.2</v>
      </c>
    </row>
    <row r="532" s="1" customFormat="1" ht="16.35" hidden="1" customHeight="1" spans="1:18">
      <c r="A532" s="6" t="s">
        <v>4506</v>
      </c>
      <c r="B532" s="6">
        <v>2017</v>
      </c>
      <c r="C532" s="6">
        <v>1</v>
      </c>
      <c r="D532" s="7">
        <v>10</v>
      </c>
      <c r="E532" s="6" t="s">
        <v>4735</v>
      </c>
      <c r="F532" s="6" t="s">
        <v>4508</v>
      </c>
      <c r="G532" s="6" t="s">
        <v>25</v>
      </c>
      <c r="H532" s="8"/>
      <c r="I532" s="8">
        <v>219048</v>
      </c>
      <c r="J532" s="6" t="s">
        <v>3588</v>
      </c>
      <c r="K532" s="6" t="s">
        <v>858</v>
      </c>
      <c r="L532" s="6" t="s">
        <v>4509</v>
      </c>
      <c r="M532" s="6" t="s">
        <v>4537</v>
      </c>
      <c r="N532" s="6" t="s">
        <v>858</v>
      </c>
      <c r="O532" s="29">
        <f t="shared" si="8"/>
        <v>230000.4</v>
      </c>
      <c r="Q532" s="30" t="s">
        <v>858</v>
      </c>
      <c r="R532" s="31">
        <v>230000.4</v>
      </c>
    </row>
    <row r="533" s="1" customFormat="1" ht="16.35" hidden="1" customHeight="1" spans="1:18">
      <c r="A533" s="6" t="s">
        <v>4506</v>
      </c>
      <c r="B533" s="6">
        <v>2017</v>
      </c>
      <c r="C533" s="6">
        <v>1</v>
      </c>
      <c r="D533" s="7">
        <v>11</v>
      </c>
      <c r="E533" s="6" t="s">
        <v>4822</v>
      </c>
      <c r="F533" s="6" t="s">
        <v>4508</v>
      </c>
      <c r="G533" s="6" t="s">
        <v>25</v>
      </c>
      <c r="H533" s="8"/>
      <c r="I533" s="8">
        <v>123810</v>
      </c>
      <c r="J533" s="6" t="s">
        <v>3251</v>
      </c>
      <c r="K533" s="6" t="s">
        <v>69</v>
      </c>
      <c r="L533" s="6" t="s">
        <v>4509</v>
      </c>
      <c r="M533" s="6" t="s">
        <v>4537</v>
      </c>
      <c r="N533" s="6" t="s">
        <v>69</v>
      </c>
      <c r="O533" s="29">
        <f t="shared" si="8"/>
        <v>130000.5</v>
      </c>
      <c r="Q533" s="30" t="s">
        <v>69</v>
      </c>
      <c r="R533" s="31">
        <v>130000.5</v>
      </c>
    </row>
    <row r="534" s="1" customFormat="1" ht="16.35" hidden="1" customHeight="1" spans="1:18">
      <c r="A534" s="6" t="s">
        <v>4506</v>
      </c>
      <c r="B534" s="6">
        <v>2017</v>
      </c>
      <c r="C534" s="6">
        <v>1</v>
      </c>
      <c r="D534" s="7">
        <v>12</v>
      </c>
      <c r="E534" s="6" t="s">
        <v>4703</v>
      </c>
      <c r="F534" s="6" t="s">
        <v>4508</v>
      </c>
      <c r="G534" s="6" t="s">
        <v>25</v>
      </c>
      <c r="H534" s="8"/>
      <c r="I534" s="8">
        <v>219048</v>
      </c>
      <c r="J534" s="6" t="s">
        <v>3498</v>
      </c>
      <c r="K534" s="6" t="s">
        <v>820</v>
      </c>
      <c r="L534" s="6" t="s">
        <v>4509</v>
      </c>
      <c r="M534" s="6" t="s">
        <v>4537</v>
      </c>
      <c r="N534" s="6" t="s">
        <v>820</v>
      </c>
      <c r="O534" s="29">
        <f t="shared" si="8"/>
        <v>230000.4</v>
      </c>
      <c r="Q534" s="30" t="s">
        <v>820</v>
      </c>
      <c r="R534" s="31">
        <v>230000.4</v>
      </c>
    </row>
    <row r="535" s="1" customFormat="1" ht="16.35" hidden="1" customHeight="1" spans="1:18">
      <c r="A535" s="6" t="s">
        <v>4506</v>
      </c>
      <c r="B535" s="6">
        <v>2017</v>
      </c>
      <c r="C535" s="6">
        <v>1</v>
      </c>
      <c r="D535" s="7">
        <v>13</v>
      </c>
      <c r="E535" s="6" t="s">
        <v>4823</v>
      </c>
      <c r="F535" s="6" t="s">
        <v>4508</v>
      </c>
      <c r="G535" s="6" t="s">
        <v>25</v>
      </c>
      <c r="H535" s="8"/>
      <c r="I535" s="8">
        <v>-190476</v>
      </c>
      <c r="J535" s="6" t="s">
        <v>3621</v>
      </c>
      <c r="K535" s="6" t="s">
        <v>860</v>
      </c>
      <c r="L535" s="6" t="s">
        <v>4509</v>
      </c>
      <c r="M535" s="6" t="s">
        <v>4537</v>
      </c>
      <c r="N535" s="6" t="s">
        <v>860</v>
      </c>
      <c r="O535" s="29">
        <f t="shared" si="8"/>
        <v>-199999.8</v>
      </c>
      <c r="Q535" s="30" t="s">
        <v>860</v>
      </c>
      <c r="R535" s="31">
        <v>-199999.8</v>
      </c>
    </row>
    <row r="536" s="1" customFormat="1" ht="16.35" hidden="1" customHeight="1" spans="1:18">
      <c r="A536" s="6" t="s">
        <v>4506</v>
      </c>
      <c r="B536" s="6">
        <v>2017</v>
      </c>
      <c r="C536" s="6">
        <v>1</v>
      </c>
      <c r="D536" s="7">
        <v>14</v>
      </c>
      <c r="E536" s="6" t="s">
        <v>4824</v>
      </c>
      <c r="F536" s="6" t="s">
        <v>4508</v>
      </c>
      <c r="G536" s="6" t="s">
        <v>25</v>
      </c>
      <c r="H536" s="8"/>
      <c r="I536" s="8">
        <v>-131429</v>
      </c>
      <c r="J536" s="6" t="s">
        <v>3252</v>
      </c>
      <c r="K536" s="6" t="s">
        <v>790</v>
      </c>
      <c r="L536" s="6" t="s">
        <v>4509</v>
      </c>
      <c r="M536" s="6" t="s">
        <v>4537</v>
      </c>
      <c r="N536" s="6" t="s">
        <v>790</v>
      </c>
      <c r="O536" s="29">
        <f t="shared" si="8"/>
        <v>-138000.45</v>
      </c>
      <c r="Q536" s="30" t="s">
        <v>790</v>
      </c>
      <c r="R536" s="31">
        <v>-138000.45</v>
      </c>
    </row>
    <row r="537" s="1" customFormat="1" ht="16.35" hidden="1" customHeight="1" spans="1:18">
      <c r="A537" s="6" t="s">
        <v>4506</v>
      </c>
      <c r="B537" s="6">
        <v>2017</v>
      </c>
      <c r="C537" s="6">
        <v>1</v>
      </c>
      <c r="D537" s="7">
        <v>14</v>
      </c>
      <c r="E537" s="6" t="s">
        <v>4824</v>
      </c>
      <c r="F537" s="6" t="s">
        <v>4508</v>
      </c>
      <c r="G537" s="6" t="s">
        <v>25</v>
      </c>
      <c r="H537" s="8"/>
      <c r="I537" s="8">
        <v>-123810</v>
      </c>
      <c r="J537" s="6" t="s">
        <v>3251</v>
      </c>
      <c r="K537" s="6" t="s">
        <v>69</v>
      </c>
      <c r="L537" s="6" t="s">
        <v>4509</v>
      </c>
      <c r="M537" s="6" t="s">
        <v>4537</v>
      </c>
      <c r="N537" s="6" t="s">
        <v>69</v>
      </c>
      <c r="O537" s="29">
        <f t="shared" ref="O537:O600" si="9">I537*1.05</f>
        <v>-130000.5</v>
      </c>
      <c r="Q537" s="30" t="s">
        <v>69</v>
      </c>
      <c r="R537" s="31">
        <v>-130000.5</v>
      </c>
    </row>
    <row r="538" s="1" customFormat="1" ht="16.35" hidden="1" customHeight="1" spans="1:18">
      <c r="A538" s="6" t="s">
        <v>4506</v>
      </c>
      <c r="B538" s="6">
        <v>2017</v>
      </c>
      <c r="C538" s="6">
        <v>1</v>
      </c>
      <c r="D538" s="7">
        <v>31</v>
      </c>
      <c r="E538" s="6" t="s">
        <v>4825</v>
      </c>
      <c r="F538" s="6" t="s">
        <v>4508</v>
      </c>
      <c r="G538" s="6" t="s">
        <v>25</v>
      </c>
      <c r="H538" s="8"/>
      <c r="I538" s="8">
        <v>-16149</v>
      </c>
      <c r="J538" s="6" t="s">
        <v>3594</v>
      </c>
      <c r="K538" s="6" t="s">
        <v>775</v>
      </c>
      <c r="L538" s="6" t="s">
        <v>4509</v>
      </c>
      <c r="M538" s="6" t="s">
        <v>4537</v>
      </c>
      <c r="N538" s="6" t="s">
        <v>775</v>
      </c>
      <c r="O538" s="29">
        <f t="shared" si="9"/>
        <v>-16956.45</v>
      </c>
      <c r="Q538" s="30" t="s">
        <v>775</v>
      </c>
      <c r="R538" s="31">
        <v>-16956.45</v>
      </c>
    </row>
    <row r="539" s="1" customFormat="1" ht="16.35" hidden="1" customHeight="1" spans="1:18">
      <c r="A539" s="6" t="s">
        <v>4506</v>
      </c>
      <c r="B539" s="6">
        <v>2017</v>
      </c>
      <c r="C539" s="6">
        <v>1</v>
      </c>
      <c r="D539" s="7">
        <v>32</v>
      </c>
      <c r="E539" s="6" t="s">
        <v>4826</v>
      </c>
      <c r="F539" s="6" t="s">
        <v>4508</v>
      </c>
      <c r="G539" s="6" t="s">
        <v>25</v>
      </c>
      <c r="H539" s="8"/>
      <c r="I539" s="8">
        <v>-63748</v>
      </c>
      <c r="J539" s="6" t="s">
        <v>3249</v>
      </c>
      <c r="K539" s="6" t="s">
        <v>140</v>
      </c>
      <c r="L539" s="6" t="s">
        <v>4509</v>
      </c>
      <c r="M539" s="6" t="s">
        <v>4537</v>
      </c>
      <c r="N539" s="6" t="s">
        <v>140</v>
      </c>
      <c r="O539" s="29">
        <f t="shared" si="9"/>
        <v>-66935.4</v>
      </c>
      <c r="Q539" s="30" t="s">
        <v>140</v>
      </c>
      <c r="R539" s="31">
        <v>-66935.4</v>
      </c>
    </row>
    <row r="540" s="1" customFormat="1" ht="25" hidden="1" customHeight="1" spans="1:18">
      <c r="A540" s="6" t="s">
        <v>4506</v>
      </c>
      <c r="B540" s="6">
        <v>2017</v>
      </c>
      <c r="C540" s="6">
        <v>1</v>
      </c>
      <c r="D540" s="7">
        <v>33</v>
      </c>
      <c r="E540" s="6" t="s">
        <v>4827</v>
      </c>
      <c r="F540" s="6" t="s">
        <v>4508</v>
      </c>
      <c r="G540" s="6" t="s">
        <v>25</v>
      </c>
      <c r="H540" s="8"/>
      <c r="I540" s="8">
        <v>-57143</v>
      </c>
      <c r="J540" s="6" t="s">
        <v>3258</v>
      </c>
      <c r="K540" s="6" t="s">
        <v>4569</v>
      </c>
      <c r="L540" s="6" t="s">
        <v>4509</v>
      </c>
      <c r="M540" s="6" t="s">
        <v>4537</v>
      </c>
      <c r="N540" s="6" t="s">
        <v>4569</v>
      </c>
      <c r="O540" s="29">
        <f t="shared" si="9"/>
        <v>-60000.15</v>
      </c>
      <c r="Q540" s="30" t="s">
        <v>4569</v>
      </c>
      <c r="R540" s="31">
        <v>-60000.15</v>
      </c>
    </row>
    <row r="541" s="1" customFormat="1" ht="16.35" hidden="1" customHeight="1" spans="1:18">
      <c r="A541" s="6" t="s">
        <v>4506</v>
      </c>
      <c r="B541" s="6">
        <v>2017</v>
      </c>
      <c r="C541" s="6">
        <v>1</v>
      </c>
      <c r="D541" s="7">
        <v>34</v>
      </c>
      <c r="E541" s="6" t="s">
        <v>4828</v>
      </c>
      <c r="F541" s="6" t="s">
        <v>4508</v>
      </c>
      <c r="G541" s="6" t="s">
        <v>25</v>
      </c>
      <c r="H541" s="8"/>
      <c r="I541" s="8">
        <v>327527</v>
      </c>
      <c r="J541" s="6" t="s">
        <v>3552</v>
      </c>
      <c r="K541" s="6" t="s">
        <v>539</v>
      </c>
      <c r="L541" s="6" t="s">
        <v>4509</v>
      </c>
      <c r="M541" s="6" t="s">
        <v>4537</v>
      </c>
      <c r="N541" s="6" t="s">
        <v>539</v>
      </c>
      <c r="O541" s="29">
        <f t="shared" si="9"/>
        <v>343903.35</v>
      </c>
      <c r="Q541" s="30" t="s">
        <v>539</v>
      </c>
      <c r="R541" s="31">
        <v>343903.35</v>
      </c>
    </row>
    <row r="542" s="1" customFormat="1" ht="16.35" hidden="1" customHeight="1" spans="1:18">
      <c r="A542" s="6" t="s">
        <v>4506</v>
      </c>
      <c r="B542" s="6">
        <v>2017</v>
      </c>
      <c r="C542" s="6">
        <v>1</v>
      </c>
      <c r="D542" s="7">
        <v>34</v>
      </c>
      <c r="E542" s="6" t="s">
        <v>4828</v>
      </c>
      <c r="F542" s="6" t="s">
        <v>4508</v>
      </c>
      <c r="G542" s="6" t="s">
        <v>25</v>
      </c>
      <c r="H542" s="8"/>
      <c r="I542" s="8">
        <v>19048</v>
      </c>
      <c r="J542" s="6" t="s">
        <v>3977</v>
      </c>
      <c r="K542" s="6" t="s">
        <v>362</v>
      </c>
      <c r="L542" s="6" t="s">
        <v>4509</v>
      </c>
      <c r="M542" s="6" t="s">
        <v>4537</v>
      </c>
      <c r="N542" s="6" t="s">
        <v>362</v>
      </c>
      <c r="O542" s="29">
        <f t="shared" si="9"/>
        <v>20000.4</v>
      </c>
      <c r="Q542" s="30" t="s">
        <v>362</v>
      </c>
      <c r="R542" s="31">
        <v>20000.4</v>
      </c>
    </row>
    <row r="543" s="1" customFormat="1" ht="16.35" hidden="1" customHeight="1" spans="1:18">
      <c r="A543" s="6" t="s">
        <v>4506</v>
      </c>
      <c r="B543" s="6">
        <v>2017</v>
      </c>
      <c r="C543" s="6">
        <v>1</v>
      </c>
      <c r="D543" s="7">
        <v>34</v>
      </c>
      <c r="E543" s="6" t="s">
        <v>4828</v>
      </c>
      <c r="F543" s="6" t="s">
        <v>4508</v>
      </c>
      <c r="G543" s="6" t="s">
        <v>25</v>
      </c>
      <c r="H543" s="8"/>
      <c r="I543" s="8">
        <v>431038</v>
      </c>
      <c r="J543" s="6" t="s">
        <v>3988</v>
      </c>
      <c r="K543" s="6" t="s">
        <v>404</v>
      </c>
      <c r="L543" s="6" t="s">
        <v>4509</v>
      </c>
      <c r="M543" s="6" t="s">
        <v>4537</v>
      </c>
      <c r="N543" s="6" t="s">
        <v>404</v>
      </c>
      <c r="O543" s="29">
        <f t="shared" si="9"/>
        <v>452589.9</v>
      </c>
      <c r="Q543" s="30" t="s">
        <v>404</v>
      </c>
      <c r="R543" s="31">
        <v>452589.9</v>
      </c>
    </row>
    <row r="544" s="1" customFormat="1" ht="16.35" hidden="1" customHeight="1" spans="1:19">
      <c r="A544" s="6" t="s">
        <v>4506</v>
      </c>
      <c r="B544" s="6">
        <v>2017</v>
      </c>
      <c r="C544" s="6">
        <v>1</v>
      </c>
      <c r="D544" s="7">
        <v>34</v>
      </c>
      <c r="E544" s="6" t="s">
        <v>4828</v>
      </c>
      <c r="F544" s="6" t="s">
        <v>4508</v>
      </c>
      <c r="G544" s="6" t="s">
        <v>25</v>
      </c>
      <c r="H544" s="8"/>
      <c r="I544" s="8">
        <v>135227</v>
      </c>
      <c r="J544" s="6" t="s">
        <v>3990</v>
      </c>
      <c r="K544" s="6" t="s">
        <v>410</v>
      </c>
      <c r="L544" s="6" t="s">
        <v>4509</v>
      </c>
      <c r="M544" s="6" t="s">
        <v>4537</v>
      </c>
      <c r="N544" s="6" t="s">
        <v>410</v>
      </c>
      <c r="O544" s="34">
        <f t="shared" si="9"/>
        <v>141988.35</v>
      </c>
      <c r="Q544" s="30" t="s">
        <v>410</v>
      </c>
      <c r="R544" s="31">
        <v>141988.35</v>
      </c>
      <c r="S544" s="1">
        <f>R544-I544</f>
        <v>6761.35000000001</v>
      </c>
    </row>
    <row r="545" s="1" customFormat="1" ht="16.35" hidden="1" customHeight="1" spans="1:19">
      <c r="A545" s="6" t="s">
        <v>4506</v>
      </c>
      <c r="B545" s="6">
        <v>2017</v>
      </c>
      <c r="C545" s="6">
        <v>1</v>
      </c>
      <c r="D545" s="7">
        <v>34</v>
      </c>
      <c r="E545" s="6" t="s">
        <v>4828</v>
      </c>
      <c r="F545" s="6" t="s">
        <v>4508</v>
      </c>
      <c r="G545" s="6" t="s">
        <v>25</v>
      </c>
      <c r="H545" s="8"/>
      <c r="I545" s="8">
        <v>381019</v>
      </c>
      <c r="J545" s="6" t="s">
        <v>3995</v>
      </c>
      <c r="K545" s="6" t="s">
        <v>412</v>
      </c>
      <c r="L545" s="6" t="s">
        <v>4509</v>
      </c>
      <c r="M545" s="6" t="s">
        <v>4537</v>
      </c>
      <c r="N545" s="6" t="s">
        <v>412</v>
      </c>
      <c r="O545" s="29">
        <f t="shared" si="9"/>
        <v>400069.95</v>
      </c>
      <c r="Q545" s="30" t="s">
        <v>412</v>
      </c>
      <c r="R545" s="31">
        <v>400069.95</v>
      </c>
      <c r="S545" s="1">
        <f>R545-I545</f>
        <v>19050.95</v>
      </c>
    </row>
    <row r="546" s="1" customFormat="1" ht="16.35" hidden="1" customHeight="1" spans="1:18">
      <c r="A546" s="6" t="s">
        <v>4506</v>
      </c>
      <c r="B546" s="6">
        <v>2017</v>
      </c>
      <c r="C546" s="6">
        <v>1</v>
      </c>
      <c r="D546" s="7">
        <v>34</v>
      </c>
      <c r="E546" s="6" t="s">
        <v>4828</v>
      </c>
      <c r="F546" s="6" t="s">
        <v>4508</v>
      </c>
      <c r="G546" s="6" t="s">
        <v>25</v>
      </c>
      <c r="H546" s="8"/>
      <c r="I546" s="8">
        <v>124601</v>
      </c>
      <c r="J546" s="6" t="s">
        <v>3997</v>
      </c>
      <c r="K546" s="6" t="s">
        <v>416</v>
      </c>
      <c r="L546" s="6" t="s">
        <v>4509</v>
      </c>
      <c r="M546" s="6" t="s">
        <v>4537</v>
      </c>
      <c r="N546" s="6" t="s">
        <v>416</v>
      </c>
      <c r="O546" s="29">
        <f t="shared" si="9"/>
        <v>130831.05</v>
      </c>
      <c r="Q546" s="30" t="s">
        <v>416</v>
      </c>
      <c r="R546" s="31">
        <v>130831.05</v>
      </c>
    </row>
    <row r="547" s="1" customFormat="1" ht="16.35" hidden="1" customHeight="1" spans="1:18">
      <c r="A547" s="6" t="s">
        <v>4506</v>
      </c>
      <c r="B547" s="6">
        <v>2017</v>
      </c>
      <c r="C547" s="6">
        <v>1</v>
      </c>
      <c r="D547" s="7">
        <v>34</v>
      </c>
      <c r="E547" s="6" t="s">
        <v>4828</v>
      </c>
      <c r="F547" s="6" t="s">
        <v>4508</v>
      </c>
      <c r="G547" s="6" t="s">
        <v>25</v>
      </c>
      <c r="H547" s="8"/>
      <c r="I547" s="8">
        <v>246777</v>
      </c>
      <c r="J547" s="6" t="s">
        <v>4042</v>
      </c>
      <c r="K547" s="6" t="s">
        <v>565</v>
      </c>
      <c r="L547" s="6" t="s">
        <v>4509</v>
      </c>
      <c r="M547" s="6" t="s">
        <v>4537</v>
      </c>
      <c r="N547" s="6" t="s">
        <v>565</v>
      </c>
      <c r="O547" s="29">
        <f t="shared" si="9"/>
        <v>259115.85</v>
      </c>
      <c r="Q547" s="30" t="s">
        <v>565</v>
      </c>
      <c r="R547" s="31">
        <v>259115.85</v>
      </c>
    </row>
    <row r="548" s="1" customFormat="1" ht="16.35" hidden="1" customHeight="1" spans="1:18">
      <c r="A548" s="6" t="s">
        <v>4506</v>
      </c>
      <c r="B548" s="6">
        <v>2017</v>
      </c>
      <c r="C548" s="6">
        <v>1</v>
      </c>
      <c r="D548" s="7">
        <v>34</v>
      </c>
      <c r="E548" s="6" t="s">
        <v>4828</v>
      </c>
      <c r="F548" s="6" t="s">
        <v>4508</v>
      </c>
      <c r="G548" s="6" t="s">
        <v>25</v>
      </c>
      <c r="H548" s="8"/>
      <c r="I548" s="8">
        <v>257349</v>
      </c>
      <c r="J548" s="6" t="s">
        <v>4514</v>
      </c>
      <c r="K548" s="6" t="s">
        <v>585</v>
      </c>
      <c r="L548" s="6" t="s">
        <v>4509</v>
      </c>
      <c r="M548" s="6" t="s">
        <v>4537</v>
      </c>
      <c r="N548" s="6" t="s">
        <v>585</v>
      </c>
      <c r="O548" s="29">
        <f t="shared" si="9"/>
        <v>270216.45</v>
      </c>
      <c r="Q548" s="30" t="s">
        <v>585</v>
      </c>
      <c r="R548" s="31">
        <v>270216.45</v>
      </c>
    </row>
    <row r="549" s="1" customFormat="1" ht="16.35" hidden="1" customHeight="1" spans="1:18">
      <c r="A549" s="6" t="s">
        <v>4506</v>
      </c>
      <c r="B549" s="6">
        <v>2017</v>
      </c>
      <c r="C549" s="6">
        <v>1</v>
      </c>
      <c r="D549" s="7">
        <v>34</v>
      </c>
      <c r="E549" s="6" t="s">
        <v>4828</v>
      </c>
      <c r="F549" s="6" t="s">
        <v>4508</v>
      </c>
      <c r="G549" s="6" t="s">
        <v>25</v>
      </c>
      <c r="H549" s="8"/>
      <c r="I549" s="8">
        <v>347990</v>
      </c>
      <c r="J549" s="6" t="s">
        <v>3686</v>
      </c>
      <c r="K549" s="6" t="s">
        <v>652</v>
      </c>
      <c r="L549" s="6" t="s">
        <v>4509</v>
      </c>
      <c r="M549" s="6" t="s">
        <v>4537</v>
      </c>
      <c r="N549" s="6" t="s">
        <v>652</v>
      </c>
      <c r="O549" s="29">
        <f t="shared" si="9"/>
        <v>365389.5</v>
      </c>
      <c r="Q549" s="30" t="s">
        <v>652</v>
      </c>
      <c r="R549" s="31">
        <v>365389.5</v>
      </c>
    </row>
    <row r="550" s="1" customFormat="1" ht="16.35" hidden="1" customHeight="1" spans="1:18">
      <c r="A550" s="6" t="s">
        <v>4506</v>
      </c>
      <c r="B550" s="6">
        <v>2017</v>
      </c>
      <c r="C550" s="6">
        <v>1</v>
      </c>
      <c r="D550" s="7">
        <v>34</v>
      </c>
      <c r="E550" s="6" t="s">
        <v>4828</v>
      </c>
      <c r="F550" s="6" t="s">
        <v>4508</v>
      </c>
      <c r="G550" s="6" t="s">
        <v>25</v>
      </c>
      <c r="H550" s="8"/>
      <c r="I550" s="8">
        <v>313838</v>
      </c>
      <c r="J550" s="6" t="s">
        <v>4001</v>
      </c>
      <c r="K550" s="6" t="s">
        <v>656</v>
      </c>
      <c r="L550" s="6" t="s">
        <v>4509</v>
      </c>
      <c r="M550" s="6" t="s">
        <v>4537</v>
      </c>
      <c r="N550" s="6" t="s">
        <v>656</v>
      </c>
      <c r="O550" s="29">
        <f t="shared" si="9"/>
        <v>329529.9</v>
      </c>
      <c r="Q550" s="30" t="s">
        <v>656</v>
      </c>
      <c r="R550" s="31">
        <v>329529.9</v>
      </c>
    </row>
    <row r="551" s="1" customFormat="1" ht="16.35" hidden="1" customHeight="1" spans="1:18">
      <c r="A551" s="6" t="s">
        <v>4506</v>
      </c>
      <c r="B551" s="6">
        <v>2017</v>
      </c>
      <c r="C551" s="6">
        <v>1</v>
      </c>
      <c r="D551" s="7">
        <v>34</v>
      </c>
      <c r="E551" s="6" t="s">
        <v>4828</v>
      </c>
      <c r="F551" s="6" t="s">
        <v>4508</v>
      </c>
      <c r="G551" s="6" t="s">
        <v>25</v>
      </c>
      <c r="H551" s="8"/>
      <c r="I551" s="8">
        <v>143678</v>
      </c>
      <c r="J551" s="6" t="s">
        <v>3348</v>
      </c>
      <c r="K551" s="6" t="s">
        <v>65</v>
      </c>
      <c r="L551" s="6" t="s">
        <v>4509</v>
      </c>
      <c r="M551" s="6" t="s">
        <v>4537</v>
      </c>
      <c r="N551" s="6" t="s">
        <v>65</v>
      </c>
      <c r="O551" s="29">
        <f t="shared" si="9"/>
        <v>150861.9</v>
      </c>
      <c r="Q551" s="30" t="s">
        <v>65</v>
      </c>
      <c r="R551" s="31">
        <v>150861.9</v>
      </c>
    </row>
    <row r="552" s="1" customFormat="1" ht="16.35" hidden="1" customHeight="1" spans="1:18">
      <c r="A552" s="6" t="s">
        <v>4506</v>
      </c>
      <c r="B552" s="6">
        <v>2017</v>
      </c>
      <c r="C552" s="6">
        <v>1</v>
      </c>
      <c r="D552" s="7">
        <v>34</v>
      </c>
      <c r="E552" s="6" t="s">
        <v>4828</v>
      </c>
      <c r="F552" s="6" t="s">
        <v>4508</v>
      </c>
      <c r="G552" s="6" t="s">
        <v>25</v>
      </c>
      <c r="H552" s="8"/>
      <c r="I552" s="8">
        <v>89786</v>
      </c>
      <c r="J552" s="6" t="s">
        <v>3577</v>
      </c>
      <c r="K552" s="6" t="s">
        <v>67</v>
      </c>
      <c r="L552" s="6" t="s">
        <v>4509</v>
      </c>
      <c r="M552" s="6" t="s">
        <v>4537</v>
      </c>
      <c r="N552" s="6" t="s">
        <v>67</v>
      </c>
      <c r="O552" s="29">
        <f t="shared" si="9"/>
        <v>94275.3</v>
      </c>
      <c r="Q552" s="30" t="s">
        <v>67</v>
      </c>
      <c r="R552" s="31">
        <v>94275.3</v>
      </c>
    </row>
    <row r="553" s="1" customFormat="1" ht="16.35" hidden="1" customHeight="1" spans="1:18">
      <c r="A553" s="6" t="s">
        <v>4506</v>
      </c>
      <c r="B553" s="6">
        <v>2017</v>
      </c>
      <c r="C553" s="6">
        <v>1</v>
      </c>
      <c r="D553" s="7">
        <v>34</v>
      </c>
      <c r="E553" s="6" t="s">
        <v>4828</v>
      </c>
      <c r="F553" s="6" t="s">
        <v>4508</v>
      </c>
      <c r="G553" s="6" t="s">
        <v>25</v>
      </c>
      <c r="H553" s="8"/>
      <c r="I553" s="8">
        <v>198021</v>
      </c>
      <c r="J553" s="6" t="s">
        <v>3607</v>
      </c>
      <c r="K553" s="6" t="s">
        <v>112</v>
      </c>
      <c r="L553" s="6" t="s">
        <v>4509</v>
      </c>
      <c r="M553" s="6" t="s">
        <v>4537</v>
      </c>
      <c r="N553" s="6" t="s">
        <v>112</v>
      </c>
      <c r="O553" s="29">
        <f t="shared" si="9"/>
        <v>207922.05</v>
      </c>
      <c r="Q553" s="30" t="s">
        <v>112</v>
      </c>
      <c r="R553" s="31">
        <v>207922.05</v>
      </c>
    </row>
    <row r="554" s="1" customFormat="1" ht="16.35" hidden="1" customHeight="1" spans="1:18">
      <c r="A554" s="6" t="s">
        <v>4506</v>
      </c>
      <c r="B554" s="6">
        <v>2017</v>
      </c>
      <c r="C554" s="6">
        <v>1</v>
      </c>
      <c r="D554" s="7">
        <v>34</v>
      </c>
      <c r="E554" s="6" t="s">
        <v>4828</v>
      </c>
      <c r="F554" s="6" t="s">
        <v>4508</v>
      </c>
      <c r="G554" s="6" t="s">
        <v>25</v>
      </c>
      <c r="H554" s="8"/>
      <c r="I554" s="8">
        <v>78751</v>
      </c>
      <c r="J554" s="6" t="s">
        <v>3327</v>
      </c>
      <c r="K554" s="6" t="s">
        <v>51</v>
      </c>
      <c r="L554" s="6" t="s">
        <v>4509</v>
      </c>
      <c r="M554" s="6" t="s">
        <v>4537</v>
      </c>
      <c r="N554" s="6" t="s">
        <v>51</v>
      </c>
      <c r="O554" s="29">
        <f t="shared" si="9"/>
        <v>82688.55</v>
      </c>
      <c r="Q554" s="30" t="s">
        <v>51</v>
      </c>
      <c r="R554" s="31">
        <v>82688.55</v>
      </c>
    </row>
    <row r="555" s="1" customFormat="1" ht="16.35" hidden="1" customHeight="1" spans="1:18">
      <c r="A555" s="6" t="s">
        <v>4506</v>
      </c>
      <c r="B555" s="6">
        <v>2017</v>
      </c>
      <c r="C555" s="6">
        <v>1</v>
      </c>
      <c r="D555" s="7">
        <v>34</v>
      </c>
      <c r="E555" s="6" t="s">
        <v>4828</v>
      </c>
      <c r="F555" s="6" t="s">
        <v>4508</v>
      </c>
      <c r="G555" s="6" t="s">
        <v>25</v>
      </c>
      <c r="H555" s="8"/>
      <c r="I555" s="8">
        <v>165619</v>
      </c>
      <c r="J555" s="6" t="s">
        <v>3355</v>
      </c>
      <c r="K555" s="6" t="s">
        <v>54</v>
      </c>
      <c r="L555" s="6" t="s">
        <v>4509</v>
      </c>
      <c r="M555" s="6" t="s">
        <v>4537</v>
      </c>
      <c r="N555" s="6" t="s">
        <v>54</v>
      </c>
      <c r="O555" s="29">
        <f t="shared" si="9"/>
        <v>173899.95</v>
      </c>
      <c r="Q555" s="30" t="s">
        <v>54</v>
      </c>
      <c r="R555" s="31">
        <v>173899.95</v>
      </c>
    </row>
    <row r="556" s="1" customFormat="1" ht="16.35" hidden="1" customHeight="1" spans="1:18">
      <c r="A556" s="6" t="s">
        <v>4506</v>
      </c>
      <c r="B556" s="6">
        <v>2017</v>
      </c>
      <c r="C556" s="6">
        <v>1</v>
      </c>
      <c r="D556" s="7">
        <v>34</v>
      </c>
      <c r="E556" s="6" t="s">
        <v>4828</v>
      </c>
      <c r="F556" s="6" t="s">
        <v>4508</v>
      </c>
      <c r="G556" s="6" t="s">
        <v>25</v>
      </c>
      <c r="H556" s="8"/>
      <c r="I556" s="8">
        <v>99391</v>
      </c>
      <c r="J556" s="6" t="s">
        <v>3158</v>
      </c>
      <c r="K556" s="6" t="s">
        <v>56</v>
      </c>
      <c r="L556" s="6" t="s">
        <v>4509</v>
      </c>
      <c r="M556" s="6" t="s">
        <v>4537</v>
      </c>
      <c r="N556" s="6" t="s">
        <v>56</v>
      </c>
      <c r="O556" s="29">
        <f t="shared" si="9"/>
        <v>104360.55</v>
      </c>
      <c r="Q556" s="30" t="s">
        <v>56</v>
      </c>
      <c r="R556" s="31">
        <v>104360.55</v>
      </c>
    </row>
    <row r="557" s="1" customFormat="1" ht="16.35" hidden="1" customHeight="1" spans="1:18">
      <c r="A557" s="6" t="s">
        <v>4506</v>
      </c>
      <c r="B557" s="6">
        <v>2017</v>
      </c>
      <c r="C557" s="6">
        <v>1</v>
      </c>
      <c r="D557" s="7">
        <v>34</v>
      </c>
      <c r="E557" s="6" t="s">
        <v>4828</v>
      </c>
      <c r="F557" s="6" t="s">
        <v>4508</v>
      </c>
      <c r="G557" s="6" t="s">
        <v>25</v>
      </c>
      <c r="H557" s="8"/>
      <c r="I557" s="8">
        <v>134072</v>
      </c>
      <c r="J557" s="6" t="s">
        <v>3201</v>
      </c>
      <c r="K557" s="6" t="s">
        <v>61</v>
      </c>
      <c r="L557" s="6" t="s">
        <v>4509</v>
      </c>
      <c r="M557" s="6" t="s">
        <v>4537</v>
      </c>
      <c r="N557" s="6" t="s">
        <v>61</v>
      </c>
      <c r="O557" s="29">
        <f t="shared" si="9"/>
        <v>140775.6</v>
      </c>
      <c r="Q557" s="30" t="s">
        <v>61</v>
      </c>
      <c r="R557" s="31">
        <v>140775.6</v>
      </c>
    </row>
    <row r="558" s="1" customFormat="1" ht="16.35" hidden="1" customHeight="1" spans="1:18">
      <c r="A558" s="6" t="s">
        <v>4506</v>
      </c>
      <c r="B558" s="6">
        <v>2017</v>
      </c>
      <c r="C558" s="6">
        <v>1</v>
      </c>
      <c r="D558" s="7">
        <v>34</v>
      </c>
      <c r="E558" s="6" t="s">
        <v>4828</v>
      </c>
      <c r="F558" s="6" t="s">
        <v>4508</v>
      </c>
      <c r="G558" s="6" t="s">
        <v>25</v>
      </c>
      <c r="H558" s="8"/>
      <c r="I558" s="8">
        <v>85833</v>
      </c>
      <c r="J558" s="6" t="s">
        <v>3357</v>
      </c>
      <c r="K558" s="6" t="s">
        <v>63</v>
      </c>
      <c r="L558" s="6" t="s">
        <v>4509</v>
      </c>
      <c r="M558" s="6" t="s">
        <v>4537</v>
      </c>
      <c r="N558" s="6" t="s">
        <v>63</v>
      </c>
      <c r="O558" s="29">
        <f t="shared" si="9"/>
        <v>90124.65</v>
      </c>
      <c r="Q558" s="30" t="s">
        <v>63</v>
      </c>
      <c r="R558" s="31">
        <v>90124.65</v>
      </c>
    </row>
    <row r="559" s="1" customFormat="1" ht="16.35" hidden="1" customHeight="1" spans="1:18">
      <c r="A559" s="6" t="s">
        <v>4506</v>
      </c>
      <c r="B559" s="6">
        <v>2017</v>
      </c>
      <c r="C559" s="6">
        <v>1</v>
      </c>
      <c r="D559" s="7">
        <v>34</v>
      </c>
      <c r="E559" s="6" t="s">
        <v>4828</v>
      </c>
      <c r="F559" s="6" t="s">
        <v>4508</v>
      </c>
      <c r="G559" s="6" t="s">
        <v>25</v>
      </c>
      <c r="H559" s="8"/>
      <c r="I559" s="8">
        <v>133333</v>
      </c>
      <c r="J559" s="6" t="s">
        <v>3110</v>
      </c>
      <c r="K559" s="6" t="s">
        <v>80</v>
      </c>
      <c r="L559" s="6" t="s">
        <v>4509</v>
      </c>
      <c r="M559" s="6" t="s">
        <v>4537</v>
      </c>
      <c r="N559" s="6" t="s">
        <v>80</v>
      </c>
      <c r="O559" s="29">
        <f t="shared" si="9"/>
        <v>139999.65</v>
      </c>
      <c r="Q559" s="30" t="s">
        <v>80</v>
      </c>
      <c r="R559" s="31">
        <v>139999.65</v>
      </c>
    </row>
    <row r="560" s="1" customFormat="1" ht="16.35" hidden="1" customHeight="1" spans="1:18">
      <c r="A560" s="6" t="s">
        <v>4506</v>
      </c>
      <c r="B560" s="6">
        <v>2017</v>
      </c>
      <c r="C560" s="6">
        <v>1</v>
      </c>
      <c r="D560" s="7">
        <v>34</v>
      </c>
      <c r="E560" s="6" t="s">
        <v>4828</v>
      </c>
      <c r="F560" s="6" t="s">
        <v>4508</v>
      </c>
      <c r="G560" s="6" t="s">
        <v>25</v>
      </c>
      <c r="H560" s="8"/>
      <c r="I560" s="8">
        <v>9524</v>
      </c>
      <c r="J560" s="6" t="s">
        <v>3192</v>
      </c>
      <c r="K560" s="6" t="s">
        <v>90</v>
      </c>
      <c r="L560" s="6" t="s">
        <v>4509</v>
      </c>
      <c r="M560" s="6" t="s">
        <v>4537</v>
      </c>
      <c r="N560" s="6" t="s">
        <v>90</v>
      </c>
      <c r="O560" s="29">
        <f t="shared" si="9"/>
        <v>10000.2</v>
      </c>
      <c r="Q560" s="30" t="s">
        <v>90</v>
      </c>
      <c r="R560" s="31">
        <v>10000.2</v>
      </c>
    </row>
    <row r="561" s="1" customFormat="1" ht="16.35" hidden="1" customHeight="1" spans="1:18">
      <c r="A561" s="6" t="s">
        <v>4506</v>
      </c>
      <c r="B561" s="6">
        <v>2017</v>
      </c>
      <c r="C561" s="6">
        <v>1</v>
      </c>
      <c r="D561" s="7">
        <v>34</v>
      </c>
      <c r="E561" s="6" t="s">
        <v>4828</v>
      </c>
      <c r="F561" s="6" t="s">
        <v>4508</v>
      </c>
      <c r="G561" s="6" t="s">
        <v>25</v>
      </c>
      <c r="H561" s="8"/>
      <c r="I561" s="8">
        <v>86091</v>
      </c>
      <c r="J561" s="6" t="s">
        <v>3303</v>
      </c>
      <c r="K561" s="6" t="s">
        <v>92</v>
      </c>
      <c r="L561" s="6" t="s">
        <v>4509</v>
      </c>
      <c r="M561" s="6" t="s">
        <v>4537</v>
      </c>
      <c r="N561" s="6" t="s">
        <v>92</v>
      </c>
      <c r="O561" s="29">
        <f t="shared" si="9"/>
        <v>90395.55</v>
      </c>
      <c r="Q561" s="30" t="s">
        <v>92</v>
      </c>
      <c r="R561" s="31">
        <v>90395.55</v>
      </c>
    </row>
    <row r="562" s="1" customFormat="1" ht="16.35" hidden="1" customHeight="1" spans="1:18">
      <c r="A562" s="6" t="s">
        <v>4506</v>
      </c>
      <c r="B562" s="6">
        <v>2017</v>
      </c>
      <c r="C562" s="6">
        <v>1</v>
      </c>
      <c r="D562" s="7">
        <v>34</v>
      </c>
      <c r="E562" s="6" t="s">
        <v>4828</v>
      </c>
      <c r="F562" s="6" t="s">
        <v>4508</v>
      </c>
      <c r="G562" s="6" t="s">
        <v>25</v>
      </c>
      <c r="H562" s="8"/>
      <c r="I562" s="8">
        <v>92707</v>
      </c>
      <c r="J562" s="6" t="s">
        <v>3181</v>
      </c>
      <c r="K562" s="6" t="s">
        <v>94</v>
      </c>
      <c r="L562" s="6" t="s">
        <v>4509</v>
      </c>
      <c r="M562" s="6" t="s">
        <v>4537</v>
      </c>
      <c r="N562" s="6" t="s">
        <v>94</v>
      </c>
      <c r="O562" s="29">
        <f t="shared" si="9"/>
        <v>97342.35</v>
      </c>
      <c r="Q562" s="30" t="s">
        <v>94</v>
      </c>
      <c r="R562" s="31">
        <v>97342.35</v>
      </c>
    </row>
    <row r="563" s="1" customFormat="1" ht="16.35" hidden="1" customHeight="1" spans="1:18">
      <c r="A563" s="6" t="s">
        <v>4506</v>
      </c>
      <c r="B563" s="6">
        <v>2017</v>
      </c>
      <c r="C563" s="6">
        <v>1</v>
      </c>
      <c r="D563" s="7">
        <v>34</v>
      </c>
      <c r="E563" s="6" t="s">
        <v>4828</v>
      </c>
      <c r="F563" s="6" t="s">
        <v>4508</v>
      </c>
      <c r="G563" s="6" t="s">
        <v>25</v>
      </c>
      <c r="H563" s="8"/>
      <c r="I563" s="8">
        <v>28571</v>
      </c>
      <c r="J563" s="6" t="s">
        <v>3637</v>
      </c>
      <c r="K563" s="6" t="s">
        <v>96</v>
      </c>
      <c r="L563" s="6" t="s">
        <v>4509</v>
      </c>
      <c r="M563" s="6" t="s">
        <v>4537</v>
      </c>
      <c r="N563" s="6" t="s">
        <v>96</v>
      </c>
      <c r="O563" s="29">
        <f t="shared" si="9"/>
        <v>29999.55</v>
      </c>
      <c r="Q563" s="30" t="s">
        <v>96</v>
      </c>
      <c r="R563" s="31">
        <v>29999.55</v>
      </c>
    </row>
    <row r="564" s="1" customFormat="1" ht="16.35" hidden="1" customHeight="1" spans="1:18">
      <c r="A564" s="6" t="s">
        <v>4506</v>
      </c>
      <c r="B564" s="6">
        <v>2017</v>
      </c>
      <c r="C564" s="6">
        <v>1</v>
      </c>
      <c r="D564" s="7">
        <v>34</v>
      </c>
      <c r="E564" s="6" t="s">
        <v>4828</v>
      </c>
      <c r="F564" s="6" t="s">
        <v>4508</v>
      </c>
      <c r="G564" s="6" t="s">
        <v>25</v>
      </c>
      <c r="H564" s="8"/>
      <c r="I564" s="8">
        <v>94578</v>
      </c>
      <c r="J564" s="6" t="s">
        <v>3170</v>
      </c>
      <c r="K564" s="6" t="s">
        <v>100</v>
      </c>
      <c r="L564" s="6" t="s">
        <v>4509</v>
      </c>
      <c r="M564" s="6" t="s">
        <v>4537</v>
      </c>
      <c r="N564" s="6" t="s">
        <v>100</v>
      </c>
      <c r="O564" s="29">
        <f t="shared" si="9"/>
        <v>99306.9</v>
      </c>
      <c r="Q564" s="30" t="s">
        <v>100</v>
      </c>
      <c r="R564" s="31">
        <v>99306.9</v>
      </c>
    </row>
    <row r="565" s="1" customFormat="1" ht="16.35" hidden="1" customHeight="1" spans="1:18">
      <c r="A565" s="6" t="s">
        <v>4506</v>
      </c>
      <c r="B565" s="6">
        <v>2017</v>
      </c>
      <c r="C565" s="6">
        <v>1</v>
      </c>
      <c r="D565" s="7">
        <v>34</v>
      </c>
      <c r="E565" s="6" t="s">
        <v>4828</v>
      </c>
      <c r="F565" s="6" t="s">
        <v>4508</v>
      </c>
      <c r="G565" s="6" t="s">
        <v>25</v>
      </c>
      <c r="H565" s="8"/>
      <c r="I565" s="8">
        <v>185432</v>
      </c>
      <c r="J565" s="6" t="s">
        <v>3310</v>
      </c>
      <c r="K565" s="6" t="s">
        <v>102</v>
      </c>
      <c r="L565" s="6" t="s">
        <v>4509</v>
      </c>
      <c r="M565" s="6" t="s">
        <v>4537</v>
      </c>
      <c r="N565" s="6" t="s">
        <v>102</v>
      </c>
      <c r="O565" s="29">
        <f t="shared" si="9"/>
        <v>194703.6</v>
      </c>
      <c r="Q565" s="30" t="s">
        <v>102</v>
      </c>
      <c r="R565" s="31">
        <v>194703.6</v>
      </c>
    </row>
    <row r="566" s="1" customFormat="1" ht="16.35" hidden="1" customHeight="1" spans="1:18">
      <c r="A566" s="6" t="s">
        <v>4506</v>
      </c>
      <c r="B566" s="6">
        <v>2017</v>
      </c>
      <c r="C566" s="6">
        <v>1</v>
      </c>
      <c r="D566" s="7">
        <v>34</v>
      </c>
      <c r="E566" s="6" t="s">
        <v>4828</v>
      </c>
      <c r="F566" s="6" t="s">
        <v>4508</v>
      </c>
      <c r="G566" s="6" t="s">
        <v>25</v>
      </c>
      <c r="H566" s="8"/>
      <c r="I566" s="8">
        <v>81989</v>
      </c>
      <c r="J566" s="6" t="s">
        <v>3179</v>
      </c>
      <c r="K566" s="6" t="s">
        <v>104</v>
      </c>
      <c r="L566" s="6" t="s">
        <v>4509</v>
      </c>
      <c r="M566" s="6" t="s">
        <v>4537</v>
      </c>
      <c r="N566" s="6" t="s">
        <v>104</v>
      </c>
      <c r="O566" s="29">
        <f t="shared" si="9"/>
        <v>86088.45</v>
      </c>
      <c r="Q566" s="30" t="s">
        <v>104</v>
      </c>
      <c r="R566" s="31">
        <v>86088.45</v>
      </c>
    </row>
    <row r="567" s="1" customFormat="1" ht="16.35" hidden="1" customHeight="1" spans="1:18">
      <c r="A567" s="6" t="s">
        <v>4506</v>
      </c>
      <c r="B567" s="6">
        <v>2017</v>
      </c>
      <c r="C567" s="6">
        <v>1</v>
      </c>
      <c r="D567" s="7">
        <v>34</v>
      </c>
      <c r="E567" s="6" t="s">
        <v>4828</v>
      </c>
      <c r="F567" s="6" t="s">
        <v>4508</v>
      </c>
      <c r="G567" s="6" t="s">
        <v>25</v>
      </c>
      <c r="H567" s="8"/>
      <c r="I567" s="8">
        <v>249842</v>
      </c>
      <c r="J567" s="6" t="s">
        <v>3605</v>
      </c>
      <c r="K567" s="6" t="s">
        <v>106</v>
      </c>
      <c r="L567" s="6" t="s">
        <v>4509</v>
      </c>
      <c r="M567" s="6" t="s">
        <v>4537</v>
      </c>
      <c r="N567" s="6" t="s">
        <v>106</v>
      </c>
      <c r="O567" s="29">
        <f t="shared" si="9"/>
        <v>262334.1</v>
      </c>
      <c r="Q567" s="30" t="s">
        <v>106</v>
      </c>
      <c r="R567" s="31">
        <v>262334.1</v>
      </c>
    </row>
    <row r="568" s="1" customFormat="1" ht="16.35" hidden="1" customHeight="1" spans="1:18">
      <c r="A568" s="6" t="s">
        <v>4506</v>
      </c>
      <c r="B568" s="6">
        <v>2017</v>
      </c>
      <c r="C568" s="6">
        <v>1</v>
      </c>
      <c r="D568" s="7">
        <v>34</v>
      </c>
      <c r="E568" s="6" t="s">
        <v>4828</v>
      </c>
      <c r="F568" s="6" t="s">
        <v>4508</v>
      </c>
      <c r="G568" s="6" t="s">
        <v>25</v>
      </c>
      <c r="H568" s="8"/>
      <c r="I568" s="8">
        <v>94827</v>
      </c>
      <c r="J568" s="6" t="s">
        <v>3167</v>
      </c>
      <c r="K568" s="6" t="s">
        <v>114</v>
      </c>
      <c r="L568" s="6" t="s">
        <v>4509</v>
      </c>
      <c r="M568" s="6" t="s">
        <v>4537</v>
      </c>
      <c r="N568" s="6" t="s">
        <v>114</v>
      </c>
      <c r="O568" s="29">
        <f t="shared" si="9"/>
        <v>99568.35</v>
      </c>
      <c r="Q568" s="30" t="s">
        <v>114</v>
      </c>
      <c r="R568" s="31">
        <v>99568.35</v>
      </c>
    </row>
    <row r="569" s="1" customFormat="1" ht="16.35" hidden="1" customHeight="1" spans="1:18">
      <c r="A569" s="6" t="s">
        <v>4506</v>
      </c>
      <c r="B569" s="6">
        <v>2017</v>
      </c>
      <c r="C569" s="6">
        <v>1</v>
      </c>
      <c r="D569" s="7">
        <v>34</v>
      </c>
      <c r="E569" s="6" t="s">
        <v>4828</v>
      </c>
      <c r="F569" s="6" t="s">
        <v>4508</v>
      </c>
      <c r="G569" s="6" t="s">
        <v>25</v>
      </c>
      <c r="H569" s="8"/>
      <c r="I569" s="8">
        <v>304089</v>
      </c>
      <c r="J569" s="6" t="s">
        <v>3582</v>
      </c>
      <c r="K569" s="6" t="s">
        <v>116</v>
      </c>
      <c r="L569" s="6" t="s">
        <v>4509</v>
      </c>
      <c r="M569" s="6" t="s">
        <v>4537</v>
      </c>
      <c r="N569" s="6" t="s">
        <v>116</v>
      </c>
      <c r="O569" s="29">
        <f t="shared" si="9"/>
        <v>319293.45</v>
      </c>
      <c r="Q569" s="30" t="s">
        <v>116</v>
      </c>
      <c r="R569" s="31">
        <v>319293.45</v>
      </c>
    </row>
    <row r="570" s="1" customFormat="1" ht="16.35" hidden="1" customHeight="1" spans="1:18">
      <c r="A570" s="6" t="s">
        <v>4506</v>
      </c>
      <c r="B570" s="6">
        <v>2017</v>
      </c>
      <c r="C570" s="6">
        <v>1</v>
      </c>
      <c r="D570" s="7">
        <v>34</v>
      </c>
      <c r="E570" s="6" t="s">
        <v>4828</v>
      </c>
      <c r="F570" s="6" t="s">
        <v>4508</v>
      </c>
      <c r="G570" s="6" t="s">
        <v>25</v>
      </c>
      <c r="H570" s="8"/>
      <c r="I570" s="8">
        <v>302477</v>
      </c>
      <c r="J570" s="6" t="s">
        <v>3507</v>
      </c>
      <c r="K570" s="6" t="s">
        <v>118</v>
      </c>
      <c r="L570" s="6" t="s">
        <v>4509</v>
      </c>
      <c r="M570" s="6" t="s">
        <v>4537</v>
      </c>
      <c r="N570" s="6" t="s">
        <v>118</v>
      </c>
      <c r="O570" s="29">
        <f t="shared" si="9"/>
        <v>317600.85</v>
      </c>
      <c r="Q570" s="30" t="s">
        <v>118</v>
      </c>
      <c r="R570" s="31">
        <v>317600.85</v>
      </c>
    </row>
    <row r="571" s="1" customFormat="1" ht="16.35" hidden="1" customHeight="1" spans="1:18">
      <c r="A571" s="6" t="s">
        <v>4506</v>
      </c>
      <c r="B571" s="6">
        <v>2017</v>
      </c>
      <c r="C571" s="6">
        <v>1</v>
      </c>
      <c r="D571" s="7">
        <v>34</v>
      </c>
      <c r="E571" s="6" t="s">
        <v>4828</v>
      </c>
      <c r="F571" s="6" t="s">
        <v>4508</v>
      </c>
      <c r="G571" s="6" t="s">
        <v>25</v>
      </c>
      <c r="H571" s="8"/>
      <c r="I571" s="8">
        <v>92029</v>
      </c>
      <c r="J571" s="6" t="s">
        <v>3240</v>
      </c>
      <c r="K571" s="6" t="s">
        <v>120</v>
      </c>
      <c r="L571" s="6" t="s">
        <v>4509</v>
      </c>
      <c r="M571" s="6" t="s">
        <v>4537</v>
      </c>
      <c r="N571" s="6" t="s">
        <v>120</v>
      </c>
      <c r="O571" s="29">
        <f t="shared" si="9"/>
        <v>96630.45</v>
      </c>
      <c r="Q571" s="30" t="s">
        <v>120</v>
      </c>
      <c r="R571" s="31">
        <v>96630.45</v>
      </c>
    </row>
    <row r="572" s="1" customFormat="1" ht="16.35" hidden="1" customHeight="1" spans="1:18">
      <c r="A572" s="6" t="s">
        <v>4506</v>
      </c>
      <c r="B572" s="6">
        <v>2017</v>
      </c>
      <c r="C572" s="6">
        <v>1</v>
      </c>
      <c r="D572" s="7">
        <v>34</v>
      </c>
      <c r="E572" s="6" t="s">
        <v>4828</v>
      </c>
      <c r="F572" s="6" t="s">
        <v>4508</v>
      </c>
      <c r="G572" s="6" t="s">
        <v>25</v>
      </c>
      <c r="H572" s="8"/>
      <c r="I572" s="8">
        <v>81623</v>
      </c>
      <c r="J572" s="6" t="s">
        <v>3361</v>
      </c>
      <c r="K572" s="6" t="s">
        <v>124</v>
      </c>
      <c r="L572" s="6" t="s">
        <v>4509</v>
      </c>
      <c r="M572" s="6" t="s">
        <v>4537</v>
      </c>
      <c r="N572" s="6" t="s">
        <v>124</v>
      </c>
      <c r="O572" s="29">
        <f t="shared" si="9"/>
        <v>85704.15</v>
      </c>
      <c r="Q572" s="30" t="s">
        <v>124</v>
      </c>
      <c r="R572" s="31">
        <v>85704.15</v>
      </c>
    </row>
    <row r="573" s="1" customFormat="1" ht="16.35" hidden="1" customHeight="1" spans="1:18">
      <c r="A573" s="6" t="s">
        <v>4506</v>
      </c>
      <c r="B573" s="6">
        <v>2017</v>
      </c>
      <c r="C573" s="6">
        <v>1</v>
      </c>
      <c r="D573" s="7">
        <v>34</v>
      </c>
      <c r="E573" s="6" t="s">
        <v>4828</v>
      </c>
      <c r="F573" s="6" t="s">
        <v>4508</v>
      </c>
      <c r="G573" s="6" t="s">
        <v>25</v>
      </c>
      <c r="H573" s="8"/>
      <c r="I573" s="8">
        <v>249327</v>
      </c>
      <c r="J573" s="6" t="s">
        <v>3611</v>
      </c>
      <c r="K573" s="6" t="s">
        <v>126</v>
      </c>
      <c r="L573" s="6" t="s">
        <v>4509</v>
      </c>
      <c r="M573" s="6" t="s">
        <v>4537</v>
      </c>
      <c r="N573" s="6" t="s">
        <v>126</v>
      </c>
      <c r="O573" s="29">
        <f t="shared" si="9"/>
        <v>261793.35</v>
      </c>
      <c r="Q573" s="30" t="s">
        <v>126</v>
      </c>
      <c r="R573" s="31">
        <v>261793.35</v>
      </c>
    </row>
    <row r="574" s="1" customFormat="1" ht="16.35" hidden="1" customHeight="1" spans="1:18">
      <c r="A574" s="6" t="s">
        <v>4506</v>
      </c>
      <c r="B574" s="6">
        <v>2017</v>
      </c>
      <c r="C574" s="6">
        <v>1</v>
      </c>
      <c r="D574" s="7">
        <v>34</v>
      </c>
      <c r="E574" s="6" t="s">
        <v>4828</v>
      </c>
      <c r="F574" s="6" t="s">
        <v>4508</v>
      </c>
      <c r="G574" s="6" t="s">
        <v>25</v>
      </c>
      <c r="H574" s="8"/>
      <c r="I574" s="8">
        <v>9524</v>
      </c>
      <c r="J574" s="6" t="s">
        <v>3556</v>
      </c>
      <c r="K574" s="6" t="s">
        <v>897</v>
      </c>
      <c r="L574" s="6" t="s">
        <v>4509</v>
      </c>
      <c r="M574" s="6" t="s">
        <v>4537</v>
      </c>
      <c r="N574" s="6" t="s">
        <v>897</v>
      </c>
      <c r="O574" s="29">
        <f t="shared" si="9"/>
        <v>10000.2</v>
      </c>
      <c r="Q574" s="30" t="s">
        <v>897</v>
      </c>
      <c r="R574" s="31">
        <v>10000.2</v>
      </c>
    </row>
    <row r="575" s="1" customFormat="1" ht="16.35" hidden="1" customHeight="1" spans="1:18">
      <c r="A575" s="6" t="s">
        <v>4506</v>
      </c>
      <c r="B575" s="6">
        <v>2017</v>
      </c>
      <c r="C575" s="6">
        <v>2</v>
      </c>
      <c r="D575" s="7">
        <v>1</v>
      </c>
      <c r="E575" s="6" t="s">
        <v>4829</v>
      </c>
      <c r="F575" s="6" t="s">
        <v>4508</v>
      </c>
      <c r="G575" s="6" t="s">
        <v>25</v>
      </c>
      <c r="H575" s="8"/>
      <c r="I575" s="8">
        <v>30</v>
      </c>
      <c r="J575" s="6" t="s">
        <v>3707</v>
      </c>
      <c r="K575" s="6" t="s">
        <v>108</v>
      </c>
      <c r="L575" s="6" t="s">
        <v>4509</v>
      </c>
      <c r="M575" s="6" t="s">
        <v>4537</v>
      </c>
      <c r="N575" s="6" t="s">
        <v>108</v>
      </c>
      <c r="O575" s="29">
        <f t="shared" si="9"/>
        <v>31.5</v>
      </c>
      <c r="Q575" s="30" t="s">
        <v>108</v>
      </c>
      <c r="R575" s="31">
        <v>31.5</v>
      </c>
    </row>
    <row r="576" s="1" customFormat="1" ht="16.35" hidden="1" customHeight="1" spans="1:18">
      <c r="A576" s="6" t="s">
        <v>4506</v>
      </c>
      <c r="B576" s="6">
        <v>2017</v>
      </c>
      <c r="C576" s="6">
        <v>2</v>
      </c>
      <c r="D576" s="7">
        <v>2</v>
      </c>
      <c r="E576" s="6" t="s">
        <v>4830</v>
      </c>
      <c r="F576" s="6" t="s">
        <v>4508</v>
      </c>
      <c r="G576" s="6" t="s">
        <v>25</v>
      </c>
      <c r="H576" s="8"/>
      <c r="I576" s="8">
        <v>95238</v>
      </c>
      <c r="J576" s="6" t="s">
        <v>3844</v>
      </c>
      <c r="K576" s="6" t="s">
        <v>660</v>
      </c>
      <c r="L576" s="6" t="s">
        <v>4509</v>
      </c>
      <c r="M576" s="6" t="s">
        <v>4537</v>
      </c>
      <c r="N576" s="6" t="s">
        <v>660</v>
      </c>
      <c r="O576" s="29">
        <f t="shared" si="9"/>
        <v>99999.9</v>
      </c>
      <c r="Q576" s="30" t="s">
        <v>660</v>
      </c>
      <c r="R576" s="31">
        <v>99999.9</v>
      </c>
    </row>
    <row r="577" s="1" customFormat="1" ht="16.35" hidden="1" customHeight="1" spans="1:18">
      <c r="A577" s="6" t="s">
        <v>4506</v>
      </c>
      <c r="B577" s="6">
        <v>2017</v>
      </c>
      <c r="C577" s="6">
        <v>2</v>
      </c>
      <c r="D577" s="7">
        <v>3</v>
      </c>
      <c r="E577" s="6" t="s">
        <v>4831</v>
      </c>
      <c r="F577" s="6" t="s">
        <v>4508</v>
      </c>
      <c r="G577" s="6" t="s">
        <v>25</v>
      </c>
      <c r="H577" s="8"/>
      <c r="I577" s="8">
        <v>491752</v>
      </c>
      <c r="J577" s="6" t="s">
        <v>3810</v>
      </c>
      <c r="K577" s="6" t="s">
        <v>4832</v>
      </c>
      <c r="L577" s="6" t="s">
        <v>4509</v>
      </c>
      <c r="M577" s="6" t="s">
        <v>4537</v>
      </c>
      <c r="N577" s="6" t="s">
        <v>4832</v>
      </c>
      <c r="O577" s="29">
        <f t="shared" si="9"/>
        <v>516339.6</v>
      </c>
      <c r="Q577" s="30" t="s">
        <v>4832</v>
      </c>
      <c r="R577" s="31">
        <v>516339.6</v>
      </c>
    </row>
    <row r="578" s="1" customFormat="1" ht="16.35" hidden="1" customHeight="1" spans="1:18">
      <c r="A578" s="6" t="s">
        <v>4506</v>
      </c>
      <c r="B578" s="6">
        <v>2017</v>
      </c>
      <c r="C578" s="6">
        <v>2</v>
      </c>
      <c r="D578" s="7">
        <v>4</v>
      </c>
      <c r="E578" s="6" t="s">
        <v>4833</v>
      </c>
      <c r="F578" s="6" t="s">
        <v>4508</v>
      </c>
      <c r="G578" s="6" t="s">
        <v>25</v>
      </c>
      <c r="H578" s="8"/>
      <c r="I578" s="8">
        <v>9524</v>
      </c>
      <c r="J578" s="6" t="s">
        <v>3812</v>
      </c>
      <c r="K578" s="6" t="s">
        <v>517</v>
      </c>
      <c r="L578" s="6" t="s">
        <v>4509</v>
      </c>
      <c r="M578" s="6" t="s">
        <v>4537</v>
      </c>
      <c r="N578" s="6" t="s">
        <v>517</v>
      </c>
      <c r="O578" s="29">
        <f t="shared" si="9"/>
        <v>10000.2</v>
      </c>
      <c r="Q578" s="30" t="s">
        <v>517</v>
      </c>
      <c r="R578" s="31">
        <v>10000.2</v>
      </c>
    </row>
    <row r="579" s="1" customFormat="1" ht="16.35" hidden="1" customHeight="1" spans="1:18">
      <c r="A579" s="6" t="s">
        <v>4506</v>
      </c>
      <c r="B579" s="6">
        <v>2017</v>
      </c>
      <c r="C579" s="6">
        <v>2</v>
      </c>
      <c r="D579" s="7">
        <v>5</v>
      </c>
      <c r="E579" s="6" t="s">
        <v>4834</v>
      </c>
      <c r="F579" s="6" t="s">
        <v>4508</v>
      </c>
      <c r="G579" s="6" t="s">
        <v>25</v>
      </c>
      <c r="H579" s="8"/>
      <c r="I579" s="8">
        <v>28571</v>
      </c>
      <c r="J579" s="6" t="s">
        <v>3257</v>
      </c>
      <c r="K579" s="6" t="s">
        <v>828</v>
      </c>
      <c r="L579" s="6" t="s">
        <v>4509</v>
      </c>
      <c r="M579" s="6" t="s">
        <v>4537</v>
      </c>
      <c r="N579" s="6" t="s">
        <v>828</v>
      </c>
      <c r="O579" s="29">
        <f t="shared" si="9"/>
        <v>29999.55</v>
      </c>
      <c r="Q579" s="30" t="s">
        <v>828</v>
      </c>
      <c r="R579" s="31">
        <v>29999.55</v>
      </c>
    </row>
    <row r="580" s="1" customFormat="1" ht="16.35" hidden="1" customHeight="1" spans="1:18">
      <c r="A580" s="6" t="s">
        <v>4506</v>
      </c>
      <c r="B580" s="6">
        <v>2017</v>
      </c>
      <c r="C580" s="6">
        <v>2</v>
      </c>
      <c r="D580" s="7">
        <v>6</v>
      </c>
      <c r="E580" s="6" t="s">
        <v>4835</v>
      </c>
      <c r="F580" s="6" t="s">
        <v>4508</v>
      </c>
      <c r="G580" s="6" t="s">
        <v>25</v>
      </c>
      <c r="H580" s="8"/>
      <c r="I580" s="8">
        <v>22167</v>
      </c>
      <c r="J580" s="6" t="s">
        <v>3799</v>
      </c>
      <c r="K580" s="6" t="s">
        <v>838</v>
      </c>
      <c r="L580" s="6" t="s">
        <v>4509</v>
      </c>
      <c r="M580" s="6" t="s">
        <v>4537</v>
      </c>
      <c r="N580" s="6" t="s">
        <v>838</v>
      </c>
      <c r="O580" s="29">
        <f t="shared" si="9"/>
        <v>23275.35</v>
      </c>
      <c r="Q580" s="30" t="s">
        <v>838</v>
      </c>
      <c r="R580" s="31">
        <v>23275.35</v>
      </c>
    </row>
    <row r="581" s="1" customFormat="1" ht="16.35" hidden="1" customHeight="1" spans="1:18">
      <c r="A581" s="6" t="s">
        <v>4506</v>
      </c>
      <c r="B581" s="6">
        <v>2017</v>
      </c>
      <c r="C581" s="6">
        <v>2</v>
      </c>
      <c r="D581" s="7">
        <v>7</v>
      </c>
      <c r="E581" s="6" t="s">
        <v>4836</v>
      </c>
      <c r="F581" s="6" t="s">
        <v>4508</v>
      </c>
      <c r="G581" s="6" t="s">
        <v>25</v>
      </c>
      <c r="H581" s="8"/>
      <c r="I581" s="8">
        <v>4762</v>
      </c>
      <c r="J581" s="6" t="s">
        <v>3816</v>
      </c>
      <c r="K581" s="6" t="s">
        <v>757</v>
      </c>
      <c r="L581" s="6" t="s">
        <v>4509</v>
      </c>
      <c r="M581" s="6" t="s">
        <v>4537</v>
      </c>
      <c r="N581" s="6" t="s">
        <v>757</v>
      </c>
      <c r="O581" s="29">
        <f t="shared" si="9"/>
        <v>5000.1</v>
      </c>
      <c r="Q581" s="30" t="s">
        <v>757</v>
      </c>
      <c r="R581" s="31">
        <v>5000.1</v>
      </c>
    </row>
    <row r="582" s="1" customFormat="1" ht="16.35" hidden="1" customHeight="1" spans="1:18">
      <c r="A582" s="6" t="s">
        <v>4506</v>
      </c>
      <c r="B582" s="6">
        <v>2017</v>
      </c>
      <c r="C582" s="6">
        <v>2</v>
      </c>
      <c r="D582" s="7">
        <v>8</v>
      </c>
      <c r="E582" s="6" t="s">
        <v>4837</v>
      </c>
      <c r="F582" s="6" t="s">
        <v>4508</v>
      </c>
      <c r="G582" s="6" t="s">
        <v>25</v>
      </c>
      <c r="H582" s="8"/>
      <c r="I582" s="8">
        <v>28571</v>
      </c>
      <c r="J582" s="6" t="s">
        <v>3821</v>
      </c>
      <c r="K582" s="6" t="s">
        <v>752</v>
      </c>
      <c r="L582" s="6" t="s">
        <v>4509</v>
      </c>
      <c r="M582" s="6" t="s">
        <v>4537</v>
      </c>
      <c r="N582" s="6" t="s">
        <v>752</v>
      </c>
      <c r="O582" s="29">
        <f t="shared" si="9"/>
        <v>29999.55</v>
      </c>
      <c r="Q582" s="30" t="s">
        <v>752</v>
      </c>
      <c r="R582" s="31">
        <v>29999.55</v>
      </c>
    </row>
    <row r="583" s="1" customFormat="1" ht="16.35" hidden="1" customHeight="1" spans="1:18">
      <c r="A583" s="6" t="s">
        <v>4506</v>
      </c>
      <c r="B583" s="6">
        <v>2017</v>
      </c>
      <c r="C583" s="6">
        <v>2</v>
      </c>
      <c r="D583" s="7">
        <v>9</v>
      </c>
      <c r="E583" s="6" t="s">
        <v>4836</v>
      </c>
      <c r="F583" s="6" t="s">
        <v>4508</v>
      </c>
      <c r="G583" s="6" t="s">
        <v>25</v>
      </c>
      <c r="H583" s="8"/>
      <c r="I583" s="8">
        <v>64581</v>
      </c>
      <c r="J583" s="6" t="s">
        <v>3816</v>
      </c>
      <c r="K583" s="6" t="s">
        <v>757</v>
      </c>
      <c r="L583" s="6" t="s">
        <v>4509</v>
      </c>
      <c r="M583" s="6" t="s">
        <v>4537</v>
      </c>
      <c r="N583" s="6" t="s">
        <v>757</v>
      </c>
      <c r="O583" s="29">
        <f t="shared" si="9"/>
        <v>67810.05</v>
      </c>
      <c r="Q583" s="30" t="s">
        <v>757</v>
      </c>
      <c r="R583" s="31">
        <v>67810.05</v>
      </c>
    </row>
    <row r="584" s="1" customFormat="1" ht="16.35" hidden="1" customHeight="1" spans="1:18">
      <c r="A584" s="6" t="s">
        <v>4506</v>
      </c>
      <c r="B584" s="6">
        <v>2017</v>
      </c>
      <c r="C584" s="6">
        <v>2</v>
      </c>
      <c r="D584" s="7">
        <v>10</v>
      </c>
      <c r="E584" s="6" t="s">
        <v>4838</v>
      </c>
      <c r="F584" s="6" t="s">
        <v>4508</v>
      </c>
      <c r="G584" s="6" t="s">
        <v>25</v>
      </c>
      <c r="H584" s="8"/>
      <c r="I584" s="8">
        <v>171522</v>
      </c>
      <c r="J584" s="6" t="s">
        <v>3243</v>
      </c>
      <c r="K584" s="6" t="s">
        <v>693</v>
      </c>
      <c r="L584" s="6" t="s">
        <v>4509</v>
      </c>
      <c r="M584" s="6" t="s">
        <v>4537</v>
      </c>
      <c r="N584" s="6" t="s">
        <v>693</v>
      </c>
      <c r="O584" s="29">
        <f t="shared" si="9"/>
        <v>180098.1</v>
      </c>
      <c r="Q584" s="30" t="s">
        <v>693</v>
      </c>
      <c r="R584" s="31">
        <v>180098.1</v>
      </c>
    </row>
    <row r="585" s="1" customFormat="1" ht="16.35" hidden="1" customHeight="1" spans="1:18">
      <c r="A585" s="6" t="s">
        <v>4506</v>
      </c>
      <c r="B585" s="6">
        <v>2017</v>
      </c>
      <c r="C585" s="6">
        <v>2</v>
      </c>
      <c r="D585" s="7">
        <v>18</v>
      </c>
      <c r="E585" s="6" t="s">
        <v>4839</v>
      </c>
      <c r="F585" s="6" t="s">
        <v>4508</v>
      </c>
      <c r="G585" s="6" t="s">
        <v>25</v>
      </c>
      <c r="H585" s="8"/>
      <c r="I585" s="8">
        <v>24173</v>
      </c>
      <c r="J585" s="6" t="s">
        <v>3831</v>
      </c>
      <c r="K585" s="6" t="s">
        <v>386</v>
      </c>
      <c r="L585" s="6" t="s">
        <v>4509</v>
      </c>
      <c r="M585" s="6" t="s">
        <v>4537</v>
      </c>
      <c r="N585" s="6" t="s">
        <v>386</v>
      </c>
      <c r="O585" s="29">
        <f t="shared" si="9"/>
        <v>25381.65</v>
      </c>
      <c r="Q585" s="30" t="s">
        <v>386</v>
      </c>
      <c r="R585" s="31">
        <v>25381.65</v>
      </c>
    </row>
    <row r="586" s="1" customFormat="1" ht="16.35" hidden="1" customHeight="1" spans="1:18">
      <c r="A586" s="6" t="s">
        <v>4506</v>
      </c>
      <c r="B586" s="6">
        <v>2017</v>
      </c>
      <c r="C586" s="6">
        <v>2</v>
      </c>
      <c r="D586" s="7">
        <v>19</v>
      </c>
      <c r="E586" s="6" t="s">
        <v>4840</v>
      </c>
      <c r="F586" s="6" t="s">
        <v>4508</v>
      </c>
      <c r="G586" s="6" t="s">
        <v>25</v>
      </c>
      <c r="H586" s="8"/>
      <c r="I586" s="8">
        <v>51380</v>
      </c>
      <c r="J586" s="6" t="s">
        <v>3829</v>
      </c>
      <c r="K586" s="6" t="s">
        <v>128</v>
      </c>
      <c r="L586" s="6" t="s">
        <v>4509</v>
      </c>
      <c r="M586" s="6" t="s">
        <v>4537</v>
      </c>
      <c r="N586" s="6" t="s">
        <v>128</v>
      </c>
      <c r="O586" s="29">
        <f t="shared" si="9"/>
        <v>53949</v>
      </c>
      <c r="Q586" s="30" t="s">
        <v>128</v>
      </c>
      <c r="R586" s="31">
        <v>53949</v>
      </c>
    </row>
    <row r="587" s="1" customFormat="1" ht="16.35" hidden="1" customHeight="1" spans="1:18">
      <c r="A587" s="6" t="s">
        <v>4506</v>
      </c>
      <c r="B587" s="6">
        <v>2017</v>
      </c>
      <c r="C587" s="6">
        <v>2</v>
      </c>
      <c r="D587" s="7">
        <v>20</v>
      </c>
      <c r="E587" s="6" t="s">
        <v>4839</v>
      </c>
      <c r="F587" s="6" t="s">
        <v>4508</v>
      </c>
      <c r="G587" s="6" t="s">
        <v>25</v>
      </c>
      <c r="H587" s="8"/>
      <c r="I587" s="8">
        <v>1905</v>
      </c>
      <c r="J587" s="6" t="s">
        <v>3831</v>
      </c>
      <c r="K587" s="6" t="s">
        <v>386</v>
      </c>
      <c r="L587" s="6" t="s">
        <v>4509</v>
      </c>
      <c r="M587" s="6" t="s">
        <v>4537</v>
      </c>
      <c r="N587" s="6" t="s">
        <v>386</v>
      </c>
      <c r="O587" s="29">
        <f t="shared" si="9"/>
        <v>2000.25</v>
      </c>
      <c r="Q587" s="30" t="s">
        <v>386</v>
      </c>
      <c r="R587" s="31">
        <v>2000.25</v>
      </c>
    </row>
    <row r="588" s="1" customFormat="1" ht="16.35" hidden="1" customHeight="1" spans="1:18">
      <c r="A588" s="6" t="s">
        <v>4506</v>
      </c>
      <c r="B588" s="6">
        <v>2017</v>
      </c>
      <c r="C588" s="6">
        <v>2</v>
      </c>
      <c r="D588" s="7">
        <v>21</v>
      </c>
      <c r="E588" s="6" t="s">
        <v>4833</v>
      </c>
      <c r="F588" s="6" t="s">
        <v>4508</v>
      </c>
      <c r="G588" s="6" t="s">
        <v>25</v>
      </c>
      <c r="H588" s="8"/>
      <c r="I588" s="8">
        <v>81882</v>
      </c>
      <c r="J588" s="6" t="s">
        <v>3812</v>
      </c>
      <c r="K588" s="6" t="s">
        <v>517</v>
      </c>
      <c r="L588" s="6" t="s">
        <v>4509</v>
      </c>
      <c r="M588" s="6" t="s">
        <v>4537</v>
      </c>
      <c r="N588" s="6" t="s">
        <v>517</v>
      </c>
      <c r="O588" s="29">
        <f t="shared" si="9"/>
        <v>85976.1</v>
      </c>
      <c r="Q588" s="30" t="s">
        <v>517</v>
      </c>
      <c r="R588" s="31">
        <v>85976.1</v>
      </c>
    </row>
    <row r="589" s="1" customFormat="1" ht="16.35" hidden="1" customHeight="1" spans="1:18">
      <c r="A589" s="6" t="s">
        <v>4506</v>
      </c>
      <c r="B589" s="6">
        <v>2017</v>
      </c>
      <c r="C589" s="6">
        <v>3</v>
      </c>
      <c r="D589" s="7">
        <v>3</v>
      </c>
      <c r="E589" s="6" t="s">
        <v>4837</v>
      </c>
      <c r="F589" s="6" t="s">
        <v>4508</v>
      </c>
      <c r="G589" s="6" t="s">
        <v>25</v>
      </c>
      <c r="H589" s="8"/>
      <c r="I589" s="8">
        <v>136782</v>
      </c>
      <c r="J589" s="6" t="s">
        <v>3821</v>
      </c>
      <c r="K589" s="6" t="s">
        <v>752</v>
      </c>
      <c r="L589" s="6" t="s">
        <v>4509</v>
      </c>
      <c r="M589" s="6" t="s">
        <v>4537</v>
      </c>
      <c r="N589" s="6" t="s">
        <v>752</v>
      </c>
      <c r="O589" s="29">
        <f t="shared" si="9"/>
        <v>143621.1</v>
      </c>
      <c r="Q589" s="30" t="s">
        <v>752</v>
      </c>
      <c r="R589" s="31">
        <v>143621.1</v>
      </c>
    </row>
    <row r="590" s="1" customFormat="1" ht="16.35" hidden="1" customHeight="1" spans="1:18">
      <c r="A590" s="6" t="s">
        <v>4506</v>
      </c>
      <c r="B590" s="6">
        <v>2017</v>
      </c>
      <c r="C590" s="6">
        <v>3</v>
      </c>
      <c r="D590" s="7">
        <v>4</v>
      </c>
      <c r="E590" s="6" t="s">
        <v>4841</v>
      </c>
      <c r="F590" s="6" t="s">
        <v>4508</v>
      </c>
      <c r="G590" s="6" t="s">
        <v>25</v>
      </c>
      <c r="H590" s="8"/>
      <c r="I590" s="8">
        <v>68571</v>
      </c>
      <c r="J590" s="6" t="s">
        <v>3257</v>
      </c>
      <c r="K590" s="6" t="s">
        <v>828</v>
      </c>
      <c r="L590" s="6" t="s">
        <v>4509</v>
      </c>
      <c r="M590" s="6" t="s">
        <v>4537</v>
      </c>
      <c r="N590" s="6" t="s">
        <v>828</v>
      </c>
      <c r="O590" s="29">
        <f t="shared" si="9"/>
        <v>71999.55</v>
      </c>
      <c r="Q590" s="30" t="s">
        <v>828</v>
      </c>
      <c r="R590" s="31">
        <v>71999.55</v>
      </c>
    </row>
    <row r="591" s="1" customFormat="1" ht="16.35" hidden="1" customHeight="1" spans="1:18">
      <c r="A591" s="6" t="s">
        <v>4506</v>
      </c>
      <c r="B591" s="6">
        <v>2017</v>
      </c>
      <c r="C591" s="6">
        <v>3</v>
      </c>
      <c r="D591" s="7">
        <v>5</v>
      </c>
      <c r="E591" s="6" t="s">
        <v>4842</v>
      </c>
      <c r="F591" s="6" t="s">
        <v>4508</v>
      </c>
      <c r="G591" s="6" t="s">
        <v>25</v>
      </c>
      <c r="H591" s="8"/>
      <c r="I591" s="8">
        <v>952</v>
      </c>
      <c r="J591" s="6" t="s">
        <v>3836</v>
      </c>
      <c r="K591" s="6" t="s">
        <v>122</v>
      </c>
      <c r="L591" s="6" t="s">
        <v>4509</v>
      </c>
      <c r="M591" s="6" t="s">
        <v>4537</v>
      </c>
      <c r="N591" s="6" t="s">
        <v>122</v>
      </c>
      <c r="O591" s="29">
        <f t="shared" si="9"/>
        <v>999.6</v>
      </c>
      <c r="Q591" s="30" t="s">
        <v>122</v>
      </c>
      <c r="R591" s="31">
        <v>999.6</v>
      </c>
    </row>
    <row r="592" s="1" customFormat="1" ht="16.35" hidden="1" customHeight="1" spans="1:18">
      <c r="A592" s="6" t="s">
        <v>4506</v>
      </c>
      <c r="B592" s="6">
        <v>2017</v>
      </c>
      <c r="C592" s="6">
        <v>3</v>
      </c>
      <c r="D592" s="7">
        <v>6</v>
      </c>
      <c r="E592" s="6" t="s">
        <v>4843</v>
      </c>
      <c r="F592" s="6" t="s">
        <v>4508</v>
      </c>
      <c r="G592" s="6" t="s">
        <v>25</v>
      </c>
      <c r="H592" s="8"/>
      <c r="I592" s="8">
        <v>167</v>
      </c>
      <c r="J592" s="6" t="s">
        <v>3810</v>
      </c>
      <c r="K592" s="6" t="s">
        <v>4832</v>
      </c>
      <c r="L592" s="6" t="s">
        <v>4509</v>
      </c>
      <c r="M592" s="6" t="s">
        <v>4537</v>
      </c>
      <c r="N592" s="6" t="s">
        <v>4832</v>
      </c>
      <c r="O592" s="29">
        <f t="shared" si="9"/>
        <v>175.35</v>
      </c>
      <c r="Q592" s="30" t="s">
        <v>4832</v>
      </c>
      <c r="R592" s="31">
        <v>175.35</v>
      </c>
    </row>
    <row r="593" s="1" customFormat="1" ht="16.35" hidden="1" customHeight="1" spans="1:18">
      <c r="A593" s="6" t="s">
        <v>4506</v>
      </c>
      <c r="B593" s="6">
        <v>2017</v>
      </c>
      <c r="C593" s="6">
        <v>3</v>
      </c>
      <c r="D593" s="7">
        <v>7</v>
      </c>
      <c r="E593" s="6" t="s">
        <v>4844</v>
      </c>
      <c r="F593" s="6" t="s">
        <v>4508</v>
      </c>
      <c r="G593" s="6" t="s">
        <v>25</v>
      </c>
      <c r="H593" s="8"/>
      <c r="I593" s="8">
        <v>95671</v>
      </c>
      <c r="J593" s="6" t="s">
        <v>3839</v>
      </c>
      <c r="K593" s="6" t="s">
        <v>884</v>
      </c>
      <c r="L593" s="6" t="s">
        <v>4509</v>
      </c>
      <c r="M593" s="6" t="s">
        <v>4537</v>
      </c>
      <c r="N593" s="6" t="s">
        <v>884</v>
      </c>
      <c r="O593" s="29">
        <f t="shared" si="9"/>
        <v>100454.55</v>
      </c>
      <c r="Q593" s="30" t="s">
        <v>884</v>
      </c>
      <c r="R593" s="31">
        <v>100454.55</v>
      </c>
    </row>
    <row r="594" s="1" customFormat="1" ht="16.35" hidden="1" customHeight="1" spans="1:18">
      <c r="A594" s="6" t="s">
        <v>4506</v>
      </c>
      <c r="B594" s="6">
        <v>2017</v>
      </c>
      <c r="C594" s="6">
        <v>3</v>
      </c>
      <c r="D594" s="7">
        <v>9</v>
      </c>
      <c r="E594" s="6" t="s">
        <v>4845</v>
      </c>
      <c r="F594" s="6" t="s">
        <v>4508</v>
      </c>
      <c r="G594" s="6" t="s">
        <v>25</v>
      </c>
      <c r="H594" s="8"/>
      <c r="I594" s="8">
        <v>4762</v>
      </c>
      <c r="J594" s="6" t="s">
        <v>4846</v>
      </c>
      <c r="K594" s="6" t="s">
        <v>742</v>
      </c>
      <c r="L594" s="6" t="s">
        <v>4509</v>
      </c>
      <c r="M594" s="6" t="s">
        <v>4537</v>
      </c>
      <c r="N594" s="6" t="s">
        <v>742</v>
      </c>
      <c r="O594" s="29">
        <f t="shared" si="9"/>
        <v>5000.1</v>
      </c>
      <c r="Q594" s="30" t="s">
        <v>742</v>
      </c>
      <c r="R594" s="31">
        <v>5000.1</v>
      </c>
    </row>
    <row r="595" s="1" customFormat="1" ht="16.35" hidden="1" customHeight="1" spans="1:18">
      <c r="A595" s="6" t="s">
        <v>4506</v>
      </c>
      <c r="B595" s="6">
        <v>2017</v>
      </c>
      <c r="C595" s="6">
        <v>3</v>
      </c>
      <c r="D595" s="7">
        <v>10</v>
      </c>
      <c r="E595" s="6" t="s">
        <v>4847</v>
      </c>
      <c r="F595" s="6" t="s">
        <v>4508</v>
      </c>
      <c r="G595" s="6" t="s">
        <v>25</v>
      </c>
      <c r="H595" s="8"/>
      <c r="I595" s="8">
        <v>31700</v>
      </c>
      <c r="J595" s="6" t="s">
        <v>4821</v>
      </c>
      <c r="K595" s="6" t="s">
        <v>744</v>
      </c>
      <c r="L595" s="6" t="s">
        <v>4509</v>
      </c>
      <c r="M595" s="6" t="s">
        <v>4537</v>
      </c>
      <c r="N595" s="6" t="s">
        <v>744</v>
      </c>
      <c r="O595" s="29">
        <f t="shared" si="9"/>
        <v>33285</v>
      </c>
      <c r="Q595" s="30" t="s">
        <v>744</v>
      </c>
      <c r="R595" s="31">
        <v>33285</v>
      </c>
    </row>
    <row r="596" s="1" customFormat="1" ht="16.35" hidden="1" customHeight="1" spans="1:18">
      <c r="A596" s="6" t="s">
        <v>4506</v>
      </c>
      <c r="B596" s="6">
        <v>2017</v>
      </c>
      <c r="C596" s="6">
        <v>3</v>
      </c>
      <c r="D596" s="7">
        <v>11</v>
      </c>
      <c r="E596" s="6" t="s">
        <v>4844</v>
      </c>
      <c r="F596" s="6" t="s">
        <v>4508</v>
      </c>
      <c r="G596" s="6" t="s">
        <v>25</v>
      </c>
      <c r="H596" s="8"/>
      <c r="I596" s="8">
        <v>952</v>
      </c>
      <c r="J596" s="6" t="s">
        <v>3839</v>
      </c>
      <c r="K596" s="6" t="s">
        <v>884</v>
      </c>
      <c r="L596" s="6" t="s">
        <v>4509</v>
      </c>
      <c r="M596" s="6" t="s">
        <v>4537</v>
      </c>
      <c r="N596" s="6" t="s">
        <v>884</v>
      </c>
      <c r="O596" s="29">
        <f t="shared" si="9"/>
        <v>999.6</v>
      </c>
      <c r="Q596" s="30" t="s">
        <v>884</v>
      </c>
      <c r="R596" s="31">
        <v>999.6</v>
      </c>
    </row>
    <row r="597" s="1" customFormat="1" ht="16.35" hidden="1" customHeight="1" spans="1:18">
      <c r="A597" s="6" t="s">
        <v>4506</v>
      </c>
      <c r="B597" s="6">
        <v>2017</v>
      </c>
      <c r="C597" s="6">
        <v>3</v>
      </c>
      <c r="D597" s="7">
        <v>12</v>
      </c>
      <c r="E597" s="6" t="s">
        <v>4848</v>
      </c>
      <c r="F597" s="6" t="s">
        <v>4508</v>
      </c>
      <c r="G597" s="6" t="s">
        <v>25</v>
      </c>
      <c r="H597" s="8"/>
      <c r="I597" s="8">
        <v>27077</v>
      </c>
      <c r="J597" s="6" t="s">
        <v>3881</v>
      </c>
      <c r="K597" s="6" t="s">
        <v>666</v>
      </c>
      <c r="L597" s="6" t="s">
        <v>4509</v>
      </c>
      <c r="M597" s="6" t="s">
        <v>4537</v>
      </c>
      <c r="N597" s="6" t="s">
        <v>666</v>
      </c>
      <c r="O597" s="29">
        <f t="shared" si="9"/>
        <v>28430.85</v>
      </c>
      <c r="Q597" s="30" t="s">
        <v>666</v>
      </c>
      <c r="R597" s="31">
        <v>28430.85</v>
      </c>
    </row>
    <row r="598" s="1" customFormat="1" ht="16.35" hidden="1" customHeight="1" spans="1:18">
      <c r="A598" s="6" t="s">
        <v>4506</v>
      </c>
      <c r="B598" s="6">
        <v>2017</v>
      </c>
      <c r="C598" s="6">
        <v>3</v>
      </c>
      <c r="D598" s="7">
        <v>13</v>
      </c>
      <c r="E598" s="6" t="s">
        <v>4849</v>
      </c>
      <c r="F598" s="6" t="s">
        <v>4508</v>
      </c>
      <c r="G598" s="6" t="s">
        <v>25</v>
      </c>
      <c r="H598" s="8"/>
      <c r="I598" s="8">
        <v>236181</v>
      </c>
      <c r="J598" s="6" t="s">
        <v>3844</v>
      </c>
      <c r="K598" s="6" t="s">
        <v>660</v>
      </c>
      <c r="L598" s="6" t="s">
        <v>4509</v>
      </c>
      <c r="M598" s="6" t="s">
        <v>4537</v>
      </c>
      <c r="N598" s="6" t="s">
        <v>660</v>
      </c>
      <c r="O598" s="29">
        <f t="shared" si="9"/>
        <v>247990.05</v>
      </c>
      <c r="Q598" s="30" t="s">
        <v>660</v>
      </c>
      <c r="R598" s="31">
        <v>247990.05</v>
      </c>
    </row>
    <row r="599" s="1" customFormat="1" ht="16.35" hidden="1" customHeight="1" spans="1:18">
      <c r="A599" s="6" t="s">
        <v>4506</v>
      </c>
      <c r="B599" s="6">
        <v>2017</v>
      </c>
      <c r="C599" s="6">
        <v>3</v>
      </c>
      <c r="D599" s="7">
        <v>14</v>
      </c>
      <c r="E599" s="6" t="s">
        <v>4850</v>
      </c>
      <c r="F599" s="6" t="s">
        <v>4508</v>
      </c>
      <c r="G599" s="6" t="s">
        <v>25</v>
      </c>
      <c r="H599" s="8"/>
      <c r="I599" s="8">
        <v>56385</v>
      </c>
      <c r="J599" s="6" t="s">
        <v>3316</v>
      </c>
      <c r="K599" s="6" t="s">
        <v>73</v>
      </c>
      <c r="L599" s="6" t="s">
        <v>4509</v>
      </c>
      <c r="M599" s="6" t="s">
        <v>4537</v>
      </c>
      <c r="N599" s="6" t="s">
        <v>73</v>
      </c>
      <c r="O599" s="29">
        <f t="shared" si="9"/>
        <v>59204.25</v>
      </c>
      <c r="Q599" s="30" t="s">
        <v>73</v>
      </c>
      <c r="R599" s="31">
        <v>59204.25</v>
      </c>
    </row>
    <row r="600" s="1" customFormat="1" ht="16.35" hidden="1" customHeight="1" spans="1:18">
      <c r="A600" s="6" t="s">
        <v>4506</v>
      </c>
      <c r="B600" s="6">
        <v>2017</v>
      </c>
      <c r="C600" s="6">
        <v>3</v>
      </c>
      <c r="D600" s="7">
        <v>15</v>
      </c>
      <c r="E600" s="6" t="s">
        <v>4851</v>
      </c>
      <c r="F600" s="6" t="s">
        <v>4508</v>
      </c>
      <c r="G600" s="6" t="s">
        <v>25</v>
      </c>
      <c r="H600" s="8"/>
      <c r="I600" s="8">
        <v>4762</v>
      </c>
      <c r="J600" s="6" t="s">
        <v>3881</v>
      </c>
      <c r="K600" s="6" t="s">
        <v>666</v>
      </c>
      <c r="L600" s="6" t="s">
        <v>4509</v>
      </c>
      <c r="M600" s="6" t="s">
        <v>4537</v>
      </c>
      <c r="N600" s="6" t="s">
        <v>666</v>
      </c>
      <c r="O600" s="29">
        <f t="shared" si="9"/>
        <v>5000.1</v>
      </c>
      <c r="Q600" s="30" t="s">
        <v>666</v>
      </c>
      <c r="R600" s="31">
        <v>5000.1</v>
      </c>
    </row>
    <row r="601" s="1" customFormat="1" ht="16.35" hidden="1" customHeight="1" spans="1:18">
      <c r="A601" s="6" t="s">
        <v>4506</v>
      </c>
      <c r="B601" s="6">
        <v>2017</v>
      </c>
      <c r="C601" s="6">
        <v>3</v>
      </c>
      <c r="D601" s="7">
        <v>16</v>
      </c>
      <c r="E601" s="6" t="s">
        <v>4852</v>
      </c>
      <c r="F601" s="6" t="s">
        <v>4508</v>
      </c>
      <c r="G601" s="6" t="s">
        <v>25</v>
      </c>
      <c r="H601" s="8"/>
      <c r="I601" s="8">
        <v>77748</v>
      </c>
      <c r="J601" s="6" t="s">
        <v>3810</v>
      </c>
      <c r="K601" s="6" t="s">
        <v>4832</v>
      </c>
      <c r="L601" s="6" t="s">
        <v>4509</v>
      </c>
      <c r="M601" s="6" t="s">
        <v>4537</v>
      </c>
      <c r="N601" s="6" t="s">
        <v>4832</v>
      </c>
      <c r="O601" s="29">
        <f t="shared" ref="O601:O664" si="10">I601*1.05</f>
        <v>81635.4</v>
      </c>
      <c r="Q601" s="30" t="s">
        <v>4832</v>
      </c>
      <c r="R601" s="31">
        <v>81635.4</v>
      </c>
    </row>
    <row r="602" s="1" customFormat="1" ht="16.35" hidden="1" customHeight="1" spans="1:18">
      <c r="A602" s="6" t="s">
        <v>4506</v>
      </c>
      <c r="B602" s="6">
        <v>2017</v>
      </c>
      <c r="C602" s="6">
        <v>3</v>
      </c>
      <c r="D602" s="7">
        <v>18</v>
      </c>
      <c r="E602" s="6" t="s">
        <v>4853</v>
      </c>
      <c r="F602" s="6" t="s">
        <v>4508</v>
      </c>
      <c r="G602" s="6" t="s">
        <v>25</v>
      </c>
      <c r="H602" s="8"/>
      <c r="I602" s="8">
        <v>4762</v>
      </c>
      <c r="J602" s="6" t="s">
        <v>3866</v>
      </c>
      <c r="K602" s="6" t="s">
        <v>957</v>
      </c>
      <c r="L602" s="6" t="s">
        <v>4509</v>
      </c>
      <c r="M602" s="6" t="s">
        <v>4537</v>
      </c>
      <c r="N602" s="6" t="s">
        <v>957</v>
      </c>
      <c r="O602" s="29">
        <f t="shared" si="10"/>
        <v>5000.1</v>
      </c>
      <c r="Q602" s="30" t="s">
        <v>957</v>
      </c>
      <c r="R602" s="31">
        <v>5000.1</v>
      </c>
    </row>
    <row r="603" s="1" customFormat="1" ht="16.35" hidden="1" customHeight="1" spans="1:18">
      <c r="A603" s="6" t="s">
        <v>4506</v>
      </c>
      <c r="B603" s="6">
        <v>2017</v>
      </c>
      <c r="C603" s="6">
        <v>3</v>
      </c>
      <c r="D603" s="7">
        <v>28</v>
      </c>
      <c r="E603" s="6" t="s">
        <v>4854</v>
      </c>
      <c r="F603" s="6" t="s">
        <v>4508</v>
      </c>
      <c r="G603" s="6" t="s">
        <v>25</v>
      </c>
      <c r="H603" s="8"/>
      <c r="I603" s="8">
        <v>-163910</v>
      </c>
      <c r="J603" s="6" t="s">
        <v>3821</v>
      </c>
      <c r="K603" s="6" t="s">
        <v>752</v>
      </c>
      <c r="L603" s="6" t="s">
        <v>4509</v>
      </c>
      <c r="M603" s="6" t="s">
        <v>4537</v>
      </c>
      <c r="N603" s="6" t="s">
        <v>752</v>
      </c>
      <c r="O603" s="29">
        <f t="shared" si="10"/>
        <v>-172105.5</v>
      </c>
      <c r="Q603" s="30" t="s">
        <v>752</v>
      </c>
      <c r="R603" s="31">
        <v>-172105.5</v>
      </c>
    </row>
    <row r="604" s="1" customFormat="1" ht="16.35" hidden="1" customHeight="1" spans="1:18">
      <c r="A604" s="6" t="s">
        <v>4506</v>
      </c>
      <c r="B604" s="6">
        <v>2017</v>
      </c>
      <c r="C604" s="6">
        <v>3</v>
      </c>
      <c r="D604" s="7">
        <v>31</v>
      </c>
      <c r="E604" s="6" t="s">
        <v>4855</v>
      </c>
      <c r="F604" s="6" t="s">
        <v>4508</v>
      </c>
      <c r="G604" s="6" t="s">
        <v>25</v>
      </c>
      <c r="H604" s="8"/>
      <c r="I604" s="8">
        <v>120000</v>
      </c>
      <c r="J604" s="6" t="s">
        <v>4846</v>
      </c>
      <c r="K604" s="6" t="s">
        <v>742</v>
      </c>
      <c r="L604" s="6" t="s">
        <v>4509</v>
      </c>
      <c r="M604" s="6" t="s">
        <v>4537</v>
      </c>
      <c r="N604" s="6" t="s">
        <v>742</v>
      </c>
      <c r="O604" s="29">
        <f t="shared" si="10"/>
        <v>126000</v>
      </c>
      <c r="Q604" s="30" t="s">
        <v>742</v>
      </c>
      <c r="R604" s="31">
        <v>126000</v>
      </c>
    </row>
    <row r="605" s="1" customFormat="1" ht="16.35" hidden="1" customHeight="1" spans="1:18">
      <c r="A605" s="6" t="s">
        <v>4506</v>
      </c>
      <c r="B605" s="6">
        <v>2017</v>
      </c>
      <c r="C605" s="6">
        <v>3</v>
      </c>
      <c r="D605" s="7">
        <v>37</v>
      </c>
      <c r="E605" s="6" t="s">
        <v>4856</v>
      </c>
      <c r="F605" s="6" t="s">
        <v>4508</v>
      </c>
      <c r="G605" s="6" t="s">
        <v>25</v>
      </c>
      <c r="H605" s="8"/>
      <c r="I605" s="8">
        <v>-691</v>
      </c>
      <c r="J605" s="6" t="s">
        <v>2962</v>
      </c>
      <c r="K605" s="6" t="s">
        <v>301</v>
      </c>
      <c r="L605" s="6" t="s">
        <v>4509</v>
      </c>
      <c r="M605" s="6" t="s">
        <v>4537</v>
      </c>
      <c r="N605" s="6" t="s">
        <v>301</v>
      </c>
      <c r="O605" s="29">
        <f t="shared" si="10"/>
        <v>-725.55</v>
      </c>
      <c r="Q605" s="30" t="s">
        <v>301</v>
      </c>
      <c r="R605" s="31">
        <v>-725.55</v>
      </c>
    </row>
    <row r="606" s="1" customFormat="1" ht="16.35" hidden="1" customHeight="1" spans="1:18">
      <c r="A606" s="6" t="s">
        <v>4506</v>
      </c>
      <c r="B606" s="6">
        <v>2017</v>
      </c>
      <c r="C606" s="6">
        <v>3</v>
      </c>
      <c r="D606" s="7">
        <v>37</v>
      </c>
      <c r="E606" s="6" t="s">
        <v>4857</v>
      </c>
      <c r="F606" s="6" t="s">
        <v>4508</v>
      </c>
      <c r="G606" s="6" t="s">
        <v>25</v>
      </c>
      <c r="H606" s="8"/>
      <c r="I606" s="8">
        <v>-507</v>
      </c>
      <c r="J606" s="6" t="s">
        <v>2937</v>
      </c>
      <c r="K606" s="6" t="s">
        <v>511</v>
      </c>
      <c r="L606" s="6" t="s">
        <v>4509</v>
      </c>
      <c r="M606" s="6" t="s">
        <v>4537</v>
      </c>
      <c r="N606" s="6" t="s">
        <v>511</v>
      </c>
      <c r="O606" s="29">
        <f t="shared" si="10"/>
        <v>-532.35</v>
      </c>
      <c r="Q606" s="30" t="s">
        <v>511</v>
      </c>
      <c r="R606" s="31">
        <v>-532.35</v>
      </c>
    </row>
    <row r="607" s="1" customFormat="1" ht="16.35" hidden="1" customHeight="1" spans="1:18">
      <c r="A607" s="6" t="s">
        <v>4506</v>
      </c>
      <c r="B607" s="6">
        <v>2017</v>
      </c>
      <c r="C607" s="6">
        <v>3</v>
      </c>
      <c r="D607" s="7">
        <v>37</v>
      </c>
      <c r="E607" s="6" t="s">
        <v>4858</v>
      </c>
      <c r="F607" s="6" t="s">
        <v>4508</v>
      </c>
      <c r="G607" s="6" t="s">
        <v>25</v>
      </c>
      <c r="H607" s="8"/>
      <c r="I607" s="8">
        <v>-623</v>
      </c>
      <c r="J607" s="6" t="s">
        <v>4533</v>
      </c>
      <c r="K607" s="6" t="s">
        <v>352</v>
      </c>
      <c r="L607" s="6" t="s">
        <v>4509</v>
      </c>
      <c r="M607" s="6" t="s">
        <v>4537</v>
      </c>
      <c r="N607" s="6" t="s">
        <v>352</v>
      </c>
      <c r="O607" s="29">
        <f>I607</f>
        <v>-623</v>
      </c>
      <c r="Q607" s="30" t="s">
        <v>352</v>
      </c>
      <c r="R607" s="31">
        <f>O607</f>
        <v>-623</v>
      </c>
    </row>
    <row r="608" s="1" customFormat="1" ht="16.35" hidden="1" customHeight="1" spans="1:18">
      <c r="A608" s="6" t="s">
        <v>4506</v>
      </c>
      <c r="B608" s="6">
        <v>2017</v>
      </c>
      <c r="C608" s="6">
        <v>3</v>
      </c>
      <c r="D608" s="7">
        <v>38</v>
      </c>
      <c r="E608" s="6" t="s">
        <v>4859</v>
      </c>
      <c r="F608" s="6" t="s">
        <v>4508</v>
      </c>
      <c r="G608" s="6" t="s">
        <v>25</v>
      </c>
      <c r="H608" s="8"/>
      <c r="I608" s="8">
        <v>-532</v>
      </c>
      <c r="J608" s="6" t="s">
        <v>2978</v>
      </c>
      <c r="K608" s="6" t="s">
        <v>320</v>
      </c>
      <c r="L608" s="6" t="s">
        <v>4509</v>
      </c>
      <c r="M608" s="6" t="s">
        <v>4537</v>
      </c>
      <c r="N608" s="6" t="s">
        <v>320</v>
      </c>
      <c r="O608" s="29">
        <f t="shared" si="10"/>
        <v>-558.6</v>
      </c>
      <c r="Q608" s="30" t="s">
        <v>320</v>
      </c>
      <c r="R608" s="31">
        <v>-558.6</v>
      </c>
    </row>
    <row r="609" s="1" customFormat="1" ht="16.35" hidden="1" customHeight="1" spans="1:18">
      <c r="A609" s="6" t="s">
        <v>4506</v>
      </c>
      <c r="B609" s="6">
        <v>2017</v>
      </c>
      <c r="C609" s="6">
        <v>3</v>
      </c>
      <c r="D609" s="7">
        <v>38</v>
      </c>
      <c r="E609" s="6" t="s">
        <v>4860</v>
      </c>
      <c r="F609" s="6" t="s">
        <v>4508</v>
      </c>
      <c r="G609" s="6" t="s">
        <v>25</v>
      </c>
      <c r="H609" s="8"/>
      <c r="I609" s="8">
        <v>-38</v>
      </c>
      <c r="J609" s="6" t="s">
        <v>3598</v>
      </c>
      <c r="K609" s="6" t="s">
        <v>559</v>
      </c>
      <c r="L609" s="6" t="s">
        <v>4509</v>
      </c>
      <c r="M609" s="6" t="s">
        <v>4537</v>
      </c>
      <c r="N609" s="6" t="s">
        <v>559</v>
      </c>
      <c r="O609" s="29">
        <f t="shared" si="10"/>
        <v>-39.9</v>
      </c>
      <c r="Q609" s="30" t="s">
        <v>559</v>
      </c>
      <c r="R609" s="31">
        <v>-39.9</v>
      </c>
    </row>
    <row r="610" s="1" customFormat="1" ht="16.35" hidden="1" customHeight="1" spans="1:18">
      <c r="A610" s="6" t="s">
        <v>4506</v>
      </c>
      <c r="B610" s="6">
        <v>2017</v>
      </c>
      <c r="C610" s="6">
        <v>3</v>
      </c>
      <c r="D610" s="7">
        <v>38</v>
      </c>
      <c r="E610" s="6" t="s">
        <v>4861</v>
      </c>
      <c r="F610" s="6" t="s">
        <v>4508</v>
      </c>
      <c r="G610" s="6" t="s">
        <v>25</v>
      </c>
      <c r="H610" s="8"/>
      <c r="I610" s="8">
        <v>-564</v>
      </c>
      <c r="J610" s="6" t="s">
        <v>2936</v>
      </c>
      <c r="K610" s="6" t="s">
        <v>503</v>
      </c>
      <c r="L610" s="6" t="s">
        <v>4509</v>
      </c>
      <c r="M610" s="6" t="s">
        <v>4537</v>
      </c>
      <c r="N610" s="6" t="s">
        <v>503</v>
      </c>
      <c r="O610" s="29">
        <f t="shared" si="10"/>
        <v>-592.2</v>
      </c>
      <c r="Q610" s="30" t="s">
        <v>503</v>
      </c>
      <c r="R610" s="31">
        <v>-592.2</v>
      </c>
    </row>
    <row r="611" s="1" customFormat="1" ht="16.35" hidden="1" customHeight="1" spans="1:18">
      <c r="A611" s="6" t="s">
        <v>4506</v>
      </c>
      <c r="B611" s="6">
        <v>2017</v>
      </c>
      <c r="C611" s="6">
        <v>3</v>
      </c>
      <c r="D611" s="7">
        <v>39</v>
      </c>
      <c r="E611" s="6" t="s">
        <v>4862</v>
      </c>
      <c r="F611" s="6" t="s">
        <v>4508</v>
      </c>
      <c r="G611" s="6" t="s">
        <v>25</v>
      </c>
      <c r="H611" s="8"/>
      <c r="I611" s="8">
        <v>-683</v>
      </c>
      <c r="J611" s="6" t="s">
        <v>3773</v>
      </c>
      <c r="K611" s="6" t="s">
        <v>332</v>
      </c>
      <c r="L611" s="6" t="s">
        <v>4509</v>
      </c>
      <c r="M611" s="6" t="s">
        <v>4537</v>
      </c>
      <c r="N611" s="6" t="s">
        <v>332</v>
      </c>
      <c r="O611" s="29">
        <f>I611</f>
        <v>-683</v>
      </c>
      <c r="Q611" s="30" t="s">
        <v>332</v>
      </c>
      <c r="R611" s="31">
        <f>I611</f>
        <v>-683</v>
      </c>
    </row>
    <row r="612" s="1" customFormat="1" ht="16.35" hidden="1" customHeight="1" spans="1:18">
      <c r="A612" s="6" t="s">
        <v>4506</v>
      </c>
      <c r="B612" s="6">
        <v>2017</v>
      </c>
      <c r="C612" s="6">
        <v>3</v>
      </c>
      <c r="D612" s="7">
        <v>39</v>
      </c>
      <c r="E612" s="6" t="s">
        <v>4863</v>
      </c>
      <c r="F612" s="6" t="s">
        <v>4508</v>
      </c>
      <c r="G612" s="6" t="s">
        <v>25</v>
      </c>
      <c r="H612" s="8"/>
      <c r="I612" s="8">
        <v>-441</v>
      </c>
      <c r="J612" s="6" t="s">
        <v>3270</v>
      </c>
      <c r="K612" s="6" t="s">
        <v>435</v>
      </c>
      <c r="L612" s="6" t="s">
        <v>4509</v>
      </c>
      <c r="M612" s="6" t="s">
        <v>4537</v>
      </c>
      <c r="N612" s="6" t="s">
        <v>435</v>
      </c>
      <c r="O612" s="29">
        <f t="shared" si="10"/>
        <v>-463.05</v>
      </c>
      <c r="Q612" s="30" t="s">
        <v>435</v>
      </c>
      <c r="R612" s="31">
        <v>-463.05</v>
      </c>
    </row>
    <row r="613" s="1" customFormat="1" ht="16.35" hidden="1" customHeight="1" spans="1:18">
      <c r="A613" s="6" t="s">
        <v>4506</v>
      </c>
      <c r="B613" s="6">
        <v>2017</v>
      </c>
      <c r="C613" s="6">
        <v>3</v>
      </c>
      <c r="D613" s="7">
        <v>39</v>
      </c>
      <c r="E613" s="6" t="s">
        <v>4864</v>
      </c>
      <c r="F613" s="6" t="s">
        <v>4508</v>
      </c>
      <c r="G613" s="6" t="s">
        <v>25</v>
      </c>
      <c r="H613" s="8"/>
      <c r="I613" s="8">
        <v>-524</v>
      </c>
      <c r="J613" s="6" t="s">
        <v>3063</v>
      </c>
      <c r="K613" s="6" t="s">
        <v>501</v>
      </c>
      <c r="L613" s="6" t="s">
        <v>4509</v>
      </c>
      <c r="M613" s="6" t="s">
        <v>4537</v>
      </c>
      <c r="N613" s="6" t="s">
        <v>501</v>
      </c>
      <c r="O613" s="29">
        <f t="shared" si="10"/>
        <v>-550.2</v>
      </c>
      <c r="Q613" s="30" t="s">
        <v>501</v>
      </c>
      <c r="R613" s="31">
        <v>-550.2</v>
      </c>
    </row>
    <row r="614" s="1" customFormat="1" ht="16.35" hidden="1" customHeight="1" spans="1:18">
      <c r="A614" s="6" t="s">
        <v>4506</v>
      </c>
      <c r="B614" s="6">
        <v>2017</v>
      </c>
      <c r="C614" s="6">
        <v>3</v>
      </c>
      <c r="D614" s="7">
        <v>40</v>
      </c>
      <c r="E614" s="6" t="s">
        <v>4865</v>
      </c>
      <c r="F614" s="6" t="s">
        <v>4508</v>
      </c>
      <c r="G614" s="6" t="s">
        <v>25</v>
      </c>
      <c r="H614" s="8"/>
      <c r="I614" s="8">
        <v>-676</v>
      </c>
      <c r="J614" s="6" t="s">
        <v>4531</v>
      </c>
      <c r="K614" s="6" t="s">
        <v>338</v>
      </c>
      <c r="L614" s="6" t="s">
        <v>4509</v>
      </c>
      <c r="M614" s="6" t="s">
        <v>4537</v>
      </c>
      <c r="N614" s="6" t="s">
        <v>338</v>
      </c>
      <c r="O614" s="29">
        <f>I614</f>
        <v>-676</v>
      </c>
      <c r="Q614" s="30" t="s">
        <v>338</v>
      </c>
      <c r="R614" s="31">
        <f>O614</f>
        <v>-676</v>
      </c>
    </row>
    <row r="615" s="1" customFormat="1" ht="16.35" hidden="1" customHeight="1" spans="1:18">
      <c r="A615" s="6" t="s">
        <v>4506</v>
      </c>
      <c r="B615" s="6">
        <v>2017</v>
      </c>
      <c r="C615" s="6">
        <v>3</v>
      </c>
      <c r="D615" s="7">
        <v>40</v>
      </c>
      <c r="E615" s="6" t="s">
        <v>4866</v>
      </c>
      <c r="F615" s="6" t="s">
        <v>4508</v>
      </c>
      <c r="G615" s="6" t="s">
        <v>25</v>
      </c>
      <c r="H615" s="8"/>
      <c r="I615" s="8">
        <v>-670</v>
      </c>
      <c r="J615" s="6" t="s">
        <v>2986</v>
      </c>
      <c r="K615" s="6" t="s">
        <v>336</v>
      </c>
      <c r="L615" s="6" t="s">
        <v>4509</v>
      </c>
      <c r="M615" s="6" t="s">
        <v>4537</v>
      </c>
      <c r="N615" s="6" t="s">
        <v>336</v>
      </c>
      <c r="O615" s="29">
        <f>I615</f>
        <v>-670</v>
      </c>
      <c r="Q615" s="30" t="s">
        <v>336</v>
      </c>
      <c r="R615" s="31">
        <f>O615</f>
        <v>-670</v>
      </c>
    </row>
    <row r="616" s="1" customFormat="1" ht="16.35" hidden="1" customHeight="1" spans="1:18">
      <c r="A616" s="6" t="s">
        <v>4506</v>
      </c>
      <c r="B616" s="6">
        <v>2017</v>
      </c>
      <c r="C616" s="6">
        <v>3</v>
      </c>
      <c r="D616" s="7">
        <v>40</v>
      </c>
      <c r="E616" s="6" t="s">
        <v>4867</v>
      </c>
      <c r="F616" s="6" t="s">
        <v>4508</v>
      </c>
      <c r="G616" s="6" t="s">
        <v>25</v>
      </c>
      <c r="H616" s="8"/>
      <c r="I616" s="8">
        <v>-691</v>
      </c>
      <c r="J616" s="6" t="s">
        <v>2960</v>
      </c>
      <c r="K616" s="6" t="s">
        <v>299</v>
      </c>
      <c r="L616" s="6" t="s">
        <v>4509</v>
      </c>
      <c r="M616" s="6" t="s">
        <v>4537</v>
      </c>
      <c r="N616" s="6" t="s">
        <v>299</v>
      </c>
      <c r="O616" s="29">
        <f t="shared" si="10"/>
        <v>-725.55</v>
      </c>
      <c r="Q616" s="30" t="s">
        <v>299</v>
      </c>
      <c r="R616" s="31">
        <v>-725.55</v>
      </c>
    </row>
    <row r="617" s="1" customFormat="1" ht="16.35" hidden="1" customHeight="1" spans="1:18">
      <c r="A617" s="6" t="s">
        <v>4506</v>
      </c>
      <c r="B617" s="6">
        <v>2017</v>
      </c>
      <c r="C617" s="6">
        <v>3</v>
      </c>
      <c r="D617" s="7">
        <v>41</v>
      </c>
      <c r="E617" s="6" t="s">
        <v>4868</v>
      </c>
      <c r="F617" s="6" t="s">
        <v>4508</v>
      </c>
      <c r="G617" s="6" t="s">
        <v>25</v>
      </c>
      <c r="H617" s="8"/>
      <c r="I617" s="8">
        <v>-624</v>
      </c>
      <c r="J617" s="6" t="s">
        <v>2994</v>
      </c>
      <c r="K617" s="6" t="s">
        <v>354</v>
      </c>
      <c r="L617" s="6" t="s">
        <v>4509</v>
      </c>
      <c r="M617" s="6" t="s">
        <v>4537</v>
      </c>
      <c r="N617" s="6" t="s">
        <v>354</v>
      </c>
      <c r="O617" s="29">
        <f>I617</f>
        <v>-624</v>
      </c>
      <c r="Q617" s="30" t="s">
        <v>354</v>
      </c>
      <c r="R617" s="31">
        <f>O617</f>
        <v>-624</v>
      </c>
    </row>
    <row r="618" s="1" customFormat="1" ht="16.35" hidden="1" customHeight="1" spans="1:18">
      <c r="A618" s="6" t="s">
        <v>4506</v>
      </c>
      <c r="B618" s="6">
        <v>2017</v>
      </c>
      <c r="C618" s="6">
        <v>3</v>
      </c>
      <c r="D618" s="7">
        <v>41</v>
      </c>
      <c r="E618" s="6" t="s">
        <v>4869</v>
      </c>
      <c r="F618" s="6" t="s">
        <v>4508</v>
      </c>
      <c r="G618" s="6" t="s">
        <v>25</v>
      </c>
      <c r="H618" s="8"/>
      <c r="I618" s="8">
        <v>-683</v>
      </c>
      <c r="J618" s="6" t="s">
        <v>2966</v>
      </c>
      <c r="K618" s="6" t="s">
        <v>307</v>
      </c>
      <c r="L618" s="6" t="s">
        <v>4509</v>
      </c>
      <c r="M618" s="6" t="s">
        <v>4537</v>
      </c>
      <c r="N618" s="6" t="s">
        <v>307</v>
      </c>
      <c r="O618" s="29">
        <f t="shared" si="10"/>
        <v>-717.15</v>
      </c>
      <c r="Q618" s="30" t="s">
        <v>307</v>
      </c>
      <c r="R618" s="31">
        <v>-717.15</v>
      </c>
    </row>
    <row r="619" s="1" customFormat="1" ht="16.35" hidden="1" customHeight="1" spans="1:18">
      <c r="A619" s="6" t="s">
        <v>4506</v>
      </c>
      <c r="B619" s="6">
        <v>2017</v>
      </c>
      <c r="C619" s="6">
        <v>3</v>
      </c>
      <c r="D619" s="7">
        <v>41</v>
      </c>
      <c r="E619" s="6" t="s">
        <v>4870</v>
      </c>
      <c r="F619" s="6" t="s">
        <v>4508</v>
      </c>
      <c r="G619" s="6" t="s">
        <v>25</v>
      </c>
      <c r="H619" s="8"/>
      <c r="I619" s="8">
        <v>-537</v>
      </c>
      <c r="J619" s="6" t="s">
        <v>3268</v>
      </c>
      <c r="K619" s="6" t="s">
        <v>429</v>
      </c>
      <c r="L619" s="6" t="s">
        <v>4509</v>
      </c>
      <c r="M619" s="6" t="s">
        <v>4537</v>
      </c>
      <c r="N619" s="6" t="s">
        <v>429</v>
      </c>
      <c r="O619" s="29">
        <f t="shared" si="10"/>
        <v>-563.85</v>
      </c>
      <c r="Q619" s="30" t="s">
        <v>429</v>
      </c>
      <c r="R619" s="31">
        <v>-563.85</v>
      </c>
    </row>
    <row r="620" s="1" customFormat="1" ht="16.35" hidden="1" customHeight="1" spans="1:18">
      <c r="A620" s="6" t="s">
        <v>4506</v>
      </c>
      <c r="B620" s="6">
        <v>2017</v>
      </c>
      <c r="C620" s="6">
        <v>3</v>
      </c>
      <c r="D620" s="7">
        <v>42</v>
      </c>
      <c r="E620" s="6" t="s">
        <v>4871</v>
      </c>
      <c r="F620" s="6" t="s">
        <v>4508</v>
      </c>
      <c r="G620" s="6" t="s">
        <v>25</v>
      </c>
      <c r="H620" s="8"/>
      <c r="I620" s="8">
        <v>-470</v>
      </c>
      <c r="J620" s="6" t="s">
        <v>3029</v>
      </c>
      <c r="K620" s="6" t="s">
        <v>461</v>
      </c>
      <c r="L620" s="6" t="s">
        <v>4509</v>
      </c>
      <c r="M620" s="6" t="s">
        <v>4537</v>
      </c>
      <c r="N620" s="6" t="s">
        <v>461</v>
      </c>
      <c r="O620" s="29">
        <f>I620</f>
        <v>-470</v>
      </c>
      <c r="Q620" s="30" t="s">
        <v>461</v>
      </c>
      <c r="R620" s="31">
        <f>O620</f>
        <v>-470</v>
      </c>
    </row>
    <row r="621" s="1" customFormat="1" ht="16.35" hidden="1" customHeight="1" spans="1:18">
      <c r="A621" s="6" t="s">
        <v>4506</v>
      </c>
      <c r="B621" s="6">
        <v>2017</v>
      </c>
      <c r="C621" s="6">
        <v>3</v>
      </c>
      <c r="D621" s="7">
        <v>42</v>
      </c>
      <c r="E621" s="6" t="s">
        <v>4872</v>
      </c>
      <c r="F621" s="6" t="s">
        <v>4508</v>
      </c>
      <c r="G621" s="6" t="s">
        <v>25</v>
      </c>
      <c r="H621" s="8"/>
      <c r="I621" s="8">
        <v>-714</v>
      </c>
      <c r="J621" s="6" t="s">
        <v>3766</v>
      </c>
      <c r="K621" s="6" t="s">
        <v>303</v>
      </c>
      <c r="L621" s="6" t="s">
        <v>4509</v>
      </c>
      <c r="M621" s="6" t="s">
        <v>4537</v>
      </c>
      <c r="N621" s="6" t="s">
        <v>303</v>
      </c>
      <c r="O621" s="29">
        <f t="shared" si="10"/>
        <v>-749.7</v>
      </c>
      <c r="Q621" s="30" t="s">
        <v>303</v>
      </c>
      <c r="R621" s="31">
        <v>-749.7</v>
      </c>
    </row>
    <row r="622" s="1" customFormat="1" ht="16.35" hidden="1" customHeight="1" spans="1:18">
      <c r="A622" s="6" t="s">
        <v>4506</v>
      </c>
      <c r="B622" s="6">
        <v>2017</v>
      </c>
      <c r="C622" s="6">
        <v>3</v>
      </c>
      <c r="D622" s="7">
        <v>42</v>
      </c>
      <c r="E622" s="6" t="s">
        <v>4873</v>
      </c>
      <c r="F622" s="6" t="s">
        <v>4508</v>
      </c>
      <c r="G622" s="6" t="s">
        <v>25</v>
      </c>
      <c r="H622" s="8"/>
      <c r="I622" s="8">
        <v>-596</v>
      </c>
      <c r="J622" s="6" t="s">
        <v>3776</v>
      </c>
      <c r="K622" s="6" t="s">
        <v>340</v>
      </c>
      <c r="L622" s="6" t="s">
        <v>4509</v>
      </c>
      <c r="M622" s="6" t="s">
        <v>4537</v>
      </c>
      <c r="N622" s="6" t="s">
        <v>340</v>
      </c>
      <c r="O622" s="29">
        <f>I622</f>
        <v>-596</v>
      </c>
      <c r="Q622" s="30" t="s">
        <v>340</v>
      </c>
      <c r="R622" s="31">
        <f>O622</f>
        <v>-596</v>
      </c>
    </row>
    <row r="623" s="1" customFormat="1" ht="16.35" hidden="1" customHeight="1" spans="1:18">
      <c r="A623" s="6" t="s">
        <v>4506</v>
      </c>
      <c r="B623" s="6">
        <v>2017</v>
      </c>
      <c r="C623" s="6">
        <v>3</v>
      </c>
      <c r="D623" s="7">
        <v>43</v>
      </c>
      <c r="E623" s="6" t="s">
        <v>4874</v>
      </c>
      <c r="F623" s="6" t="s">
        <v>4508</v>
      </c>
      <c r="G623" s="6" t="s">
        <v>25</v>
      </c>
      <c r="H623" s="8"/>
      <c r="I623" s="8">
        <v>-676</v>
      </c>
      <c r="J623" s="6" t="s">
        <v>2971</v>
      </c>
      <c r="K623" s="6" t="s">
        <v>311</v>
      </c>
      <c r="L623" s="6" t="s">
        <v>4509</v>
      </c>
      <c r="M623" s="6" t="s">
        <v>4537</v>
      </c>
      <c r="N623" s="6" t="s">
        <v>311</v>
      </c>
      <c r="O623" s="29">
        <f t="shared" si="10"/>
        <v>-709.8</v>
      </c>
      <c r="Q623" s="30" t="s">
        <v>311</v>
      </c>
      <c r="R623" s="31">
        <v>-709.8</v>
      </c>
    </row>
    <row r="624" s="1" customFormat="1" ht="16.35" hidden="1" customHeight="1" spans="1:18">
      <c r="A624" s="6" t="s">
        <v>4506</v>
      </c>
      <c r="B624" s="6">
        <v>2017</v>
      </c>
      <c r="C624" s="6">
        <v>3</v>
      </c>
      <c r="D624" s="7">
        <v>43</v>
      </c>
      <c r="E624" s="6" t="s">
        <v>4875</v>
      </c>
      <c r="F624" s="6" t="s">
        <v>4508</v>
      </c>
      <c r="G624" s="6" t="s">
        <v>25</v>
      </c>
      <c r="H624" s="8"/>
      <c r="I624" s="8">
        <v>-598</v>
      </c>
      <c r="J624" s="6" t="s">
        <v>3778</v>
      </c>
      <c r="K624" s="6" t="s">
        <v>342</v>
      </c>
      <c r="L624" s="6" t="s">
        <v>4509</v>
      </c>
      <c r="M624" s="6" t="s">
        <v>4537</v>
      </c>
      <c r="N624" s="6" t="s">
        <v>342</v>
      </c>
      <c r="O624" s="29">
        <f>I624</f>
        <v>-598</v>
      </c>
      <c r="Q624" s="30" t="s">
        <v>342</v>
      </c>
      <c r="R624" s="31">
        <f>O624</f>
        <v>-598</v>
      </c>
    </row>
    <row r="625" s="1" customFormat="1" ht="16.35" hidden="1" customHeight="1" spans="1:18">
      <c r="A625" s="6" t="s">
        <v>4506</v>
      </c>
      <c r="B625" s="6">
        <v>2017</v>
      </c>
      <c r="C625" s="6">
        <v>3</v>
      </c>
      <c r="D625" s="7">
        <v>43</v>
      </c>
      <c r="E625" s="6" t="s">
        <v>4876</v>
      </c>
      <c r="F625" s="6" t="s">
        <v>4508</v>
      </c>
      <c r="G625" s="6" t="s">
        <v>25</v>
      </c>
      <c r="H625" s="8"/>
      <c r="I625" s="8">
        <v>-689</v>
      </c>
      <c r="J625" s="6" t="s">
        <v>2984</v>
      </c>
      <c r="K625" s="6" t="s">
        <v>334</v>
      </c>
      <c r="L625" s="6" t="s">
        <v>4509</v>
      </c>
      <c r="M625" s="6" t="s">
        <v>4537</v>
      </c>
      <c r="N625" s="6" t="s">
        <v>334</v>
      </c>
      <c r="O625" s="29">
        <f>I625</f>
        <v>-689</v>
      </c>
      <c r="Q625" s="30" t="s">
        <v>334</v>
      </c>
      <c r="R625" s="31">
        <f>O625</f>
        <v>-689</v>
      </c>
    </row>
    <row r="626" s="1" customFormat="1" ht="16.35" hidden="1" customHeight="1" spans="1:18">
      <c r="A626" s="6" t="s">
        <v>4506</v>
      </c>
      <c r="B626" s="6">
        <v>2017</v>
      </c>
      <c r="C626" s="6">
        <v>3</v>
      </c>
      <c r="D626" s="7">
        <v>44</v>
      </c>
      <c r="E626" s="6" t="s">
        <v>4877</v>
      </c>
      <c r="F626" s="6" t="s">
        <v>4508</v>
      </c>
      <c r="G626" s="6" t="s">
        <v>25</v>
      </c>
      <c r="H626" s="8"/>
      <c r="I626" s="8">
        <v>-463</v>
      </c>
      <c r="J626" s="6" t="s">
        <v>3040</v>
      </c>
      <c r="K626" s="6" t="s">
        <v>483</v>
      </c>
      <c r="L626" s="6" t="s">
        <v>4509</v>
      </c>
      <c r="M626" s="6" t="s">
        <v>4537</v>
      </c>
      <c r="N626" s="6" t="s">
        <v>483</v>
      </c>
      <c r="O626" s="29">
        <f t="shared" si="10"/>
        <v>-486.15</v>
      </c>
      <c r="Q626" s="30" t="s">
        <v>483</v>
      </c>
      <c r="R626" s="31">
        <v>-486.15</v>
      </c>
    </row>
    <row r="627" s="1" customFormat="1" ht="16.35" hidden="1" customHeight="1" spans="1:18">
      <c r="A627" s="6" t="s">
        <v>4506</v>
      </c>
      <c r="B627" s="6">
        <v>2017</v>
      </c>
      <c r="C627" s="6">
        <v>3</v>
      </c>
      <c r="D627" s="7">
        <v>44</v>
      </c>
      <c r="E627" s="6" t="s">
        <v>4877</v>
      </c>
      <c r="F627" s="6" t="s">
        <v>4508</v>
      </c>
      <c r="G627" s="6" t="s">
        <v>25</v>
      </c>
      <c r="H627" s="8"/>
      <c r="I627" s="8">
        <v>-428</v>
      </c>
      <c r="J627" s="6" t="s">
        <v>3031</v>
      </c>
      <c r="K627" s="6" t="s">
        <v>465</v>
      </c>
      <c r="L627" s="6" t="s">
        <v>4509</v>
      </c>
      <c r="M627" s="6" t="s">
        <v>4537</v>
      </c>
      <c r="N627" s="6" t="s">
        <v>465</v>
      </c>
      <c r="O627" s="29">
        <f>I627</f>
        <v>-428</v>
      </c>
      <c r="Q627" s="30" t="s">
        <v>465</v>
      </c>
      <c r="R627" s="31">
        <f>O627</f>
        <v>-428</v>
      </c>
    </row>
    <row r="628" s="1" customFormat="1" ht="16.35" hidden="1" customHeight="1" spans="1:18">
      <c r="A628" s="6" t="s">
        <v>4506</v>
      </c>
      <c r="B628" s="6">
        <v>2017</v>
      </c>
      <c r="C628" s="6">
        <v>3</v>
      </c>
      <c r="D628" s="7">
        <v>45</v>
      </c>
      <c r="E628" s="6" t="s">
        <v>4878</v>
      </c>
      <c r="F628" s="6" t="s">
        <v>4508</v>
      </c>
      <c r="G628" s="6" t="s">
        <v>25</v>
      </c>
      <c r="H628" s="8"/>
      <c r="I628" s="8">
        <v>-471</v>
      </c>
      <c r="J628" s="6" t="s">
        <v>3049</v>
      </c>
      <c r="K628" s="6" t="s">
        <v>487</v>
      </c>
      <c r="L628" s="6" t="s">
        <v>4509</v>
      </c>
      <c r="M628" s="6" t="s">
        <v>4537</v>
      </c>
      <c r="N628" s="6" t="s">
        <v>487</v>
      </c>
      <c r="O628" s="29">
        <f t="shared" si="10"/>
        <v>-494.55</v>
      </c>
      <c r="Q628" s="30" t="s">
        <v>487</v>
      </c>
      <c r="R628" s="31">
        <v>-494.55</v>
      </c>
    </row>
    <row r="629" s="1" customFormat="1" ht="16.35" hidden="1" customHeight="1" spans="1:18">
      <c r="A629" s="6" t="s">
        <v>4506</v>
      </c>
      <c r="B629" s="6">
        <v>2017</v>
      </c>
      <c r="C629" s="6">
        <v>3</v>
      </c>
      <c r="D629" s="7">
        <v>45</v>
      </c>
      <c r="E629" s="6" t="s">
        <v>4878</v>
      </c>
      <c r="F629" s="6" t="s">
        <v>4508</v>
      </c>
      <c r="G629" s="6" t="s">
        <v>25</v>
      </c>
      <c r="H629" s="8"/>
      <c r="I629" s="8">
        <v>-471</v>
      </c>
      <c r="J629" s="6" t="s">
        <v>3042</v>
      </c>
      <c r="K629" s="6" t="s">
        <v>485</v>
      </c>
      <c r="L629" s="6" t="s">
        <v>4509</v>
      </c>
      <c r="M629" s="6" t="s">
        <v>4537</v>
      </c>
      <c r="N629" s="6" t="s">
        <v>485</v>
      </c>
      <c r="O629" s="29">
        <f t="shared" si="10"/>
        <v>-494.55</v>
      </c>
      <c r="Q629" s="30" t="s">
        <v>485</v>
      </c>
      <c r="R629" s="31">
        <v>-494.55</v>
      </c>
    </row>
    <row r="630" s="1" customFormat="1" ht="16.35" hidden="1" customHeight="1" spans="1:18">
      <c r="A630" s="6" t="s">
        <v>4506</v>
      </c>
      <c r="B630" s="6">
        <v>2017</v>
      </c>
      <c r="C630" s="6">
        <v>3</v>
      </c>
      <c r="D630" s="7">
        <v>45</v>
      </c>
      <c r="E630" s="6" t="s">
        <v>4878</v>
      </c>
      <c r="F630" s="6" t="s">
        <v>4508</v>
      </c>
      <c r="G630" s="6" t="s">
        <v>25</v>
      </c>
      <c r="H630" s="8"/>
      <c r="I630" s="8">
        <v>-388</v>
      </c>
      <c r="J630" s="6" t="s">
        <v>3060</v>
      </c>
      <c r="K630" s="6" t="s">
        <v>495</v>
      </c>
      <c r="L630" s="6" t="s">
        <v>4509</v>
      </c>
      <c r="M630" s="6" t="s">
        <v>4537</v>
      </c>
      <c r="N630" s="6" t="s">
        <v>495</v>
      </c>
      <c r="O630" s="29">
        <f t="shared" si="10"/>
        <v>-407.4</v>
      </c>
      <c r="Q630" s="30" t="s">
        <v>495</v>
      </c>
      <c r="R630" s="31">
        <v>-407.4</v>
      </c>
    </row>
    <row r="631" s="1" customFormat="1" ht="16.35" hidden="1" customHeight="1" spans="1:18">
      <c r="A631" s="6" t="s">
        <v>4506</v>
      </c>
      <c r="B631" s="6">
        <v>2017</v>
      </c>
      <c r="C631" s="6">
        <v>3</v>
      </c>
      <c r="D631" s="7">
        <v>46</v>
      </c>
      <c r="E631" s="6" t="s">
        <v>4879</v>
      </c>
      <c r="F631" s="6" t="s">
        <v>4508</v>
      </c>
      <c r="G631" s="6" t="s">
        <v>25</v>
      </c>
      <c r="H631" s="8"/>
      <c r="I631" s="8">
        <v>-498</v>
      </c>
      <c r="J631" s="6" t="s">
        <v>3267</v>
      </c>
      <c r="K631" s="6" t="s">
        <v>425</v>
      </c>
      <c r="L631" s="6" t="s">
        <v>4509</v>
      </c>
      <c r="M631" s="6" t="s">
        <v>4537</v>
      </c>
      <c r="N631" s="6" t="s">
        <v>425</v>
      </c>
      <c r="O631" s="29">
        <f t="shared" si="10"/>
        <v>-522.9</v>
      </c>
      <c r="Q631" s="30" t="s">
        <v>425</v>
      </c>
      <c r="R631" s="31">
        <v>-522.9</v>
      </c>
    </row>
    <row r="632" s="1" customFormat="1" ht="16.35" hidden="1" customHeight="1" spans="1:18">
      <c r="A632" s="6" t="s">
        <v>4506</v>
      </c>
      <c r="B632" s="6">
        <v>2017</v>
      </c>
      <c r="C632" s="6">
        <v>3</v>
      </c>
      <c r="D632" s="7">
        <v>46</v>
      </c>
      <c r="E632" s="6" t="s">
        <v>4880</v>
      </c>
      <c r="F632" s="6" t="s">
        <v>4508</v>
      </c>
      <c r="G632" s="6" t="s">
        <v>25</v>
      </c>
      <c r="H632" s="8"/>
      <c r="I632" s="8">
        <v>-126</v>
      </c>
      <c r="J632" s="6" t="s">
        <v>3003</v>
      </c>
      <c r="K632" s="6" t="s">
        <v>390</v>
      </c>
      <c r="L632" s="6" t="s">
        <v>4509</v>
      </c>
      <c r="M632" s="6" t="s">
        <v>4537</v>
      </c>
      <c r="N632" s="6" t="s">
        <v>390</v>
      </c>
      <c r="O632" s="29">
        <f>I632</f>
        <v>-126</v>
      </c>
      <c r="Q632" s="30" t="s">
        <v>390</v>
      </c>
      <c r="R632" s="31">
        <f>O632</f>
        <v>-126</v>
      </c>
    </row>
    <row r="633" s="1" customFormat="1" ht="16.35" hidden="1" customHeight="1" spans="1:18">
      <c r="A633" s="6" t="s">
        <v>4506</v>
      </c>
      <c r="B633" s="6">
        <v>2017</v>
      </c>
      <c r="C633" s="6">
        <v>3</v>
      </c>
      <c r="D633" s="7">
        <v>46</v>
      </c>
      <c r="E633" s="6" t="s">
        <v>4881</v>
      </c>
      <c r="F633" s="6" t="s">
        <v>4508</v>
      </c>
      <c r="G633" s="6" t="s">
        <v>25</v>
      </c>
      <c r="H633" s="8"/>
      <c r="I633" s="8">
        <v>-398</v>
      </c>
      <c r="J633" s="6" t="s">
        <v>3058</v>
      </c>
      <c r="K633" s="6" t="s">
        <v>493</v>
      </c>
      <c r="L633" s="6" t="s">
        <v>4509</v>
      </c>
      <c r="M633" s="6" t="s">
        <v>4537</v>
      </c>
      <c r="N633" s="6" t="s">
        <v>493</v>
      </c>
      <c r="O633" s="29">
        <f t="shared" si="10"/>
        <v>-417.9</v>
      </c>
      <c r="Q633" s="30" t="s">
        <v>493</v>
      </c>
      <c r="R633" s="31">
        <v>-417.9</v>
      </c>
    </row>
    <row r="634" s="1" customFormat="1" ht="16.35" hidden="1" customHeight="1" spans="1:18">
      <c r="A634" s="6" t="s">
        <v>4506</v>
      </c>
      <c r="B634" s="6">
        <v>2017</v>
      </c>
      <c r="C634" s="6">
        <v>3</v>
      </c>
      <c r="D634" s="7">
        <v>47</v>
      </c>
      <c r="E634" s="6" t="s">
        <v>4882</v>
      </c>
      <c r="F634" s="6" t="s">
        <v>4508</v>
      </c>
      <c r="G634" s="6" t="s">
        <v>25</v>
      </c>
      <c r="H634" s="8"/>
      <c r="I634" s="8">
        <v>-193</v>
      </c>
      <c r="J634" s="6" t="s">
        <v>3787</v>
      </c>
      <c r="K634" s="6" t="s">
        <v>378</v>
      </c>
      <c r="L634" s="6" t="s">
        <v>4509</v>
      </c>
      <c r="M634" s="6" t="s">
        <v>4537</v>
      </c>
      <c r="N634" s="6" t="s">
        <v>378</v>
      </c>
      <c r="O634" s="29">
        <f>I634</f>
        <v>-193</v>
      </c>
      <c r="Q634" s="30" t="s">
        <v>378</v>
      </c>
      <c r="R634" s="31">
        <f>O634</f>
        <v>-193</v>
      </c>
    </row>
    <row r="635" s="1" customFormat="1" ht="16.35" hidden="1" customHeight="1" spans="1:18">
      <c r="A635" s="6" t="s">
        <v>4506</v>
      </c>
      <c r="B635" s="6">
        <v>2017</v>
      </c>
      <c r="C635" s="6">
        <v>3</v>
      </c>
      <c r="D635" s="7">
        <v>47</v>
      </c>
      <c r="E635" s="6" t="s">
        <v>4883</v>
      </c>
      <c r="F635" s="6" t="s">
        <v>4508</v>
      </c>
      <c r="G635" s="6" t="s">
        <v>25</v>
      </c>
      <c r="H635" s="8"/>
      <c r="I635" s="8">
        <v>-691</v>
      </c>
      <c r="J635" s="6" t="s">
        <v>2958</v>
      </c>
      <c r="K635" s="6" t="s">
        <v>297</v>
      </c>
      <c r="L635" s="6" t="s">
        <v>4509</v>
      </c>
      <c r="M635" s="6" t="s">
        <v>4537</v>
      </c>
      <c r="N635" s="6" t="s">
        <v>297</v>
      </c>
      <c r="O635" s="29">
        <f t="shared" si="10"/>
        <v>-725.55</v>
      </c>
      <c r="Q635" s="30" t="s">
        <v>297</v>
      </c>
      <c r="R635" s="31">
        <v>-725.55</v>
      </c>
    </row>
    <row r="636" s="1" customFormat="1" ht="16.35" hidden="1" customHeight="1" spans="1:18">
      <c r="A636" s="6" t="s">
        <v>4506</v>
      </c>
      <c r="B636" s="6">
        <v>2017</v>
      </c>
      <c r="C636" s="6">
        <v>3</v>
      </c>
      <c r="D636" s="7">
        <v>47</v>
      </c>
      <c r="E636" s="6" t="s">
        <v>4883</v>
      </c>
      <c r="F636" s="6" t="s">
        <v>4508</v>
      </c>
      <c r="G636" s="6" t="s">
        <v>25</v>
      </c>
      <c r="H636" s="8"/>
      <c r="I636" s="8">
        <v>-696</v>
      </c>
      <c r="J636" s="6" t="s">
        <v>2982</v>
      </c>
      <c r="K636" s="6" t="s">
        <v>330</v>
      </c>
      <c r="L636" s="6" t="s">
        <v>4509</v>
      </c>
      <c r="M636" s="6" t="s">
        <v>4537</v>
      </c>
      <c r="N636" s="6" t="s">
        <v>330</v>
      </c>
      <c r="O636" s="29">
        <f t="shared" si="10"/>
        <v>-730.8</v>
      </c>
      <c r="Q636" s="30" t="s">
        <v>330</v>
      </c>
      <c r="R636" s="31">
        <f>I636</f>
        <v>-696</v>
      </c>
    </row>
    <row r="637" s="1" customFormat="1" ht="16.35" hidden="1" customHeight="1" spans="1:18">
      <c r="A637" s="6" t="s">
        <v>4506</v>
      </c>
      <c r="B637" s="6">
        <v>2017</v>
      </c>
      <c r="C637" s="6">
        <v>3</v>
      </c>
      <c r="D637" s="7">
        <v>48</v>
      </c>
      <c r="E637" s="6" t="s">
        <v>4884</v>
      </c>
      <c r="F637" s="6" t="s">
        <v>4508</v>
      </c>
      <c r="G637" s="6" t="s">
        <v>25</v>
      </c>
      <c r="H637" s="8"/>
      <c r="I637" s="8">
        <v>-690</v>
      </c>
      <c r="J637" s="6" t="s">
        <v>2964</v>
      </c>
      <c r="K637" s="6" t="s">
        <v>305</v>
      </c>
      <c r="L637" s="6" t="s">
        <v>4509</v>
      </c>
      <c r="M637" s="6" t="s">
        <v>4537</v>
      </c>
      <c r="N637" s="6" t="s">
        <v>305</v>
      </c>
      <c r="O637" s="29">
        <f t="shared" si="10"/>
        <v>-724.5</v>
      </c>
      <c r="Q637" s="30" t="s">
        <v>305</v>
      </c>
      <c r="R637" s="31">
        <v>-724.5</v>
      </c>
    </row>
    <row r="638" s="1" customFormat="1" ht="16.35" hidden="1" customHeight="1" spans="1:18">
      <c r="A638" s="6" t="s">
        <v>4506</v>
      </c>
      <c r="B638" s="6">
        <v>2017</v>
      </c>
      <c r="C638" s="6">
        <v>3</v>
      </c>
      <c r="D638" s="7">
        <v>48</v>
      </c>
      <c r="E638" s="6" t="s">
        <v>4884</v>
      </c>
      <c r="F638" s="6" t="s">
        <v>4508</v>
      </c>
      <c r="G638" s="6" t="s">
        <v>25</v>
      </c>
      <c r="H638" s="8"/>
      <c r="I638" s="8">
        <v>-601</v>
      </c>
      <c r="J638" s="6" t="s">
        <v>2974</v>
      </c>
      <c r="K638" s="6" t="s">
        <v>313</v>
      </c>
      <c r="L638" s="6" t="s">
        <v>4509</v>
      </c>
      <c r="M638" s="6" t="s">
        <v>4537</v>
      </c>
      <c r="N638" s="6" t="s">
        <v>313</v>
      </c>
      <c r="O638" s="29">
        <f t="shared" si="10"/>
        <v>-631.05</v>
      </c>
      <c r="Q638" s="30" t="s">
        <v>313</v>
      </c>
      <c r="R638" s="31">
        <v>-631.05</v>
      </c>
    </row>
    <row r="639" s="1" customFormat="1" ht="16.35" hidden="1" customHeight="1" spans="1:18">
      <c r="A639" s="6" t="s">
        <v>4506</v>
      </c>
      <c r="B639" s="6">
        <v>2017</v>
      </c>
      <c r="C639" s="6">
        <v>3</v>
      </c>
      <c r="D639" s="7">
        <v>48</v>
      </c>
      <c r="E639" s="6" t="s">
        <v>4884</v>
      </c>
      <c r="F639" s="6" t="s">
        <v>4508</v>
      </c>
      <c r="G639" s="6" t="s">
        <v>25</v>
      </c>
      <c r="H639" s="8"/>
      <c r="I639" s="8">
        <v>-506</v>
      </c>
      <c r="J639" s="6" t="s">
        <v>3018</v>
      </c>
      <c r="K639" s="6" t="s">
        <v>437</v>
      </c>
      <c r="L639" s="6" t="s">
        <v>4509</v>
      </c>
      <c r="M639" s="6" t="s">
        <v>4537</v>
      </c>
      <c r="N639" s="6" t="s">
        <v>437</v>
      </c>
      <c r="O639" s="29">
        <f>I639</f>
        <v>-506</v>
      </c>
      <c r="Q639" s="30" t="s">
        <v>437</v>
      </c>
      <c r="R639" s="31">
        <f>O639</f>
        <v>-506</v>
      </c>
    </row>
    <row r="640" s="1" customFormat="1" ht="16.35" hidden="1" customHeight="1" spans="1:18">
      <c r="A640" s="6" t="s">
        <v>4506</v>
      </c>
      <c r="B640" s="6">
        <v>2017</v>
      </c>
      <c r="C640" s="6">
        <v>3</v>
      </c>
      <c r="D640" s="7">
        <v>49</v>
      </c>
      <c r="E640" s="6" t="s">
        <v>4885</v>
      </c>
      <c r="F640" s="6" t="s">
        <v>4508</v>
      </c>
      <c r="G640" s="6" t="s">
        <v>25</v>
      </c>
      <c r="H640" s="8"/>
      <c r="I640" s="8">
        <v>-676</v>
      </c>
      <c r="J640" s="6" t="s">
        <v>2968</v>
      </c>
      <c r="K640" s="6" t="s">
        <v>309</v>
      </c>
      <c r="L640" s="6" t="s">
        <v>4509</v>
      </c>
      <c r="M640" s="6" t="s">
        <v>4537</v>
      </c>
      <c r="N640" s="6" t="s">
        <v>309</v>
      </c>
      <c r="O640" s="29">
        <f t="shared" si="10"/>
        <v>-709.8</v>
      </c>
      <c r="Q640" s="30" t="s">
        <v>309</v>
      </c>
      <c r="R640" s="31">
        <v>-709.8</v>
      </c>
    </row>
    <row r="641" s="1" customFormat="1" ht="16.35" hidden="1" customHeight="1" spans="1:18">
      <c r="A641" s="6" t="s">
        <v>4506</v>
      </c>
      <c r="B641" s="6">
        <v>2017</v>
      </c>
      <c r="C641" s="6">
        <v>3</v>
      </c>
      <c r="D641" s="7">
        <v>49</v>
      </c>
      <c r="E641" s="6" t="s">
        <v>4885</v>
      </c>
      <c r="F641" s="6" t="s">
        <v>4508</v>
      </c>
      <c r="G641" s="6" t="s">
        <v>25</v>
      </c>
      <c r="H641" s="8"/>
      <c r="I641" s="8">
        <v>-602</v>
      </c>
      <c r="J641" s="6" t="s">
        <v>2976</v>
      </c>
      <c r="K641" s="6" t="s">
        <v>315</v>
      </c>
      <c r="L641" s="6" t="s">
        <v>4509</v>
      </c>
      <c r="M641" s="6" t="s">
        <v>4537</v>
      </c>
      <c r="N641" s="6" t="s">
        <v>315</v>
      </c>
      <c r="O641" s="29">
        <f t="shared" si="10"/>
        <v>-632.1</v>
      </c>
      <c r="Q641" s="30" t="s">
        <v>315</v>
      </c>
      <c r="R641" s="31">
        <v>-632.1</v>
      </c>
    </row>
    <row r="642" s="1" customFormat="1" ht="16.35" hidden="1" customHeight="1" spans="1:18">
      <c r="A642" s="6" t="s">
        <v>4506</v>
      </c>
      <c r="B642" s="6">
        <v>2017</v>
      </c>
      <c r="C642" s="6">
        <v>3</v>
      </c>
      <c r="D642" s="7">
        <v>49</v>
      </c>
      <c r="E642" s="6" t="s">
        <v>4886</v>
      </c>
      <c r="F642" s="6" t="s">
        <v>4508</v>
      </c>
      <c r="G642" s="6" t="s">
        <v>25</v>
      </c>
      <c r="H642" s="8"/>
      <c r="I642" s="8">
        <v>-537</v>
      </c>
      <c r="J642" s="6" t="s">
        <v>3269</v>
      </c>
      <c r="K642" s="6" t="s">
        <v>433</v>
      </c>
      <c r="L642" s="6" t="s">
        <v>4509</v>
      </c>
      <c r="M642" s="6" t="s">
        <v>4537</v>
      </c>
      <c r="N642" s="6" t="s">
        <v>433</v>
      </c>
      <c r="O642" s="29">
        <f t="shared" si="10"/>
        <v>-563.85</v>
      </c>
      <c r="Q642" s="30" t="s">
        <v>433</v>
      </c>
      <c r="R642" s="31">
        <v>-563.85</v>
      </c>
    </row>
    <row r="643" s="1" customFormat="1" ht="16.35" hidden="1" customHeight="1" spans="1:18">
      <c r="A643" s="6" t="s">
        <v>4506</v>
      </c>
      <c r="B643" s="6">
        <v>2017</v>
      </c>
      <c r="C643" s="6">
        <v>3</v>
      </c>
      <c r="D643" s="7">
        <v>50</v>
      </c>
      <c r="E643" s="6" t="s">
        <v>4887</v>
      </c>
      <c r="F643" s="6" t="s">
        <v>4508</v>
      </c>
      <c r="G643" s="6" t="s">
        <v>25</v>
      </c>
      <c r="H643" s="8"/>
      <c r="I643" s="8">
        <v>-520</v>
      </c>
      <c r="J643" s="6" t="s">
        <v>4532</v>
      </c>
      <c r="K643" s="6" t="s">
        <v>344</v>
      </c>
      <c r="L643" s="6" t="s">
        <v>4509</v>
      </c>
      <c r="M643" s="6" t="s">
        <v>4537</v>
      </c>
      <c r="N643" s="6" t="s">
        <v>344</v>
      </c>
      <c r="O643" s="29">
        <f>I643</f>
        <v>-520</v>
      </c>
      <c r="Q643" s="30" t="s">
        <v>344</v>
      </c>
      <c r="R643" s="31">
        <f>O643</f>
        <v>-520</v>
      </c>
    </row>
    <row r="644" s="1" customFormat="1" ht="16.35" hidden="1" customHeight="1" spans="1:18">
      <c r="A644" s="6" t="s">
        <v>4506</v>
      </c>
      <c r="B644" s="6">
        <v>2017</v>
      </c>
      <c r="C644" s="6">
        <v>3</v>
      </c>
      <c r="D644" s="7">
        <v>50</v>
      </c>
      <c r="E644" s="6" t="s">
        <v>4888</v>
      </c>
      <c r="F644" s="6" t="s">
        <v>4508</v>
      </c>
      <c r="G644" s="6" t="s">
        <v>25</v>
      </c>
      <c r="H644" s="8"/>
      <c r="I644" s="8">
        <v>-331</v>
      </c>
      <c r="J644" s="6" t="s">
        <v>3271</v>
      </c>
      <c r="K644" s="6" t="s">
        <v>443</v>
      </c>
      <c r="L644" s="6" t="s">
        <v>4509</v>
      </c>
      <c r="M644" s="6" t="s">
        <v>4537</v>
      </c>
      <c r="N644" s="6" t="s">
        <v>443</v>
      </c>
      <c r="O644" s="29">
        <f t="shared" si="10"/>
        <v>-347.55</v>
      </c>
      <c r="Q644" s="30" t="s">
        <v>443</v>
      </c>
      <c r="R644" s="31">
        <v>-347.55</v>
      </c>
    </row>
    <row r="645" s="1" customFormat="1" ht="16.35" hidden="1" customHeight="1" spans="1:18">
      <c r="A645" s="6" t="s">
        <v>4506</v>
      </c>
      <c r="B645" s="6">
        <v>2017</v>
      </c>
      <c r="C645" s="6">
        <v>3</v>
      </c>
      <c r="D645" s="7">
        <v>51</v>
      </c>
      <c r="E645" s="6" t="s">
        <v>4889</v>
      </c>
      <c r="F645" s="6" t="s">
        <v>4508</v>
      </c>
      <c r="G645" s="6" t="s">
        <v>25</v>
      </c>
      <c r="H645" s="8"/>
      <c r="I645" s="8">
        <v>-429</v>
      </c>
      <c r="J645" s="6" t="s">
        <v>2938</v>
      </c>
      <c r="K645" s="6" t="s">
        <v>513</v>
      </c>
      <c r="L645" s="6" t="s">
        <v>4509</v>
      </c>
      <c r="M645" s="6" t="s">
        <v>4537</v>
      </c>
      <c r="N645" s="6" t="s">
        <v>513</v>
      </c>
      <c r="O645" s="29">
        <f t="shared" si="10"/>
        <v>-450.45</v>
      </c>
      <c r="Q645" s="30" t="s">
        <v>513</v>
      </c>
      <c r="R645" s="31">
        <v>-450.45</v>
      </c>
    </row>
    <row r="646" s="1" customFormat="1" ht="16.35" hidden="1" customHeight="1" spans="1:18">
      <c r="A646" s="6" t="s">
        <v>4506</v>
      </c>
      <c r="B646" s="6">
        <v>2017</v>
      </c>
      <c r="C646" s="6">
        <v>4</v>
      </c>
      <c r="D646" s="7">
        <v>3</v>
      </c>
      <c r="E646" s="6" t="s">
        <v>4890</v>
      </c>
      <c r="F646" s="6" t="s">
        <v>4508</v>
      </c>
      <c r="G646" s="6" t="s">
        <v>25</v>
      </c>
      <c r="H646" s="8"/>
      <c r="I646" s="8">
        <v>4762</v>
      </c>
      <c r="J646" s="6" t="s">
        <v>4891</v>
      </c>
      <c r="K646" s="6" t="s">
        <v>919</v>
      </c>
      <c r="L646" s="6" t="s">
        <v>4509</v>
      </c>
      <c r="M646" s="6" t="s">
        <v>4537</v>
      </c>
      <c r="N646" s="6" t="s">
        <v>919</v>
      </c>
      <c r="O646" s="29">
        <f t="shared" si="10"/>
        <v>5000.1</v>
      </c>
      <c r="Q646" s="30" t="s">
        <v>919</v>
      </c>
      <c r="R646" s="31">
        <v>5000.1</v>
      </c>
    </row>
    <row r="647" s="1" customFormat="1" ht="16.35" hidden="1" customHeight="1" spans="1:18">
      <c r="A647" s="6" t="s">
        <v>4506</v>
      </c>
      <c r="B647" s="6">
        <v>2017</v>
      </c>
      <c r="C647" s="6">
        <v>4</v>
      </c>
      <c r="D647" s="7">
        <v>6</v>
      </c>
      <c r="E647" s="6" t="s">
        <v>4892</v>
      </c>
      <c r="F647" s="6" t="s">
        <v>4508</v>
      </c>
      <c r="G647" s="6" t="s">
        <v>25</v>
      </c>
      <c r="H647" s="8"/>
      <c r="I647" s="8">
        <v>-463</v>
      </c>
      <c r="J647" s="6" t="s">
        <v>3027</v>
      </c>
      <c r="K647" s="6" t="s">
        <v>459</v>
      </c>
      <c r="L647" s="6" t="s">
        <v>4509</v>
      </c>
      <c r="M647" s="6" t="s">
        <v>4537</v>
      </c>
      <c r="N647" s="6" t="s">
        <v>459</v>
      </c>
      <c r="O647" s="29">
        <f>I647</f>
        <v>-463</v>
      </c>
      <c r="Q647" s="30" t="s">
        <v>459</v>
      </c>
      <c r="R647" s="31">
        <f>O647</f>
        <v>-463</v>
      </c>
    </row>
    <row r="648" s="1" customFormat="1" ht="16.35" hidden="1" customHeight="1" spans="1:18">
      <c r="A648" s="6" t="s">
        <v>4506</v>
      </c>
      <c r="B648" s="6">
        <v>2017</v>
      </c>
      <c r="C648" s="6">
        <v>4</v>
      </c>
      <c r="D648" s="7">
        <v>6</v>
      </c>
      <c r="E648" s="6" t="s">
        <v>4893</v>
      </c>
      <c r="F648" s="6" t="s">
        <v>4508</v>
      </c>
      <c r="G648" s="6" t="s">
        <v>25</v>
      </c>
      <c r="H648" s="8"/>
      <c r="I648" s="8">
        <v>-567</v>
      </c>
      <c r="J648" s="6" t="s">
        <v>2939</v>
      </c>
      <c r="K648" s="6" t="s">
        <v>507</v>
      </c>
      <c r="L648" s="6" t="s">
        <v>4509</v>
      </c>
      <c r="M648" s="6" t="s">
        <v>4537</v>
      </c>
      <c r="N648" s="6" t="s">
        <v>507</v>
      </c>
      <c r="O648" s="29">
        <f t="shared" si="10"/>
        <v>-595.35</v>
      </c>
      <c r="Q648" s="30" t="s">
        <v>507</v>
      </c>
      <c r="R648" s="31">
        <v>-595.35</v>
      </c>
    </row>
    <row r="649" s="1" customFormat="1" ht="16.35" hidden="1" customHeight="1" spans="1:18">
      <c r="A649" s="6" t="s">
        <v>4506</v>
      </c>
      <c r="B649" s="6">
        <v>2017</v>
      </c>
      <c r="C649" s="6">
        <v>4</v>
      </c>
      <c r="D649" s="7">
        <v>6</v>
      </c>
      <c r="E649" s="6" t="s">
        <v>4894</v>
      </c>
      <c r="F649" s="6" t="s">
        <v>4508</v>
      </c>
      <c r="G649" s="6" t="s">
        <v>25</v>
      </c>
      <c r="H649" s="8"/>
      <c r="I649" s="8">
        <v>-427</v>
      </c>
      <c r="J649" s="6" t="s">
        <v>3052</v>
      </c>
      <c r="K649" s="6" t="s">
        <v>489</v>
      </c>
      <c r="L649" s="6" t="s">
        <v>4509</v>
      </c>
      <c r="M649" s="6" t="s">
        <v>4537</v>
      </c>
      <c r="N649" s="6" t="s">
        <v>489</v>
      </c>
      <c r="O649" s="29">
        <f t="shared" si="10"/>
        <v>-448.35</v>
      </c>
      <c r="Q649" s="30" t="s">
        <v>489</v>
      </c>
      <c r="R649" s="31">
        <v>-448.35</v>
      </c>
    </row>
    <row r="650" s="1" customFormat="1" ht="16.35" hidden="1" customHeight="1" spans="1:18">
      <c r="A650" s="6" t="s">
        <v>4506</v>
      </c>
      <c r="B650" s="6">
        <v>2017</v>
      </c>
      <c r="C650" s="6">
        <v>4</v>
      </c>
      <c r="D650" s="7">
        <v>6</v>
      </c>
      <c r="E650" s="6" t="s">
        <v>4895</v>
      </c>
      <c r="F650" s="6" t="s">
        <v>4508</v>
      </c>
      <c r="G650" s="6" t="s">
        <v>25</v>
      </c>
      <c r="H650" s="8"/>
      <c r="I650" s="8">
        <v>-521</v>
      </c>
      <c r="J650" s="6" t="s">
        <v>3036</v>
      </c>
      <c r="K650" s="6" t="s">
        <v>477</v>
      </c>
      <c r="L650" s="6" t="s">
        <v>4509</v>
      </c>
      <c r="M650" s="6" t="s">
        <v>4537</v>
      </c>
      <c r="N650" s="6" t="s">
        <v>477</v>
      </c>
      <c r="O650" s="29">
        <f>I650</f>
        <v>-521</v>
      </c>
      <c r="Q650" s="30" t="s">
        <v>477</v>
      </c>
      <c r="R650" s="31">
        <f>O650</f>
        <v>-521</v>
      </c>
    </row>
    <row r="651" s="1" customFormat="1" ht="16.35" hidden="1" customHeight="1" spans="1:18">
      <c r="A651" s="6" t="s">
        <v>4506</v>
      </c>
      <c r="B651" s="6">
        <v>2017</v>
      </c>
      <c r="C651" s="6">
        <v>4</v>
      </c>
      <c r="D651" s="7">
        <v>6</v>
      </c>
      <c r="E651" s="6" t="s">
        <v>4896</v>
      </c>
      <c r="F651" s="6" t="s">
        <v>4508</v>
      </c>
      <c r="G651" s="6" t="s">
        <v>25</v>
      </c>
      <c r="H651" s="8"/>
      <c r="I651" s="8">
        <v>-470</v>
      </c>
      <c r="J651" s="6" t="s">
        <v>3021</v>
      </c>
      <c r="K651" s="6" t="s">
        <v>439</v>
      </c>
      <c r="L651" s="6" t="s">
        <v>4509</v>
      </c>
      <c r="M651" s="6" t="s">
        <v>4537</v>
      </c>
      <c r="N651" s="6" t="s">
        <v>439</v>
      </c>
      <c r="O651" s="29">
        <f t="shared" si="10"/>
        <v>-493.5</v>
      </c>
      <c r="Q651" s="30" t="s">
        <v>439</v>
      </c>
      <c r="R651" s="31">
        <v>-493.5</v>
      </c>
    </row>
    <row r="652" s="1" customFormat="1" ht="16.35" hidden="1" customHeight="1" spans="1:18">
      <c r="A652" s="6" t="s">
        <v>4506</v>
      </c>
      <c r="B652" s="6">
        <v>2017</v>
      </c>
      <c r="C652" s="6">
        <v>4</v>
      </c>
      <c r="D652" s="7">
        <v>6</v>
      </c>
      <c r="E652" s="6" t="s">
        <v>4897</v>
      </c>
      <c r="F652" s="6" t="s">
        <v>4508</v>
      </c>
      <c r="G652" s="6" t="s">
        <v>25</v>
      </c>
      <c r="H652" s="8"/>
      <c r="I652" s="8">
        <v>-792</v>
      </c>
      <c r="J652" s="6" t="s">
        <v>3001</v>
      </c>
      <c r="K652" s="6" t="s">
        <v>382</v>
      </c>
      <c r="L652" s="6" t="s">
        <v>4509</v>
      </c>
      <c r="M652" s="6" t="s">
        <v>4537</v>
      </c>
      <c r="N652" s="6" t="s">
        <v>382</v>
      </c>
      <c r="O652" s="29">
        <f>I652</f>
        <v>-792</v>
      </c>
      <c r="Q652" s="30" t="s">
        <v>382</v>
      </c>
      <c r="R652" s="31">
        <f>O652</f>
        <v>-792</v>
      </c>
    </row>
    <row r="653" s="1" customFormat="1" ht="16.35" hidden="1" customHeight="1" spans="1:18">
      <c r="A653" s="6" t="s">
        <v>4506</v>
      </c>
      <c r="B653" s="6">
        <v>2017</v>
      </c>
      <c r="C653" s="6">
        <v>4</v>
      </c>
      <c r="D653" s="7">
        <v>6</v>
      </c>
      <c r="E653" s="6" t="s">
        <v>4898</v>
      </c>
      <c r="F653" s="6" t="s">
        <v>4508</v>
      </c>
      <c r="G653" s="6" t="s">
        <v>25</v>
      </c>
      <c r="H653" s="8"/>
      <c r="I653" s="8">
        <v>-569</v>
      </c>
      <c r="J653" s="6" t="s">
        <v>2999</v>
      </c>
      <c r="K653" s="6" t="s">
        <v>360</v>
      </c>
      <c r="L653" s="6" t="s">
        <v>4509</v>
      </c>
      <c r="M653" s="6" t="s">
        <v>4537</v>
      </c>
      <c r="N653" s="6" t="s">
        <v>360</v>
      </c>
      <c r="O653" s="29">
        <f>I653</f>
        <v>-569</v>
      </c>
      <c r="Q653" s="30" t="s">
        <v>360</v>
      </c>
      <c r="R653" s="31">
        <f>O653</f>
        <v>-569</v>
      </c>
    </row>
    <row r="654" s="1" customFormat="1" ht="16.35" hidden="1" customHeight="1" spans="1:18">
      <c r="A654" s="6" t="s">
        <v>4506</v>
      </c>
      <c r="B654" s="6">
        <v>2017</v>
      </c>
      <c r="C654" s="6">
        <v>4</v>
      </c>
      <c r="D654" s="7">
        <v>7</v>
      </c>
      <c r="E654" s="6" t="s">
        <v>4899</v>
      </c>
      <c r="F654" s="6" t="s">
        <v>4508</v>
      </c>
      <c r="G654" s="6" t="s">
        <v>25</v>
      </c>
      <c r="H654" s="8"/>
      <c r="I654" s="8">
        <v>-349</v>
      </c>
      <c r="J654" s="6" t="s">
        <v>3670</v>
      </c>
      <c r="K654" s="6" t="s">
        <v>519</v>
      </c>
      <c r="L654" s="6" t="s">
        <v>4509</v>
      </c>
      <c r="M654" s="6" t="s">
        <v>4537</v>
      </c>
      <c r="N654" s="6" t="s">
        <v>519</v>
      </c>
      <c r="O654" s="29">
        <f t="shared" si="10"/>
        <v>-366.45</v>
      </c>
      <c r="Q654" s="30" t="s">
        <v>519</v>
      </c>
      <c r="R654" s="31">
        <v>-366.45</v>
      </c>
    </row>
    <row r="655" s="1" customFormat="1" ht="16.35" hidden="1" customHeight="1" spans="1:18">
      <c r="A655" s="6" t="s">
        <v>4506</v>
      </c>
      <c r="B655" s="6">
        <v>2017</v>
      </c>
      <c r="C655" s="6">
        <v>4</v>
      </c>
      <c r="D655" s="7">
        <v>7</v>
      </c>
      <c r="E655" s="6" t="s">
        <v>4900</v>
      </c>
      <c r="F655" s="6" t="s">
        <v>4508</v>
      </c>
      <c r="G655" s="6" t="s">
        <v>25</v>
      </c>
      <c r="H655" s="8"/>
      <c r="I655" s="8">
        <v>-498</v>
      </c>
      <c r="J655" s="6" t="s">
        <v>2991</v>
      </c>
      <c r="K655" s="6" t="s">
        <v>346</v>
      </c>
      <c r="L655" s="6" t="s">
        <v>4509</v>
      </c>
      <c r="M655" s="6" t="s">
        <v>4537</v>
      </c>
      <c r="N655" s="6" t="s">
        <v>346</v>
      </c>
      <c r="O655" s="29">
        <f>I655</f>
        <v>-498</v>
      </c>
      <c r="Q655" s="30" t="s">
        <v>346</v>
      </c>
      <c r="R655" s="31">
        <f>O655</f>
        <v>-498</v>
      </c>
    </row>
    <row r="656" s="1" customFormat="1" ht="16.35" hidden="1" customHeight="1" spans="1:18">
      <c r="A656" s="6" t="s">
        <v>4506</v>
      </c>
      <c r="B656" s="6">
        <v>2017</v>
      </c>
      <c r="C656" s="6">
        <v>4</v>
      </c>
      <c r="D656" s="7">
        <v>7</v>
      </c>
      <c r="E656" s="6" t="s">
        <v>4901</v>
      </c>
      <c r="F656" s="6" t="s">
        <v>4508</v>
      </c>
      <c r="G656" s="6" t="s">
        <v>25</v>
      </c>
      <c r="H656" s="8"/>
      <c r="I656" s="8">
        <v>-448</v>
      </c>
      <c r="J656" s="6" t="s">
        <v>3652</v>
      </c>
      <c r="K656" s="6" t="s">
        <v>463</v>
      </c>
      <c r="L656" s="6" t="s">
        <v>4509</v>
      </c>
      <c r="M656" s="6" t="s">
        <v>4537</v>
      </c>
      <c r="N656" s="6" t="s">
        <v>463</v>
      </c>
      <c r="O656" s="29">
        <f t="shared" si="10"/>
        <v>-470.4</v>
      </c>
      <c r="Q656" s="30" t="s">
        <v>463</v>
      </c>
      <c r="R656" s="31">
        <v>-470.4</v>
      </c>
    </row>
    <row r="657" s="1" customFormat="1" ht="16.35" hidden="1" customHeight="1" spans="1:18">
      <c r="A657" s="6" t="s">
        <v>4506</v>
      </c>
      <c r="B657" s="6">
        <v>2017</v>
      </c>
      <c r="C657" s="6">
        <v>4</v>
      </c>
      <c r="D657" s="7">
        <v>7</v>
      </c>
      <c r="E657" s="6" t="s">
        <v>4902</v>
      </c>
      <c r="F657" s="6" t="s">
        <v>4508</v>
      </c>
      <c r="G657" s="6" t="s">
        <v>25</v>
      </c>
      <c r="H657" s="8"/>
      <c r="I657" s="8">
        <v>-617</v>
      </c>
      <c r="J657" s="6" t="s">
        <v>2996</v>
      </c>
      <c r="K657" s="6" t="s">
        <v>356</v>
      </c>
      <c r="L657" s="6" t="s">
        <v>4509</v>
      </c>
      <c r="M657" s="6" t="s">
        <v>4537</v>
      </c>
      <c r="N657" s="6" t="s">
        <v>356</v>
      </c>
      <c r="O657" s="29">
        <f>I657</f>
        <v>-617</v>
      </c>
      <c r="Q657" s="30" t="s">
        <v>356</v>
      </c>
      <c r="R657" s="31">
        <f>O657</f>
        <v>-617</v>
      </c>
    </row>
    <row r="658" s="1" customFormat="1" ht="16.35" hidden="1" customHeight="1" spans="1:18">
      <c r="A658" s="6" t="s">
        <v>4506</v>
      </c>
      <c r="B658" s="6">
        <v>2017</v>
      </c>
      <c r="C658" s="6">
        <v>4</v>
      </c>
      <c r="D658" s="7">
        <v>7</v>
      </c>
      <c r="E658" s="6" t="s">
        <v>4903</v>
      </c>
      <c r="F658" s="6" t="s">
        <v>4508</v>
      </c>
      <c r="G658" s="6" t="s">
        <v>25</v>
      </c>
      <c r="H658" s="8"/>
      <c r="I658" s="8">
        <v>-617</v>
      </c>
      <c r="J658" s="6" t="s">
        <v>4534</v>
      </c>
      <c r="K658" s="6" t="s">
        <v>358</v>
      </c>
      <c r="L658" s="6" t="s">
        <v>4509</v>
      </c>
      <c r="M658" s="6" t="s">
        <v>4537</v>
      </c>
      <c r="N658" s="6" t="s">
        <v>358</v>
      </c>
      <c r="O658" s="29">
        <f>I658</f>
        <v>-617</v>
      </c>
      <c r="Q658" s="30" t="s">
        <v>358</v>
      </c>
      <c r="R658" s="31">
        <f>O658</f>
        <v>-617</v>
      </c>
    </row>
    <row r="659" s="1" customFormat="1" ht="16.35" hidden="1" customHeight="1" spans="1:18">
      <c r="A659" s="6" t="s">
        <v>4506</v>
      </c>
      <c r="B659" s="6">
        <v>2017</v>
      </c>
      <c r="C659" s="6">
        <v>4</v>
      </c>
      <c r="D659" s="7">
        <v>7</v>
      </c>
      <c r="E659" s="6" t="s">
        <v>4904</v>
      </c>
      <c r="F659" s="6" t="s">
        <v>4508</v>
      </c>
      <c r="G659" s="6" t="s">
        <v>25</v>
      </c>
      <c r="H659" s="8"/>
      <c r="I659" s="8">
        <v>-35</v>
      </c>
      <c r="J659" s="6" t="s">
        <v>3675</v>
      </c>
      <c r="K659" s="6" t="s">
        <v>624</v>
      </c>
      <c r="L659" s="6" t="s">
        <v>4509</v>
      </c>
      <c r="M659" s="6" t="s">
        <v>4537</v>
      </c>
      <c r="N659" s="6" t="s">
        <v>624</v>
      </c>
      <c r="O659" s="29">
        <v>-37</v>
      </c>
      <c r="Q659" s="30" t="s">
        <v>624</v>
      </c>
      <c r="R659" s="31">
        <f>O659</f>
        <v>-37</v>
      </c>
    </row>
    <row r="660" s="1" customFormat="1" ht="16.35" hidden="1" customHeight="1" spans="1:18">
      <c r="A660" s="6" t="s">
        <v>4506</v>
      </c>
      <c r="B660" s="6">
        <v>2017</v>
      </c>
      <c r="C660" s="6">
        <v>4</v>
      </c>
      <c r="D660" s="7">
        <v>14</v>
      </c>
      <c r="E660" s="6" t="s">
        <v>4890</v>
      </c>
      <c r="F660" s="6" t="s">
        <v>4508</v>
      </c>
      <c r="G660" s="6" t="s">
        <v>25</v>
      </c>
      <c r="H660" s="8"/>
      <c r="I660" s="8">
        <v>57143</v>
      </c>
      <c r="J660" s="6" t="s">
        <v>4891</v>
      </c>
      <c r="K660" s="6" t="s">
        <v>919</v>
      </c>
      <c r="L660" s="6" t="s">
        <v>4509</v>
      </c>
      <c r="M660" s="6" t="s">
        <v>4537</v>
      </c>
      <c r="N660" s="6" t="s">
        <v>919</v>
      </c>
      <c r="O660" s="29">
        <f t="shared" si="10"/>
        <v>60000.15</v>
      </c>
      <c r="Q660" s="30" t="s">
        <v>919</v>
      </c>
      <c r="R660" s="31">
        <v>60000.15</v>
      </c>
    </row>
    <row r="661" s="1" customFormat="1" ht="16.35" hidden="1" customHeight="1" spans="1:18">
      <c r="A661" s="6" t="s">
        <v>4506</v>
      </c>
      <c r="B661" s="6">
        <v>2017</v>
      </c>
      <c r="C661" s="6">
        <v>4</v>
      </c>
      <c r="D661" s="7">
        <v>15</v>
      </c>
      <c r="E661" s="6" t="s">
        <v>4905</v>
      </c>
      <c r="F661" s="6" t="s">
        <v>4508</v>
      </c>
      <c r="G661" s="6" t="s">
        <v>25</v>
      </c>
      <c r="H661" s="8"/>
      <c r="I661" s="8">
        <v>204762</v>
      </c>
      <c r="J661" s="6" t="s">
        <v>3829</v>
      </c>
      <c r="K661" s="6" t="s">
        <v>128</v>
      </c>
      <c r="L661" s="6" t="s">
        <v>4509</v>
      </c>
      <c r="M661" s="6" t="s">
        <v>4537</v>
      </c>
      <c r="N661" s="6" t="s">
        <v>128</v>
      </c>
      <c r="O661" s="29">
        <f t="shared" si="10"/>
        <v>215000.1</v>
      </c>
      <c r="Q661" s="30" t="s">
        <v>128</v>
      </c>
      <c r="R661" s="31">
        <v>215000.1</v>
      </c>
    </row>
    <row r="662" s="1" customFormat="1" ht="16.35" hidden="1" customHeight="1" spans="1:18">
      <c r="A662" s="6" t="s">
        <v>4506</v>
      </c>
      <c r="B662" s="6">
        <v>2017</v>
      </c>
      <c r="C662" s="6">
        <v>4</v>
      </c>
      <c r="D662" s="7">
        <v>16</v>
      </c>
      <c r="E662" s="6" t="s">
        <v>4906</v>
      </c>
      <c r="F662" s="6" t="s">
        <v>4508</v>
      </c>
      <c r="G662" s="6" t="s">
        <v>25</v>
      </c>
      <c r="H662" s="8"/>
      <c r="I662" s="8">
        <v>101905</v>
      </c>
      <c r="J662" s="6" t="s">
        <v>3831</v>
      </c>
      <c r="K662" s="6" t="s">
        <v>386</v>
      </c>
      <c r="L662" s="6" t="s">
        <v>4509</v>
      </c>
      <c r="M662" s="6" t="s">
        <v>4537</v>
      </c>
      <c r="N662" s="6" t="s">
        <v>386</v>
      </c>
      <c r="O662" s="29">
        <f t="shared" si="10"/>
        <v>107000.25</v>
      </c>
      <c r="Q662" s="30" t="s">
        <v>386</v>
      </c>
      <c r="R662" s="31">
        <v>107000.25</v>
      </c>
    </row>
    <row r="663" s="1" customFormat="1" ht="16.35" hidden="1" customHeight="1" spans="1:18">
      <c r="A663" s="6" t="s">
        <v>4506</v>
      </c>
      <c r="B663" s="6">
        <v>2017</v>
      </c>
      <c r="C663" s="6">
        <v>4</v>
      </c>
      <c r="D663" s="7">
        <v>17</v>
      </c>
      <c r="E663" s="6" t="s">
        <v>4907</v>
      </c>
      <c r="F663" s="6" t="s">
        <v>4508</v>
      </c>
      <c r="G663" s="6" t="s">
        <v>25</v>
      </c>
      <c r="H663" s="8"/>
      <c r="I663" s="8">
        <v>190476</v>
      </c>
      <c r="J663" s="6" t="s">
        <v>2950</v>
      </c>
      <c r="K663" s="6" t="s">
        <v>553</v>
      </c>
      <c r="L663" s="6" t="s">
        <v>4509</v>
      </c>
      <c r="M663" s="6" t="s">
        <v>4537</v>
      </c>
      <c r="N663" s="6" t="s">
        <v>553</v>
      </c>
      <c r="O663" s="29">
        <f t="shared" si="10"/>
        <v>199999.8</v>
      </c>
      <c r="Q663" s="30" t="s">
        <v>553</v>
      </c>
      <c r="R663" s="31">
        <v>199999.8</v>
      </c>
    </row>
    <row r="664" s="1" customFormat="1" ht="16.35" hidden="1" customHeight="1" spans="1:18">
      <c r="A664" s="6" t="s">
        <v>4506</v>
      </c>
      <c r="B664" s="6">
        <v>2017</v>
      </c>
      <c r="C664" s="6">
        <v>4</v>
      </c>
      <c r="D664" s="7">
        <v>26</v>
      </c>
      <c r="E664" s="6" t="s">
        <v>4890</v>
      </c>
      <c r="F664" s="6" t="s">
        <v>4508</v>
      </c>
      <c r="G664" s="6" t="s">
        <v>25</v>
      </c>
      <c r="H664" s="8"/>
      <c r="I664" s="8">
        <v>94968</v>
      </c>
      <c r="J664" s="6" t="s">
        <v>4891</v>
      </c>
      <c r="K664" s="6" t="s">
        <v>919</v>
      </c>
      <c r="L664" s="6" t="s">
        <v>4509</v>
      </c>
      <c r="M664" s="6" t="s">
        <v>4537</v>
      </c>
      <c r="N664" s="6" t="s">
        <v>919</v>
      </c>
      <c r="O664" s="29">
        <f t="shared" si="10"/>
        <v>99716.4</v>
      </c>
      <c r="Q664" s="30" t="s">
        <v>919</v>
      </c>
      <c r="R664" s="31">
        <v>99716.4</v>
      </c>
    </row>
    <row r="665" s="1" customFormat="1" ht="16.35" hidden="1" customHeight="1" spans="1:18">
      <c r="A665" s="6" t="s">
        <v>4506</v>
      </c>
      <c r="B665" s="6">
        <v>2017</v>
      </c>
      <c r="C665" s="6">
        <v>4</v>
      </c>
      <c r="D665" s="7">
        <v>33</v>
      </c>
      <c r="E665" s="6" t="s">
        <v>4828</v>
      </c>
      <c r="F665" s="6" t="s">
        <v>4508</v>
      </c>
      <c r="G665" s="6" t="s">
        <v>25</v>
      </c>
      <c r="H665" s="8"/>
      <c r="I665" s="8">
        <v>59947</v>
      </c>
      <c r="J665" s="6" t="s">
        <v>3314</v>
      </c>
      <c r="K665" s="6" t="s">
        <v>130</v>
      </c>
      <c r="L665" s="6" t="s">
        <v>4509</v>
      </c>
      <c r="M665" s="6" t="s">
        <v>4537</v>
      </c>
      <c r="N665" s="6" t="s">
        <v>130</v>
      </c>
      <c r="O665" s="29">
        <f t="shared" ref="O665:O728" si="11">I665*1.05</f>
        <v>62944.35</v>
      </c>
      <c r="Q665" s="30" t="s">
        <v>130</v>
      </c>
      <c r="R665" s="31">
        <v>62944.35</v>
      </c>
    </row>
    <row r="666" s="1" customFormat="1" ht="16.35" hidden="1" customHeight="1" spans="1:18">
      <c r="A666" s="6" t="s">
        <v>4506</v>
      </c>
      <c r="B666" s="6">
        <v>2017</v>
      </c>
      <c r="C666" s="6">
        <v>4</v>
      </c>
      <c r="D666" s="7">
        <v>33</v>
      </c>
      <c r="E666" s="6" t="s">
        <v>4828</v>
      </c>
      <c r="F666" s="6" t="s">
        <v>4508</v>
      </c>
      <c r="G666" s="6" t="s">
        <v>25</v>
      </c>
      <c r="H666" s="8"/>
      <c r="I666" s="8">
        <v>59947</v>
      </c>
      <c r="J666" s="6" t="s">
        <v>3325</v>
      </c>
      <c r="K666" s="6" t="s">
        <v>132</v>
      </c>
      <c r="L666" s="6" t="s">
        <v>4509</v>
      </c>
      <c r="M666" s="6" t="s">
        <v>4537</v>
      </c>
      <c r="N666" s="6" t="s">
        <v>132</v>
      </c>
      <c r="O666" s="29">
        <f t="shared" si="11"/>
        <v>62944.35</v>
      </c>
      <c r="Q666" s="30" t="s">
        <v>132</v>
      </c>
      <c r="R666" s="31">
        <v>62944.35</v>
      </c>
    </row>
    <row r="667" s="1" customFormat="1" ht="16.35" hidden="1" customHeight="1" spans="1:18">
      <c r="A667" s="6" t="s">
        <v>4506</v>
      </c>
      <c r="B667" s="6">
        <v>2017</v>
      </c>
      <c r="C667" s="6">
        <v>4</v>
      </c>
      <c r="D667" s="7">
        <v>33</v>
      </c>
      <c r="E667" s="6" t="s">
        <v>4828</v>
      </c>
      <c r="F667" s="6" t="s">
        <v>4508</v>
      </c>
      <c r="G667" s="6" t="s">
        <v>25</v>
      </c>
      <c r="H667" s="8"/>
      <c r="I667" s="8">
        <v>162199</v>
      </c>
      <c r="J667" s="6" t="s">
        <v>3332</v>
      </c>
      <c r="K667" s="6" t="s">
        <v>136</v>
      </c>
      <c r="L667" s="6" t="s">
        <v>4509</v>
      </c>
      <c r="M667" s="6" t="s">
        <v>4537</v>
      </c>
      <c r="N667" s="6" t="s">
        <v>136</v>
      </c>
      <c r="O667" s="29">
        <f t="shared" si="11"/>
        <v>170308.95</v>
      </c>
      <c r="Q667" s="30" t="s">
        <v>136</v>
      </c>
      <c r="R667" s="31">
        <v>170308.95</v>
      </c>
    </row>
    <row r="668" s="1" customFormat="1" ht="16.35" hidden="1" customHeight="1" spans="1:18">
      <c r="A668" s="6" t="s">
        <v>4506</v>
      </c>
      <c r="B668" s="6">
        <v>2017</v>
      </c>
      <c r="C668" s="6">
        <v>4</v>
      </c>
      <c r="D668" s="7">
        <v>33</v>
      </c>
      <c r="E668" s="6" t="s">
        <v>4828</v>
      </c>
      <c r="F668" s="6" t="s">
        <v>4508</v>
      </c>
      <c r="G668" s="6" t="s">
        <v>25</v>
      </c>
      <c r="H668" s="8"/>
      <c r="I668" s="8">
        <v>19048</v>
      </c>
      <c r="J668" s="6" t="s">
        <v>3481</v>
      </c>
      <c r="K668" s="6" t="s">
        <v>138</v>
      </c>
      <c r="L668" s="6" t="s">
        <v>4509</v>
      </c>
      <c r="M668" s="6" t="s">
        <v>4537</v>
      </c>
      <c r="N668" s="6" t="s">
        <v>138</v>
      </c>
      <c r="O668" s="29">
        <f t="shared" si="11"/>
        <v>20000.4</v>
      </c>
      <c r="Q668" s="30" t="s">
        <v>138</v>
      </c>
      <c r="R668" s="31">
        <v>20000.4</v>
      </c>
    </row>
    <row r="669" s="1" customFormat="1" ht="16.35" hidden="1" customHeight="1" spans="1:18">
      <c r="A669" s="6" t="s">
        <v>4506</v>
      </c>
      <c r="B669" s="6">
        <v>2017</v>
      </c>
      <c r="C669" s="6">
        <v>4</v>
      </c>
      <c r="D669" s="7">
        <v>33</v>
      </c>
      <c r="E669" s="6" t="s">
        <v>4828</v>
      </c>
      <c r="F669" s="6" t="s">
        <v>4508</v>
      </c>
      <c r="G669" s="6" t="s">
        <v>25</v>
      </c>
      <c r="H669" s="8"/>
      <c r="I669" s="8">
        <v>38095</v>
      </c>
      <c r="J669" s="6" t="s">
        <v>3411</v>
      </c>
      <c r="K669" s="6" t="s">
        <v>142</v>
      </c>
      <c r="L669" s="6" t="s">
        <v>4509</v>
      </c>
      <c r="M669" s="6" t="s">
        <v>4537</v>
      </c>
      <c r="N669" s="6" t="s">
        <v>142</v>
      </c>
      <c r="O669" s="29">
        <f t="shared" si="11"/>
        <v>39999.75</v>
      </c>
      <c r="Q669" s="30" t="s">
        <v>142</v>
      </c>
      <c r="R669" s="31">
        <v>39999.75</v>
      </c>
    </row>
    <row r="670" s="1" customFormat="1" ht="16.35" hidden="1" customHeight="1" spans="1:18">
      <c r="A670" s="6" t="s">
        <v>4506</v>
      </c>
      <c r="B670" s="6">
        <v>2017</v>
      </c>
      <c r="C670" s="6">
        <v>4</v>
      </c>
      <c r="D670" s="7">
        <v>33</v>
      </c>
      <c r="E670" s="6" t="s">
        <v>4828</v>
      </c>
      <c r="F670" s="6" t="s">
        <v>4508</v>
      </c>
      <c r="G670" s="6" t="s">
        <v>25</v>
      </c>
      <c r="H670" s="8"/>
      <c r="I670" s="8">
        <v>57143</v>
      </c>
      <c r="J670" s="6" t="s">
        <v>3154</v>
      </c>
      <c r="K670" s="6" t="s">
        <v>144</v>
      </c>
      <c r="L670" s="6" t="s">
        <v>4509</v>
      </c>
      <c r="M670" s="6" t="s">
        <v>4537</v>
      </c>
      <c r="N670" s="6" t="s">
        <v>144</v>
      </c>
      <c r="O670" s="29">
        <f t="shared" si="11"/>
        <v>60000.15</v>
      </c>
      <c r="Q670" s="30" t="s">
        <v>144</v>
      </c>
      <c r="R670" s="31">
        <v>60000.15</v>
      </c>
    </row>
    <row r="671" s="1" customFormat="1" ht="16.35" hidden="1" customHeight="1" spans="1:18">
      <c r="A671" s="6" t="s">
        <v>4506</v>
      </c>
      <c r="B671" s="6">
        <v>2017</v>
      </c>
      <c r="C671" s="6">
        <v>4</v>
      </c>
      <c r="D671" s="7">
        <v>33</v>
      </c>
      <c r="E671" s="6" t="s">
        <v>4828</v>
      </c>
      <c r="F671" s="6" t="s">
        <v>4508</v>
      </c>
      <c r="G671" s="6" t="s">
        <v>25</v>
      </c>
      <c r="H671" s="8"/>
      <c r="I671" s="8">
        <v>154089</v>
      </c>
      <c r="J671" s="6" t="s">
        <v>3172</v>
      </c>
      <c r="K671" s="6" t="s">
        <v>146</v>
      </c>
      <c r="L671" s="6" t="s">
        <v>4509</v>
      </c>
      <c r="M671" s="6" t="s">
        <v>4537</v>
      </c>
      <c r="N671" s="6" t="s">
        <v>146</v>
      </c>
      <c r="O671" s="29">
        <f t="shared" si="11"/>
        <v>161793.45</v>
      </c>
      <c r="Q671" s="30" t="s">
        <v>146</v>
      </c>
      <c r="R671" s="31">
        <v>161793.45</v>
      </c>
    </row>
    <row r="672" s="1" customFormat="1" ht="16.35" hidden="1" customHeight="1" spans="1:18">
      <c r="A672" s="6" t="s">
        <v>4506</v>
      </c>
      <c r="B672" s="6">
        <v>2017</v>
      </c>
      <c r="C672" s="6">
        <v>4</v>
      </c>
      <c r="D672" s="7">
        <v>33</v>
      </c>
      <c r="E672" s="6" t="s">
        <v>4828</v>
      </c>
      <c r="F672" s="6" t="s">
        <v>4508</v>
      </c>
      <c r="G672" s="6" t="s">
        <v>25</v>
      </c>
      <c r="H672" s="8"/>
      <c r="I672" s="8">
        <v>62177</v>
      </c>
      <c r="J672" s="6" t="s">
        <v>3156</v>
      </c>
      <c r="K672" s="6" t="s">
        <v>148</v>
      </c>
      <c r="L672" s="6" t="s">
        <v>4509</v>
      </c>
      <c r="M672" s="6" t="s">
        <v>4537</v>
      </c>
      <c r="N672" s="6" t="s">
        <v>148</v>
      </c>
      <c r="O672" s="29">
        <f t="shared" si="11"/>
        <v>65285.85</v>
      </c>
      <c r="Q672" s="30" t="s">
        <v>148</v>
      </c>
      <c r="R672" s="31">
        <v>65285.85</v>
      </c>
    </row>
    <row r="673" s="1" customFormat="1" ht="16.35" hidden="1" customHeight="1" spans="1:18">
      <c r="A673" s="6" t="s">
        <v>4506</v>
      </c>
      <c r="B673" s="6">
        <v>2017</v>
      </c>
      <c r="C673" s="6">
        <v>4</v>
      </c>
      <c r="D673" s="7">
        <v>33</v>
      </c>
      <c r="E673" s="6" t="s">
        <v>4828</v>
      </c>
      <c r="F673" s="6" t="s">
        <v>4508</v>
      </c>
      <c r="G673" s="6" t="s">
        <v>25</v>
      </c>
      <c r="H673" s="8"/>
      <c r="I673" s="8">
        <v>144762</v>
      </c>
      <c r="J673" s="6" t="s">
        <v>3152</v>
      </c>
      <c r="K673" s="6" t="s">
        <v>150</v>
      </c>
      <c r="L673" s="6" t="s">
        <v>4509</v>
      </c>
      <c r="M673" s="6" t="s">
        <v>4537</v>
      </c>
      <c r="N673" s="6" t="s">
        <v>150</v>
      </c>
      <c r="O673" s="29">
        <f t="shared" si="11"/>
        <v>152000.1</v>
      </c>
      <c r="Q673" s="30" t="s">
        <v>150</v>
      </c>
      <c r="R673" s="31">
        <v>152000.1</v>
      </c>
    </row>
    <row r="674" s="1" customFormat="1" ht="16.35" hidden="1" customHeight="1" spans="1:18">
      <c r="A674" s="6" t="s">
        <v>4506</v>
      </c>
      <c r="B674" s="6">
        <v>2017</v>
      </c>
      <c r="C674" s="6">
        <v>4</v>
      </c>
      <c r="D674" s="7">
        <v>33</v>
      </c>
      <c r="E674" s="6" t="s">
        <v>4828</v>
      </c>
      <c r="F674" s="6" t="s">
        <v>4508</v>
      </c>
      <c r="G674" s="6" t="s">
        <v>25</v>
      </c>
      <c r="H674" s="8"/>
      <c r="I674" s="8">
        <v>64242</v>
      </c>
      <c r="J674" s="6" t="s">
        <v>3177</v>
      </c>
      <c r="K674" s="6" t="s">
        <v>152</v>
      </c>
      <c r="L674" s="6" t="s">
        <v>4509</v>
      </c>
      <c r="M674" s="6" t="s">
        <v>4537</v>
      </c>
      <c r="N674" s="6" t="s">
        <v>152</v>
      </c>
      <c r="O674" s="29">
        <f t="shared" si="11"/>
        <v>67454.1</v>
      </c>
      <c r="Q674" s="30" t="s">
        <v>152</v>
      </c>
      <c r="R674" s="31">
        <v>67454.1</v>
      </c>
    </row>
    <row r="675" s="1" customFormat="1" ht="16.35" hidden="1" customHeight="1" spans="1:18">
      <c r="A675" s="6" t="s">
        <v>4506</v>
      </c>
      <c r="B675" s="6">
        <v>2017</v>
      </c>
      <c r="C675" s="6">
        <v>4</v>
      </c>
      <c r="D675" s="7">
        <v>33</v>
      </c>
      <c r="E675" s="6" t="s">
        <v>4828</v>
      </c>
      <c r="F675" s="6" t="s">
        <v>4508</v>
      </c>
      <c r="G675" s="6" t="s">
        <v>25</v>
      </c>
      <c r="H675" s="8"/>
      <c r="I675" s="8">
        <v>76191</v>
      </c>
      <c r="J675" s="6" t="s">
        <v>2949</v>
      </c>
      <c r="K675" s="6" t="s">
        <v>278</v>
      </c>
      <c r="L675" s="6" t="s">
        <v>4509</v>
      </c>
      <c r="M675" s="6" t="s">
        <v>4537</v>
      </c>
      <c r="N675" s="6" t="s">
        <v>278</v>
      </c>
      <c r="O675" s="29">
        <f t="shared" si="11"/>
        <v>80000.55</v>
      </c>
      <c r="Q675" s="30" t="s">
        <v>278</v>
      </c>
      <c r="R675" s="31">
        <v>80000.55</v>
      </c>
    </row>
    <row r="676" s="1" customFormat="1" ht="16.35" hidden="1" customHeight="1" spans="1:18">
      <c r="A676" s="6" t="s">
        <v>4506</v>
      </c>
      <c r="B676" s="6">
        <v>2017</v>
      </c>
      <c r="C676" s="6">
        <v>4</v>
      </c>
      <c r="D676" s="7">
        <v>33</v>
      </c>
      <c r="E676" s="6" t="s">
        <v>4828</v>
      </c>
      <c r="F676" s="6" t="s">
        <v>4508</v>
      </c>
      <c r="G676" s="6" t="s">
        <v>25</v>
      </c>
      <c r="H676" s="8"/>
      <c r="I676" s="8">
        <v>21760</v>
      </c>
      <c r="J676" s="6" t="s">
        <v>3344</v>
      </c>
      <c r="K676" s="6" t="s">
        <v>392</v>
      </c>
      <c r="L676" s="6" t="s">
        <v>4509</v>
      </c>
      <c r="M676" s="6" t="s">
        <v>4537</v>
      </c>
      <c r="N676" s="6" t="s">
        <v>392</v>
      </c>
      <c r="O676" s="29">
        <f t="shared" si="11"/>
        <v>22848</v>
      </c>
      <c r="Q676" s="30" t="s">
        <v>392</v>
      </c>
      <c r="R676" s="31">
        <v>22848</v>
      </c>
    </row>
    <row r="677" s="1" customFormat="1" ht="16.35" hidden="1" customHeight="1" spans="1:18">
      <c r="A677" s="6" t="s">
        <v>4506</v>
      </c>
      <c r="B677" s="6">
        <v>2017</v>
      </c>
      <c r="C677" s="6">
        <v>4</v>
      </c>
      <c r="D677" s="7">
        <v>33</v>
      </c>
      <c r="E677" s="6" t="s">
        <v>4828</v>
      </c>
      <c r="F677" s="6" t="s">
        <v>4508</v>
      </c>
      <c r="G677" s="6" t="s">
        <v>25</v>
      </c>
      <c r="H677" s="8"/>
      <c r="I677" s="8">
        <v>86840</v>
      </c>
      <c r="J677" s="6" t="s">
        <v>3797</v>
      </c>
      <c r="K677" s="6" t="s">
        <v>422</v>
      </c>
      <c r="L677" s="6" t="s">
        <v>4509</v>
      </c>
      <c r="M677" s="6" t="s">
        <v>4537</v>
      </c>
      <c r="N677" s="6" t="s">
        <v>422</v>
      </c>
      <c r="O677" s="29">
        <f t="shared" si="11"/>
        <v>91182</v>
      </c>
      <c r="Q677" s="30" t="s">
        <v>422</v>
      </c>
      <c r="R677" s="31">
        <v>91182</v>
      </c>
    </row>
    <row r="678" s="1" customFormat="1" ht="16.35" hidden="1" customHeight="1" spans="1:18">
      <c r="A678" s="6" t="s">
        <v>4506</v>
      </c>
      <c r="B678" s="6">
        <v>2017</v>
      </c>
      <c r="C678" s="6">
        <v>4</v>
      </c>
      <c r="D678" s="7">
        <v>33</v>
      </c>
      <c r="E678" s="6" t="s">
        <v>4828</v>
      </c>
      <c r="F678" s="6" t="s">
        <v>4508</v>
      </c>
      <c r="G678" s="6" t="s">
        <v>25</v>
      </c>
      <c r="H678" s="8"/>
      <c r="I678" s="8">
        <v>9524</v>
      </c>
      <c r="J678" s="6" t="s">
        <v>3281</v>
      </c>
      <c r="K678" s="6" t="s">
        <v>449</v>
      </c>
      <c r="L678" s="6" t="s">
        <v>4509</v>
      </c>
      <c r="M678" s="6" t="s">
        <v>4537</v>
      </c>
      <c r="N678" s="6" t="s">
        <v>449</v>
      </c>
      <c r="O678" s="29">
        <f t="shared" si="11"/>
        <v>10000.2</v>
      </c>
      <c r="Q678" s="30" t="s">
        <v>449</v>
      </c>
      <c r="R678" s="31">
        <v>10000.2</v>
      </c>
    </row>
    <row r="679" s="1" customFormat="1" ht="16.35" hidden="1" customHeight="1" spans="1:18">
      <c r="A679" s="6" t="s">
        <v>4506</v>
      </c>
      <c r="B679" s="6">
        <v>2017</v>
      </c>
      <c r="C679" s="6">
        <v>4</v>
      </c>
      <c r="D679" s="7">
        <v>33</v>
      </c>
      <c r="E679" s="6" t="s">
        <v>4828</v>
      </c>
      <c r="F679" s="6" t="s">
        <v>4508</v>
      </c>
      <c r="G679" s="6" t="s">
        <v>25</v>
      </c>
      <c r="H679" s="8"/>
      <c r="I679" s="8">
        <v>94410</v>
      </c>
      <c r="J679" s="6" t="s">
        <v>3184</v>
      </c>
      <c r="K679" s="6" t="s">
        <v>509</v>
      </c>
      <c r="L679" s="6" t="s">
        <v>4509</v>
      </c>
      <c r="M679" s="6" t="s">
        <v>4537</v>
      </c>
      <c r="N679" s="6" t="s">
        <v>509</v>
      </c>
      <c r="O679" s="29">
        <f t="shared" si="11"/>
        <v>99130.5</v>
      </c>
      <c r="Q679" s="30" t="s">
        <v>509</v>
      </c>
      <c r="R679" s="31">
        <v>99130.5</v>
      </c>
    </row>
    <row r="680" s="1" customFormat="1" ht="16.35" hidden="1" customHeight="1" spans="1:18">
      <c r="A680" s="6" t="s">
        <v>4506</v>
      </c>
      <c r="B680" s="6">
        <v>2017</v>
      </c>
      <c r="C680" s="6">
        <v>4</v>
      </c>
      <c r="D680" s="7">
        <v>33</v>
      </c>
      <c r="E680" s="6" t="s">
        <v>4828</v>
      </c>
      <c r="F680" s="6" t="s">
        <v>4508</v>
      </c>
      <c r="G680" s="6" t="s">
        <v>25</v>
      </c>
      <c r="H680" s="8"/>
      <c r="I680" s="8">
        <v>319906</v>
      </c>
      <c r="J680" s="6" t="s">
        <v>3592</v>
      </c>
      <c r="K680" s="6" t="s">
        <v>523</v>
      </c>
      <c r="L680" s="6" t="s">
        <v>4509</v>
      </c>
      <c r="M680" s="6" t="s">
        <v>4537</v>
      </c>
      <c r="N680" s="6" t="s">
        <v>523</v>
      </c>
      <c r="O680" s="29">
        <f t="shared" si="11"/>
        <v>335901.3</v>
      </c>
      <c r="Q680" s="30" t="s">
        <v>523</v>
      </c>
      <c r="R680" s="31">
        <v>335901.3</v>
      </c>
    </row>
    <row r="681" s="1" customFormat="1" ht="16.35" hidden="1" customHeight="1" spans="1:19">
      <c r="A681" s="6" t="s">
        <v>4506</v>
      </c>
      <c r="B681" s="6">
        <v>2017</v>
      </c>
      <c r="C681" s="6">
        <v>4</v>
      </c>
      <c r="D681" s="7">
        <v>33</v>
      </c>
      <c r="E681" s="6" t="s">
        <v>4828</v>
      </c>
      <c r="F681" s="6" t="s">
        <v>4508</v>
      </c>
      <c r="G681" s="6" t="s">
        <v>25</v>
      </c>
      <c r="H681" s="8"/>
      <c r="I681" s="8">
        <v>319906</v>
      </c>
      <c r="J681" s="6" t="s">
        <v>3580</v>
      </c>
      <c r="K681" s="6" t="s">
        <v>527</v>
      </c>
      <c r="L681" s="6" t="s">
        <v>4509</v>
      </c>
      <c r="M681" s="6" t="s">
        <v>4537</v>
      </c>
      <c r="N681" s="6" t="s">
        <v>527</v>
      </c>
      <c r="O681" s="29">
        <f t="shared" si="11"/>
        <v>335901.3</v>
      </c>
      <c r="Q681" s="30" t="s">
        <v>527</v>
      </c>
      <c r="R681" s="31">
        <v>335901.3</v>
      </c>
      <c r="S681" s="1" t="s">
        <v>4908</v>
      </c>
    </row>
    <row r="682" s="1" customFormat="1" ht="16.35" hidden="1" customHeight="1" spans="1:18">
      <c r="A682" s="6" t="s">
        <v>4506</v>
      </c>
      <c r="B682" s="6">
        <v>2017</v>
      </c>
      <c r="C682" s="6">
        <v>4</v>
      </c>
      <c r="D682" s="7">
        <v>33</v>
      </c>
      <c r="E682" s="6" t="s">
        <v>4828</v>
      </c>
      <c r="F682" s="6" t="s">
        <v>4508</v>
      </c>
      <c r="G682" s="6" t="s">
        <v>25</v>
      </c>
      <c r="H682" s="8"/>
      <c r="I682" s="8">
        <v>292469</v>
      </c>
      <c r="J682" s="6" t="s">
        <v>3596</v>
      </c>
      <c r="K682" s="6" t="s">
        <v>531</v>
      </c>
      <c r="L682" s="6" t="s">
        <v>4509</v>
      </c>
      <c r="M682" s="6" t="s">
        <v>4537</v>
      </c>
      <c r="N682" s="6" t="s">
        <v>531</v>
      </c>
      <c r="O682" s="29">
        <f t="shared" si="11"/>
        <v>307092.45</v>
      </c>
      <c r="Q682" s="30" t="s">
        <v>531</v>
      </c>
      <c r="R682" s="31">
        <v>307092.45</v>
      </c>
    </row>
    <row r="683" s="1" customFormat="1" ht="16.35" hidden="1" customHeight="1" spans="1:18">
      <c r="A683" s="6" t="s">
        <v>4506</v>
      </c>
      <c r="B683" s="6">
        <v>2017</v>
      </c>
      <c r="C683" s="6">
        <v>4</v>
      </c>
      <c r="D683" s="7">
        <v>33</v>
      </c>
      <c r="E683" s="6" t="s">
        <v>4828</v>
      </c>
      <c r="F683" s="6" t="s">
        <v>4508</v>
      </c>
      <c r="G683" s="6" t="s">
        <v>25</v>
      </c>
      <c r="H683" s="8"/>
      <c r="I683" s="8">
        <v>76381</v>
      </c>
      <c r="J683" s="6" t="s">
        <v>3431</v>
      </c>
      <c r="K683" s="6" t="s">
        <v>533</v>
      </c>
      <c r="L683" s="6" t="s">
        <v>4509</v>
      </c>
      <c r="M683" s="6" t="s">
        <v>4537</v>
      </c>
      <c r="N683" s="6" t="s">
        <v>533</v>
      </c>
      <c r="O683" s="29">
        <f t="shared" si="11"/>
        <v>80200.05</v>
      </c>
      <c r="Q683" s="30" t="s">
        <v>533</v>
      </c>
      <c r="R683" s="31">
        <v>80200.05</v>
      </c>
    </row>
    <row r="684" s="1" customFormat="1" ht="16.35" hidden="1" customHeight="1" spans="1:18">
      <c r="A684" s="6" t="s">
        <v>4506</v>
      </c>
      <c r="B684" s="6">
        <v>2017</v>
      </c>
      <c r="C684" s="6">
        <v>4</v>
      </c>
      <c r="D684" s="7">
        <v>33</v>
      </c>
      <c r="E684" s="6" t="s">
        <v>4828</v>
      </c>
      <c r="F684" s="6" t="s">
        <v>4508</v>
      </c>
      <c r="G684" s="6" t="s">
        <v>25</v>
      </c>
      <c r="H684" s="8"/>
      <c r="I684" s="8">
        <v>79065</v>
      </c>
      <c r="J684" s="6" t="s">
        <v>3409</v>
      </c>
      <c r="K684" s="6" t="s">
        <v>541</v>
      </c>
      <c r="L684" s="6" t="s">
        <v>4509</v>
      </c>
      <c r="M684" s="6" t="s">
        <v>4537</v>
      </c>
      <c r="N684" s="6" t="s">
        <v>541</v>
      </c>
      <c r="O684" s="29">
        <f t="shared" si="11"/>
        <v>83018.25</v>
      </c>
      <c r="Q684" s="30" t="s">
        <v>541</v>
      </c>
      <c r="R684" s="31">
        <v>83018.25</v>
      </c>
    </row>
    <row r="685" s="1" customFormat="1" ht="16.35" hidden="1" customHeight="1" spans="1:18">
      <c r="A685" s="6" t="s">
        <v>4506</v>
      </c>
      <c r="B685" s="6">
        <v>2017</v>
      </c>
      <c r="C685" s="6">
        <v>4</v>
      </c>
      <c r="D685" s="7">
        <v>33</v>
      </c>
      <c r="E685" s="6" t="s">
        <v>4828</v>
      </c>
      <c r="F685" s="6" t="s">
        <v>4508</v>
      </c>
      <c r="G685" s="6" t="s">
        <v>25</v>
      </c>
      <c r="H685" s="8"/>
      <c r="I685" s="8">
        <v>337053</v>
      </c>
      <c r="J685" s="6" t="s">
        <v>3584</v>
      </c>
      <c r="K685" s="6" t="s">
        <v>543</v>
      </c>
      <c r="L685" s="6" t="s">
        <v>4509</v>
      </c>
      <c r="M685" s="6" t="s">
        <v>4537</v>
      </c>
      <c r="N685" s="6" t="s">
        <v>543</v>
      </c>
      <c r="O685" s="29">
        <f t="shared" si="11"/>
        <v>353905.65</v>
      </c>
      <c r="Q685" s="30" t="s">
        <v>543</v>
      </c>
      <c r="R685" s="31">
        <v>353905.65</v>
      </c>
    </row>
    <row r="686" s="1" customFormat="1" ht="16.35" hidden="1" customHeight="1" spans="1:18">
      <c r="A686" s="6" t="s">
        <v>4506</v>
      </c>
      <c r="B686" s="6">
        <v>2017</v>
      </c>
      <c r="C686" s="6">
        <v>4</v>
      </c>
      <c r="D686" s="7">
        <v>33</v>
      </c>
      <c r="E686" s="6" t="s">
        <v>4828</v>
      </c>
      <c r="F686" s="6" t="s">
        <v>4508</v>
      </c>
      <c r="G686" s="6" t="s">
        <v>25</v>
      </c>
      <c r="H686" s="8"/>
      <c r="I686" s="8">
        <v>80213</v>
      </c>
      <c r="J686" s="6" t="s">
        <v>3234</v>
      </c>
      <c r="K686" s="6" t="s">
        <v>545</v>
      </c>
      <c r="L686" s="6" t="s">
        <v>4509</v>
      </c>
      <c r="M686" s="6" t="s">
        <v>4537</v>
      </c>
      <c r="N686" s="6" t="s">
        <v>545</v>
      </c>
      <c r="O686" s="29">
        <f t="shared" si="11"/>
        <v>84223.65</v>
      </c>
      <c r="Q686" s="30" t="s">
        <v>545</v>
      </c>
      <c r="R686" s="31">
        <v>84223.65</v>
      </c>
    </row>
    <row r="687" s="1" customFormat="1" ht="16.35" hidden="1" customHeight="1" spans="1:18">
      <c r="A687" s="6" t="s">
        <v>4506</v>
      </c>
      <c r="B687" s="6">
        <v>2017</v>
      </c>
      <c r="C687" s="6">
        <v>4</v>
      </c>
      <c r="D687" s="7">
        <v>33</v>
      </c>
      <c r="E687" s="6" t="s">
        <v>4828</v>
      </c>
      <c r="F687" s="6" t="s">
        <v>4508</v>
      </c>
      <c r="G687" s="6" t="s">
        <v>25</v>
      </c>
      <c r="H687" s="8"/>
      <c r="I687" s="8">
        <v>289611</v>
      </c>
      <c r="J687" s="6" t="s">
        <v>3429</v>
      </c>
      <c r="K687" s="6" t="s">
        <v>547</v>
      </c>
      <c r="L687" s="6" t="s">
        <v>4509</v>
      </c>
      <c r="M687" s="6" t="s">
        <v>4537</v>
      </c>
      <c r="N687" s="6" t="s">
        <v>547</v>
      </c>
      <c r="O687" s="29">
        <f t="shared" si="11"/>
        <v>304091.55</v>
      </c>
      <c r="Q687" s="30" t="s">
        <v>547</v>
      </c>
      <c r="R687" s="31">
        <v>304091.55</v>
      </c>
    </row>
    <row r="688" s="1" customFormat="1" ht="16.35" hidden="1" customHeight="1" spans="1:18">
      <c r="A688" s="6" t="s">
        <v>4506</v>
      </c>
      <c r="B688" s="6">
        <v>2017</v>
      </c>
      <c r="C688" s="6">
        <v>4</v>
      </c>
      <c r="D688" s="7">
        <v>33</v>
      </c>
      <c r="E688" s="6" t="s">
        <v>4828</v>
      </c>
      <c r="F688" s="6" t="s">
        <v>4508</v>
      </c>
      <c r="G688" s="6" t="s">
        <v>25</v>
      </c>
      <c r="H688" s="8"/>
      <c r="I688" s="8">
        <v>262637</v>
      </c>
      <c r="J688" s="6" t="s">
        <v>3603</v>
      </c>
      <c r="K688" s="6" t="s">
        <v>551</v>
      </c>
      <c r="L688" s="6" t="s">
        <v>4509</v>
      </c>
      <c r="M688" s="6" t="s">
        <v>4537</v>
      </c>
      <c r="N688" s="6" t="s">
        <v>551</v>
      </c>
      <c r="O688" s="29">
        <f t="shared" si="11"/>
        <v>275768.85</v>
      </c>
      <c r="Q688" s="30" t="s">
        <v>551</v>
      </c>
      <c r="R688" s="31">
        <v>275768.85</v>
      </c>
    </row>
    <row r="689" s="1" customFormat="1" ht="16.35" hidden="1" customHeight="1" spans="1:18">
      <c r="A689" s="6" t="s">
        <v>4506</v>
      </c>
      <c r="B689" s="6">
        <v>2017</v>
      </c>
      <c r="C689" s="6">
        <v>4</v>
      </c>
      <c r="D689" s="7">
        <v>33</v>
      </c>
      <c r="E689" s="6" t="s">
        <v>4828</v>
      </c>
      <c r="F689" s="6" t="s">
        <v>4508</v>
      </c>
      <c r="G689" s="6" t="s">
        <v>25</v>
      </c>
      <c r="H689" s="8"/>
      <c r="I689" s="8">
        <v>284743</v>
      </c>
      <c r="J689" s="6" t="s">
        <v>3598</v>
      </c>
      <c r="K689" s="6" t="s">
        <v>559</v>
      </c>
      <c r="L689" s="6" t="s">
        <v>4509</v>
      </c>
      <c r="M689" s="6" t="s">
        <v>4537</v>
      </c>
      <c r="N689" s="6" t="s">
        <v>559</v>
      </c>
      <c r="O689" s="29">
        <f t="shared" si="11"/>
        <v>298980.15</v>
      </c>
      <c r="Q689" s="30" t="s">
        <v>559</v>
      </c>
      <c r="R689" s="31">
        <v>298980.15</v>
      </c>
    </row>
    <row r="690" s="1" customFormat="1" ht="16.35" hidden="1" customHeight="1" spans="1:18">
      <c r="A690" s="6" t="s">
        <v>4506</v>
      </c>
      <c r="B690" s="6">
        <v>2017</v>
      </c>
      <c r="C690" s="6">
        <v>4</v>
      </c>
      <c r="D690" s="7">
        <v>33</v>
      </c>
      <c r="E690" s="6" t="s">
        <v>4828</v>
      </c>
      <c r="F690" s="6" t="s">
        <v>4508</v>
      </c>
      <c r="G690" s="6" t="s">
        <v>25</v>
      </c>
      <c r="H690" s="8"/>
      <c r="I690" s="8">
        <v>79255</v>
      </c>
      <c r="J690" s="6" t="s">
        <v>3372</v>
      </c>
      <c r="K690" s="6" t="s">
        <v>573</v>
      </c>
      <c r="L690" s="6" t="s">
        <v>4509</v>
      </c>
      <c r="M690" s="6" t="s">
        <v>4537</v>
      </c>
      <c r="N690" s="6" t="s">
        <v>573</v>
      </c>
      <c r="O690" s="29">
        <f t="shared" si="11"/>
        <v>83217.75</v>
      </c>
      <c r="Q690" s="30" t="s">
        <v>573</v>
      </c>
      <c r="R690" s="31">
        <v>83217.75</v>
      </c>
    </row>
    <row r="691" s="1" customFormat="1" ht="16.35" hidden="1" customHeight="1" spans="1:18">
      <c r="A691" s="6" t="s">
        <v>4506</v>
      </c>
      <c r="B691" s="6">
        <v>2017</v>
      </c>
      <c r="C691" s="6">
        <v>4</v>
      </c>
      <c r="D691" s="7">
        <v>33</v>
      </c>
      <c r="E691" s="6" t="s">
        <v>4828</v>
      </c>
      <c r="F691" s="6" t="s">
        <v>4508</v>
      </c>
      <c r="G691" s="6" t="s">
        <v>25</v>
      </c>
      <c r="H691" s="8"/>
      <c r="I691" s="8">
        <v>287591</v>
      </c>
      <c r="J691" s="6" t="s">
        <v>3216</v>
      </c>
      <c r="K691" s="6" t="s">
        <v>593</v>
      </c>
      <c r="L691" s="6" t="s">
        <v>4509</v>
      </c>
      <c r="M691" s="6" t="s">
        <v>4537</v>
      </c>
      <c r="N691" s="6" t="s">
        <v>593</v>
      </c>
      <c r="O691" s="29">
        <f t="shared" si="11"/>
        <v>301970.55</v>
      </c>
      <c r="Q691" s="30" t="s">
        <v>593</v>
      </c>
      <c r="R691" s="31">
        <v>301970.55</v>
      </c>
    </row>
    <row r="692" s="1" customFormat="1" ht="16.35" hidden="1" customHeight="1" spans="1:18">
      <c r="A692" s="6" t="s">
        <v>4506</v>
      </c>
      <c r="B692" s="6">
        <v>2017</v>
      </c>
      <c r="C692" s="6">
        <v>4</v>
      </c>
      <c r="D692" s="7">
        <v>33</v>
      </c>
      <c r="E692" s="6" t="s">
        <v>4828</v>
      </c>
      <c r="F692" s="6" t="s">
        <v>4508</v>
      </c>
      <c r="G692" s="6" t="s">
        <v>25</v>
      </c>
      <c r="H692" s="8"/>
      <c r="I692" s="8">
        <v>76411</v>
      </c>
      <c r="J692" s="6" t="s">
        <v>3437</v>
      </c>
      <c r="K692" s="6" t="s">
        <v>597</v>
      </c>
      <c r="L692" s="6" t="s">
        <v>4509</v>
      </c>
      <c r="M692" s="6" t="s">
        <v>4537</v>
      </c>
      <c r="N692" s="6" t="s">
        <v>597</v>
      </c>
      <c r="O692" s="29">
        <f t="shared" si="11"/>
        <v>80231.55</v>
      </c>
      <c r="Q692" s="30" t="s">
        <v>597</v>
      </c>
      <c r="R692" s="31">
        <v>80231.55</v>
      </c>
    </row>
    <row r="693" s="1" customFormat="1" ht="16.35" hidden="1" customHeight="1" spans="1:18">
      <c r="A693" s="6" t="s">
        <v>4506</v>
      </c>
      <c r="B693" s="6">
        <v>2017</v>
      </c>
      <c r="C693" s="6">
        <v>4</v>
      </c>
      <c r="D693" s="7">
        <v>33</v>
      </c>
      <c r="E693" s="6" t="s">
        <v>4828</v>
      </c>
      <c r="F693" s="6" t="s">
        <v>4508</v>
      </c>
      <c r="G693" s="6" t="s">
        <v>25</v>
      </c>
      <c r="H693" s="8"/>
      <c r="I693" s="8">
        <v>294374</v>
      </c>
      <c r="J693" s="6" t="s">
        <v>3600</v>
      </c>
      <c r="K693" s="6" t="s">
        <v>615</v>
      </c>
      <c r="L693" s="6" t="s">
        <v>4509</v>
      </c>
      <c r="M693" s="6" t="s">
        <v>4537</v>
      </c>
      <c r="N693" s="6" t="s">
        <v>615</v>
      </c>
      <c r="O693" s="29">
        <f t="shared" si="11"/>
        <v>309092.7</v>
      </c>
      <c r="Q693" s="30" t="s">
        <v>615</v>
      </c>
      <c r="R693" s="31">
        <v>309092.7</v>
      </c>
    </row>
    <row r="694" s="1" customFormat="1" ht="16.35" hidden="1" customHeight="1" spans="1:18">
      <c r="A694" s="6" t="s">
        <v>4506</v>
      </c>
      <c r="B694" s="6">
        <v>2017</v>
      </c>
      <c r="C694" s="6">
        <v>4</v>
      </c>
      <c r="D694" s="7">
        <v>33</v>
      </c>
      <c r="E694" s="6" t="s">
        <v>4828</v>
      </c>
      <c r="F694" s="6" t="s">
        <v>4508</v>
      </c>
      <c r="G694" s="6" t="s">
        <v>25</v>
      </c>
      <c r="H694" s="8"/>
      <c r="I694" s="8">
        <v>95111</v>
      </c>
      <c r="J694" s="6" t="s">
        <v>3323</v>
      </c>
      <c r="K694" s="6" t="s">
        <v>630</v>
      </c>
      <c r="L694" s="6" t="s">
        <v>4509</v>
      </c>
      <c r="M694" s="6" t="s">
        <v>4537</v>
      </c>
      <c r="N694" s="6" t="s">
        <v>630</v>
      </c>
      <c r="O694" s="29">
        <f t="shared" si="11"/>
        <v>99866.55</v>
      </c>
      <c r="Q694" s="30" t="s">
        <v>630</v>
      </c>
      <c r="R694" s="31">
        <v>99866.55</v>
      </c>
    </row>
    <row r="695" s="1" customFormat="1" ht="16.35" hidden="1" customHeight="1" spans="1:18">
      <c r="A695" s="6" t="s">
        <v>4506</v>
      </c>
      <c r="B695" s="6">
        <v>2017</v>
      </c>
      <c r="C695" s="6">
        <v>4</v>
      </c>
      <c r="D695" s="7">
        <v>33</v>
      </c>
      <c r="E695" s="6" t="s">
        <v>4828</v>
      </c>
      <c r="F695" s="6" t="s">
        <v>4508</v>
      </c>
      <c r="G695" s="6" t="s">
        <v>25</v>
      </c>
      <c r="H695" s="8"/>
      <c r="I695" s="8">
        <v>98907</v>
      </c>
      <c r="J695" s="6" t="s">
        <v>3420</v>
      </c>
      <c r="K695" s="6" t="s">
        <v>646</v>
      </c>
      <c r="L695" s="6" t="s">
        <v>4509</v>
      </c>
      <c r="M695" s="6" t="s">
        <v>4537</v>
      </c>
      <c r="N695" s="6" t="s">
        <v>646</v>
      </c>
      <c r="O695" s="29">
        <f t="shared" si="11"/>
        <v>103852.35</v>
      </c>
      <c r="Q695" s="30" t="s">
        <v>646</v>
      </c>
      <c r="R695" s="31">
        <v>103852.35</v>
      </c>
    </row>
    <row r="696" s="1" customFormat="1" ht="16.35" hidden="1" customHeight="1" spans="1:18">
      <c r="A696" s="6" t="s">
        <v>4506</v>
      </c>
      <c r="B696" s="6">
        <v>2017</v>
      </c>
      <c r="C696" s="6">
        <v>4</v>
      </c>
      <c r="D696" s="7">
        <v>33</v>
      </c>
      <c r="E696" s="6" t="s">
        <v>4828</v>
      </c>
      <c r="F696" s="6" t="s">
        <v>4508</v>
      </c>
      <c r="G696" s="6" t="s">
        <v>25</v>
      </c>
      <c r="H696" s="8"/>
      <c r="I696" s="8">
        <v>95111</v>
      </c>
      <c r="J696" s="6" t="s">
        <v>3422</v>
      </c>
      <c r="K696" s="6" t="s">
        <v>648</v>
      </c>
      <c r="L696" s="6" t="s">
        <v>4509</v>
      </c>
      <c r="M696" s="6" t="s">
        <v>4537</v>
      </c>
      <c r="N696" s="6" t="s">
        <v>648</v>
      </c>
      <c r="O696" s="29">
        <f t="shared" si="11"/>
        <v>99866.55</v>
      </c>
      <c r="Q696" s="30" t="s">
        <v>648</v>
      </c>
      <c r="R696" s="31">
        <v>99866.55</v>
      </c>
    </row>
    <row r="697" s="1" customFormat="1" ht="16.35" hidden="1" customHeight="1" spans="1:18">
      <c r="A697" s="6" t="s">
        <v>4506</v>
      </c>
      <c r="B697" s="6">
        <v>2017</v>
      </c>
      <c r="C697" s="6">
        <v>4</v>
      </c>
      <c r="D697" s="7">
        <v>33</v>
      </c>
      <c r="E697" s="6" t="s">
        <v>4828</v>
      </c>
      <c r="F697" s="6" t="s">
        <v>4508</v>
      </c>
      <c r="G697" s="6" t="s">
        <v>25</v>
      </c>
      <c r="H697" s="8"/>
      <c r="I697" s="8">
        <v>4762</v>
      </c>
      <c r="J697" s="6" t="s">
        <v>3503</v>
      </c>
      <c r="K697" s="6" t="s">
        <v>701</v>
      </c>
      <c r="L697" s="6" t="s">
        <v>4509</v>
      </c>
      <c r="M697" s="6" t="s">
        <v>4537</v>
      </c>
      <c r="N697" s="6" t="s">
        <v>701</v>
      </c>
      <c r="O697" s="29">
        <f t="shared" si="11"/>
        <v>5000.1</v>
      </c>
      <c r="Q697" s="30" t="s">
        <v>701</v>
      </c>
      <c r="R697" s="31">
        <v>5000.1</v>
      </c>
    </row>
    <row r="698" s="1" customFormat="1" ht="16.35" hidden="1" customHeight="1" spans="1:18">
      <c r="A698" s="6" t="s">
        <v>4506</v>
      </c>
      <c r="B698" s="6">
        <v>2017</v>
      </c>
      <c r="C698" s="6">
        <v>4</v>
      </c>
      <c r="D698" s="7">
        <v>33</v>
      </c>
      <c r="E698" s="6" t="s">
        <v>4828</v>
      </c>
      <c r="F698" s="6" t="s">
        <v>4508</v>
      </c>
      <c r="G698" s="6" t="s">
        <v>25</v>
      </c>
      <c r="H698" s="8"/>
      <c r="I698" s="8">
        <v>4762</v>
      </c>
      <c r="J698" s="6" t="s">
        <v>3537</v>
      </c>
      <c r="K698" s="6" t="s">
        <v>711</v>
      </c>
      <c r="L698" s="6" t="s">
        <v>4509</v>
      </c>
      <c r="M698" s="6" t="s">
        <v>4537</v>
      </c>
      <c r="N698" s="6" t="s">
        <v>711</v>
      </c>
      <c r="O698" s="29">
        <f t="shared" si="11"/>
        <v>5000.1</v>
      </c>
      <c r="Q698" s="30" t="s">
        <v>711</v>
      </c>
      <c r="R698" s="31">
        <v>5000.1</v>
      </c>
    </row>
    <row r="699" s="1" customFormat="1" ht="16.35" hidden="1" customHeight="1" spans="1:18">
      <c r="A699" s="6" t="s">
        <v>4506</v>
      </c>
      <c r="B699" s="6">
        <v>2017</v>
      </c>
      <c r="C699" s="6">
        <v>4</v>
      </c>
      <c r="D699" s="7">
        <v>33</v>
      </c>
      <c r="E699" s="6" t="s">
        <v>4828</v>
      </c>
      <c r="F699" s="6" t="s">
        <v>4508</v>
      </c>
      <c r="G699" s="6" t="s">
        <v>25</v>
      </c>
      <c r="H699" s="8"/>
      <c r="I699" s="8">
        <v>1691</v>
      </c>
      <c r="J699" s="6" t="s">
        <v>3569</v>
      </c>
      <c r="K699" s="6" t="s">
        <v>759</v>
      </c>
      <c r="L699" s="6" t="s">
        <v>4509</v>
      </c>
      <c r="M699" s="6" t="s">
        <v>4537</v>
      </c>
      <c r="N699" s="6" t="s">
        <v>759</v>
      </c>
      <c r="O699" s="29">
        <f t="shared" si="11"/>
        <v>1775.55</v>
      </c>
      <c r="Q699" s="30" t="s">
        <v>759</v>
      </c>
      <c r="R699" s="31">
        <v>1775.55</v>
      </c>
    </row>
    <row r="700" s="1" customFormat="1" ht="16.35" hidden="1" customHeight="1" spans="1:18">
      <c r="A700" s="6" t="s">
        <v>4506</v>
      </c>
      <c r="B700" s="6">
        <v>2017</v>
      </c>
      <c r="C700" s="6">
        <v>4</v>
      </c>
      <c r="D700" s="7">
        <v>33</v>
      </c>
      <c r="E700" s="6" t="s">
        <v>4828</v>
      </c>
      <c r="F700" s="6" t="s">
        <v>4508</v>
      </c>
      <c r="G700" s="6" t="s">
        <v>25</v>
      </c>
      <c r="H700" s="8"/>
      <c r="I700" s="8">
        <v>-7505</v>
      </c>
      <c r="J700" s="6" t="s">
        <v>3384</v>
      </c>
      <c r="K700" s="6" t="s">
        <v>583</v>
      </c>
      <c r="L700" s="6" t="s">
        <v>4509</v>
      </c>
      <c r="M700" s="6" t="s">
        <v>4537</v>
      </c>
      <c r="N700" s="6" t="s">
        <v>583</v>
      </c>
      <c r="O700" s="29">
        <f t="shared" si="11"/>
        <v>-7880.25</v>
      </c>
      <c r="Q700" s="30" t="s">
        <v>583</v>
      </c>
      <c r="R700" s="31">
        <v>-7880.25</v>
      </c>
    </row>
    <row r="701" s="1" customFormat="1" ht="16.35" hidden="1" customHeight="1" spans="1:18">
      <c r="A701" s="6" t="s">
        <v>4506</v>
      </c>
      <c r="B701" s="6">
        <v>2017</v>
      </c>
      <c r="C701" s="6">
        <v>4</v>
      </c>
      <c r="D701" s="7">
        <v>33</v>
      </c>
      <c r="E701" s="6" t="s">
        <v>4828</v>
      </c>
      <c r="F701" s="6" t="s">
        <v>4508</v>
      </c>
      <c r="G701" s="6" t="s">
        <v>25</v>
      </c>
      <c r="H701" s="8"/>
      <c r="I701" s="8">
        <v>-86650</v>
      </c>
      <c r="J701" s="6" t="s">
        <v>2940</v>
      </c>
      <c r="K701" s="6" t="s">
        <v>619</v>
      </c>
      <c r="L701" s="6" t="s">
        <v>4509</v>
      </c>
      <c r="M701" s="6" t="s">
        <v>4537</v>
      </c>
      <c r="N701" s="6" t="s">
        <v>619</v>
      </c>
      <c r="O701" s="29">
        <f>I701</f>
        <v>-86650</v>
      </c>
      <c r="Q701" s="30" t="s">
        <v>619</v>
      </c>
      <c r="R701" s="31">
        <v>-86650</v>
      </c>
    </row>
    <row r="702" s="1" customFormat="1" ht="16.35" hidden="1" customHeight="1" spans="1:18">
      <c r="A702" s="6" t="s">
        <v>4506</v>
      </c>
      <c r="B702" s="6">
        <v>2017</v>
      </c>
      <c r="C702" s="6">
        <v>4</v>
      </c>
      <c r="D702" s="7">
        <v>33</v>
      </c>
      <c r="E702" s="6" t="s">
        <v>4828</v>
      </c>
      <c r="F702" s="6" t="s">
        <v>4508</v>
      </c>
      <c r="G702" s="6" t="s">
        <v>25</v>
      </c>
      <c r="H702" s="8"/>
      <c r="I702" s="8">
        <v>-67522</v>
      </c>
      <c r="J702" s="6" t="s">
        <v>2947</v>
      </c>
      <c r="K702" s="6" t="s">
        <v>579</v>
      </c>
      <c r="L702" s="6" t="s">
        <v>4509</v>
      </c>
      <c r="M702" s="6" t="s">
        <v>4537</v>
      </c>
      <c r="N702" s="6" t="s">
        <v>579</v>
      </c>
      <c r="O702" s="29">
        <f>I702</f>
        <v>-67522</v>
      </c>
      <c r="Q702" s="30" t="s">
        <v>579</v>
      </c>
      <c r="R702" s="31">
        <v>-67522</v>
      </c>
    </row>
    <row r="703" s="1" customFormat="1" ht="16.35" hidden="1" customHeight="1" spans="1:18">
      <c r="A703" s="6" t="s">
        <v>4506</v>
      </c>
      <c r="B703" s="6">
        <v>2017</v>
      </c>
      <c r="C703" s="6">
        <v>4</v>
      </c>
      <c r="D703" s="7">
        <v>33</v>
      </c>
      <c r="E703" s="6" t="s">
        <v>4828</v>
      </c>
      <c r="F703" s="6" t="s">
        <v>4508</v>
      </c>
      <c r="G703" s="6" t="s">
        <v>25</v>
      </c>
      <c r="H703" s="8"/>
      <c r="I703" s="8">
        <v>-3740</v>
      </c>
      <c r="J703" s="6" t="s">
        <v>2948</v>
      </c>
      <c r="K703" s="6" t="s">
        <v>250</v>
      </c>
      <c r="L703" s="6" t="s">
        <v>4509</v>
      </c>
      <c r="M703" s="6" t="s">
        <v>4537</v>
      </c>
      <c r="N703" s="6" t="s">
        <v>250</v>
      </c>
      <c r="O703" s="29">
        <f>I703</f>
        <v>-3740</v>
      </c>
      <c r="Q703" s="30" t="s">
        <v>250</v>
      </c>
      <c r="R703" s="31">
        <v>-3740</v>
      </c>
    </row>
    <row r="704" s="1" customFormat="1" ht="16.35" hidden="1" customHeight="1" spans="1:18">
      <c r="A704" s="6" t="s">
        <v>4506</v>
      </c>
      <c r="B704" s="6">
        <v>2017</v>
      </c>
      <c r="C704" s="6">
        <v>4</v>
      </c>
      <c r="D704" s="7">
        <v>33</v>
      </c>
      <c r="E704" s="6" t="s">
        <v>4828</v>
      </c>
      <c r="F704" s="6" t="s">
        <v>4508</v>
      </c>
      <c r="G704" s="6" t="s">
        <v>25</v>
      </c>
      <c r="H704" s="8"/>
      <c r="I704" s="8">
        <v>-780</v>
      </c>
      <c r="J704" s="6" t="s">
        <v>2954</v>
      </c>
      <c r="K704" s="6" t="s">
        <v>372</v>
      </c>
      <c r="L704" s="6" t="s">
        <v>4509</v>
      </c>
      <c r="M704" s="6" t="s">
        <v>4537</v>
      </c>
      <c r="N704" s="6" t="s">
        <v>372</v>
      </c>
      <c r="O704" s="29">
        <f t="shared" si="11"/>
        <v>-819</v>
      </c>
      <c r="Q704" s="30" t="s">
        <v>372</v>
      </c>
      <c r="R704" s="31">
        <v>-819</v>
      </c>
    </row>
    <row r="705" s="1" customFormat="1" ht="16.35" hidden="1" customHeight="1" spans="1:18">
      <c r="A705" s="6" t="s">
        <v>4506</v>
      </c>
      <c r="B705" s="6">
        <v>2017</v>
      </c>
      <c r="C705" s="6">
        <v>4</v>
      </c>
      <c r="D705" s="7">
        <v>33</v>
      </c>
      <c r="E705" s="6" t="s">
        <v>4828</v>
      </c>
      <c r="F705" s="6" t="s">
        <v>4508</v>
      </c>
      <c r="G705" s="6" t="s">
        <v>25</v>
      </c>
      <c r="H705" s="8"/>
      <c r="I705" s="8">
        <v>-24832</v>
      </c>
      <c r="J705" s="6" t="s">
        <v>3070</v>
      </c>
      <c r="K705" s="6" t="s">
        <v>535</v>
      </c>
      <c r="L705" s="6" t="s">
        <v>4509</v>
      </c>
      <c r="M705" s="6" t="s">
        <v>4537</v>
      </c>
      <c r="N705" s="6" t="s">
        <v>535</v>
      </c>
      <c r="O705" s="29">
        <f>I705</f>
        <v>-24832</v>
      </c>
      <c r="Q705" s="30" t="s">
        <v>535</v>
      </c>
      <c r="R705" s="31">
        <v>-24832</v>
      </c>
    </row>
    <row r="706" s="1" customFormat="1" ht="16.35" hidden="1" customHeight="1" spans="1:18">
      <c r="A706" s="6" t="s">
        <v>4506</v>
      </c>
      <c r="B706" s="6">
        <v>2017</v>
      </c>
      <c r="C706" s="6">
        <v>4</v>
      </c>
      <c r="D706" s="7">
        <v>33</v>
      </c>
      <c r="E706" s="6" t="s">
        <v>4828</v>
      </c>
      <c r="F706" s="6" t="s">
        <v>4508</v>
      </c>
      <c r="G706" s="6" t="s">
        <v>25</v>
      </c>
      <c r="H706" s="8"/>
      <c r="I706" s="8">
        <v>-39433</v>
      </c>
      <c r="J706" s="6" t="s">
        <v>3073</v>
      </c>
      <c r="K706" s="6" t="s">
        <v>622</v>
      </c>
      <c r="L706" s="6" t="s">
        <v>4509</v>
      </c>
      <c r="M706" s="6" t="s">
        <v>4537</v>
      </c>
      <c r="N706" s="6" t="s">
        <v>622</v>
      </c>
      <c r="O706" s="29">
        <f>I706</f>
        <v>-39433</v>
      </c>
      <c r="Q706" s="30" t="s">
        <v>622</v>
      </c>
      <c r="R706" s="31">
        <v>-41404.65</v>
      </c>
    </row>
    <row r="707" s="1" customFormat="1" ht="16.35" hidden="1" customHeight="1" spans="1:18">
      <c r="A707" s="6" t="s">
        <v>4506</v>
      </c>
      <c r="B707" s="6">
        <v>2017</v>
      </c>
      <c r="C707" s="6">
        <v>4</v>
      </c>
      <c r="D707" s="7">
        <v>33</v>
      </c>
      <c r="E707" s="6" t="s">
        <v>4828</v>
      </c>
      <c r="F707" s="6" t="s">
        <v>4508</v>
      </c>
      <c r="G707" s="6" t="s">
        <v>25</v>
      </c>
      <c r="H707" s="8"/>
      <c r="I707" s="8">
        <v>-15729</v>
      </c>
      <c r="J707" s="6" t="s">
        <v>3085</v>
      </c>
      <c r="K707" s="6" t="s">
        <v>607</v>
      </c>
      <c r="L707" s="6" t="s">
        <v>4509</v>
      </c>
      <c r="M707" s="6" t="s">
        <v>4537</v>
      </c>
      <c r="N707" s="6" t="s">
        <v>607</v>
      </c>
      <c r="O707" s="29">
        <f>I707</f>
        <v>-15729</v>
      </c>
      <c r="Q707" s="30" t="s">
        <v>607</v>
      </c>
      <c r="R707" s="31">
        <v>-15729</v>
      </c>
    </row>
    <row r="708" s="1" customFormat="1" ht="16.35" hidden="1" customHeight="1" spans="1:18">
      <c r="A708" s="6" t="s">
        <v>4506</v>
      </c>
      <c r="B708" s="6">
        <v>2017</v>
      </c>
      <c r="C708" s="6">
        <v>4</v>
      </c>
      <c r="D708" s="7">
        <v>33</v>
      </c>
      <c r="E708" s="6" t="s">
        <v>4828</v>
      </c>
      <c r="F708" s="6" t="s">
        <v>4508</v>
      </c>
      <c r="G708" s="6" t="s">
        <v>25</v>
      </c>
      <c r="H708" s="8"/>
      <c r="I708" s="8">
        <v>-104508</v>
      </c>
      <c r="J708" s="6" t="s">
        <v>3088</v>
      </c>
      <c r="K708" s="6" t="s">
        <v>272</v>
      </c>
      <c r="L708" s="6" t="s">
        <v>4509</v>
      </c>
      <c r="M708" s="6" t="s">
        <v>4537</v>
      </c>
      <c r="N708" s="6" t="s">
        <v>272</v>
      </c>
      <c r="O708" s="29">
        <f>I708</f>
        <v>-104508</v>
      </c>
      <c r="Q708" s="30" t="s">
        <v>272</v>
      </c>
      <c r="R708" s="31">
        <v>-104508</v>
      </c>
    </row>
    <row r="709" s="1" customFormat="1" ht="16.35" hidden="1" customHeight="1" spans="1:18">
      <c r="A709" s="6" t="s">
        <v>4506</v>
      </c>
      <c r="B709" s="6">
        <v>2017</v>
      </c>
      <c r="C709" s="6">
        <v>4</v>
      </c>
      <c r="D709" s="7">
        <v>33</v>
      </c>
      <c r="E709" s="6" t="s">
        <v>4828</v>
      </c>
      <c r="F709" s="6" t="s">
        <v>4508</v>
      </c>
      <c r="G709" s="6" t="s">
        <v>25</v>
      </c>
      <c r="H709" s="8"/>
      <c r="I709" s="8">
        <v>-71803</v>
      </c>
      <c r="J709" s="6" t="s">
        <v>3101</v>
      </c>
      <c r="K709" s="6" t="s">
        <v>84</v>
      </c>
      <c r="L709" s="6" t="s">
        <v>4509</v>
      </c>
      <c r="M709" s="6" t="s">
        <v>4537</v>
      </c>
      <c r="N709" s="6" t="s">
        <v>84</v>
      </c>
      <c r="O709" s="29">
        <f t="shared" ref="O709:O717" si="12">I709</f>
        <v>-71803</v>
      </c>
      <c r="Q709" s="30" t="s">
        <v>84</v>
      </c>
      <c r="R709" s="31">
        <v>-71803</v>
      </c>
    </row>
    <row r="710" s="1" customFormat="1" ht="16.35" hidden="1" customHeight="1" spans="1:18">
      <c r="A710" s="6" t="s">
        <v>4506</v>
      </c>
      <c r="B710" s="6">
        <v>2017</v>
      </c>
      <c r="C710" s="6">
        <v>4</v>
      </c>
      <c r="D710" s="7">
        <v>33</v>
      </c>
      <c r="E710" s="6" t="s">
        <v>4828</v>
      </c>
      <c r="F710" s="6" t="s">
        <v>4508</v>
      </c>
      <c r="G710" s="6" t="s">
        <v>25</v>
      </c>
      <c r="H710" s="8"/>
      <c r="I710" s="8">
        <v>-40808</v>
      </c>
      <c r="J710" s="6" t="s">
        <v>3105</v>
      </c>
      <c r="K710" s="6" t="s">
        <v>577</v>
      </c>
      <c r="L710" s="6" t="s">
        <v>4509</v>
      </c>
      <c r="M710" s="6" t="s">
        <v>4537</v>
      </c>
      <c r="N710" s="6" t="s">
        <v>577</v>
      </c>
      <c r="O710" s="29">
        <f t="shared" si="12"/>
        <v>-40808</v>
      </c>
      <c r="Q710" s="30" t="s">
        <v>577</v>
      </c>
      <c r="R710" s="31">
        <v>-40808</v>
      </c>
    </row>
    <row r="711" s="1" customFormat="1" ht="16.35" hidden="1" customHeight="1" spans="1:18">
      <c r="A711" s="6" t="s">
        <v>4506</v>
      </c>
      <c r="B711" s="6">
        <v>2017</v>
      </c>
      <c r="C711" s="6">
        <v>4</v>
      </c>
      <c r="D711" s="7">
        <v>33</v>
      </c>
      <c r="E711" s="6" t="s">
        <v>4828</v>
      </c>
      <c r="F711" s="6" t="s">
        <v>4508</v>
      </c>
      <c r="G711" s="6" t="s">
        <v>25</v>
      </c>
      <c r="H711" s="8"/>
      <c r="I711" s="8">
        <v>-40808</v>
      </c>
      <c r="J711" s="6" t="s">
        <v>3103</v>
      </c>
      <c r="K711" s="6" t="s">
        <v>575</v>
      </c>
      <c r="L711" s="6" t="s">
        <v>4509</v>
      </c>
      <c r="M711" s="6" t="s">
        <v>4537</v>
      </c>
      <c r="N711" s="6" t="s">
        <v>575</v>
      </c>
      <c r="O711" s="29">
        <f t="shared" si="12"/>
        <v>-40808</v>
      </c>
      <c r="Q711" s="30" t="s">
        <v>575</v>
      </c>
      <c r="R711" s="31">
        <v>-40808</v>
      </c>
    </row>
    <row r="712" s="1" customFormat="1" ht="16.35" hidden="1" customHeight="1" spans="1:18">
      <c r="A712" s="6" t="s">
        <v>4506</v>
      </c>
      <c r="B712" s="6">
        <v>2017</v>
      </c>
      <c r="C712" s="6">
        <v>4</v>
      </c>
      <c r="D712" s="7">
        <v>33</v>
      </c>
      <c r="E712" s="6" t="s">
        <v>4828</v>
      </c>
      <c r="F712" s="6" t="s">
        <v>4508</v>
      </c>
      <c r="G712" s="6" t="s">
        <v>25</v>
      </c>
      <c r="H712" s="8"/>
      <c r="I712" s="8">
        <v>-19853</v>
      </c>
      <c r="J712" s="6" t="s">
        <v>3121</v>
      </c>
      <c r="K712" s="6" t="s">
        <v>427</v>
      </c>
      <c r="L712" s="6" t="s">
        <v>4509</v>
      </c>
      <c r="M712" s="6" t="s">
        <v>4537</v>
      </c>
      <c r="N712" s="6" t="s">
        <v>427</v>
      </c>
      <c r="O712" s="29">
        <f t="shared" si="12"/>
        <v>-19853</v>
      </c>
      <c r="Q712" s="30" t="s">
        <v>427</v>
      </c>
      <c r="R712" s="31">
        <v>-19853</v>
      </c>
    </row>
    <row r="713" s="1" customFormat="1" ht="16.35" hidden="1" customHeight="1" spans="1:18">
      <c r="A713" s="6" t="s">
        <v>4506</v>
      </c>
      <c r="B713" s="6">
        <v>2017</v>
      </c>
      <c r="C713" s="6">
        <v>4</v>
      </c>
      <c r="D713" s="7">
        <v>33</v>
      </c>
      <c r="E713" s="6" t="s">
        <v>4828</v>
      </c>
      <c r="F713" s="6" t="s">
        <v>4508</v>
      </c>
      <c r="G713" s="6" t="s">
        <v>25</v>
      </c>
      <c r="H713" s="8"/>
      <c r="I713" s="8">
        <v>-43126</v>
      </c>
      <c r="J713" s="6" t="s">
        <v>3124</v>
      </c>
      <c r="K713" s="6" t="s">
        <v>350</v>
      </c>
      <c r="L713" s="6" t="s">
        <v>4509</v>
      </c>
      <c r="M713" s="6" t="s">
        <v>4537</v>
      </c>
      <c r="N713" s="6" t="s">
        <v>350</v>
      </c>
      <c r="O713" s="29">
        <f t="shared" si="12"/>
        <v>-43126</v>
      </c>
      <c r="Q713" s="30" t="s">
        <v>350</v>
      </c>
      <c r="R713" s="31">
        <f>O713</f>
        <v>-43126</v>
      </c>
    </row>
    <row r="714" s="1" customFormat="1" ht="16.35" hidden="1" customHeight="1" spans="1:18">
      <c r="A714" s="6" t="s">
        <v>4506</v>
      </c>
      <c r="B714" s="6">
        <v>2017</v>
      </c>
      <c r="C714" s="6">
        <v>4</v>
      </c>
      <c r="D714" s="7">
        <v>33</v>
      </c>
      <c r="E714" s="6" t="s">
        <v>4828</v>
      </c>
      <c r="F714" s="6" t="s">
        <v>4508</v>
      </c>
      <c r="G714" s="6" t="s">
        <v>25</v>
      </c>
      <c r="H714" s="8"/>
      <c r="I714" s="8">
        <v>-101110</v>
      </c>
      <c r="J714" s="6" t="s">
        <v>3133</v>
      </c>
      <c r="K714" s="6" t="s">
        <v>621</v>
      </c>
      <c r="L714" s="6" t="s">
        <v>4509</v>
      </c>
      <c r="M714" s="6" t="s">
        <v>4537</v>
      </c>
      <c r="N714" s="6" t="s">
        <v>621</v>
      </c>
      <c r="O714" s="29">
        <f t="shared" si="12"/>
        <v>-101110</v>
      </c>
      <c r="Q714" s="30" t="s">
        <v>621</v>
      </c>
      <c r="R714" s="31">
        <v>-101110</v>
      </c>
    </row>
    <row r="715" s="1" customFormat="1" ht="16.35" hidden="1" customHeight="1" spans="1:18">
      <c r="A715" s="6" t="s">
        <v>4506</v>
      </c>
      <c r="B715" s="6">
        <v>2017</v>
      </c>
      <c r="C715" s="6">
        <v>4</v>
      </c>
      <c r="D715" s="7">
        <v>33</v>
      </c>
      <c r="E715" s="6" t="s">
        <v>4828</v>
      </c>
      <c r="F715" s="6" t="s">
        <v>4508</v>
      </c>
      <c r="G715" s="6" t="s">
        <v>25</v>
      </c>
      <c r="H715" s="8"/>
      <c r="I715" s="8">
        <v>-68760</v>
      </c>
      <c r="J715" s="6" t="s">
        <v>3138</v>
      </c>
      <c r="K715" s="6" t="s">
        <v>394</v>
      </c>
      <c r="L715" s="6" t="s">
        <v>4509</v>
      </c>
      <c r="M715" s="6" t="s">
        <v>4537</v>
      </c>
      <c r="N715" s="6" t="s">
        <v>394</v>
      </c>
      <c r="O715" s="29">
        <f>I715*1.05</f>
        <v>-72198</v>
      </c>
      <c r="Q715" s="30" t="s">
        <v>394</v>
      </c>
      <c r="R715" s="31">
        <f>O715</f>
        <v>-72198</v>
      </c>
    </row>
    <row r="716" s="1" customFormat="1" ht="16.35" hidden="1" customHeight="1" spans="1:18">
      <c r="A716" s="6" t="s">
        <v>4506</v>
      </c>
      <c r="B716" s="6">
        <v>2017</v>
      </c>
      <c r="C716" s="6">
        <v>4</v>
      </c>
      <c r="D716" s="7">
        <v>33</v>
      </c>
      <c r="E716" s="6" t="s">
        <v>4828</v>
      </c>
      <c r="F716" s="6" t="s">
        <v>4508</v>
      </c>
      <c r="G716" s="6" t="s">
        <v>25</v>
      </c>
      <c r="H716" s="8"/>
      <c r="I716" s="8">
        <v>36169</v>
      </c>
      <c r="J716" s="6" t="s">
        <v>3126</v>
      </c>
      <c r="K716" s="6" t="s">
        <v>451</v>
      </c>
      <c r="L716" s="6" t="s">
        <v>4509</v>
      </c>
      <c r="M716" s="6" t="s">
        <v>4537</v>
      </c>
      <c r="N716" s="6" t="s">
        <v>451</v>
      </c>
      <c r="O716" s="29">
        <f t="shared" si="12"/>
        <v>36169</v>
      </c>
      <c r="Q716" s="30" t="s">
        <v>451</v>
      </c>
      <c r="R716" s="31">
        <f>O716</f>
        <v>36169</v>
      </c>
    </row>
    <row r="717" s="1" customFormat="1" ht="16.35" hidden="1" customHeight="1" spans="1:18">
      <c r="A717" s="6" t="s">
        <v>4506</v>
      </c>
      <c r="B717" s="6">
        <v>2017</v>
      </c>
      <c r="C717" s="6">
        <v>4</v>
      </c>
      <c r="D717" s="7">
        <v>33</v>
      </c>
      <c r="E717" s="6" t="s">
        <v>4828</v>
      </c>
      <c r="F717" s="6" t="s">
        <v>4508</v>
      </c>
      <c r="G717" s="6" t="s">
        <v>25</v>
      </c>
      <c r="H717" s="8"/>
      <c r="I717" s="8">
        <v>-76410</v>
      </c>
      <c r="J717" s="6" t="s">
        <v>3140</v>
      </c>
      <c r="K717" s="6" t="s">
        <v>525</v>
      </c>
      <c r="L717" s="6" t="s">
        <v>4509</v>
      </c>
      <c r="M717" s="6" t="s">
        <v>4537</v>
      </c>
      <c r="N717" s="6" t="s">
        <v>525</v>
      </c>
      <c r="O717" s="29">
        <f t="shared" si="12"/>
        <v>-76410</v>
      </c>
      <c r="Q717" s="30" t="s">
        <v>525</v>
      </c>
      <c r="R717" s="31">
        <f>O717</f>
        <v>-76410</v>
      </c>
    </row>
    <row r="718" s="1" customFormat="1" ht="16.35" hidden="1" customHeight="1" spans="1:18">
      <c r="A718" s="6" t="s">
        <v>4506</v>
      </c>
      <c r="B718" s="6">
        <v>2017</v>
      </c>
      <c r="C718" s="6">
        <v>4</v>
      </c>
      <c r="D718" s="7">
        <v>33</v>
      </c>
      <c r="E718" s="6" t="s">
        <v>4828</v>
      </c>
      <c r="F718" s="6" t="s">
        <v>4508</v>
      </c>
      <c r="G718" s="6" t="s">
        <v>25</v>
      </c>
      <c r="H718" s="8"/>
      <c r="I718" s="8">
        <v>-18946</v>
      </c>
      <c r="J718" s="6" t="s">
        <v>3257</v>
      </c>
      <c r="K718" s="6" t="s">
        <v>828</v>
      </c>
      <c r="L718" s="6" t="s">
        <v>4509</v>
      </c>
      <c r="M718" s="6" t="s">
        <v>4537</v>
      </c>
      <c r="N718" s="6" t="s">
        <v>828</v>
      </c>
      <c r="O718" s="29">
        <f t="shared" si="11"/>
        <v>-19893.3</v>
      </c>
      <c r="Q718" s="30" t="s">
        <v>828</v>
      </c>
      <c r="R718" s="31">
        <v>-19893.3</v>
      </c>
    </row>
    <row r="719" s="1" customFormat="1" ht="16.35" hidden="1" customHeight="1" spans="1:18">
      <c r="A719" s="6" t="s">
        <v>4506</v>
      </c>
      <c r="B719" s="6">
        <v>2017</v>
      </c>
      <c r="C719" s="6">
        <v>4</v>
      </c>
      <c r="D719" s="7">
        <v>33</v>
      </c>
      <c r="E719" s="6" t="s">
        <v>4828</v>
      </c>
      <c r="F719" s="6" t="s">
        <v>4508</v>
      </c>
      <c r="G719" s="6" t="s">
        <v>25</v>
      </c>
      <c r="H719" s="8"/>
      <c r="I719" s="8">
        <v>-185</v>
      </c>
      <c r="J719" s="6" t="s">
        <v>3683</v>
      </c>
      <c r="K719" s="6" t="s">
        <v>644</v>
      </c>
      <c r="L719" s="6" t="s">
        <v>4509</v>
      </c>
      <c r="M719" s="6" t="s">
        <v>4537</v>
      </c>
      <c r="N719" s="6" t="s">
        <v>644</v>
      </c>
      <c r="O719" s="29">
        <f t="shared" si="11"/>
        <v>-194.25</v>
      </c>
      <c r="Q719" s="30" t="s">
        <v>644</v>
      </c>
      <c r="R719" s="31">
        <v>-194.25</v>
      </c>
    </row>
    <row r="720" s="1" customFormat="1" ht="16.35" hidden="1" customHeight="1" spans="1:18">
      <c r="A720" s="6" t="s">
        <v>4506</v>
      </c>
      <c r="B720" s="6">
        <v>2017</v>
      </c>
      <c r="C720" s="6">
        <v>4</v>
      </c>
      <c r="D720" s="7">
        <v>33</v>
      </c>
      <c r="E720" s="6" t="s">
        <v>4828</v>
      </c>
      <c r="F720" s="6" t="s">
        <v>4508</v>
      </c>
      <c r="G720" s="6" t="s">
        <v>25</v>
      </c>
      <c r="H720" s="8"/>
      <c r="I720" s="8">
        <v>9524</v>
      </c>
      <c r="J720" s="6" t="s">
        <v>3540</v>
      </c>
      <c r="K720" s="6" t="s">
        <v>812</v>
      </c>
      <c r="L720" s="6" t="s">
        <v>4509</v>
      </c>
      <c r="M720" s="6" t="s">
        <v>4537</v>
      </c>
      <c r="N720" s="6" t="s">
        <v>812</v>
      </c>
      <c r="O720" s="29">
        <f t="shared" si="11"/>
        <v>10000.2</v>
      </c>
      <c r="Q720" s="30" t="s">
        <v>812</v>
      </c>
      <c r="R720" s="31">
        <v>10000.2</v>
      </c>
    </row>
    <row r="721" s="1" customFormat="1" ht="16.35" hidden="1" customHeight="1" spans="1:18">
      <c r="A721" s="6" t="s">
        <v>4506</v>
      </c>
      <c r="B721" s="6">
        <v>2017</v>
      </c>
      <c r="C721" s="6">
        <v>4</v>
      </c>
      <c r="D721" s="7">
        <v>33</v>
      </c>
      <c r="E721" s="6" t="s">
        <v>4828</v>
      </c>
      <c r="F721" s="6" t="s">
        <v>4508</v>
      </c>
      <c r="G721" s="6" t="s">
        <v>25</v>
      </c>
      <c r="H721" s="8"/>
      <c r="I721" s="8">
        <v>9524</v>
      </c>
      <c r="J721" s="6" t="s">
        <v>3563</v>
      </c>
      <c r="K721" s="6" t="s">
        <v>689</v>
      </c>
      <c r="L721" s="6" t="s">
        <v>4509</v>
      </c>
      <c r="M721" s="6" t="s">
        <v>4537</v>
      </c>
      <c r="N721" s="6" t="s">
        <v>689</v>
      </c>
      <c r="O721" s="29">
        <f t="shared" si="11"/>
        <v>10000.2</v>
      </c>
      <c r="Q721" s="30" t="s">
        <v>689</v>
      </c>
      <c r="R721" s="31">
        <v>10000.2</v>
      </c>
    </row>
    <row r="722" s="1" customFormat="1" ht="16.35" hidden="1" customHeight="1" spans="1:18">
      <c r="A722" s="6" t="s">
        <v>4506</v>
      </c>
      <c r="B722" s="6">
        <v>2017</v>
      </c>
      <c r="C722" s="6">
        <v>4</v>
      </c>
      <c r="D722" s="7">
        <v>33</v>
      </c>
      <c r="E722" s="6" t="s">
        <v>4828</v>
      </c>
      <c r="F722" s="6" t="s">
        <v>4508</v>
      </c>
      <c r="G722" s="6" t="s">
        <v>25</v>
      </c>
      <c r="H722" s="8"/>
      <c r="I722" s="8">
        <v>9524</v>
      </c>
      <c r="J722" s="6" t="s">
        <v>3150</v>
      </c>
      <c r="K722" s="6" t="s">
        <v>609</v>
      </c>
      <c r="L722" s="6" t="s">
        <v>4509</v>
      </c>
      <c r="M722" s="6" t="s">
        <v>4537</v>
      </c>
      <c r="N722" s="6" t="s">
        <v>609</v>
      </c>
      <c r="O722" s="29">
        <f t="shared" si="11"/>
        <v>10000.2</v>
      </c>
      <c r="Q722" s="30" t="s">
        <v>609</v>
      </c>
      <c r="R722" s="31">
        <v>10000.2</v>
      </c>
    </row>
    <row r="723" s="1" customFormat="1" ht="16.35" hidden="1" customHeight="1" spans="1:18">
      <c r="A723" s="6" t="s">
        <v>4506</v>
      </c>
      <c r="B723" s="6">
        <v>2017</v>
      </c>
      <c r="C723" s="6">
        <v>4</v>
      </c>
      <c r="D723" s="7">
        <v>33</v>
      </c>
      <c r="E723" s="6" t="s">
        <v>4828</v>
      </c>
      <c r="F723" s="6" t="s">
        <v>4508</v>
      </c>
      <c r="G723" s="6" t="s">
        <v>25</v>
      </c>
      <c r="H723" s="8"/>
      <c r="I723" s="8">
        <v>-190476</v>
      </c>
      <c r="J723" s="6" t="s">
        <v>3316</v>
      </c>
      <c r="K723" s="6" t="s">
        <v>73</v>
      </c>
      <c r="L723" s="6" t="s">
        <v>4509</v>
      </c>
      <c r="M723" s="6" t="s">
        <v>4537</v>
      </c>
      <c r="N723" s="6" t="s">
        <v>73</v>
      </c>
      <c r="O723" s="29">
        <f t="shared" si="11"/>
        <v>-199999.8</v>
      </c>
      <c r="Q723" s="30" t="s">
        <v>73</v>
      </c>
      <c r="R723" s="31">
        <v>-199999.8</v>
      </c>
    </row>
    <row r="724" s="1" customFormat="1" ht="16.35" hidden="1" customHeight="1" spans="1:18">
      <c r="A724" s="6" t="s">
        <v>4506</v>
      </c>
      <c r="B724" s="6">
        <v>2017</v>
      </c>
      <c r="C724" s="6">
        <v>4</v>
      </c>
      <c r="D724" s="7">
        <v>33</v>
      </c>
      <c r="E724" s="6" t="s">
        <v>4828</v>
      </c>
      <c r="F724" s="6" t="s">
        <v>4508</v>
      </c>
      <c r="G724" s="6" t="s">
        <v>25</v>
      </c>
      <c r="H724" s="8"/>
      <c r="I724" s="8">
        <v>19048</v>
      </c>
      <c r="J724" s="6" t="s">
        <v>4006</v>
      </c>
      <c r="K724" s="6" t="s">
        <v>285</v>
      </c>
      <c r="L724" s="6" t="s">
        <v>4509</v>
      </c>
      <c r="M724" s="6" t="s">
        <v>4537</v>
      </c>
      <c r="N724" s="6" t="s">
        <v>285</v>
      </c>
      <c r="O724" s="29">
        <f t="shared" si="11"/>
        <v>20000.4</v>
      </c>
      <c r="Q724" s="30" t="s">
        <v>285</v>
      </c>
      <c r="R724" s="31">
        <v>20000.4</v>
      </c>
    </row>
    <row r="725" s="1" customFormat="1" ht="16.35" hidden="1" customHeight="1" spans="1:18">
      <c r="A725" s="6" t="s">
        <v>4506</v>
      </c>
      <c r="B725" s="6">
        <v>2017</v>
      </c>
      <c r="C725" s="6">
        <v>5</v>
      </c>
      <c r="D725" s="7">
        <v>11</v>
      </c>
      <c r="E725" s="6" t="s">
        <v>4909</v>
      </c>
      <c r="F725" s="6" t="s">
        <v>4508</v>
      </c>
      <c r="G725" s="6" t="s">
        <v>25</v>
      </c>
      <c r="H725" s="8"/>
      <c r="I725" s="8">
        <v>-190476</v>
      </c>
      <c r="J725" s="6" t="s">
        <v>2950</v>
      </c>
      <c r="K725" s="6" t="s">
        <v>553</v>
      </c>
      <c r="L725" s="6" t="s">
        <v>4509</v>
      </c>
      <c r="M725" s="6" t="s">
        <v>4537</v>
      </c>
      <c r="N725" s="6" t="s">
        <v>553</v>
      </c>
      <c r="O725" s="29">
        <f t="shared" si="11"/>
        <v>-199999.8</v>
      </c>
      <c r="Q725" s="30" t="s">
        <v>553</v>
      </c>
      <c r="R725" s="31">
        <v>-199999.8</v>
      </c>
    </row>
    <row r="726" s="1" customFormat="1" ht="16.35" hidden="1" customHeight="1" spans="1:18">
      <c r="A726" s="6" t="s">
        <v>4506</v>
      </c>
      <c r="B726" s="6">
        <v>2017</v>
      </c>
      <c r="C726" s="6">
        <v>5</v>
      </c>
      <c r="D726" s="7">
        <v>12</v>
      </c>
      <c r="E726" s="6" t="s">
        <v>4786</v>
      </c>
      <c r="F726" s="6" t="s">
        <v>4508</v>
      </c>
      <c r="G726" s="6" t="s">
        <v>25</v>
      </c>
      <c r="H726" s="8"/>
      <c r="I726" s="8">
        <v>219048</v>
      </c>
      <c r="J726" s="6" t="s">
        <v>3242</v>
      </c>
      <c r="K726" s="6" t="s">
        <v>773</v>
      </c>
      <c r="L726" s="6" t="s">
        <v>4509</v>
      </c>
      <c r="M726" s="6" t="s">
        <v>4537</v>
      </c>
      <c r="N726" s="6" t="s">
        <v>773</v>
      </c>
      <c r="O726" s="29">
        <f t="shared" si="11"/>
        <v>230000.4</v>
      </c>
      <c r="Q726" s="30" t="s">
        <v>773</v>
      </c>
      <c r="R726" s="31">
        <v>230000.4</v>
      </c>
    </row>
    <row r="727" s="1" customFormat="1" ht="16.35" hidden="1" customHeight="1" spans="1:18">
      <c r="A727" s="6" t="s">
        <v>4506</v>
      </c>
      <c r="B727" s="6">
        <v>2017</v>
      </c>
      <c r="C727" s="6">
        <v>5</v>
      </c>
      <c r="D727" s="7">
        <v>13</v>
      </c>
      <c r="E727" s="6" t="s">
        <v>4836</v>
      </c>
      <c r="F727" s="6" t="s">
        <v>4508</v>
      </c>
      <c r="G727" s="6" t="s">
        <v>25</v>
      </c>
      <c r="H727" s="8"/>
      <c r="I727" s="8">
        <v>114286</v>
      </c>
      <c r="J727" s="6" t="s">
        <v>3816</v>
      </c>
      <c r="K727" s="6" t="s">
        <v>757</v>
      </c>
      <c r="L727" s="6" t="s">
        <v>4509</v>
      </c>
      <c r="M727" s="6" t="s">
        <v>4537</v>
      </c>
      <c r="N727" s="6" t="s">
        <v>757</v>
      </c>
      <c r="O727" s="29">
        <f t="shared" si="11"/>
        <v>120000.3</v>
      </c>
      <c r="Q727" s="30" t="s">
        <v>757</v>
      </c>
      <c r="R727" s="31">
        <v>120000.3</v>
      </c>
    </row>
    <row r="728" s="1" customFormat="1" ht="16.35" hidden="1" customHeight="1" spans="1:18">
      <c r="A728" s="6" t="s">
        <v>4506</v>
      </c>
      <c r="B728" s="6">
        <v>2017</v>
      </c>
      <c r="C728" s="6">
        <v>5</v>
      </c>
      <c r="D728" s="7">
        <v>14</v>
      </c>
      <c r="E728" s="6" t="s">
        <v>4844</v>
      </c>
      <c r="F728" s="6" t="s">
        <v>4508</v>
      </c>
      <c r="G728" s="6" t="s">
        <v>25</v>
      </c>
      <c r="H728" s="8"/>
      <c r="I728" s="8">
        <v>190476</v>
      </c>
      <c r="J728" s="6" t="s">
        <v>3839</v>
      </c>
      <c r="K728" s="6" t="s">
        <v>884</v>
      </c>
      <c r="L728" s="6" t="s">
        <v>4509</v>
      </c>
      <c r="M728" s="6" t="s">
        <v>4537</v>
      </c>
      <c r="N728" s="6" t="s">
        <v>884</v>
      </c>
      <c r="O728" s="29">
        <f t="shared" si="11"/>
        <v>199999.8</v>
      </c>
      <c r="Q728" s="30" t="s">
        <v>884</v>
      </c>
      <c r="R728" s="31">
        <v>199999.8</v>
      </c>
    </row>
    <row r="729" s="1" customFormat="1" ht="16.35" hidden="1" customHeight="1" spans="1:18">
      <c r="A729" s="6" t="s">
        <v>4506</v>
      </c>
      <c r="B729" s="6">
        <v>2017</v>
      </c>
      <c r="C729" s="6">
        <v>5</v>
      </c>
      <c r="D729" s="7">
        <v>15</v>
      </c>
      <c r="E729" s="6" t="s">
        <v>4910</v>
      </c>
      <c r="F729" s="6" t="s">
        <v>4508</v>
      </c>
      <c r="G729" s="6" t="s">
        <v>25</v>
      </c>
      <c r="H729" s="8"/>
      <c r="I729" s="8">
        <v>-526</v>
      </c>
      <c r="J729" s="6" t="s">
        <v>3038</v>
      </c>
      <c r="K729" s="6" t="s">
        <v>481</v>
      </c>
      <c r="L729" s="6" t="s">
        <v>4509</v>
      </c>
      <c r="M729" s="6" t="s">
        <v>4537</v>
      </c>
      <c r="N729" s="6" t="s">
        <v>481</v>
      </c>
      <c r="O729" s="29">
        <f>I729</f>
        <v>-526</v>
      </c>
      <c r="Q729" s="30" t="s">
        <v>481</v>
      </c>
      <c r="R729" s="31">
        <f>O729</f>
        <v>-526</v>
      </c>
    </row>
    <row r="730" s="1" customFormat="1" ht="16.35" hidden="1" customHeight="1" spans="1:18">
      <c r="A730" s="6" t="s">
        <v>4506</v>
      </c>
      <c r="B730" s="6">
        <v>2017</v>
      </c>
      <c r="C730" s="6">
        <v>5</v>
      </c>
      <c r="D730" s="7">
        <v>15</v>
      </c>
      <c r="E730" s="6" t="s">
        <v>4911</v>
      </c>
      <c r="F730" s="6" t="s">
        <v>4508</v>
      </c>
      <c r="G730" s="6" t="s">
        <v>25</v>
      </c>
      <c r="H730" s="8"/>
      <c r="I730" s="8">
        <v>-35</v>
      </c>
      <c r="J730" s="6" t="s">
        <v>4615</v>
      </c>
      <c r="K730" s="6" t="s">
        <v>632</v>
      </c>
      <c r="L730" s="6" t="s">
        <v>4509</v>
      </c>
      <c r="M730" s="6" t="s">
        <v>4537</v>
      </c>
      <c r="N730" s="6" t="s">
        <v>632</v>
      </c>
      <c r="O730" s="29">
        <f t="shared" ref="O729:O792" si="13">I730*1.05</f>
        <v>-36.75</v>
      </c>
      <c r="Q730" s="30" t="s">
        <v>632</v>
      </c>
      <c r="R730" s="31">
        <v>-36.75</v>
      </c>
    </row>
    <row r="731" s="1" customFormat="1" ht="16.35" hidden="1" customHeight="1" spans="1:18">
      <c r="A731" s="6" t="s">
        <v>4506</v>
      </c>
      <c r="B731" s="6">
        <v>2017</v>
      </c>
      <c r="C731" s="6">
        <v>5</v>
      </c>
      <c r="D731" s="7">
        <v>15</v>
      </c>
      <c r="E731" s="6" t="s">
        <v>4912</v>
      </c>
      <c r="F731" s="6" t="s">
        <v>4508</v>
      </c>
      <c r="G731" s="6" t="s">
        <v>25</v>
      </c>
      <c r="H731" s="8"/>
      <c r="I731" s="8">
        <v>-433</v>
      </c>
      <c r="J731" s="6" t="s">
        <v>3665</v>
      </c>
      <c r="K731" s="6" t="s">
        <v>515</v>
      </c>
      <c r="L731" s="6" t="s">
        <v>4509</v>
      </c>
      <c r="M731" s="6" t="s">
        <v>4537</v>
      </c>
      <c r="N731" s="6" t="s">
        <v>515</v>
      </c>
      <c r="O731" s="29">
        <f t="shared" si="13"/>
        <v>-454.65</v>
      </c>
      <c r="Q731" s="30" t="s">
        <v>515</v>
      </c>
      <c r="R731" s="31">
        <v>-454.65</v>
      </c>
    </row>
    <row r="732" s="1" customFormat="1" ht="16.35" hidden="1" customHeight="1" spans="1:18">
      <c r="A732" s="6" t="s">
        <v>4506</v>
      </c>
      <c r="B732" s="6">
        <v>2017</v>
      </c>
      <c r="C732" s="6">
        <v>5</v>
      </c>
      <c r="D732" s="7">
        <v>15</v>
      </c>
      <c r="E732" s="6" t="s">
        <v>4913</v>
      </c>
      <c r="F732" s="6" t="s">
        <v>4508</v>
      </c>
      <c r="G732" s="6" t="s">
        <v>25</v>
      </c>
      <c r="H732" s="8"/>
      <c r="I732" s="8">
        <v>-796</v>
      </c>
      <c r="J732" s="6" t="s">
        <v>3006</v>
      </c>
      <c r="K732" s="6" t="s">
        <v>408</v>
      </c>
      <c r="L732" s="6" t="s">
        <v>4509</v>
      </c>
      <c r="M732" s="6" t="s">
        <v>4537</v>
      </c>
      <c r="N732" s="6" t="s">
        <v>408</v>
      </c>
      <c r="O732" s="29">
        <f>I732</f>
        <v>-796</v>
      </c>
      <c r="Q732" s="30" t="s">
        <v>408</v>
      </c>
      <c r="R732" s="31">
        <f>O732</f>
        <v>-796</v>
      </c>
    </row>
    <row r="733" s="1" customFormat="1" ht="16.35" hidden="1" customHeight="1" spans="1:18">
      <c r="A733" s="6" t="s">
        <v>4506</v>
      </c>
      <c r="B733" s="6">
        <v>2017</v>
      </c>
      <c r="C733" s="6">
        <v>5</v>
      </c>
      <c r="D733" s="7">
        <v>24</v>
      </c>
      <c r="E733" s="6" t="s">
        <v>4785</v>
      </c>
      <c r="F733" s="6" t="s">
        <v>4508</v>
      </c>
      <c r="G733" s="6" t="s">
        <v>25</v>
      </c>
      <c r="H733" s="8"/>
      <c r="I733" s="8">
        <v>147619</v>
      </c>
      <c r="J733" s="6" t="s">
        <v>3650</v>
      </c>
      <c r="K733" s="6" t="s">
        <v>725</v>
      </c>
      <c r="L733" s="6" t="s">
        <v>4509</v>
      </c>
      <c r="M733" s="6" t="s">
        <v>4537</v>
      </c>
      <c r="N733" s="6" t="s">
        <v>725</v>
      </c>
      <c r="O733" s="29">
        <f t="shared" si="13"/>
        <v>154999.95</v>
      </c>
      <c r="Q733" s="30" t="s">
        <v>725</v>
      </c>
      <c r="R733" s="31">
        <v>154999.95</v>
      </c>
    </row>
    <row r="734" s="1" customFormat="1" ht="16.35" hidden="1" customHeight="1" spans="1:18">
      <c r="A734" s="6" t="s">
        <v>4506</v>
      </c>
      <c r="B734" s="6">
        <v>2017</v>
      </c>
      <c r="C734" s="6">
        <v>5</v>
      </c>
      <c r="D734" s="7">
        <v>25</v>
      </c>
      <c r="E734" s="6" t="s">
        <v>4850</v>
      </c>
      <c r="F734" s="6" t="s">
        <v>4508</v>
      </c>
      <c r="G734" s="6" t="s">
        <v>25</v>
      </c>
      <c r="H734" s="8"/>
      <c r="I734" s="8">
        <v>223810</v>
      </c>
      <c r="J734" s="6" t="s">
        <v>3316</v>
      </c>
      <c r="K734" s="6" t="s">
        <v>73</v>
      </c>
      <c r="L734" s="6" t="s">
        <v>4509</v>
      </c>
      <c r="M734" s="6" t="s">
        <v>4537</v>
      </c>
      <c r="N734" s="6" t="s">
        <v>73</v>
      </c>
      <c r="O734" s="29">
        <f t="shared" si="13"/>
        <v>235000.5</v>
      </c>
      <c r="Q734" s="30" t="s">
        <v>73</v>
      </c>
      <c r="R734" s="31">
        <v>235000.5</v>
      </c>
    </row>
    <row r="735" s="1" customFormat="1" ht="16.35" hidden="1" customHeight="1" spans="1:18">
      <c r="A735" s="6" t="s">
        <v>4506</v>
      </c>
      <c r="B735" s="6">
        <v>2017</v>
      </c>
      <c r="C735" s="6">
        <v>5</v>
      </c>
      <c r="D735" s="7">
        <v>26</v>
      </c>
      <c r="E735" s="6" t="s">
        <v>4776</v>
      </c>
      <c r="F735" s="6" t="s">
        <v>4508</v>
      </c>
      <c r="G735" s="6" t="s">
        <v>25</v>
      </c>
      <c r="H735" s="8"/>
      <c r="I735" s="8">
        <v>136190</v>
      </c>
      <c r="J735" s="6" t="s">
        <v>3639</v>
      </c>
      <c r="K735" s="6" t="s">
        <v>717</v>
      </c>
      <c r="L735" s="6" t="s">
        <v>4509</v>
      </c>
      <c r="M735" s="6" t="s">
        <v>4537</v>
      </c>
      <c r="N735" s="6" t="s">
        <v>717</v>
      </c>
      <c r="O735" s="29">
        <f t="shared" si="13"/>
        <v>142999.5</v>
      </c>
      <c r="Q735" s="30" t="s">
        <v>717</v>
      </c>
      <c r="R735" s="31">
        <v>142999.5</v>
      </c>
    </row>
    <row r="736" s="1" customFormat="1" ht="16.35" hidden="1" customHeight="1" spans="1:18">
      <c r="A736" s="6" t="s">
        <v>4506</v>
      </c>
      <c r="B736" s="6">
        <v>2017</v>
      </c>
      <c r="C736" s="6">
        <v>5</v>
      </c>
      <c r="D736" s="7">
        <v>27</v>
      </c>
      <c r="E736" s="6" t="s">
        <v>4914</v>
      </c>
      <c r="F736" s="6" t="s">
        <v>4508</v>
      </c>
      <c r="G736" s="6" t="s">
        <v>25</v>
      </c>
      <c r="H736" s="8"/>
      <c r="I736" s="8">
        <v>23100</v>
      </c>
      <c r="J736" s="6" t="s">
        <v>3864</v>
      </c>
      <c r="K736" s="6" t="s">
        <v>962</v>
      </c>
      <c r="L736" s="6" t="s">
        <v>4509</v>
      </c>
      <c r="M736" s="6" t="s">
        <v>4537</v>
      </c>
      <c r="N736" s="6" t="s">
        <v>962</v>
      </c>
      <c r="O736" s="29">
        <f t="shared" si="13"/>
        <v>24255</v>
      </c>
      <c r="Q736" s="30" t="s">
        <v>962</v>
      </c>
      <c r="R736" s="31">
        <v>24255</v>
      </c>
    </row>
    <row r="737" s="1" customFormat="1" ht="16.35" hidden="1" customHeight="1" spans="1:18">
      <c r="A737" s="6" t="s">
        <v>4506</v>
      </c>
      <c r="B737" s="6">
        <v>2017</v>
      </c>
      <c r="C737" s="6">
        <v>5</v>
      </c>
      <c r="D737" s="7">
        <v>28</v>
      </c>
      <c r="E737" s="6" t="s">
        <v>4915</v>
      </c>
      <c r="F737" s="6" t="s">
        <v>4508</v>
      </c>
      <c r="G737" s="6" t="s">
        <v>25</v>
      </c>
      <c r="H737" s="8"/>
      <c r="I737" s="8">
        <v>30246</v>
      </c>
      <c r="J737" s="6" t="s">
        <v>3834</v>
      </c>
      <c r="K737" s="6" t="s">
        <v>960</v>
      </c>
      <c r="L737" s="6" t="s">
        <v>4509</v>
      </c>
      <c r="M737" s="6" t="s">
        <v>4537</v>
      </c>
      <c r="N737" s="6" t="s">
        <v>960</v>
      </c>
      <c r="O737" s="29">
        <f t="shared" si="13"/>
        <v>31758.3</v>
      </c>
      <c r="Q737" s="30" t="s">
        <v>960</v>
      </c>
      <c r="R737" s="31">
        <v>31758.3</v>
      </c>
    </row>
    <row r="738" s="1" customFormat="1" ht="16.35" hidden="1" customHeight="1" spans="1:18">
      <c r="A738" s="6" t="s">
        <v>4506</v>
      </c>
      <c r="B738" s="6">
        <v>2017</v>
      </c>
      <c r="C738" s="6">
        <v>6</v>
      </c>
      <c r="D738" s="7">
        <v>1</v>
      </c>
      <c r="E738" s="6" t="s">
        <v>4916</v>
      </c>
      <c r="F738" s="6" t="s">
        <v>4508</v>
      </c>
      <c r="G738" s="6" t="s">
        <v>25</v>
      </c>
      <c r="H738" s="8"/>
      <c r="I738" s="8">
        <v>202005</v>
      </c>
      <c r="J738" s="6" t="s">
        <v>3821</v>
      </c>
      <c r="K738" s="6" t="s">
        <v>752</v>
      </c>
      <c r="L738" s="6" t="s">
        <v>4509</v>
      </c>
      <c r="M738" s="6" t="s">
        <v>4537</v>
      </c>
      <c r="N738" s="6" t="s">
        <v>752</v>
      </c>
      <c r="O738" s="29">
        <f t="shared" si="13"/>
        <v>212105.25</v>
      </c>
      <c r="Q738" s="30" t="s">
        <v>752</v>
      </c>
      <c r="R738" s="31">
        <v>212105.25</v>
      </c>
    </row>
    <row r="739" s="1" customFormat="1" ht="16.35" hidden="1" customHeight="1" spans="1:18">
      <c r="A739" s="6" t="s">
        <v>4506</v>
      </c>
      <c r="B739" s="6">
        <v>2017</v>
      </c>
      <c r="C739" s="6">
        <v>6</v>
      </c>
      <c r="D739" s="7">
        <v>3</v>
      </c>
      <c r="E739" s="6" t="s">
        <v>4917</v>
      </c>
      <c r="F739" s="6" t="s">
        <v>4508</v>
      </c>
      <c r="G739" s="6" t="s">
        <v>25</v>
      </c>
      <c r="H739" s="8"/>
      <c r="I739" s="8">
        <v>32591</v>
      </c>
      <c r="J739" s="6" t="s">
        <v>4918</v>
      </c>
      <c r="K739" s="6" t="s">
        <v>933</v>
      </c>
      <c r="L739" s="6" t="s">
        <v>4509</v>
      </c>
      <c r="M739" s="6" t="s">
        <v>4537</v>
      </c>
      <c r="N739" s="6" t="s">
        <v>933</v>
      </c>
      <c r="O739" s="29">
        <f t="shared" si="13"/>
        <v>34220.55</v>
      </c>
      <c r="Q739" s="30" t="s">
        <v>933</v>
      </c>
      <c r="R739" s="31">
        <v>34220.55</v>
      </c>
    </row>
    <row r="740" s="1" customFormat="1" ht="16.35" hidden="1" customHeight="1" spans="1:18">
      <c r="A740" s="6" t="s">
        <v>4506</v>
      </c>
      <c r="B740" s="6">
        <v>2017</v>
      </c>
      <c r="C740" s="6">
        <v>6</v>
      </c>
      <c r="D740" s="7">
        <v>14</v>
      </c>
      <c r="E740" s="6" t="s">
        <v>4919</v>
      </c>
      <c r="F740" s="6" t="s">
        <v>4508</v>
      </c>
      <c r="G740" s="6" t="s">
        <v>25</v>
      </c>
      <c r="H740" s="8"/>
      <c r="I740" s="8">
        <v>-5714</v>
      </c>
      <c r="J740" s="6" t="s">
        <v>3632</v>
      </c>
      <c r="K740" s="6" t="s">
        <v>904</v>
      </c>
      <c r="L740" s="6" t="s">
        <v>4509</v>
      </c>
      <c r="M740" s="6" t="s">
        <v>4537</v>
      </c>
      <c r="N740" s="6" t="s">
        <v>904</v>
      </c>
      <c r="O740" s="29">
        <f t="shared" si="13"/>
        <v>-5999.7</v>
      </c>
      <c r="Q740" s="30" t="s">
        <v>904</v>
      </c>
      <c r="R740" s="31">
        <v>-5999.7</v>
      </c>
    </row>
    <row r="741" s="1" customFormat="1" ht="16.35" hidden="1" customHeight="1" spans="1:18">
      <c r="A741" s="6" t="s">
        <v>4506</v>
      </c>
      <c r="B741" s="6">
        <v>2017</v>
      </c>
      <c r="C741" s="6">
        <v>6</v>
      </c>
      <c r="D741" s="7">
        <v>23</v>
      </c>
      <c r="E741" s="6" t="s">
        <v>4920</v>
      </c>
      <c r="F741" s="6" t="s">
        <v>4508</v>
      </c>
      <c r="G741" s="6" t="s">
        <v>25</v>
      </c>
      <c r="H741" s="8"/>
      <c r="I741" s="8">
        <v>-433</v>
      </c>
      <c r="J741" s="6" t="s">
        <v>3033</v>
      </c>
      <c r="K741" s="6" t="s">
        <v>467</v>
      </c>
      <c r="L741" s="6" t="s">
        <v>4509</v>
      </c>
      <c r="M741" s="6" t="s">
        <v>4537</v>
      </c>
      <c r="N741" s="6" t="s">
        <v>467</v>
      </c>
      <c r="O741" s="29">
        <f>I741</f>
        <v>-433</v>
      </c>
      <c r="Q741" s="30" t="s">
        <v>467</v>
      </c>
      <c r="R741" s="31">
        <f>O741</f>
        <v>-433</v>
      </c>
    </row>
    <row r="742" s="1" customFormat="1" ht="16.35" hidden="1" customHeight="1" spans="1:18">
      <c r="A742" s="6" t="s">
        <v>4506</v>
      </c>
      <c r="B742" s="6">
        <v>2017</v>
      </c>
      <c r="C742" s="6">
        <v>6</v>
      </c>
      <c r="D742" s="7">
        <v>28</v>
      </c>
      <c r="E742" s="6" t="s">
        <v>4921</v>
      </c>
      <c r="F742" s="6" t="s">
        <v>4508</v>
      </c>
      <c r="G742" s="6" t="s">
        <v>25</v>
      </c>
      <c r="H742" s="8"/>
      <c r="I742" s="8">
        <v>847619</v>
      </c>
      <c r="J742" s="6" t="s">
        <v>3810</v>
      </c>
      <c r="K742" s="6" t="s">
        <v>4832</v>
      </c>
      <c r="L742" s="6" t="s">
        <v>4509</v>
      </c>
      <c r="M742" s="6" t="s">
        <v>4537</v>
      </c>
      <c r="N742" s="6" t="s">
        <v>4832</v>
      </c>
      <c r="O742" s="29">
        <f t="shared" si="13"/>
        <v>889999.95</v>
      </c>
      <c r="Q742" s="30" t="s">
        <v>4832</v>
      </c>
      <c r="R742" s="31">
        <v>889999.95</v>
      </c>
    </row>
    <row r="743" s="1" customFormat="1" ht="16.35" hidden="1" customHeight="1" spans="1:18">
      <c r="A743" s="6" t="s">
        <v>4506</v>
      </c>
      <c r="B743" s="6">
        <v>2017</v>
      </c>
      <c r="C743" s="6">
        <v>6</v>
      </c>
      <c r="D743" s="7">
        <v>29</v>
      </c>
      <c r="E743" s="6" t="s">
        <v>4782</v>
      </c>
      <c r="F743" s="6" t="s">
        <v>4508</v>
      </c>
      <c r="G743" s="6" t="s">
        <v>25</v>
      </c>
      <c r="H743" s="8"/>
      <c r="I743" s="8">
        <v>152381</v>
      </c>
      <c r="J743" s="6" t="s">
        <v>3646</v>
      </c>
      <c r="K743" s="6" t="s">
        <v>735</v>
      </c>
      <c r="L743" s="6" t="s">
        <v>4509</v>
      </c>
      <c r="M743" s="6" t="s">
        <v>4537</v>
      </c>
      <c r="N743" s="6" t="s">
        <v>735</v>
      </c>
      <c r="O743" s="29">
        <f t="shared" si="13"/>
        <v>160000.05</v>
      </c>
      <c r="Q743" s="30" t="s">
        <v>735</v>
      </c>
      <c r="R743" s="31">
        <v>160000.05</v>
      </c>
    </row>
    <row r="744" s="1" customFormat="1" ht="16.35" hidden="1" customHeight="1" spans="1:18">
      <c r="A744" s="6" t="s">
        <v>4506</v>
      </c>
      <c r="B744" s="6">
        <v>2017</v>
      </c>
      <c r="C744" s="6">
        <v>6</v>
      </c>
      <c r="D744" s="7">
        <v>34</v>
      </c>
      <c r="E744" s="6" t="s">
        <v>4922</v>
      </c>
      <c r="F744" s="6" t="s">
        <v>4508</v>
      </c>
      <c r="G744" s="6" t="s">
        <v>25</v>
      </c>
      <c r="H744" s="8"/>
      <c r="I744" s="8">
        <v>228571</v>
      </c>
      <c r="J744" s="6" t="s">
        <v>3799</v>
      </c>
      <c r="K744" s="6" t="s">
        <v>838</v>
      </c>
      <c r="L744" s="6" t="s">
        <v>4509</v>
      </c>
      <c r="M744" s="6" t="s">
        <v>4537</v>
      </c>
      <c r="N744" s="6" t="s">
        <v>838</v>
      </c>
      <c r="O744" s="29">
        <f t="shared" si="13"/>
        <v>239999.55</v>
      </c>
      <c r="Q744" s="30" t="s">
        <v>838</v>
      </c>
      <c r="R744" s="31">
        <v>239999.55</v>
      </c>
    </row>
    <row r="745" s="1" customFormat="1" ht="16.35" hidden="1" customHeight="1" spans="1:18">
      <c r="A745" s="6" t="s">
        <v>4506</v>
      </c>
      <c r="B745" s="6">
        <v>2017</v>
      </c>
      <c r="C745" s="6">
        <v>6</v>
      </c>
      <c r="D745" s="7">
        <v>35</v>
      </c>
      <c r="E745" s="6" t="s">
        <v>4923</v>
      </c>
      <c r="F745" s="6" t="s">
        <v>4508</v>
      </c>
      <c r="G745" s="6" t="s">
        <v>25</v>
      </c>
      <c r="H745" s="8"/>
      <c r="I745" s="8">
        <v>10543</v>
      </c>
      <c r="J745" s="6" t="s">
        <v>3871</v>
      </c>
      <c r="K745" s="6" t="s">
        <v>98</v>
      </c>
      <c r="L745" s="6" t="s">
        <v>4509</v>
      </c>
      <c r="M745" s="6" t="s">
        <v>4537</v>
      </c>
      <c r="N745" s="6" t="s">
        <v>98</v>
      </c>
      <c r="O745" s="29">
        <f t="shared" si="13"/>
        <v>11070.15</v>
      </c>
      <c r="Q745" s="30" t="s">
        <v>98</v>
      </c>
      <c r="R745" s="31">
        <v>11070.15</v>
      </c>
    </row>
    <row r="746" s="1" customFormat="1" ht="16.35" hidden="1" customHeight="1" spans="1:18">
      <c r="A746" s="6" t="s">
        <v>4506</v>
      </c>
      <c r="B746" s="6">
        <v>2017</v>
      </c>
      <c r="C746" s="6">
        <v>6</v>
      </c>
      <c r="D746" s="7">
        <v>38</v>
      </c>
      <c r="E746" s="6" t="s">
        <v>4923</v>
      </c>
      <c r="F746" s="6" t="s">
        <v>4508</v>
      </c>
      <c r="G746" s="6" t="s">
        <v>25</v>
      </c>
      <c r="H746" s="8"/>
      <c r="I746" s="8">
        <v>47620</v>
      </c>
      <c r="J746" s="6" t="s">
        <v>3871</v>
      </c>
      <c r="K746" s="6" t="s">
        <v>98</v>
      </c>
      <c r="L746" s="6" t="s">
        <v>4509</v>
      </c>
      <c r="M746" s="6" t="s">
        <v>4537</v>
      </c>
      <c r="N746" s="6" t="s">
        <v>98</v>
      </c>
      <c r="O746" s="29">
        <f t="shared" si="13"/>
        <v>50001</v>
      </c>
      <c r="Q746" s="30" t="s">
        <v>98</v>
      </c>
      <c r="R746" s="31">
        <v>50001</v>
      </c>
    </row>
    <row r="747" s="1" customFormat="1" ht="16.35" hidden="1" customHeight="1" spans="1:18">
      <c r="A747" s="6" t="s">
        <v>4506</v>
      </c>
      <c r="B747" s="6">
        <v>2017</v>
      </c>
      <c r="C747" s="6">
        <v>7</v>
      </c>
      <c r="D747" s="7">
        <v>1</v>
      </c>
      <c r="E747" s="6" t="s">
        <v>4924</v>
      </c>
      <c r="F747" s="6" t="s">
        <v>4508</v>
      </c>
      <c r="G747" s="6" t="s">
        <v>25</v>
      </c>
      <c r="H747" s="8"/>
      <c r="I747" s="8">
        <v>152381</v>
      </c>
      <c r="J747" s="6" t="s">
        <v>4821</v>
      </c>
      <c r="K747" s="6" t="s">
        <v>744</v>
      </c>
      <c r="L747" s="6" t="s">
        <v>4509</v>
      </c>
      <c r="M747" s="6" t="s">
        <v>4537</v>
      </c>
      <c r="N747" s="6" t="s">
        <v>744</v>
      </c>
      <c r="O747" s="29">
        <f t="shared" si="13"/>
        <v>160000.05</v>
      </c>
      <c r="Q747" s="30" t="s">
        <v>744</v>
      </c>
      <c r="R747" s="31">
        <v>160000.05</v>
      </c>
    </row>
    <row r="748" s="1" customFormat="1" ht="16.35" hidden="1" customHeight="1" spans="1:18">
      <c r="A748" s="6" t="s">
        <v>4506</v>
      </c>
      <c r="B748" s="6">
        <v>2017</v>
      </c>
      <c r="C748" s="6">
        <v>7</v>
      </c>
      <c r="D748" s="7">
        <v>3</v>
      </c>
      <c r="E748" s="6" t="s">
        <v>4925</v>
      </c>
      <c r="F748" s="6" t="s">
        <v>4508</v>
      </c>
      <c r="G748" s="6" t="s">
        <v>25</v>
      </c>
      <c r="H748" s="8"/>
      <c r="I748" s="8">
        <v>114286</v>
      </c>
      <c r="J748" s="6" t="s">
        <v>3812</v>
      </c>
      <c r="K748" s="6" t="s">
        <v>517</v>
      </c>
      <c r="L748" s="6" t="s">
        <v>4509</v>
      </c>
      <c r="M748" s="6" t="s">
        <v>4537</v>
      </c>
      <c r="N748" s="6" t="s">
        <v>517</v>
      </c>
      <c r="O748" s="29">
        <f t="shared" si="13"/>
        <v>120000.3</v>
      </c>
      <c r="Q748" s="30" t="s">
        <v>517</v>
      </c>
      <c r="R748" s="31">
        <v>120000.3</v>
      </c>
    </row>
    <row r="749" s="1" customFormat="1" ht="16.35" hidden="1" customHeight="1" spans="1:18">
      <c r="A749" s="6" t="s">
        <v>4506</v>
      </c>
      <c r="B749" s="6">
        <v>2017</v>
      </c>
      <c r="C749" s="6">
        <v>7</v>
      </c>
      <c r="D749" s="7">
        <v>4</v>
      </c>
      <c r="E749" s="6" t="s">
        <v>4926</v>
      </c>
      <c r="F749" s="6" t="s">
        <v>4508</v>
      </c>
      <c r="G749" s="6" t="s">
        <v>25</v>
      </c>
      <c r="H749" s="8"/>
      <c r="I749" s="8">
        <v>120952</v>
      </c>
      <c r="J749" s="6" t="s">
        <v>3834</v>
      </c>
      <c r="K749" s="6" t="s">
        <v>960</v>
      </c>
      <c r="L749" s="6" t="s">
        <v>4509</v>
      </c>
      <c r="M749" s="6" t="s">
        <v>4537</v>
      </c>
      <c r="N749" s="6" t="s">
        <v>960</v>
      </c>
      <c r="O749" s="29">
        <f t="shared" si="13"/>
        <v>126999.6</v>
      </c>
      <c r="Q749" s="30" t="s">
        <v>960</v>
      </c>
      <c r="R749" s="31">
        <v>126999.6</v>
      </c>
    </row>
    <row r="750" s="1" customFormat="1" ht="16.35" hidden="1" customHeight="1" spans="1:18">
      <c r="A750" s="6" t="s">
        <v>4506</v>
      </c>
      <c r="B750" s="6">
        <v>2017</v>
      </c>
      <c r="C750" s="6">
        <v>7</v>
      </c>
      <c r="D750" s="7">
        <v>5</v>
      </c>
      <c r="E750" s="6" t="s">
        <v>4927</v>
      </c>
      <c r="F750" s="6" t="s">
        <v>4508</v>
      </c>
      <c r="G750" s="6" t="s">
        <v>25</v>
      </c>
      <c r="H750" s="8"/>
      <c r="I750" s="8">
        <v>88571</v>
      </c>
      <c r="J750" s="6" t="s">
        <v>3864</v>
      </c>
      <c r="K750" s="6" t="s">
        <v>962</v>
      </c>
      <c r="L750" s="6" t="s">
        <v>4509</v>
      </c>
      <c r="M750" s="6" t="s">
        <v>4537</v>
      </c>
      <c r="N750" s="6" t="s">
        <v>962</v>
      </c>
      <c r="O750" s="29">
        <f t="shared" si="13"/>
        <v>92999.55</v>
      </c>
      <c r="Q750" s="30" t="s">
        <v>962</v>
      </c>
      <c r="R750" s="31">
        <v>92999.55</v>
      </c>
    </row>
    <row r="751" s="1" customFormat="1" ht="16.35" hidden="1" customHeight="1" spans="1:18">
      <c r="A751" s="6" t="s">
        <v>4506</v>
      </c>
      <c r="B751" s="6">
        <v>2017</v>
      </c>
      <c r="C751" s="6">
        <v>7</v>
      </c>
      <c r="D751" s="7">
        <v>8</v>
      </c>
      <c r="E751" s="6" t="s">
        <v>4928</v>
      </c>
      <c r="F751" s="6" t="s">
        <v>4508</v>
      </c>
      <c r="G751" s="6" t="s">
        <v>25</v>
      </c>
      <c r="H751" s="8"/>
      <c r="I751" s="8">
        <v>16149</v>
      </c>
      <c r="J751" s="6" t="s">
        <v>3639</v>
      </c>
      <c r="K751" s="6" t="s">
        <v>717</v>
      </c>
      <c r="L751" s="6" t="s">
        <v>4509</v>
      </c>
      <c r="M751" s="6" t="s">
        <v>4537</v>
      </c>
      <c r="N751" s="6" t="s">
        <v>717</v>
      </c>
      <c r="O751" s="29">
        <f t="shared" si="13"/>
        <v>16956.45</v>
      </c>
      <c r="Q751" s="30" t="s">
        <v>717</v>
      </c>
      <c r="R751" s="31">
        <v>16956.45</v>
      </c>
    </row>
    <row r="752" s="1" customFormat="1" ht="16.35" hidden="1" customHeight="1" spans="1:18">
      <c r="A752" s="6" t="s">
        <v>4506</v>
      </c>
      <c r="B752" s="6">
        <v>2017</v>
      </c>
      <c r="C752" s="6">
        <v>7</v>
      </c>
      <c r="D752" s="7">
        <v>9</v>
      </c>
      <c r="E752" s="6" t="s">
        <v>4929</v>
      </c>
      <c r="F752" s="6" t="s">
        <v>4508</v>
      </c>
      <c r="G752" s="6" t="s">
        <v>25</v>
      </c>
      <c r="H752" s="8"/>
      <c r="I752" s="8">
        <v>19048</v>
      </c>
      <c r="J752" s="6" t="s">
        <v>3411</v>
      </c>
      <c r="K752" s="6" t="s">
        <v>142</v>
      </c>
      <c r="L752" s="6" t="s">
        <v>4509</v>
      </c>
      <c r="M752" s="6" t="s">
        <v>4537</v>
      </c>
      <c r="N752" s="6" t="s">
        <v>142</v>
      </c>
      <c r="O752" s="29">
        <f t="shared" si="13"/>
        <v>20000.4</v>
      </c>
      <c r="Q752" s="30" t="s">
        <v>142</v>
      </c>
      <c r="R752" s="31">
        <v>20000.4</v>
      </c>
    </row>
    <row r="753" s="1" customFormat="1" ht="16.35" hidden="1" customHeight="1" spans="1:18">
      <c r="A753" s="6" t="s">
        <v>4506</v>
      </c>
      <c r="B753" s="6">
        <v>2017</v>
      </c>
      <c r="C753" s="6">
        <v>7</v>
      </c>
      <c r="D753" s="7">
        <v>15</v>
      </c>
      <c r="E753" s="6" t="s">
        <v>4930</v>
      </c>
      <c r="F753" s="6" t="s">
        <v>4508</v>
      </c>
      <c r="G753" s="6" t="s">
        <v>25</v>
      </c>
      <c r="H753" s="8"/>
      <c r="I753" s="8">
        <v>161905</v>
      </c>
      <c r="J753" s="6" t="s">
        <v>3257</v>
      </c>
      <c r="K753" s="6" t="s">
        <v>828</v>
      </c>
      <c r="L753" s="6" t="s">
        <v>4509</v>
      </c>
      <c r="M753" s="6" t="s">
        <v>4537</v>
      </c>
      <c r="N753" s="6" t="s">
        <v>828</v>
      </c>
      <c r="O753" s="29">
        <f t="shared" si="13"/>
        <v>170000.25</v>
      </c>
      <c r="Q753" s="30" t="s">
        <v>828</v>
      </c>
      <c r="R753" s="31">
        <v>170000.25</v>
      </c>
    </row>
    <row r="754" s="1" customFormat="1" ht="16.35" hidden="1" customHeight="1" spans="1:18">
      <c r="A754" s="6" t="s">
        <v>4506</v>
      </c>
      <c r="B754" s="6">
        <v>2017</v>
      </c>
      <c r="C754" s="6">
        <v>7</v>
      </c>
      <c r="D754" s="7">
        <v>16</v>
      </c>
      <c r="E754" s="6" t="s">
        <v>4931</v>
      </c>
      <c r="F754" s="6" t="s">
        <v>4508</v>
      </c>
      <c r="G754" s="6" t="s">
        <v>25</v>
      </c>
      <c r="H754" s="8"/>
      <c r="I754" s="8">
        <v>30638</v>
      </c>
      <c r="J754" s="6" t="s">
        <v>4846</v>
      </c>
      <c r="K754" s="6" t="s">
        <v>742</v>
      </c>
      <c r="L754" s="6" t="s">
        <v>4509</v>
      </c>
      <c r="M754" s="6" t="s">
        <v>4537</v>
      </c>
      <c r="N754" s="6" t="s">
        <v>742</v>
      </c>
      <c r="O754" s="29">
        <f t="shared" si="13"/>
        <v>32169.9</v>
      </c>
      <c r="Q754" s="30" t="s">
        <v>742</v>
      </c>
      <c r="R754" s="31">
        <v>32169.9</v>
      </c>
    </row>
    <row r="755" s="1" customFormat="1" ht="16.35" hidden="1" customHeight="1" spans="1:18">
      <c r="A755" s="6" t="s">
        <v>4506</v>
      </c>
      <c r="B755" s="6">
        <v>2017</v>
      </c>
      <c r="C755" s="6">
        <v>7</v>
      </c>
      <c r="D755" s="7">
        <v>17</v>
      </c>
      <c r="E755" s="6" t="s">
        <v>4932</v>
      </c>
      <c r="F755" s="6" t="s">
        <v>4508</v>
      </c>
      <c r="G755" s="6" t="s">
        <v>25</v>
      </c>
      <c r="H755" s="8"/>
      <c r="I755" s="8">
        <v>35731</v>
      </c>
      <c r="J755" s="6" t="s">
        <v>3873</v>
      </c>
      <c r="K755" s="6" t="s">
        <v>923</v>
      </c>
      <c r="L755" s="6" t="s">
        <v>4509</v>
      </c>
      <c r="M755" s="6" t="s">
        <v>4537</v>
      </c>
      <c r="N755" s="6" t="s">
        <v>923</v>
      </c>
      <c r="O755" s="29">
        <f t="shared" si="13"/>
        <v>37517.55</v>
      </c>
      <c r="Q755" s="30" t="s">
        <v>923</v>
      </c>
      <c r="R755" s="31">
        <v>37517.55</v>
      </c>
    </row>
    <row r="756" s="1" customFormat="1" ht="16.35" hidden="1" customHeight="1" spans="1:18">
      <c r="A756" s="6" t="s">
        <v>4506</v>
      </c>
      <c r="B756" s="6">
        <v>2017</v>
      </c>
      <c r="C756" s="6">
        <v>7</v>
      </c>
      <c r="D756" s="7">
        <v>18</v>
      </c>
      <c r="E756" s="6" t="s">
        <v>4933</v>
      </c>
      <c r="F756" s="6" t="s">
        <v>4508</v>
      </c>
      <c r="G756" s="6" t="s">
        <v>25</v>
      </c>
      <c r="H756" s="8"/>
      <c r="I756" s="8">
        <v>32141</v>
      </c>
      <c r="J756" s="6" t="s">
        <v>3875</v>
      </c>
      <c r="K756" s="6" t="s">
        <v>925</v>
      </c>
      <c r="L756" s="6" t="s">
        <v>4509</v>
      </c>
      <c r="M756" s="6" t="s">
        <v>4537</v>
      </c>
      <c r="N756" s="6" t="s">
        <v>925</v>
      </c>
      <c r="O756" s="29">
        <f t="shared" si="13"/>
        <v>33748.05</v>
      </c>
      <c r="Q756" s="30" t="s">
        <v>925</v>
      </c>
      <c r="R756" s="31">
        <v>33748.05</v>
      </c>
    </row>
    <row r="757" s="1" customFormat="1" ht="16.35" hidden="1" customHeight="1" spans="1:18">
      <c r="A757" s="6" t="s">
        <v>4506</v>
      </c>
      <c r="B757" s="6">
        <v>2017</v>
      </c>
      <c r="C757" s="6">
        <v>7</v>
      </c>
      <c r="D757" s="7">
        <v>23</v>
      </c>
      <c r="E757" s="6" t="s">
        <v>4934</v>
      </c>
      <c r="F757" s="6" t="s">
        <v>4508</v>
      </c>
      <c r="G757" s="6" t="s">
        <v>25</v>
      </c>
      <c r="H757" s="8"/>
      <c r="I757" s="8">
        <v>96458</v>
      </c>
      <c r="J757" s="6" t="s">
        <v>3881</v>
      </c>
      <c r="K757" s="6" t="s">
        <v>666</v>
      </c>
      <c r="L757" s="6" t="s">
        <v>4509</v>
      </c>
      <c r="M757" s="6" t="s">
        <v>4537</v>
      </c>
      <c r="N757" s="6" t="s">
        <v>666</v>
      </c>
      <c r="O757" s="29">
        <f t="shared" si="13"/>
        <v>101280.9</v>
      </c>
      <c r="Q757" s="30" t="s">
        <v>666</v>
      </c>
      <c r="R757" s="31">
        <v>101280.9</v>
      </c>
    </row>
    <row r="758" s="1" customFormat="1" ht="16.35" hidden="1" customHeight="1" spans="1:18">
      <c r="A758" s="6" t="s">
        <v>4506</v>
      </c>
      <c r="B758" s="6">
        <v>2017</v>
      </c>
      <c r="C758" s="6">
        <v>7</v>
      </c>
      <c r="D758" s="7">
        <v>26</v>
      </c>
      <c r="E758" s="6" t="s">
        <v>4829</v>
      </c>
      <c r="F758" s="6" t="s">
        <v>4508</v>
      </c>
      <c r="G758" s="6" t="s">
        <v>25</v>
      </c>
      <c r="H758" s="8"/>
      <c r="I758" s="8">
        <v>209524</v>
      </c>
      <c r="J758" s="6" t="s">
        <v>3707</v>
      </c>
      <c r="K758" s="6" t="s">
        <v>108</v>
      </c>
      <c r="L758" s="6" t="s">
        <v>4509</v>
      </c>
      <c r="M758" s="6" t="s">
        <v>4537</v>
      </c>
      <c r="N758" s="6" t="s">
        <v>108</v>
      </c>
      <c r="O758" s="29">
        <f t="shared" si="13"/>
        <v>220000.2</v>
      </c>
      <c r="Q758" s="30" t="s">
        <v>108</v>
      </c>
      <c r="R758" s="31">
        <v>220000.2</v>
      </c>
    </row>
    <row r="759" s="1" customFormat="1" ht="16.35" hidden="1" customHeight="1" spans="1:18">
      <c r="A759" s="6" t="s">
        <v>4506</v>
      </c>
      <c r="B759" s="6">
        <v>2017</v>
      </c>
      <c r="C759" s="6">
        <v>7</v>
      </c>
      <c r="D759" s="7">
        <v>29</v>
      </c>
      <c r="E759" s="6" t="s">
        <v>4935</v>
      </c>
      <c r="F759" s="6" t="s">
        <v>4508</v>
      </c>
      <c r="G759" s="6" t="s">
        <v>25</v>
      </c>
      <c r="H759" s="8"/>
      <c r="I759" s="8">
        <v>9524</v>
      </c>
      <c r="J759" s="6" t="s">
        <v>3895</v>
      </c>
      <c r="K759" s="6" t="s">
        <v>665</v>
      </c>
      <c r="L759" s="6" t="s">
        <v>4509</v>
      </c>
      <c r="M759" s="6" t="s">
        <v>4537</v>
      </c>
      <c r="N759" s="6" t="s">
        <v>665</v>
      </c>
      <c r="O759" s="29">
        <f t="shared" si="13"/>
        <v>10000.2</v>
      </c>
      <c r="Q759" s="30" t="s">
        <v>665</v>
      </c>
      <c r="R759" s="31">
        <v>10000.2</v>
      </c>
    </row>
    <row r="760" s="1" customFormat="1" ht="16.35" hidden="1" customHeight="1" spans="1:18">
      <c r="A760" s="6" t="s">
        <v>4506</v>
      </c>
      <c r="B760" s="6">
        <v>2017</v>
      </c>
      <c r="C760" s="6">
        <v>7</v>
      </c>
      <c r="D760" s="7">
        <v>30</v>
      </c>
      <c r="E760" s="6" t="s">
        <v>4936</v>
      </c>
      <c r="F760" s="6" t="s">
        <v>4508</v>
      </c>
      <c r="G760" s="6" t="s">
        <v>25</v>
      </c>
      <c r="H760" s="8"/>
      <c r="I760" s="8">
        <v>42130</v>
      </c>
      <c r="J760" s="6" t="s">
        <v>2947</v>
      </c>
      <c r="K760" s="6" t="s">
        <v>579</v>
      </c>
      <c r="L760" s="6" t="s">
        <v>4509</v>
      </c>
      <c r="M760" s="6" t="s">
        <v>4537</v>
      </c>
      <c r="N760" s="6" t="s">
        <v>579</v>
      </c>
      <c r="O760" s="29">
        <f t="shared" si="13"/>
        <v>44236.5</v>
      </c>
      <c r="Q760" s="30" t="s">
        <v>579</v>
      </c>
      <c r="R760" s="31">
        <v>44236.5</v>
      </c>
    </row>
    <row r="761" s="1" customFormat="1" ht="16.35" hidden="1" customHeight="1" spans="1:18">
      <c r="A761" s="6" t="s">
        <v>4506</v>
      </c>
      <c r="B761" s="6">
        <v>2017</v>
      </c>
      <c r="C761" s="6">
        <v>7</v>
      </c>
      <c r="D761" s="7">
        <v>31</v>
      </c>
      <c r="E761" s="6" t="s">
        <v>4936</v>
      </c>
      <c r="F761" s="6" t="s">
        <v>4508</v>
      </c>
      <c r="G761" s="6" t="s">
        <v>25</v>
      </c>
      <c r="H761" s="8"/>
      <c r="I761" s="8">
        <v>47619</v>
      </c>
      <c r="J761" s="6" t="s">
        <v>2947</v>
      </c>
      <c r="K761" s="6" t="s">
        <v>579</v>
      </c>
      <c r="L761" s="6" t="s">
        <v>4509</v>
      </c>
      <c r="M761" s="6" t="s">
        <v>4537</v>
      </c>
      <c r="N761" s="6" t="s">
        <v>579</v>
      </c>
      <c r="O761" s="29">
        <f t="shared" si="13"/>
        <v>49999.95</v>
      </c>
      <c r="Q761" s="30" t="s">
        <v>579</v>
      </c>
      <c r="R761" s="31">
        <v>49999.95</v>
      </c>
    </row>
    <row r="762" s="1" customFormat="1" ht="16.35" hidden="1" customHeight="1" spans="1:18">
      <c r="A762" s="6" t="s">
        <v>4506</v>
      </c>
      <c r="B762" s="6">
        <v>2017</v>
      </c>
      <c r="C762" s="6">
        <v>7</v>
      </c>
      <c r="D762" s="7">
        <v>32</v>
      </c>
      <c r="E762" s="6" t="s">
        <v>4936</v>
      </c>
      <c r="F762" s="6" t="s">
        <v>4508</v>
      </c>
      <c r="G762" s="6" t="s">
        <v>25</v>
      </c>
      <c r="H762" s="8"/>
      <c r="I762" s="8">
        <v>1905</v>
      </c>
      <c r="J762" s="6" t="s">
        <v>2947</v>
      </c>
      <c r="K762" s="6" t="s">
        <v>579</v>
      </c>
      <c r="L762" s="6" t="s">
        <v>4509</v>
      </c>
      <c r="M762" s="6" t="s">
        <v>4537</v>
      </c>
      <c r="N762" s="6" t="s">
        <v>579</v>
      </c>
      <c r="O762" s="29">
        <f t="shared" si="13"/>
        <v>2000.25</v>
      </c>
      <c r="Q762" s="30" t="s">
        <v>579</v>
      </c>
      <c r="R762" s="31">
        <v>2000.25</v>
      </c>
    </row>
    <row r="763" s="1" customFormat="1" ht="16.35" hidden="1" customHeight="1" spans="1:18">
      <c r="A763" s="6" t="s">
        <v>4506</v>
      </c>
      <c r="B763" s="6">
        <v>2017</v>
      </c>
      <c r="C763" s="6">
        <v>8</v>
      </c>
      <c r="D763" s="7">
        <v>3</v>
      </c>
      <c r="E763" s="6" t="s">
        <v>4937</v>
      </c>
      <c r="F763" s="6" t="s">
        <v>4508</v>
      </c>
      <c r="G763" s="6" t="s">
        <v>25</v>
      </c>
      <c r="H763" s="8"/>
      <c r="I763" s="8">
        <v>-97143</v>
      </c>
      <c r="J763" s="6" t="s">
        <v>3257</v>
      </c>
      <c r="K763" s="6" t="s">
        <v>828</v>
      </c>
      <c r="L763" s="6" t="s">
        <v>4509</v>
      </c>
      <c r="M763" s="6" t="s">
        <v>4537</v>
      </c>
      <c r="N763" s="6" t="s">
        <v>828</v>
      </c>
      <c r="O763" s="29">
        <f t="shared" si="13"/>
        <v>-102000.15</v>
      </c>
      <c r="Q763" s="30" t="s">
        <v>828</v>
      </c>
      <c r="R763" s="31">
        <v>-102000.15</v>
      </c>
    </row>
    <row r="764" s="1" customFormat="1" ht="16.35" hidden="1" customHeight="1" spans="1:18">
      <c r="A764" s="6" t="s">
        <v>4506</v>
      </c>
      <c r="B764" s="6">
        <v>2017</v>
      </c>
      <c r="C764" s="6">
        <v>8</v>
      </c>
      <c r="D764" s="7">
        <v>10</v>
      </c>
      <c r="E764" s="6" t="s">
        <v>4938</v>
      </c>
      <c r="F764" s="6" t="s">
        <v>4508</v>
      </c>
      <c r="G764" s="6" t="s">
        <v>25</v>
      </c>
      <c r="H764" s="8"/>
      <c r="I764" s="8">
        <v>2084</v>
      </c>
      <c r="J764" s="6" t="s">
        <v>3895</v>
      </c>
      <c r="K764" s="6" t="s">
        <v>665</v>
      </c>
      <c r="L764" s="6" t="s">
        <v>4509</v>
      </c>
      <c r="M764" s="6" t="s">
        <v>4537</v>
      </c>
      <c r="N764" s="6" t="s">
        <v>665</v>
      </c>
      <c r="O764" s="29">
        <f t="shared" si="13"/>
        <v>2188.2</v>
      </c>
      <c r="Q764" s="30" t="s">
        <v>665</v>
      </c>
      <c r="R764" s="31">
        <v>2188.2</v>
      </c>
    </row>
    <row r="765" s="1" customFormat="1" ht="16.35" hidden="1" customHeight="1" spans="1:18">
      <c r="A765" s="6" t="s">
        <v>4506</v>
      </c>
      <c r="B765" s="6">
        <v>2017</v>
      </c>
      <c r="C765" s="6">
        <v>8</v>
      </c>
      <c r="D765" s="7">
        <v>11</v>
      </c>
      <c r="E765" s="6" t="s">
        <v>4938</v>
      </c>
      <c r="F765" s="6" t="s">
        <v>4508</v>
      </c>
      <c r="G765" s="6" t="s">
        <v>25</v>
      </c>
      <c r="H765" s="8"/>
      <c r="I765" s="8">
        <v>270638</v>
      </c>
      <c r="J765" s="6" t="s">
        <v>3895</v>
      </c>
      <c r="K765" s="6" t="s">
        <v>665</v>
      </c>
      <c r="L765" s="6" t="s">
        <v>4509</v>
      </c>
      <c r="M765" s="6" t="s">
        <v>4537</v>
      </c>
      <c r="N765" s="6" t="s">
        <v>665</v>
      </c>
      <c r="O765" s="29">
        <f t="shared" si="13"/>
        <v>284169.9</v>
      </c>
      <c r="Q765" s="30" t="s">
        <v>665</v>
      </c>
      <c r="R765" s="31">
        <v>284169.9</v>
      </c>
    </row>
    <row r="766" s="1" customFormat="1" ht="16.35" hidden="1" customHeight="1" spans="1:18">
      <c r="A766" s="6" t="s">
        <v>4506</v>
      </c>
      <c r="B766" s="6">
        <v>2017</v>
      </c>
      <c r="C766" s="6">
        <v>8</v>
      </c>
      <c r="D766" s="7">
        <v>11</v>
      </c>
      <c r="E766" s="6" t="s">
        <v>4938</v>
      </c>
      <c r="F766" s="6" t="s">
        <v>4508</v>
      </c>
      <c r="G766" s="6" t="s">
        <v>25</v>
      </c>
      <c r="H766" s="8"/>
      <c r="I766" s="8">
        <v>110314</v>
      </c>
      <c r="J766" s="6" t="s">
        <v>3976</v>
      </c>
      <c r="K766" s="6" t="s">
        <v>846</v>
      </c>
      <c r="L766" s="6" t="s">
        <v>4509</v>
      </c>
      <c r="M766" s="6" t="s">
        <v>4537</v>
      </c>
      <c r="N766" s="6" t="s">
        <v>846</v>
      </c>
      <c r="O766" s="29">
        <f t="shared" si="13"/>
        <v>115829.7</v>
      </c>
      <c r="Q766" s="30" t="s">
        <v>846</v>
      </c>
      <c r="R766" s="31">
        <v>115829.7</v>
      </c>
    </row>
    <row r="767" s="1" customFormat="1" ht="16.35" hidden="1" customHeight="1" spans="1:18">
      <c r="A767" s="6" t="s">
        <v>4506</v>
      </c>
      <c r="B767" s="6">
        <v>2017</v>
      </c>
      <c r="C767" s="6">
        <v>8</v>
      </c>
      <c r="D767" s="7">
        <v>12</v>
      </c>
      <c r="E767" s="6" t="s">
        <v>4939</v>
      </c>
      <c r="F767" s="6" t="s">
        <v>4508</v>
      </c>
      <c r="G767" s="6" t="s">
        <v>25</v>
      </c>
      <c r="H767" s="8"/>
      <c r="I767" s="8">
        <v>123810</v>
      </c>
      <c r="J767" s="6" t="s">
        <v>3909</v>
      </c>
      <c r="K767" s="6" t="s">
        <v>733</v>
      </c>
      <c r="L767" s="6" t="s">
        <v>4509</v>
      </c>
      <c r="M767" s="6" t="s">
        <v>4537</v>
      </c>
      <c r="N767" s="6" t="s">
        <v>733</v>
      </c>
      <c r="O767" s="29">
        <f t="shared" si="13"/>
        <v>130000.5</v>
      </c>
      <c r="Q767" s="30" t="s">
        <v>733</v>
      </c>
      <c r="R767" s="31">
        <v>130000.5</v>
      </c>
    </row>
    <row r="768" s="1" customFormat="1" ht="16.35" hidden="1" customHeight="1" spans="1:18">
      <c r="A768" s="6" t="s">
        <v>4506</v>
      </c>
      <c r="B768" s="6">
        <v>2017</v>
      </c>
      <c r="C768" s="6">
        <v>8</v>
      </c>
      <c r="D768" s="7">
        <v>20</v>
      </c>
      <c r="E768" s="6" t="s">
        <v>4938</v>
      </c>
      <c r="F768" s="6" t="s">
        <v>4508</v>
      </c>
      <c r="G768" s="6" t="s">
        <v>25</v>
      </c>
      <c r="H768" s="8"/>
      <c r="I768" s="8">
        <v>95238</v>
      </c>
      <c r="J768" s="6" t="s">
        <v>3895</v>
      </c>
      <c r="K768" s="6" t="s">
        <v>665</v>
      </c>
      <c r="L768" s="6" t="s">
        <v>4509</v>
      </c>
      <c r="M768" s="6" t="s">
        <v>4537</v>
      </c>
      <c r="N768" s="6" t="s">
        <v>665</v>
      </c>
      <c r="O768" s="29">
        <f t="shared" si="13"/>
        <v>99999.9</v>
      </c>
      <c r="Q768" s="30" t="s">
        <v>665</v>
      </c>
      <c r="R768" s="31">
        <v>99999.9</v>
      </c>
    </row>
    <row r="769" s="1" customFormat="1" ht="16.35" hidden="1" customHeight="1" spans="1:18">
      <c r="A769" s="6" t="s">
        <v>4506</v>
      </c>
      <c r="B769" s="6">
        <v>2017</v>
      </c>
      <c r="C769" s="6">
        <v>8</v>
      </c>
      <c r="D769" s="7">
        <v>21</v>
      </c>
      <c r="E769" s="6" t="s">
        <v>4940</v>
      </c>
      <c r="F769" s="6" t="s">
        <v>4508</v>
      </c>
      <c r="G769" s="6" t="s">
        <v>25</v>
      </c>
      <c r="H769" s="8"/>
      <c r="I769" s="8">
        <v>127619</v>
      </c>
      <c r="J769" s="6" t="s">
        <v>4918</v>
      </c>
      <c r="K769" s="6" t="s">
        <v>933</v>
      </c>
      <c r="L769" s="6" t="s">
        <v>4509</v>
      </c>
      <c r="M769" s="6" t="s">
        <v>4537</v>
      </c>
      <c r="N769" s="6" t="s">
        <v>933</v>
      </c>
      <c r="O769" s="29">
        <f t="shared" si="13"/>
        <v>133999.95</v>
      </c>
      <c r="Q769" s="30" t="s">
        <v>933</v>
      </c>
      <c r="R769" s="31">
        <v>133999.95</v>
      </c>
    </row>
    <row r="770" s="1" customFormat="1" ht="16.35" hidden="1" customHeight="1" spans="1:18">
      <c r="A770" s="6" t="s">
        <v>4506</v>
      </c>
      <c r="B770" s="6">
        <v>2017</v>
      </c>
      <c r="C770" s="6">
        <v>8</v>
      </c>
      <c r="D770" s="7">
        <v>22</v>
      </c>
      <c r="E770" s="6" t="s">
        <v>4941</v>
      </c>
      <c r="F770" s="6" t="s">
        <v>4508</v>
      </c>
      <c r="G770" s="6" t="s">
        <v>25</v>
      </c>
      <c r="H770" s="8"/>
      <c r="I770" s="8">
        <v>157143</v>
      </c>
      <c r="J770" s="6" t="s">
        <v>3632</v>
      </c>
      <c r="K770" s="6" t="s">
        <v>904</v>
      </c>
      <c r="L770" s="6" t="s">
        <v>4509</v>
      </c>
      <c r="M770" s="6" t="s">
        <v>4537</v>
      </c>
      <c r="N770" s="6" t="s">
        <v>904</v>
      </c>
      <c r="O770" s="29">
        <f t="shared" si="13"/>
        <v>165000.15</v>
      </c>
      <c r="Q770" s="30" t="s">
        <v>904</v>
      </c>
      <c r="R770" s="31">
        <v>165000.15</v>
      </c>
    </row>
    <row r="771" s="1" customFormat="1" ht="16.35" hidden="1" customHeight="1" spans="1:18">
      <c r="A771" s="6" t="s">
        <v>4506</v>
      </c>
      <c r="B771" s="6">
        <v>2017</v>
      </c>
      <c r="C771" s="6">
        <v>8</v>
      </c>
      <c r="D771" s="7">
        <v>26</v>
      </c>
      <c r="E771" s="6" t="s">
        <v>4942</v>
      </c>
      <c r="F771" s="6" t="s">
        <v>4508</v>
      </c>
      <c r="G771" s="6" t="s">
        <v>25</v>
      </c>
      <c r="H771" s="8"/>
      <c r="I771" s="8">
        <v>49821</v>
      </c>
      <c r="J771" s="6" t="s">
        <v>3920</v>
      </c>
      <c r="K771" s="6" t="s">
        <v>4943</v>
      </c>
      <c r="L771" s="6" t="s">
        <v>4509</v>
      </c>
      <c r="M771" s="6" t="s">
        <v>4537</v>
      </c>
      <c r="N771" s="6" t="s">
        <v>4944</v>
      </c>
      <c r="O771" s="29">
        <f t="shared" si="13"/>
        <v>52312.05</v>
      </c>
      <c r="Q771" s="30" t="s">
        <v>4944</v>
      </c>
      <c r="R771" s="31">
        <v>52312.05</v>
      </c>
    </row>
    <row r="772" s="1" customFormat="1" ht="16.35" hidden="1" customHeight="1" spans="1:18">
      <c r="A772" s="6" t="s">
        <v>4506</v>
      </c>
      <c r="B772" s="6">
        <v>2017</v>
      </c>
      <c r="C772" s="6">
        <v>8</v>
      </c>
      <c r="D772" s="7">
        <v>29</v>
      </c>
      <c r="E772" s="6" t="s">
        <v>4945</v>
      </c>
      <c r="F772" s="6" t="s">
        <v>4508</v>
      </c>
      <c r="G772" s="6" t="s">
        <v>25</v>
      </c>
      <c r="H772" s="8"/>
      <c r="I772" s="8">
        <v>19048</v>
      </c>
      <c r="J772" s="6" t="s">
        <v>3836</v>
      </c>
      <c r="K772" s="6" t="s">
        <v>122</v>
      </c>
      <c r="L772" s="6" t="s">
        <v>4509</v>
      </c>
      <c r="M772" s="6" t="s">
        <v>4537</v>
      </c>
      <c r="N772" s="6" t="s">
        <v>122</v>
      </c>
      <c r="O772" s="29">
        <f t="shared" si="13"/>
        <v>20000.4</v>
      </c>
      <c r="Q772" s="30" t="s">
        <v>122</v>
      </c>
      <c r="R772" s="31">
        <v>20000.4</v>
      </c>
    </row>
    <row r="773" s="1" customFormat="1" ht="16.35" hidden="1" customHeight="1" spans="1:18">
      <c r="A773" s="6" t="s">
        <v>4506</v>
      </c>
      <c r="B773" s="6">
        <v>2017</v>
      </c>
      <c r="C773" s="6">
        <v>8</v>
      </c>
      <c r="D773" s="7">
        <v>30</v>
      </c>
      <c r="E773" s="6" t="s">
        <v>4946</v>
      </c>
      <c r="F773" s="6" t="s">
        <v>4508</v>
      </c>
      <c r="G773" s="6" t="s">
        <v>25</v>
      </c>
      <c r="H773" s="8"/>
      <c r="I773" s="8">
        <v>438095</v>
      </c>
      <c r="J773" s="6" t="s">
        <v>4947</v>
      </c>
      <c r="K773" s="6" t="s">
        <v>396</v>
      </c>
      <c r="L773" s="6" t="s">
        <v>4509</v>
      </c>
      <c r="M773" s="6" t="s">
        <v>4537</v>
      </c>
      <c r="N773" s="6" t="s">
        <v>396</v>
      </c>
      <c r="O773" s="29">
        <f t="shared" si="13"/>
        <v>459999.75</v>
      </c>
      <c r="Q773" s="30" t="s">
        <v>396</v>
      </c>
      <c r="R773" s="31">
        <v>459999.75</v>
      </c>
    </row>
    <row r="774" s="1" customFormat="1" ht="16.35" hidden="1" customHeight="1" spans="1:18">
      <c r="A774" s="6" t="s">
        <v>4506</v>
      </c>
      <c r="B774" s="6">
        <v>2017</v>
      </c>
      <c r="C774" s="6">
        <v>8</v>
      </c>
      <c r="D774" s="7">
        <v>31</v>
      </c>
      <c r="E774" s="6" t="s">
        <v>4923</v>
      </c>
      <c r="F774" s="6" t="s">
        <v>4508</v>
      </c>
      <c r="G774" s="6" t="s">
        <v>25</v>
      </c>
      <c r="H774" s="8"/>
      <c r="I774" s="8">
        <v>232381</v>
      </c>
      <c r="J774" s="6" t="s">
        <v>3871</v>
      </c>
      <c r="K774" s="6" t="s">
        <v>98</v>
      </c>
      <c r="L774" s="6" t="s">
        <v>4509</v>
      </c>
      <c r="M774" s="6" t="s">
        <v>4537</v>
      </c>
      <c r="N774" s="6" t="s">
        <v>98</v>
      </c>
      <c r="O774" s="29">
        <f t="shared" si="13"/>
        <v>244000.05</v>
      </c>
      <c r="Q774" s="30" t="s">
        <v>98</v>
      </c>
      <c r="R774" s="31">
        <v>244000.05</v>
      </c>
    </row>
    <row r="775" s="1" customFormat="1" ht="16.35" hidden="1" customHeight="1" spans="1:18">
      <c r="A775" s="6" t="s">
        <v>4506</v>
      </c>
      <c r="B775" s="6">
        <v>2017</v>
      </c>
      <c r="C775" s="6">
        <v>8</v>
      </c>
      <c r="D775" s="7">
        <v>32</v>
      </c>
      <c r="E775" s="6" t="s">
        <v>4936</v>
      </c>
      <c r="F775" s="6" t="s">
        <v>4508</v>
      </c>
      <c r="G775" s="6" t="s">
        <v>25</v>
      </c>
      <c r="H775" s="8"/>
      <c r="I775" s="8">
        <v>190476</v>
      </c>
      <c r="J775" s="6" t="s">
        <v>2947</v>
      </c>
      <c r="K775" s="6" t="s">
        <v>579</v>
      </c>
      <c r="L775" s="6" t="s">
        <v>4509</v>
      </c>
      <c r="M775" s="6" t="s">
        <v>4537</v>
      </c>
      <c r="N775" s="6" t="s">
        <v>579</v>
      </c>
      <c r="O775" s="29">
        <f t="shared" si="13"/>
        <v>199999.8</v>
      </c>
      <c r="Q775" s="30" t="s">
        <v>579</v>
      </c>
      <c r="R775" s="31">
        <v>199999.8</v>
      </c>
    </row>
    <row r="776" s="1" customFormat="1" ht="16.35" hidden="1" customHeight="1" spans="1:18">
      <c r="A776" s="6" t="s">
        <v>4506</v>
      </c>
      <c r="B776" s="6">
        <v>2017</v>
      </c>
      <c r="C776" s="6">
        <v>8</v>
      </c>
      <c r="D776" s="7">
        <v>37</v>
      </c>
      <c r="E776" s="6" t="s">
        <v>4948</v>
      </c>
      <c r="F776" s="6" t="s">
        <v>4508</v>
      </c>
      <c r="G776" s="6" t="s">
        <v>25</v>
      </c>
      <c r="H776" s="8"/>
      <c r="I776" s="8">
        <v>19048</v>
      </c>
      <c r="J776" s="6" t="s">
        <v>3920</v>
      </c>
      <c r="K776" s="6" t="s">
        <v>4943</v>
      </c>
      <c r="L776" s="6" t="s">
        <v>4509</v>
      </c>
      <c r="M776" s="6" t="s">
        <v>4537</v>
      </c>
      <c r="N776" s="6" t="s">
        <v>4944</v>
      </c>
      <c r="O776" s="29">
        <f t="shared" si="13"/>
        <v>20000.4</v>
      </c>
      <c r="Q776" s="30" t="s">
        <v>4944</v>
      </c>
      <c r="R776" s="31">
        <v>20000.4</v>
      </c>
    </row>
    <row r="777" s="1" customFormat="1" ht="16.35" hidden="1" customHeight="1" spans="1:18">
      <c r="A777" s="6" t="s">
        <v>4506</v>
      </c>
      <c r="B777" s="6">
        <v>2017</v>
      </c>
      <c r="C777" s="6">
        <v>8</v>
      </c>
      <c r="D777" s="7">
        <v>38</v>
      </c>
      <c r="E777" s="6" t="s">
        <v>4945</v>
      </c>
      <c r="F777" s="6" t="s">
        <v>4508</v>
      </c>
      <c r="G777" s="6" t="s">
        <v>25</v>
      </c>
      <c r="H777" s="8"/>
      <c r="I777" s="8">
        <v>167953</v>
      </c>
      <c r="J777" s="6" t="s">
        <v>3836</v>
      </c>
      <c r="K777" s="6" t="s">
        <v>122</v>
      </c>
      <c r="L777" s="6" t="s">
        <v>4509</v>
      </c>
      <c r="M777" s="6" t="s">
        <v>4537</v>
      </c>
      <c r="N777" s="6" t="s">
        <v>122</v>
      </c>
      <c r="O777" s="29">
        <f t="shared" si="13"/>
        <v>176350.65</v>
      </c>
      <c r="Q777" s="30" t="s">
        <v>122</v>
      </c>
      <c r="R777" s="31">
        <v>176350.65</v>
      </c>
    </row>
    <row r="778" s="1" customFormat="1" ht="16.35" hidden="1" customHeight="1" spans="1:18">
      <c r="A778" s="6" t="s">
        <v>4506</v>
      </c>
      <c r="B778" s="6">
        <v>2017</v>
      </c>
      <c r="C778" s="6">
        <v>9</v>
      </c>
      <c r="D778" s="7">
        <v>1</v>
      </c>
      <c r="E778" s="6" t="s">
        <v>4932</v>
      </c>
      <c r="F778" s="6" t="s">
        <v>4508</v>
      </c>
      <c r="G778" s="6" t="s">
        <v>25</v>
      </c>
      <c r="H778" s="8"/>
      <c r="I778" s="8">
        <v>80952</v>
      </c>
      <c r="J778" s="6" t="s">
        <v>3873</v>
      </c>
      <c r="K778" s="6" t="s">
        <v>923</v>
      </c>
      <c r="L778" s="6" t="s">
        <v>4509</v>
      </c>
      <c r="M778" s="6" t="s">
        <v>4537</v>
      </c>
      <c r="N778" s="6" t="s">
        <v>923</v>
      </c>
      <c r="O778" s="29">
        <f t="shared" si="13"/>
        <v>84999.6</v>
      </c>
      <c r="Q778" s="30" t="s">
        <v>923</v>
      </c>
      <c r="R778" s="31">
        <v>84999.6</v>
      </c>
    </row>
    <row r="779" s="1" customFormat="1" ht="16.35" hidden="1" customHeight="1" spans="1:18">
      <c r="A779" s="6" t="s">
        <v>4506</v>
      </c>
      <c r="B779" s="6">
        <v>2017</v>
      </c>
      <c r="C779" s="6">
        <v>9</v>
      </c>
      <c r="D779" s="7">
        <v>2</v>
      </c>
      <c r="E779" s="6" t="s">
        <v>4933</v>
      </c>
      <c r="F779" s="6" t="s">
        <v>4508</v>
      </c>
      <c r="G779" s="6" t="s">
        <v>25</v>
      </c>
      <c r="H779" s="8"/>
      <c r="I779" s="8">
        <v>124762</v>
      </c>
      <c r="J779" s="6" t="s">
        <v>3875</v>
      </c>
      <c r="K779" s="6" t="s">
        <v>925</v>
      </c>
      <c r="L779" s="6" t="s">
        <v>4509</v>
      </c>
      <c r="M779" s="6" t="s">
        <v>4537</v>
      </c>
      <c r="N779" s="6" t="s">
        <v>925</v>
      </c>
      <c r="O779" s="29">
        <f t="shared" si="13"/>
        <v>131000.1</v>
      </c>
      <c r="Q779" s="30" t="s">
        <v>925</v>
      </c>
      <c r="R779" s="31">
        <v>131000.1</v>
      </c>
    </row>
    <row r="780" s="1" customFormat="1" ht="16.35" hidden="1" customHeight="1" spans="1:18">
      <c r="A780" s="6" t="s">
        <v>4506</v>
      </c>
      <c r="B780" s="6">
        <v>2017</v>
      </c>
      <c r="C780" s="6">
        <v>9</v>
      </c>
      <c r="D780" s="7">
        <v>4</v>
      </c>
      <c r="E780" s="6" t="s">
        <v>4949</v>
      </c>
      <c r="F780" s="6" t="s">
        <v>4508</v>
      </c>
      <c r="G780" s="6" t="s">
        <v>25</v>
      </c>
      <c r="H780" s="8"/>
      <c r="I780" s="8">
        <v>-282130</v>
      </c>
      <c r="J780" s="6" t="s">
        <v>2947</v>
      </c>
      <c r="K780" s="6" t="s">
        <v>579</v>
      </c>
      <c r="L780" s="6" t="s">
        <v>4509</v>
      </c>
      <c r="M780" s="6" t="s">
        <v>4537</v>
      </c>
      <c r="N780" s="6" t="s">
        <v>579</v>
      </c>
      <c r="O780" s="29">
        <f t="shared" si="13"/>
        <v>-296236.5</v>
      </c>
      <c r="Q780" s="30" t="s">
        <v>579</v>
      </c>
      <c r="R780" s="31">
        <v>-296236.5</v>
      </c>
    </row>
    <row r="781" s="1" customFormat="1" ht="16.35" hidden="1" customHeight="1" spans="1:18">
      <c r="A781" s="6" t="s">
        <v>4506</v>
      </c>
      <c r="B781" s="6">
        <v>2017</v>
      </c>
      <c r="C781" s="6">
        <v>9</v>
      </c>
      <c r="D781" s="7">
        <v>5</v>
      </c>
      <c r="E781" s="6" t="s">
        <v>4950</v>
      </c>
      <c r="F781" s="6" t="s">
        <v>4508</v>
      </c>
      <c r="G781" s="6" t="s">
        <v>25</v>
      </c>
      <c r="H781" s="8"/>
      <c r="I781" s="8">
        <v>82947</v>
      </c>
      <c r="J781" s="6" t="s">
        <v>4951</v>
      </c>
      <c r="K781" s="6" t="s">
        <v>697</v>
      </c>
      <c r="L781" s="6" t="s">
        <v>4509</v>
      </c>
      <c r="M781" s="6" t="s">
        <v>4537</v>
      </c>
      <c r="N781" s="6" t="s">
        <v>697</v>
      </c>
      <c r="O781" s="29">
        <f t="shared" si="13"/>
        <v>87094.35</v>
      </c>
      <c r="Q781" s="30" t="s">
        <v>697</v>
      </c>
      <c r="R781" s="31">
        <v>87094.35</v>
      </c>
    </row>
    <row r="782" s="1" customFormat="1" ht="16.35" hidden="1" customHeight="1" spans="1:18">
      <c r="A782" s="6" t="s">
        <v>4506</v>
      </c>
      <c r="B782" s="6">
        <v>2017</v>
      </c>
      <c r="C782" s="6">
        <v>9</v>
      </c>
      <c r="D782" s="7">
        <v>6</v>
      </c>
      <c r="E782" s="6" t="s">
        <v>4952</v>
      </c>
      <c r="F782" s="6" t="s">
        <v>4508</v>
      </c>
      <c r="G782" s="6" t="s">
        <v>25</v>
      </c>
      <c r="H782" s="8"/>
      <c r="I782" s="8">
        <v>4143</v>
      </c>
      <c r="J782" s="6" t="s">
        <v>3487</v>
      </c>
      <c r="K782" s="6" t="s">
        <v>880</v>
      </c>
      <c r="L782" s="6" t="s">
        <v>4509</v>
      </c>
      <c r="M782" s="6" t="s">
        <v>4537</v>
      </c>
      <c r="N782" s="6" t="s">
        <v>880</v>
      </c>
      <c r="O782" s="29">
        <f t="shared" si="13"/>
        <v>4350.15</v>
      </c>
      <c r="Q782" s="30" t="s">
        <v>880</v>
      </c>
      <c r="R782" s="31">
        <v>4350.15</v>
      </c>
    </row>
    <row r="783" s="1" customFormat="1" ht="16.35" hidden="1" customHeight="1" spans="1:18">
      <c r="A783" s="6" t="s">
        <v>4506</v>
      </c>
      <c r="B783" s="6">
        <v>2017</v>
      </c>
      <c r="C783" s="6">
        <v>9</v>
      </c>
      <c r="D783" s="7">
        <v>8</v>
      </c>
      <c r="E783" s="6" t="s">
        <v>4953</v>
      </c>
      <c r="F783" s="6" t="s">
        <v>4508</v>
      </c>
      <c r="G783" s="6" t="s">
        <v>25</v>
      </c>
      <c r="H783" s="8"/>
      <c r="I783" s="8">
        <v>32199</v>
      </c>
      <c r="J783" s="6" t="s">
        <v>4954</v>
      </c>
      <c r="K783" s="6" t="s">
        <v>932</v>
      </c>
      <c r="L783" s="6" t="s">
        <v>4509</v>
      </c>
      <c r="M783" s="6" t="s">
        <v>4537</v>
      </c>
      <c r="N783" s="6" t="s">
        <v>932</v>
      </c>
      <c r="O783" s="29">
        <f t="shared" si="13"/>
        <v>33808.95</v>
      </c>
      <c r="Q783" s="30" t="s">
        <v>932</v>
      </c>
      <c r="R783" s="31">
        <v>33808.95</v>
      </c>
    </row>
    <row r="784" s="1" customFormat="1" ht="16.35" hidden="1" customHeight="1" spans="1:18">
      <c r="A784" s="6" t="s">
        <v>4506</v>
      </c>
      <c r="B784" s="6">
        <v>2017</v>
      </c>
      <c r="C784" s="6">
        <v>9</v>
      </c>
      <c r="D784" s="7">
        <v>9</v>
      </c>
      <c r="E784" s="6" t="s">
        <v>4955</v>
      </c>
      <c r="F784" s="6" t="s">
        <v>4508</v>
      </c>
      <c r="G784" s="6" t="s">
        <v>25</v>
      </c>
      <c r="H784" s="8"/>
      <c r="I784" s="8">
        <v>36702</v>
      </c>
      <c r="J784" s="6" t="s">
        <v>4956</v>
      </c>
      <c r="K784" s="6" t="s">
        <v>930</v>
      </c>
      <c r="L784" s="6" t="s">
        <v>4509</v>
      </c>
      <c r="M784" s="6" t="s">
        <v>4537</v>
      </c>
      <c r="N784" s="6" t="s">
        <v>930</v>
      </c>
      <c r="O784" s="29">
        <f t="shared" si="13"/>
        <v>38537.1</v>
      </c>
      <c r="Q784" s="30" t="s">
        <v>930</v>
      </c>
      <c r="R784" s="31">
        <v>38537.1</v>
      </c>
    </row>
    <row r="785" s="1" customFormat="1" ht="16.35" hidden="1" customHeight="1" spans="1:18">
      <c r="A785" s="6" t="s">
        <v>4506</v>
      </c>
      <c r="B785" s="6">
        <v>2017</v>
      </c>
      <c r="C785" s="6">
        <v>9</v>
      </c>
      <c r="D785" s="7">
        <v>15</v>
      </c>
      <c r="E785" s="6" t="s">
        <v>4957</v>
      </c>
      <c r="F785" s="6" t="s">
        <v>4508</v>
      </c>
      <c r="G785" s="6" t="s">
        <v>25</v>
      </c>
      <c r="H785" s="8"/>
      <c r="I785" s="8">
        <v>95238</v>
      </c>
      <c r="J785" s="6" t="s">
        <v>3836</v>
      </c>
      <c r="K785" s="6" t="s">
        <v>122</v>
      </c>
      <c r="L785" s="6" t="s">
        <v>4509</v>
      </c>
      <c r="M785" s="6" t="s">
        <v>4537</v>
      </c>
      <c r="N785" s="6" t="s">
        <v>122</v>
      </c>
      <c r="O785" s="29">
        <f t="shared" si="13"/>
        <v>99999.9</v>
      </c>
      <c r="Q785" s="30" t="s">
        <v>122</v>
      </c>
      <c r="R785" s="31">
        <v>99999.9</v>
      </c>
    </row>
    <row r="786" s="1" customFormat="1" ht="16.35" hidden="1" customHeight="1" spans="1:18">
      <c r="A786" s="6" t="s">
        <v>4506</v>
      </c>
      <c r="B786" s="6">
        <v>2017</v>
      </c>
      <c r="C786" s="6">
        <v>9</v>
      </c>
      <c r="D786" s="7">
        <v>18</v>
      </c>
      <c r="E786" s="6" t="s">
        <v>4958</v>
      </c>
      <c r="F786" s="6" t="s">
        <v>4508</v>
      </c>
      <c r="G786" s="6" t="s">
        <v>25</v>
      </c>
      <c r="H786" s="8"/>
      <c r="I786" s="8">
        <v>9524</v>
      </c>
      <c r="J786" s="6" t="s">
        <v>4959</v>
      </c>
      <c r="K786" s="6" t="s">
        <v>921</v>
      </c>
      <c r="L786" s="6" t="s">
        <v>4509</v>
      </c>
      <c r="M786" s="6" t="s">
        <v>4537</v>
      </c>
      <c r="N786" s="6" t="s">
        <v>921</v>
      </c>
      <c r="O786" s="29">
        <f t="shared" si="13"/>
        <v>10000.2</v>
      </c>
      <c r="Q786" s="30" t="s">
        <v>921</v>
      </c>
      <c r="R786" s="31">
        <v>10000.2</v>
      </c>
    </row>
    <row r="787" s="1" customFormat="1" ht="16.35" hidden="1" customHeight="1" spans="1:18">
      <c r="A787" s="6" t="s">
        <v>4506</v>
      </c>
      <c r="B787" s="6">
        <v>2017</v>
      </c>
      <c r="C787" s="6">
        <v>9</v>
      </c>
      <c r="D787" s="7">
        <v>20</v>
      </c>
      <c r="E787" s="6" t="s">
        <v>4958</v>
      </c>
      <c r="F787" s="6" t="s">
        <v>4508</v>
      </c>
      <c r="G787" s="6" t="s">
        <v>25</v>
      </c>
      <c r="H787" s="8"/>
      <c r="I787" s="8">
        <v>14387</v>
      </c>
      <c r="J787" s="6" t="s">
        <v>4959</v>
      </c>
      <c r="K787" s="6" t="s">
        <v>921</v>
      </c>
      <c r="L787" s="6" t="s">
        <v>4509</v>
      </c>
      <c r="M787" s="6" t="s">
        <v>4537</v>
      </c>
      <c r="N787" s="6" t="s">
        <v>921</v>
      </c>
      <c r="O787" s="29">
        <f t="shared" si="13"/>
        <v>15106.35</v>
      </c>
      <c r="Q787" s="30" t="s">
        <v>921</v>
      </c>
      <c r="R787" s="31">
        <v>15106.35</v>
      </c>
    </row>
    <row r="788" s="1" customFormat="1" ht="16.35" hidden="1" customHeight="1" spans="1:18">
      <c r="A788" s="6" t="s">
        <v>4506</v>
      </c>
      <c r="B788" s="6">
        <v>2017</v>
      </c>
      <c r="C788" s="6">
        <v>9</v>
      </c>
      <c r="D788" s="7">
        <v>22</v>
      </c>
      <c r="E788" s="6" t="s">
        <v>4960</v>
      </c>
      <c r="F788" s="6" t="s">
        <v>4508</v>
      </c>
      <c r="G788" s="6" t="s">
        <v>25</v>
      </c>
      <c r="H788" s="8"/>
      <c r="I788" s="8">
        <v>1905</v>
      </c>
      <c r="J788" s="6" t="s">
        <v>4961</v>
      </c>
      <c r="K788" s="6" t="s">
        <v>769</v>
      </c>
      <c r="L788" s="6" t="s">
        <v>4509</v>
      </c>
      <c r="M788" s="6" t="s">
        <v>4537</v>
      </c>
      <c r="N788" s="6" t="s">
        <v>769</v>
      </c>
      <c r="O788" s="29">
        <f t="shared" si="13"/>
        <v>2000.25</v>
      </c>
      <c r="Q788" s="30" t="s">
        <v>769</v>
      </c>
      <c r="R788" s="31">
        <v>2000.25</v>
      </c>
    </row>
    <row r="789" s="1" customFormat="1" ht="16.35" hidden="1" customHeight="1" spans="1:18">
      <c r="A789" s="6" t="s">
        <v>4506</v>
      </c>
      <c r="B789" s="6">
        <v>2017</v>
      </c>
      <c r="C789" s="6">
        <v>10</v>
      </c>
      <c r="D789" s="7">
        <v>2</v>
      </c>
      <c r="E789" s="6" t="s">
        <v>4952</v>
      </c>
      <c r="F789" s="6" t="s">
        <v>4508</v>
      </c>
      <c r="G789" s="6" t="s">
        <v>25</v>
      </c>
      <c r="H789" s="8"/>
      <c r="I789" s="8">
        <v>219048</v>
      </c>
      <c r="J789" s="6" t="s">
        <v>3487</v>
      </c>
      <c r="K789" s="6" t="s">
        <v>880</v>
      </c>
      <c r="L789" s="6" t="s">
        <v>4509</v>
      </c>
      <c r="M789" s="6" t="s">
        <v>4537</v>
      </c>
      <c r="N789" s="6" t="s">
        <v>880</v>
      </c>
      <c r="O789" s="29">
        <f t="shared" si="13"/>
        <v>230000.4</v>
      </c>
      <c r="Q789" s="30" t="s">
        <v>880</v>
      </c>
      <c r="R789" s="31">
        <v>230000.4</v>
      </c>
    </row>
    <row r="790" s="1" customFormat="1" ht="16.35" hidden="1" customHeight="1" spans="1:18">
      <c r="A790" s="6" t="s">
        <v>4506</v>
      </c>
      <c r="B790" s="6">
        <v>2017</v>
      </c>
      <c r="C790" s="6">
        <v>10</v>
      </c>
      <c r="D790" s="7">
        <v>3</v>
      </c>
      <c r="E790" s="6" t="s">
        <v>4962</v>
      </c>
      <c r="F790" s="6" t="s">
        <v>4508</v>
      </c>
      <c r="G790" s="6" t="s">
        <v>25</v>
      </c>
      <c r="H790" s="8"/>
      <c r="I790" s="8">
        <v>126667</v>
      </c>
      <c r="J790" s="6" t="s">
        <v>3920</v>
      </c>
      <c r="K790" s="6" t="s">
        <v>4943</v>
      </c>
      <c r="L790" s="6" t="s">
        <v>4509</v>
      </c>
      <c r="M790" s="6" t="s">
        <v>4537</v>
      </c>
      <c r="N790" s="6" t="s">
        <v>4944</v>
      </c>
      <c r="O790" s="29">
        <f t="shared" si="13"/>
        <v>133000.35</v>
      </c>
      <c r="Q790" s="30" t="s">
        <v>4944</v>
      </c>
      <c r="R790" s="31">
        <v>133000.35</v>
      </c>
    </row>
    <row r="791" s="1" customFormat="1" ht="16.35" hidden="1" customHeight="1" spans="1:18">
      <c r="A791" s="6" t="s">
        <v>4506</v>
      </c>
      <c r="B791" s="6">
        <v>2017</v>
      </c>
      <c r="C791" s="6">
        <v>10</v>
      </c>
      <c r="D791" s="7">
        <v>4</v>
      </c>
      <c r="E791" s="6" t="s">
        <v>4963</v>
      </c>
      <c r="F791" s="6" t="s">
        <v>4508</v>
      </c>
      <c r="G791" s="6" t="s">
        <v>25</v>
      </c>
      <c r="H791" s="8"/>
      <c r="I791" s="8">
        <v>-161905</v>
      </c>
      <c r="J791" s="6" t="s">
        <v>3257</v>
      </c>
      <c r="K791" s="6" t="s">
        <v>828</v>
      </c>
      <c r="L791" s="6" t="s">
        <v>4509</v>
      </c>
      <c r="M791" s="6" t="s">
        <v>4537</v>
      </c>
      <c r="N791" s="6" t="s">
        <v>828</v>
      </c>
      <c r="O791" s="29">
        <f t="shared" si="13"/>
        <v>-170000.25</v>
      </c>
      <c r="Q791" s="30" t="s">
        <v>828</v>
      </c>
      <c r="R791" s="31">
        <v>-170000.25</v>
      </c>
    </row>
    <row r="792" s="1" customFormat="1" ht="16.35" hidden="1" customHeight="1" spans="1:18">
      <c r="A792" s="6" t="s">
        <v>4506</v>
      </c>
      <c r="B792" s="6">
        <v>2017</v>
      </c>
      <c r="C792" s="6">
        <v>10</v>
      </c>
      <c r="D792" s="7">
        <v>5</v>
      </c>
      <c r="E792" s="6" t="s">
        <v>4964</v>
      </c>
      <c r="F792" s="6" t="s">
        <v>4508</v>
      </c>
      <c r="G792" s="6" t="s">
        <v>25</v>
      </c>
      <c r="H792" s="8"/>
      <c r="I792" s="8">
        <v>81905</v>
      </c>
      <c r="J792" s="6" t="s">
        <v>3920</v>
      </c>
      <c r="K792" s="6" t="s">
        <v>4943</v>
      </c>
      <c r="L792" s="6" t="s">
        <v>4509</v>
      </c>
      <c r="M792" s="6" t="s">
        <v>4537</v>
      </c>
      <c r="N792" s="6" t="s">
        <v>4944</v>
      </c>
      <c r="O792" s="29">
        <f t="shared" si="13"/>
        <v>86000.25</v>
      </c>
      <c r="Q792" s="30" t="s">
        <v>4944</v>
      </c>
      <c r="R792" s="31">
        <v>86000.25</v>
      </c>
    </row>
    <row r="793" s="1" customFormat="1" ht="16.35" hidden="1" customHeight="1" spans="1:18">
      <c r="A793" s="6" t="s">
        <v>4506</v>
      </c>
      <c r="B793" s="6">
        <v>2017</v>
      </c>
      <c r="C793" s="6">
        <v>10</v>
      </c>
      <c r="D793" s="7">
        <v>7</v>
      </c>
      <c r="E793" s="6" t="s">
        <v>4965</v>
      </c>
      <c r="F793" s="6" t="s">
        <v>4508</v>
      </c>
      <c r="G793" s="6" t="s">
        <v>25</v>
      </c>
      <c r="H793" s="8"/>
      <c r="I793" s="8">
        <v>36702</v>
      </c>
      <c r="J793" s="6" t="s">
        <v>4966</v>
      </c>
      <c r="K793" s="6" t="s">
        <v>916</v>
      </c>
      <c r="L793" s="6" t="s">
        <v>4509</v>
      </c>
      <c r="M793" s="6" t="s">
        <v>4537</v>
      </c>
      <c r="N793" s="6" t="s">
        <v>916</v>
      </c>
      <c r="O793" s="29">
        <f t="shared" ref="O793:O856" si="14">I793*1.05</f>
        <v>38537.1</v>
      </c>
      <c r="Q793" s="30" t="s">
        <v>916</v>
      </c>
      <c r="R793" s="31">
        <v>38537.1</v>
      </c>
    </row>
    <row r="794" s="1" customFormat="1" ht="16.35" hidden="1" customHeight="1" spans="1:18">
      <c r="A794" s="6" t="s">
        <v>4506</v>
      </c>
      <c r="B794" s="6">
        <v>2017</v>
      </c>
      <c r="C794" s="6">
        <v>10</v>
      </c>
      <c r="D794" s="7">
        <v>7</v>
      </c>
      <c r="E794" s="6" t="s">
        <v>4967</v>
      </c>
      <c r="F794" s="6" t="s">
        <v>4508</v>
      </c>
      <c r="G794" s="6" t="s">
        <v>25</v>
      </c>
      <c r="H794" s="8"/>
      <c r="I794" s="8">
        <v>32199</v>
      </c>
      <c r="J794" s="6" t="s">
        <v>4968</v>
      </c>
      <c r="K794" s="6" t="s">
        <v>918</v>
      </c>
      <c r="L794" s="6" t="s">
        <v>4509</v>
      </c>
      <c r="M794" s="6" t="s">
        <v>4537</v>
      </c>
      <c r="N794" s="6" t="s">
        <v>918</v>
      </c>
      <c r="O794" s="29">
        <f t="shared" si="14"/>
        <v>33808.95</v>
      </c>
      <c r="Q794" s="30" t="s">
        <v>918</v>
      </c>
      <c r="R794" s="31">
        <v>33808.95</v>
      </c>
    </row>
    <row r="795" s="1" customFormat="1" ht="16.35" hidden="1" customHeight="1" spans="1:18">
      <c r="A795" s="6" t="s">
        <v>4506</v>
      </c>
      <c r="B795" s="6">
        <v>2017</v>
      </c>
      <c r="C795" s="6">
        <v>10</v>
      </c>
      <c r="D795" s="7">
        <v>8</v>
      </c>
      <c r="E795" s="6" t="s">
        <v>4969</v>
      </c>
      <c r="F795" s="6" t="s">
        <v>4508</v>
      </c>
      <c r="G795" s="6" t="s">
        <v>25</v>
      </c>
      <c r="H795" s="8"/>
      <c r="I795" s="8">
        <v>9524</v>
      </c>
      <c r="J795" s="6" t="s">
        <v>3161</v>
      </c>
      <c r="K795" s="6" t="s">
        <v>834</v>
      </c>
      <c r="L795" s="6" t="s">
        <v>4509</v>
      </c>
      <c r="M795" s="6" t="s">
        <v>4537</v>
      </c>
      <c r="N795" s="6" t="s">
        <v>834</v>
      </c>
      <c r="O795" s="29">
        <f t="shared" si="14"/>
        <v>10000.2</v>
      </c>
      <c r="Q795" s="30" t="s">
        <v>834</v>
      </c>
      <c r="R795" s="31">
        <v>10000.2</v>
      </c>
    </row>
    <row r="796" s="1" customFormat="1" ht="16.35" hidden="1" customHeight="1" spans="1:18">
      <c r="A796" s="6" t="s">
        <v>4506</v>
      </c>
      <c r="B796" s="6">
        <v>2017</v>
      </c>
      <c r="C796" s="6">
        <v>10</v>
      </c>
      <c r="D796" s="7">
        <v>9</v>
      </c>
      <c r="E796" s="6" t="s">
        <v>4969</v>
      </c>
      <c r="F796" s="6" t="s">
        <v>4508</v>
      </c>
      <c r="G796" s="6" t="s">
        <v>25</v>
      </c>
      <c r="H796" s="8"/>
      <c r="I796" s="8">
        <v>135483</v>
      </c>
      <c r="J796" s="6" t="s">
        <v>3161</v>
      </c>
      <c r="K796" s="6" t="s">
        <v>834</v>
      </c>
      <c r="L796" s="6" t="s">
        <v>4509</v>
      </c>
      <c r="M796" s="6" t="s">
        <v>4537</v>
      </c>
      <c r="N796" s="6" t="s">
        <v>834</v>
      </c>
      <c r="O796" s="29">
        <f t="shared" si="14"/>
        <v>142257.15</v>
      </c>
      <c r="Q796" s="30" t="s">
        <v>834</v>
      </c>
      <c r="R796" s="31">
        <v>142257.15</v>
      </c>
    </row>
    <row r="797" s="1" customFormat="1" ht="16.35" hidden="1" customHeight="1" spans="1:18">
      <c r="A797" s="6" t="s">
        <v>4506</v>
      </c>
      <c r="B797" s="6">
        <v>2017</v>
      </c>
      <c r="C797" s="6">
        <v>10</v>
      </c>
      <c r="D797" s="7">
        <v>10</v>
      </c>
      <c r="E797" s="6" t="s">
        <v>4970</v>
      </c>
      <c r="F797" s="6" t="s">
        <v>4508</v>
      </c>
      <c r="G797" s="6" t="s">
        <v>25</v>
      </c>
      <c r="H797" s="8"/>
      <c r="I797" s="8">
        <v>57354</v>
      </c>
      <c r="J797" s="6" t="s">
        <v>3525</v>
      </c>
      <c r="K797" s="6" t="s">
        <v>832</v>
      </c>
      <c r="L797" s="6" t="s">
        <v>4509</v>
      </c>
      <c r="M797" s="6" t="s">
        <v>4537</v>
      </c>
      <c r="N797" s="6" t="s">
        <v>832</v>
      </c>
      <c r="O797" s="29">
        <f t="shared" si="14"/>
        <v>60221.7</v>
      </c>
      <c r="Q797" s="30" t="s">
        <v>832</v>
      </c>
      <c r="R797" s="31">
        <v>60221.7</v>
      </c>
    </row>
    <row r="798" s="1" customFormat="1" ht="16.35" hidden="1" customHeight="1" spans="1:18">
      <c r="A798" s="6" t="s">
        <v>4506</v>
      </c>
      <c r="B798" s="6">
        <v>2017</v>
      </c>
      <c r="C798" s="6">
        <v>10</v>
      </c>
      <c r="D798" s="7">
        <v>11</v>
      </c>
      <c r="E798" s="6" t="s">
        <v>4971</v>
      </c>
      <c r="F798" s="6" t="s">
        <v>4508</v>
      </c>
      <c r="G798" s="6" t="s">
        <v>25</v>
      </c>
      <c r="H798" s="8"/>
      <c r="I798" s="8">
        <v>561905</v>
      </c>
      <c r="J798" s="6" t="s">
        <v>3895</v>
      </c>
      <c r="K798" s="6" t="s">
        <v>665</v>
      </c>
      <c r="L798" s="6" t="s">
        <v>4509</v>
      </c>
      <c r="M798" s="6" t="s">
        <v>4537</v>
      </c>
      <c r="N798" s="6" t="s">
        <v>665</v>
      </c>
      <c r="O798" s="29">
        <f t="shared" si="14"/>
        <v>590000.25</v>
      </c>
      <c r="Q798" s="30" t="s">
        <v>665</v>
      </c>
      <c r="R798" s="31">
        <v>590000.25</v>
      </c>
    </row>
    <row r="799" s="1" customFormat="1" ht="16.35" hidden="1" customHeight="1" spans="1:18">
      <c r="A799" s="6" t="s">
        <v>4506</v>
      </c>
      <c r="B799" s="6">
        <v>2017</v>
      </c>
      <c r="C799" s="6">
        <v>10</v>
      </c>
      <c r="D799" s="7">
        <v>12</v>
      </c>
      <c r="E799" s="6" t="s">
        <v>4972</v>
      </c>
      <c r="F799" s="6" t="s">
        <v>4508</v>
      </c>
      <c r="G799" s="6" t="s">
        <v>25</v>
      </c>
      <c r="H799" s="8"/>
      <c r="I799" s="8">
        <v>9524</v>
      </c>
      <c r="J799" s="6" t="s">
        <v>4973</v>
      </c>
      <c r="K799" s="6" t="s">
        <v>949</v>
      </c>
      <c r="L799" s="6" t="s">
        <v>4509</v>
      </c>
      <c r="M799" s="6" t="s">
        <v>4537</v>
      </c>
      <c r="N799" s="6" t="s">
        <v>949</v>
      </c>
      <c r="O799" s="29">
        <f t="shared" si="14"/>
        <v>10000.2</v>
      </c>
      <c r="Q799" s="30" t="s">
        <v>949</v>
      </c>
      <c r="R799" s="31">
        <v>10000.2</v>
      </c>
    </row>
    <row r="800" s="1" customFormat="1" ht="16.35" hidden="1" customHeight="1" spans="1:18">
      <c r="A800" s="6" t="s">
        <v>4506</v>
      </c>
      <c r="B800" s="6">
        <v>2017</v>
      </c>
      <c r="C800" s="6">
        <v>10</v>
      </c>
      <c r="D800" s="7">
        <v>16</v>
      </c>
      <c r="E800" s="6" t="s">
        <v>4974</v>
      </c>
      <c r="F800" s="6" t="s">
        <v>4508</v>
      </c>
      <c r="G800" s="6" t="s">
        <v>25</v>
      </c>
      <c r="H800" s="8"/>
      <c r="I800" s="8">
        <v>16030</v>
      </c>
      <c r="J800" s="6" t="s">
        <v>4973</v>
      </c>
      <c r="K800" s="6" t="s">
        <v>949</v>
      </c>
      <c r="L800" s="6" t="s">
        <v>4509</v>
      </c>
      <c r="M800" s="6" t="s">
        <v>4537</v>
      </c>
      <c r="N800" s="6" t="s">
        <v>949</v>
      </c>
      <c r="O800" s="29">
        <f t="shared" si="14"/>
        <v>16831.5</v>
      </c>
      <c r="Q800" s="30" t="s">
        <v>949</v>
      </c>
      <c r="R800" s="31">
        <v>16831.5</v>
      </c>
    </row>
    <row r="801" s="1" customFormat="1" ht="16.35" hidden="1" customHeight="1" spans="1:18">
      <c r="A801" s="6" t="s">
        <v>4506</v>
      </c>
      <c r="B801" s="6">
        <v>2017</v>
      </c>
      <c r="C801" s="6">
        <v>10</v>
      </c>
      <c r="D801" s="7">
        <v>24</v>
      </c>
      <c r="E801" s="6" t="s">
        <v>4975</v>
      </c>
      <c r="F801" s="6" t="s">
        <v>4508</v>
      </c>
      <c r="G801" s="6" t="s">
        <v>25</v>
      </c>
      <c r="H801" s="8"/>
      <c r="I801" s="8">
        <v>123810</v>
      </c>
      <c r="J801" s="6" t="s">
        <v>4951</v>
      </c>
      <c r="K801" s="6" t="s">
        <v>697</v>
      </c>
      <c r="L801" s="6" t="s">
        <v>4509</v>
      </c>
      <c r="M801" s="6" t="s">
        <v>4537</v>
      </c>
      <c r="N801" s="6" t="s">
        <v>697</v>
      </c>
      <c r="O801" s="29">
        <f t="shared" si="14"/>
        <v>130000.5</v>
      </c>
      <c r="Q801" s="30" t="s">
        <v>697</v>
      </c>
      <c r="R801" s="31">
        <v>130000.5</v>
      </c>
    </row>
    <row r="802" s="1" customFormat="1" ht="16.35" hidden="1" customHeight="1" spans="1:18">
      <c r="A802" s="6" t="s">
        <v>4506</v>
      </c>
      <c r="B802" s="6">
        <v>2017</v>
      </c>
      <c r="C802" s="6">
        <v>10</v>
      </c>
      <c r="D802" s="7">
        <v>25</v>
      </c>
      <c r="E802" s="6" t="s">
        <v>4976</v>
      </c>
      <c r="F802" s="6" t="s">
        <v>4508</v>
      </c>
      <c r="G802" s="6" t="s">
        <v>25</v>
      </c>
      <c r="H802" s="8"/>
      <c r="I802" s="8">
        <v>57353</v>
      </c>
      <c r="J802" s="6" t="s">
        <v>3931</v>
      </c>
      <c r="K802" s="6" t="s">
        <v>830</v>
      </c>
      <c r="L802" s="6" t="s">
        <v>4509</v>
      </c>
      <c r="M802" s="6" t="s">
        <v>4537</v>
      </c>
      <c r="N802" s="6" t="s">
        <v>830</v>
      </c>
      <c r="O802" s="29">
        <f t="shared" si="14"/>
        <v>60220.65</v>
      </c>
      <c r="Q802" s="30" t="s">
        <v>830</v>
      </c>
      <c r="R802" s="31">
        <v>60220.65</v>
      </c>
    </row>
    <row r="803" s="1" customFormat="1" ht="16.35" hidden="1" customHeight="1" spans="1:18">
      <c r="A803" s="6" t="s">
        <v>4506</v>
      </c>
      <c r="B803" s="6">
        <v>2017</v>
      </c>
      <c r="C803" s="6">
        <v>10</v>
      </c>
      <c r="D803" s="7">
        <v>26</v>
      </c>
      <c r="E803" s="6" t="s">
        <v>4960</v>
      </c>
      <c r="F803" s="6" t="s">
        <v>4508</v>
      </c>
      <c r="G803" s="6" t="s">
        <v>25</v>
      </c>
      <c r="H803" s="8"/>
      <c r="I803" s="8">
        <v>58192</v>
      </c>
      <c r="J803" s="6" t="s">
        <v>4961</v>
      </c>
      <c r="K803" s="6" t="s">
        <v>769</v>
      </c>
      <c r="L803" s="6" t="s">
        <v>4509</v>
      </c>
      <c r="M803" s="6" t="s">
        <v>4537</v>
      </c>
      <c r="N803" s="6" t="s">
        <v>769</v>
      </c>
      <c r="O803" s="29">
        <f t="shared" si="14"/>
        <v>61101.6</v>
      </c>
      <c r="Q803" s="30" t="s">
        <v>769</v>
      </c>
      <c r="R803" s="31">
        <v>61101.6</v>
      </c>
    </row>
    <row r="804" s="1" customFormat="1" ht="16.35" hidden="1" customHeight="1" spans="1:18">
      <c r="A804" s="6" t="s">
        <v>4506</v>
      </c>
      <c r="B804" s="6">
        <v>2017</v>
      </c>
      <c r="C804" s="6">
        <v>10</v>
      </c>
      <c r="D804" s="7">
        <v>27</v>
      </c>
      <c r="E804" s="6" t="s">
        <v>4977</v>
      </c>
      <c r="F804" s="6" t="s">
        <v>4508</v>
      </c>
      <c r="G804" s="6" t="s">
        <v>25</v>
      </c>
      <c r="H804" s="8"/>
      <c r="I804" s="8">
        <v>9524</v>
      </c>
      <c r="J804" s="6" t="s">
        <v>3933</v>
      </c>
      <c r="K804" s="6" t="s">
        <v>705</v>
      </c>
      <c r="L804" s="6" t="s">
        <v>4509</v>
      </c>
      <c r="M804" s="6" t="s">
        <v>4537</v>
      </c>
      <c r="N804" s="6" t="s">
        <v>705</v>
      </c>
      <c r="O804" s="29">
        <f t="shared" si="14"/>
        <v>10000.2</v>
      </c>
      <c r="Q804" s="30" t="s">
        <v>705</v>
      </c>
      <c r="R804" s="31">
        <v>10000.2</v>
      </c>
    </row>
    <row r="805" s="1" customFormat="1" ht="16.35" hidden="1" customHeight="1" spans="1:18">
      <c r="A805" s="6" t="s">
        <v>4506</v>
      </c>
      <c r="B805" s="6">
        <v>2017</v>
      </c>
      <c r="C805" s="6">
        <v>10</v>
      </c>
      <c r="D805" s="7">
        <v>28</v>
      </c>
      <c r="E805" s="6" t="s">
        <v>4977</v>
      </c>
      <c r="F805" s="6" t="s">
        <v>4508</v>
      </c>
      <c r="G805" s="6" t="s">
        <v>25</v>
      </c>
      <c r="H805" s="8"/>
      <c r="I805" s="8">
        <v>49610</v>
      </c>
      <c r="J805" s="6" t="s">
        <v>3933</v>
      </c>
      <c r="K805" s="6" t="s">
        <v>705</v>
      </c>
      <c r="L805" s="6" t="s">
        <v>4509</v>
      </c>
      <c r="M805" s="6" t="s">
        <v>4537</v>
      </c>
      <c r="N805" s="6" t="s">
        <v>705</v>
      </c>
      <c r="O805" s="29">
        <f t="shared" si="14"/>
        <v>52090.5</v>
      </c>
      <c r="Q805" s="30" t="s">
        <v>705</v>
      </c>
      <c r="R805" s="31">
        <v>52090.5</v>
      </c>
    </row>
    <row r="806" s="1" customFormat="1" ht="16.35" hidden="1" customHeight="1" spans="1:18">
      <c r="A806" s="6" t="s">
        <v>4506</v>
      </c>
      <c r="B806" s="6">
        <v>2017</v>
      </c>
      <c r="C806" s="6">
        <v>10</v>
      </c>
      <c r="D806" s="7">
        <v>29</v>
      </c>
      <c r="E806" s="6" t="s">
        <v>4978</v>
      </c>
      <c r="F806" s="6" t="s">
        <v>4508</v>
      </c>
      <c r="G806" s="6" t="s">
        <v>25</v>
      </c>
      <c r="H806" s="8"/>
      <c r="I806" s="8">
        <v>28351</v>
      </c>
      <c r="J806" s="6" t="s">
        <v>3969</v>
      </c>
      <c r="K806" s="6" t="s">
        <v>903</v>
      </c>
      <c r="L806" s="6" t="s">
        <v>4509</v>
      </c>
      <c r="M806" s="6" t="s">
        <v>4537</v>
      </c>
      <c r="N806" s="6" t="s">
        <v>903</v>
      </c>
      <c r="O806" s="29">
        <f t="shared" si="14"/>
        <v>29768.55</v>
      </c>
      <c r="Q806" s="30" t="s">
        <v>903</v>
      </c>
      <c r="R806" s="31">
        <v>29768.55</v>
      </c>
    </row>
    <row r="807" s="1" customFormat="1" ht="16.35" hidden="1" customHeight="1" spans="1:18">
      <c r="A807" s="6" t="s">
        <v>4506</v>
      </c>
      <c r="B807" s="6">
        <v>2017</v>
      </c>
      <c r="C807" s="6">
        <v>10</v>
      </c>
      <c r="D807" s="7">
        <v>29</v>
      </c>
      <c r="E807" s="6" t="s">
        <v>4979</v>
      </c>
      <c r="F807" s="6" t="s">
        <v>4508</v>
      </c>
      <c r="G807" s="6" t="s">
        <v>25</v>
      </c>
      <c r="H807" s="8"/>
      <c r="I807" s="8">
        <v>-140155</v>
      </c>
      <c r="J807" s="6" t="s">
        <v>3266</v>
      </c>
      <c r="K807" s="6" t="s">
        <v>953</v>
      </c>
      <c r="L807" s="6" t="s">
        <v>4509</v>
      </c>
      <c r="M807" s="6" t="s">
        <v>4537</v>
      </c>
      <c r="N807" s="6" t="s">
        <v>953</v>
      </c>
      <c r="O807" s="29">
        <f t="shared" si="14"/>
        <v>-147162.75</v>
      </c>
      <c r="Q807" s="30" t="s">
        <v>953</v>
      </c>
      <c r="R807" s="31">
        <v>-147162.75</v>
      </c>
    </row>
    <row r="808" s="1" customFormat="1" ht="16.35" hidden="1" customHeight="1" spans="1:18">
      <c r="A808" s="6" t="s">
        <v>4506</v>
      </c>
      <c r="B808" s="6">
        <v>2017</v>
      </c>
      <c r="C808" s="6">
        <v>10</v>
      </c>
      <c r="D808" s="7">
        <v>29</v>
      </c>
      <c r="E808" s="6" t="s">
        <v>4979</v>
      </c>
      <c r="F808" s="6" t="s">
        <v>4508</v>
      </c>
      <c r="G808" s="6" t="s">
        <v>25</v>
      </c>
      <c r="H808" s="8"/>
      <c r="I808" s="8">
        <v>140155</v>
      </c>
      <c r="J808" s="6" t="s">
        <v>3969</v>
      </c>
      <c r="K808" s="6" t="s">
        <v>903</v>
      </c>
      <c r="L808" s="6" t="s">
        <v>4509</v>
      </c>
      <c r="M808" s="6" t="s">
        <v>4537</v>
      </c>
      <c r="N808" s="6" t="s">
        <v>903</v>
      </c>
      <c r="O808" s="29">
        <f t="shared" si="14"/>
        <v>147162.75</v>
      </c>
      <c r="Q808" s="30" t="s">
        <v>903</v>
      </c>
      <c r="R808" s="31">
        <v>147162.75</v>
      </c>
    </row>
    <row r="809" s="1" customFormat="1" ht="16.35" hidden="1" customHeight="1" spans="1:18">
      <c r="A809" s="6" t="s">
        <v>4506</v>
      </c>
      <c r="B809" s="6">
        <v>2017</v>
      </c>
      <c r="C809" s="6">
        <v>10</v>
      </c>
      <c r="D809" s="7">
        <v>34</v>
      </c>
      <c r="E809" s="6" t="s">
        <v>4980</v>
      </c>
      <c r="F809" s="6" t="s">
        <v>4508</v>
      </c>
      <c r="G809" s="6" t="s">
        <v>25</v>
      </c>
      <c r="H809" s="8"/>
      <c r="I809" s="8">
        <v>36571</v>
      </c>
      <c r="J809" s="6" t="s">
        <v>3941</v>
      </c>
      <c r="K809" s="6" t="s">
        <v>942</v>
      </c>
      <c r="L809" s="6" t="s">
        <v>4509</v>
      </c>
      <c r="M809" s="6" t="s">
        <v>4537</v>
      </c>
      <c r="N809" s="6" t="s">
        <v>942</v>
      </c>
      <c r="O809" s="29">
        <f t="shared" si="14"/>
        <v>38399.55</v>
      </c>
      <c r="Q809" s="30" t="s">
        <v>942</v>
      </c>
      <c r="R809" s="31">
        <v>38399.55</v>
      </c>
    </row>
    <row r="810" s="1" customFormat="1" ht="16.35" hidden="1" customHeight="1" spans="1:18">
      <c r="A810" s="6" t="s">
        <v>4506</v>
      </c>
      <c r="B810" s="6">
        <v>2017</v>
      </c>
      <c r="C810" s="6">
        <v>11</v>
      </c>
      <c r="D810" s="7">
        <v>1</v>
      </c>
      <c r="E810" s="6" t="s">
        <v>4981</v>
      </c>
      <c r="F810" s="6" t="s">
        <v>4508</v>
      </c>
      <c r="G810" s="6" t="s">
        <v>25</v>
      </c>
      <c r="H810" s="8"/>
      <c r="I810" s="8">
        <v>533333</v>
      </c>
      <c r="J810" s="6" t="s">
        <v>3844</v>
      </c>
      <c r="K810" s="6" t="s">
        <v>660</v>
      </c>
      <c r="L810" s="6" t="s">
        <v>4509</v>
      </c>
      <c r="M810" s="6" t="s">
        <v>4537</v>
      </c>
      <c r="N810" s="6" t="s">
        <v>660</v>
      </c>
      <c r="O810" s="29">
        <f t="shared" si="14"/>
        <v>559999.65</v>
      </c>
      <c r="Q810" s="30" t="s">
        <v>660</v>
      </c>
      <c r="R810" s="31">
        <v>559999.65</v>
      </c>
    </row>
    <row r="811" s="1" customFormat="1" ht="16.35" hidden="1" customHeight="1" spans="1:18">
      <c r="A811" s="6" t="s">
        <v>4506</v>
      </c>
      <c r="B811" s="6">
        <v>2017</v>
      </c>
      <c r="C811" s="6">
        <v>11</v>
      </c>
      <c r="D811" s="7">
        <v>5</v>
      </c>
      <c r="E811" s="6" t="s">
        <v>4982</v>
      </c>
      <c r="F811" s="6" t="s">
        <v>4508</v>
      </c>
      <c r="G811" s="6" t="s">
        <v>25</v>
      </c>
      <c r="H811" s="8"/>
      <c r="I811" s="8">
        <v>247619</v>
      </c>
      <c r="J811" s="6" t="s">
        <v>3881</v>
      </c>
      <c r="K811" s="6" t="s">
        <v>666</v>
      </c>
      <c r="L811" s="6" t="s">
        <v>4509</v>
      </c>
      <c r="M811" s="6" t="s">
        <v>4537</v>
      </c>
      <c r="N811" s="6" t="s">
        <v>666</v>
      </c>
      <c r="O811" s="29">
        <f t="shared" si="14"/>
        <v>259999.95</v>
      </c>
      <c r="Q811" s="30" t="s">
        <v>666</v>
      </c>
      <c r="R811" s="31">
        <v>259999.95</v>
      </c>
    </row>
    <row r="812" s="1" customFormat="1" ht="16.35" hidden="1" customHeight="1" spans="1:18">
      <c r="A812" s="6" t="s">
        <v>4506</v>
      </c>
      <c r="B812" s="6">
        <v>2017</v>
      </c>
      <c r="C812" s="6">
        <v>11</v>
      </c>
      <c r="D812" s="7">
        <v>10</v>
      </c>
      <c r="E812" s="6" t="s">
        <v>4983</v>
      </c>
      <c r="F812" s="6" t="s">
        <v>4508</v>
      </c>
      <c r="G812" s="6" t="s">
        <v>25</v>
      </c>
      <c r="H812" s="8"/>
      <c r="I812" s="8">
        <v>4762</v>
      </c>
      <c r="J812" s="6" t="s">
        <v>3866</v>
      </c>
      <c r="K812" s="6" t="s">
        <v>957</v>
      </c>
      <c r="L812" s="6" t="s">
        <v>4509</v>
      </c>
      <c r="M812" s="6" t="s">
        <v>4537</v>
      </c>
      <c r="N812" s="6" t="s">
        <v>957</v>
      </c>
      <c r="O812" s="29">
        <f t="shared" si="14"/>
        <v>5000.1</v>
      </c>
      <c r="Q812" s="30" t="s">
        <v>957</v>
      </c>
      <c r="R812" s="31">
        <v>5000.1</v>
      </c>
    </row>
    <row r="813" s="1" customFormat="1" ht="16.35" hidden="1" customHeight="1" spans="1:18">
      <c r="A813" s="6" t="s">
        <v>4506</v>
      </c>
      <c r="B813" s="6">
        <v>2017</v>
      </c>
      <c r="C813" s="6">
        <v>11</v>
      </c>
      <c r="D813" s="7">
        <v>11</v>
      </c>
      <c r="E813" s="6" t="s">
        <v>4984</v>
      </c>
      <c r="F813" s="6" t="s">
        <v>4508</v>
      </c>
      <c r="G813" s="6" t="s">
        <v>25</v>
      </c>
      <c r="H813" s="8"/>
      <c r="I813" s="8">
        <v>4762</v>
      </c>
      <c r="J813" s="6" t="s">
        <v>3947</v>
      </c>
      <c r="K813" s="6" t="s">
        <v>959</v>
      </c>
      <c r="L813" s="6" t="s">
        <v>4509</v>
      </c>
      <c r="M813" s="6" t="s">
        <v>4537</v>
      </c>
      <c r="N813" s="6" t="s">
        <v>959</v>
      </c>
      <c r="O813" s="29">
        <f t="shared" si="14"/>
        <v>5000.1</v>
      </c>
      <c r="Q813" s="30" t="s">
        <v>959</v>
      </c>
      <c r="R813" s="31">
        <v>5000.1</v>
      </c>
    </row>
    <row r="814" s="1" customFormat="1" ht="16.35" hidden="1" customHeight="1" spans="1:18">
      <c r="A814" s="6" t="s">
        <v>4506</v>
      </c>
      <c r="B814" s="6">
        <v>2017</v>
      </c>
      <c r="C814" s="6">
        <v>11</v>
      </c>
      <c r="D814" s="7">
        <v>17</v>
      </c>
      <c r="E814" s="6" t="s">
        <v>4985</v>
      </c>
      <c r="F814" s="6" t="s">
        <v>4508</v>
      </c>
      <c r="G814" s="6" t="s">
        <v>25</v>
      </c>
      <c r="H814" s="8"/>
      <c r="I814" s="8">
        <v>27619</v>
      </c>
      <c r="J814" s="6" t="s">
        <v>3951</v>
      </c>
      <c r="K814" s="6" t="s">
        <v>940</v>
      </c>
      <c r="L814" s="6" t="s">
        <v>4509</v>
      </c>
      <c r="M814" s="6" t="s">
        <v>4537</v>
      </c>
      <c r="N814" s="6" t="s">
        <v>940</v>
      </c>
      <c r="O814" s="29">
        <f t="shared" si="14"/>
        <v>28999.95</v>
      </c>
      <c r="Q814" s="30" t="s">
        <v>940</v>
      </c>
      <c r="R814" s="31">
        <v>28999.95</v>
      </c>
    </row>
    <row r="815" s="1" customFormat="1" ht="16.35" hidden="1" customHeight="1" spans="1:18">
      <c r="A815" s="6" t="s">
        <v>4506</v>
      </c>
      <c r="B815" s="6">
        <v>2017</v>
      </c>
      <c r="C815" s="6">
        <v>11</v>
      </c>
      <c r="D815" s="7">
        <v>18</v>
      </c>
      <c r="E815" s="6" t="s">
        <v>4986</v>
      </c>
      <c r="F815" s="6" t="s">
        <v>4508</v>
      </c>
      <c r="G815" s="6" t="s">
        <v>25</v>
      </c>
      <c r="H815" s="8"/>
      <c r="I815" s="8">
        <v>36538</v>
      </c>
      <c r="J815" s="6" t="s">
        <v>3953</v>
      </c>
      <c r="K815" s="6" t="s">
        <v>955</v>
      </c>
      <c r="L815" s="6" t="s">
        <v>4509</v>
      </c>
      <c r="M815" s="6" t="s">
        <v>4537</v>
      </c>
      <c r="N815" s="6" t="s">
        <v>955</v>
      </c>
      <c r="O815" s="29">
        <f t="shared" si="14"/>
        <v>38364.9</v>
      </c>
      <c r="Q815" s="30" t="s">
        <v>955</v>
      </c>
      <c r="R815" s="31">
        <v>38364.9</v>
      </c>
    </row>
    <row r="816" s="1" customFormat="1" ht="16.35" hidden="1" customHeight="1" spans="1:18">
      <c r="A816" s="6" t="s">
        <v>4506</v>
      </c>
      <c r="B816" s="6">
        <v>2017</v>
      </c>
      <c r="C816" s="6">
        <v>11</v>
      </c>
      <c r="D816" s="7">
        <v>20</v>
      </c>
      <c r="E816" s="6" t="s">
        <v>4980</v>
      </c>
      <c r="F816" s="6" t="s">
        <v>4508</v>
      </c>
      <c r="G816" s="6" t="s">
        <v>25</v>
      </c>
      <c r="H816" s="8"/>
      <c r="I816" s="8">
        <v>83810</v>
      </c>
      <c r="J816" s="6" t="s">
        <v>3941</v>
      </c>
      <c r="K816" s="6" t="s">
        <v>942</v>
      </c>
      <c r="L816" s="6" t="s">
        <v>4509</v>
      </c>
      <c r="M816" s="6" t="s">
        <v>4537</v>
      </c>
      <c r="N816" s="6" t="s">
        <v>942</v>
      </c>
      <c r="O816" s="29">
        <f t="shared" si="14"/>
        <v>88000.5</v>
      </c>
      <c r="Q816" s="30" t="s">
        <v>942</v>
      </c>
      <c r="R816" s="31">
        <v>88000.5</v>
      </c>
    </row>
    <row r="817" s="1" customFormat="1" ht="16.35" hidden="1" customHeight="1" spans="1:18">
      <c r="A817" s="6" t="s">
        <v>4506</v>
      </c>
      <c r="B817" s="6">
        <v>2017</v>
      </c>
      <c r="C817" s="6">
        <v>11</v>
      </c>
      <c r="D817" s="7">
        <v>23</v>
      </c>
      <c r="E817" s="6" t="s">
        <v>4987</v>
      </c>
      <c r="F817" s="6" t="s">
        <v>4508</v>
      </c>
      <c r="G817" s="6" t="s">
        <v>25</v>
      </c>
      <c r="H817" s="8"/>
      <c r="I817" s="8">
        <v>24321</v>
      </c>
      <c r="J817" s="6" t="s">
        <v>3959</v>
      </c>
      <c r="K817" s="6" t="s">
        <v>935</v>
      </c>
      <c r="L817" s="6" t="s">
        <v>4509</v>
      </c>
      <c r="M817" s="6" t="s">
        <v>4537</v>
      </c>
      <c r="N817" s="6" t="s">
        <v>935</v>
      </c>
      <c r="O817" s="29">
        <f t="shared" si="14"/>
        <v>25537.05</v>
      </c>
      <c r="Q817" s="30" t="s">
        <v>935</v>
      </c>
      <c r="R817" s="31">
        <v>25537.05</v>
      </c>
    </row>
    <row r="818" s="1" customFormat="1" ht="16.35" hidden="1" customHeight="1" spans="1:18">
      <c r="A818" s="6" t="s">
        <v>4506</v>
      </c>
      <c r="B818" s="6">
        <v>2017</v>
      </c>
      <c r="C818" s="6">
        <v>11</v>
      </c>
      <c r="D818" s="7">
        <v>33</v>
      </c>
      <c r="E818" s="6" t="s">
        <v>4988</v>
      </c>
      <c r="F818" s="6" t="s">
        <v>4508</v>
      </c>
      <c r="G818" s="6" t="s">
        <v>25</v>
      </c>
      <c r="H818" s="8"/>
      <c r="I818" s="8">
        <v>22245</v>
      </c>
      <c r="J818" s="6" t="s">
        <v>3962</v>
      </c>
      <c r="K818" s="6" t="s">
        <v>707</v>
      </c>
      <c r="L818" s="6" t="s">
        <v>4509</v>
      </c>
      <c r="M818" s="6" t="s">
        <v>4537</v>
      </c>
      <c r="N818" s="6" t="s">
        <v>707</v>
      </c>
      <c r="O818" s="29">
        <f t="shared" si="14"/>
        <v>23357.25</v>
      </c>
      <c r="Q818" s="30" t="s">
        <v>707</v>
      </c>
      <c r="R818" s="31">
        <v>23357.25</v>
      </c>
    </row>
    <row r="819" s="1" customFormat="1" ht="16.35" hidden="1" customHeight="1" spans="1:18">
      <c r="A819" s="6" t="s">
        <v>4506</v>
      </c>
      <c r="B819" s="6">
        <v>2017</v>
      </c>
      <c r="C819" s="6">
        <v>11</v>
      </c>
      <c r="D819" s="7">
        <v>34</v>
      </c>
      <c r="E819" s="6" t="s">
        <v>4985</v>
      </c>
      <c r="F819" s="6" t="s">
        <v>4508</v>
      </c>
      <c r="G819" s="6" t="s">
        <v>25</v>
      </c>
      <c r="H819" s="8"/>
      <c r="I819" s="8">
        <v>15782</v>
      </c>
      <c r="J819" s="6" t="s">
        <v>3951</v>
      </c>
      <c r="K819" s="6" t="s">
        <v>940</v>
      </c>
      <c r="L819" s="6" t="s">
        <v>4509</v>
      </c>
      <c r="M819" s="6" t="s">
        <v>4537</v>
      </c>
      <c r="N819" s="6" t="s">
        <v>940</v>
      </c>
      <c r="O819" s="29">
        <f t="shared" si="14"/>
        <v>16571.1</v>
      </c>
      <c r="Q819" s="30" t="s">
        <v>940</v>
      </c>
      <c r="R819" s="31">
        <v>16571.1</v>
      </c>
    </row>
    <row r="820" s="1" customFormat="1" ht="16.35" hidden="1" customHeight="1" spans="1:18">
      <c r="A820" s="6" t="s">
        <v>4506</v>
      </c>
      <c r="B820" s="6">
        <v>2017</v>
      </c>
      <c r="C820" s="6">
        <v>12</v>
      </c>
      <c r="D820" s="7">
        <v>5</v>
      </c>
      <c r="E820" s="6" t="s">
        <v>4989</v>
      </c>
      <c r="F820" s="6" t="s">
        <v>4508</v>
      </c>
      <c r="G820" s="6" t="s">
        <v>25</v>
      </c>
      <c r="H820" s="8"/>
      <c r="I820" s="8">
        <v>28163</v>
      </c>
      <c r="J820" s="6" t="s">
        <v>3972</v>
      </c>
      <c r="K820" s="6" t="s">
        <v>947</v>
      </c>
      <c r="L820" s="6" t="s">
        <v>4509</v>
      </c>
      <c r="M820" s="6" t="s">
        <v>4537</v>
      </c>
      <c r="N820" s="6" t="s">
        <v>947</v>
      </c>
      <c r="O820" s="29">
        <f t="shared" si="14"/>
        <v>29571.15</v>
      </c>
      <c r="Q820" s="30" t="s">
        <v>947</v>
      </c>
      <c r="R820" s="31">
        <v>29571.15</v>
      </c>
    </row>
    <row r="821" s="1" customFormat="1" ht="16.35" hidden="1" customHeight="1" spans="1:18">
      <c r="A821" s="6" t="s">
        <v>4506</v>
      </c>
      <c r="B821" s="6">
        <v>2017</v>
      </c>
      <c r="C821" s="6">
        <v>12</v>
      </c>
      <c r="D821" s="7">
        <v>6</v>
      </c>
      <c r="E821" s="6" t="s">
        <v>4990</v>
      </c>
      <c r="F821" s="6" t="s">
        <v>4508</v>
      </c>
      <c r="G821" s="6" t="s">
        <v>25</v>
      </c>
      <c r="H821" s="8"/>
      <c r="I821" s="8">
        <v>33500</v>
      </c>
      <c r="J821" s="6" t="s">
        <v>3993</v>
      </c>
      <c r="K821" s="6" t="s">
        <v>944</v>
      </c>
      <c r="L821" s="6" t="s">
        <v>4509</v>
      </c>
      <c r="M821" s="6" t="s">
        <v>4537</v>
      </c>
      <c r="N821" s="6" t="s">
        <v>944</v>
      </c>
      <c r="O821" s="29">
        <f t="shared" si="14"/>
        <v>35175</v>
      </c>
      <c r="Q821" s="30" t="s">
        <v>944</v>
      </c>
      <c r="R821" s="31">
        <v>35175</v>
      </c>
    </row>
    <row r="822" s="1" customFormat="1" ht="16.35" hidden="1" customHeight="1" spans="1:18">
      <c r="A822" s="6" t="s">
        <v>4506</v>
      </c>
      <c r="B822" s="6">
        <v>2017</v>
      </c>
      <c r="C822" s="6">
        <v>12</v>
      </c>
      <c r="D822" s="7">
        <v>7</v>
      </c>
      <c r="E822" s="6" t="s">
        <v>4991</v>
      </c>
      <c r="F822" s="6" t="s">
        <v>4508</v>
      </c>
      <c r="G822" s="6" t="s">
        <v>25</v>
      </c>
      <c r="H822" s="8"/>
      <c r="I822" s="8">
        <v>29666</v>
      </c>
      <c r="J822" s="6" t="s">
        <v>3992</v>
      </c>
      <c r="K822" s="6" t="s">
        <v>946</v>
      </c>
      <c r="L822" s="6" t="s">
        <v>4509</v>
      </c>
      <c r="M822" s="6" t="s">
        <v>4537</v>
      </c>
      <c r="N822" s="6" t="s">
        <v>946</v>
      </c>
      <c r="O822" s="29">
        <f t="shared" si="14"/>
        <v>31149.3</v>
      </c>
      <c r="Q822" s="30" t="s">
        <v>946</v>
      </c>
      <c r="R822" s="31">
        <v>31149.3</v>
      </c>
    </row>
    <row r="823" s="1" customFormat="1" ht="16.35" hidden="1" customHeight="1" spans="1:18">
      <c r="A823" s="6" t="s">
        <v>4506</v>
      </c>
      <c r="B823" s="6">
        <v>2017</v>
      </c>
      <c r="C823" s="6">
        <v>12</v>
      </c>
      <c r="D823" s="7">
        <v>8</v>
      </c>
      <c r="E823" s="6" t="s">
        <v>4992</v>
      </c>
      <c r="F823" s="6" t="s">
        <v>4508</v>
      </c>
      <c r="G823" s="6" t="s">
        <v>25</v>
      </c>
      <c r="H823" s="8"/>
      <c r="I823" s="8">
        <v>92353</v>
      </c>
      <c r="J823" s="6" t="s">
        <v>3981</v>
      </c>
      <c r="K823" s="6" t="s">
        <v>400</v>
      </c>
      <c r="L823" s="6" t="s">
        <v>4509</v>
      </c>
      <c r="M823" s="6" t="s">
        <v>4537</v>
      </c>
      <c r="N823" s="6" t="s">
        <v>400</v>
      </c>
      <c r="O823" s="29">
        <f t="shared" si="14"/>
        <v>96970.65</v>
      </c>
      <c r="Q823" s="30" t="s">
        <v>400</v>
      </c>
      <c r="R823" s="31">
        <v>96970.65</v>
      </c>
    </row>
    <row r="824" s="1" customFormat="1" ht="16.35" hidden="1" customHeight="1" spans="1:18">
      <c r="A824" s="6" t="s">
        <v>4506</v>
      </c>
      <c r="B824" s="6">
        <v>2017</v>
      </c>
      <c r="C824" s="6">
        <v>12</v>
      </c>
      <c r="D824" s="7">
        <v>10</v>
      </c>
      <c r="E824" s="6" t="s">
        <v>4993</v>
      </c>
      <c r="F824" s="6" t="s">
        <v>4508</v>
      </c>
      <c r="G824" s="6" t="s">
        <v>25</v>
      </c>
      <c r="H824" s="8"/>
      <c r="I824" s="8">
        <v>82857</v>
      </c>
      <c r="J824" s="6" t="s">
        <v>3953</v>
      </c>
      <c r="K824" s="6" t="s">
        <v>955</v>
      </c>
      <c r="L824" s="6" t="s">
        <v>4509</v>
      </c>
      <c r="M824" s="6" t="s">
        <v>4537</v>
      </c>
      <c r="N824" s="6" t="s">
        <v>955</v>
      </c>
      <c r="O824" s="29">
        <f t="shared" si="14"/>
        <v>86999.85</v>
      </c>
      <c r="Q824" s="30" t="s">
        <v>955</v>
      </c>
      <c r="R824" s="31">
        <v>86999.85</v>
      </c>
    </row>
    <row r="825" s="1" customFormat="1" ht="16.35" hidden="1" customHeight="1" spans="1:18">
      <c r="A825" s="6" t="s">
        <v>4506</v>
      </c>
      <c r="B825" s="6">
        <v>2017</v>
      </c>
      <c r="C825" s="6">
        <v>12</v>
      </c>
      <c r="D825" s="7">
        <v>11</v>
      </c>
      <c r="E825" s="6" t="s">
        <v>4958</v>
      </c>
      <c r="F825" s="6" t="s">
        <v>4508</v>
      </c>
      <c r="G825" s="6" t="s">
        <v>25</v>
      </c>
      <c r="H825" s="8"/>
      <c r="I825" s="8">
        <v>95238</v>
      </c>
      <c r="J825" s="6" t="s">
        <v>4959</v>
      </c>
      <c r="K825" s="6" t="s">
        <v>921</v>
      </c>
      <c r="L825" s="6" t="s">
        <v>4509</v>
      </c>
      <c r="M825" s="6" t="s">
        <v>4537</v>
      </c>
      <c r="N825" s="6" t="s">
        <v>921</v>
      </c>
      <c r="O825" s="29">
        <f t="shared" si="14"/>
        <v>99999.9</v>
      </c>
      <c r="Q825" s="30" t="s">
        <v>921</v>
      </c>
      <c r="R825" s="31">
        <v>99999.9</v>
      </c>
    </row>
    <row r="826" s="1" customFormat="1" ht="16.35" hidden="1" customHeight="1" spans="1:18">
      <c r="A826" s="6" t="s">
        <v>4506</v>
      </c>
      <c r="B826" s="6">
        <v>2017</v>
      </c>
      <c r="C826" s="6">
        <v>12</v>
      </c>
      <c r="D826" s="7">
        <v>13</v>
      </c>
      <c r="E826" s="6" t="s">
        <v>4994</v>
      </c>
      <c r="F826" s="6" t="s">
        <v>4508</v>
      </c>
      <c r="G826" s="6" t="s">
        <v>25</v>
      </c>
      <c r="H826" s="8"/>
      <c r="I826" s="8">
        <v>23910</v>
      </c>
      <c r="J826" s="6" t="s">
        <v>3983</v>
      </c>
      <c r="K826" s="6" t="s">
        <v>928</v>
      </c>
      <c r="L826" s="6" t="s">
        <v>4509</v>
      </c>
      <c r="M826" s="6" t="s">
        <v>4537</v>
      </c>
      <c r="N826" s="6" t="s">
        <v>928</v>
      </c>
      <c r="O826" s="29">
        <f t="shared" si="14"/>
        <v>25105.5</v>
      </c>
      <c r="Q826" s="30" t="s">
        <v>928</v>
      </c>
      <c r="R826" s="31">
        <v>25105.5</v>
      </c>
    </row>
    <row r="827" s="1" customFormat="1" ht="16.35" hidden="1" customHeight="1" spans="1:18">
      <c r="A827" s="6" t="s">
        <v>4506</v>
      </c>
      <c r="B827" s="6">
        <v>2017</v>
      </c>
      <c r="C827" s="6">
        <v>12</v>
      </c>
      <c r="D827" s="7">
        <v>14</v>
      </c>
      <c r="E827" s="6" t="s">
        <v>4991</v>
      </c>
      <c r="F827" s="6" t="s">
        <v>4508</v>
      </c>
      <c r="G827" s="6" t="s">
        <v>25</v>
      </c>
      <c r="H827" s="8"/>
      <c r="I827" s="8">
        <v>2381</v>
      </c>
      <c r="J827" s="6" t="s">
        <v>3992</v>
      </c>
      <c r="K827" s="6" t="s">
        <v>946</v>
      </c>
      <c r="L827" s="6" t="s">
        <v>4509</v>
      </c>
      <c r="M827" s="6" t="s">
        <v>4537</v>
      </c>
      <c r="N827" s="6" t="s">
        <v>946</v>
      </c>
      <c r="O827" s="29">
        <f t="shared" si="14"/>
        <v>2500.05</v>
      </c>
      <c r="Q827" s="30" t="s">
        <v>946</v>
      </c>
      <c r="R827" s="31">
        <v>2500.05</v>
      </c>
    </row>
    <row r="828" s="1" customFormat="1" ht="16.35" hidden="1" customHeight="1" spans="1:18">
      <c r="A828" s="6" t="s">
        <v>4506</v>
      </c>
      <c r="B828" s="6">
        <v>2017</v>
      </c>
      <c r="C828" s="6">
        <v>12</v>
      </c>
      <c r="D828" s="7">
        <v>15</v>
      </c>
      <c r="E828" s="6" t="s">
        <v>4990</v>
      </c>
      <c r="F828" s="6" t="s">
        <v>4508</v>
      </c>
      <c r="G828" s="6" t="s">
        <v>25</v>
      </c>
      <c r="H828" s="8"/>
      <c r="I828" s="8">
        <v>2381</v>
      </c>
      <c r="J828" s="6" t="s">
        <v>3993</v>
      </c>
      <c r="K828" s="6" t="s">
        <v>944</v>
      </c>
      <c r="L828" s="6" t="s">
        <v>4509</v>
      </c>
      <c r="M828" s="6" t="s">
        <v>4537</v>
      </c>
      <c r="N828" s="6" t="s">
        <v>944</v>
      </c>
      <c r="O828" s="29">
        <f t="shared" si="14"/>
        <v>2500.05</v>
      </c>
      <c r="Q828" s="30" t="s">
        <v>944</v>
      </c>
      <c r="R828" s="31">
        <v>2500.05</v>
      </c>
    </row>
    <row r="829" s="1" customFormat="1" ht="16.35" hidden="1" customHeight="1" spans="1:18">
      <c r="A829" s="6" t="s">
        <v>4506</v>
      </c>
      <c r="B829" s="6">
        <v>2017</v>
      </c>
      <c r="C829" s="6">
        <v>12</v>
      </c>
      <c r="D829" s="7">
        <v>16</v>
      </c>
      <c r="E829" s="6" t="s">
        <v>4995</v>
      </c>
      <c r="F829" s="6" t="s">
        <v>4508</v>
      </c>
      <c r="G829" s="6" t="s">
        <v>25</v>
      </c>
      <c r="H829" s="8"/>
      <c r="I829" s="8">
        <v>23810</v>
      </c>
      <c r="J829" s="6" t="s">
        <v>3959</v>
      </c>
      <c r="K829" s="6" t="s">
        <v>935</v>
      </c>
      <c r="L829" s="6" t="s">
        <v>4509</v>
      </c>
      <c r="M829" s="6" t="s">
        <v>4537</v>
      </c>
      <c r="N829" s="6" t="s">
        <v>935</v>
      </c>
      <c r="O829" s="29">
        <f t="shared" si="14"/>
        <v>25000.5</v>
      </c>
      <c r="Q829" s="30" t="s">
        <v>935</v>
      </c>
      <c r="R829" s="31">
        <v>25000.5</v>
      </c>
    </row>
    <row r="830" s="1" customFormat="1" ht="16.35" hidden="1" customHeight="1" spans="1:18">
      <c r="A830" s="6" t="s">
        <v>4506</v>
      </c>
      <c r="B830" s="6">
        <v>2017</v>
      </c>
      <c r="C830" s="6">
        <v>12</v>
      </c>
      <c r="D830" s="7">
        <v>17</v>
      </c>
      <c r="E830" s="6" t="s">
        <v>4996</v>
      </c>
      <c r="F830" s="6" t="s">
        <v>4508</v>
      </c>
      <c r="G830" s="6" t="s">
        <v>25</v>
      </c>
      <c r="H830" s="8"/>
      <c r="I830" s="8">
        <v>5714</v>
      </c>
      <c r="J830" s="6" t="s">
        <v>3951</v>
      </c>
      <c r="K830" s="6" t="s">
        <v>940</v>
      </c>
      <c r="L830" s="6" t="s">
        <v>4509</v>
      </c>
      <c r="M830" s="6" t="s">
        <v>4537</v>
      </c>
      <c r="N830" s="6" t="s">
        <v>940</v>
      </c>
      <c r="O830" s="29">
        <f t="shared" si="14"/>
        <v>5999.7</v>
      </c>
      <c r="Q830" s="30" t="s">
        <v>940</v>
      </c>
      <c r="R830" s="31">
        <v>5999.7</v>
      </c>
    </row>
    <row r="831" s="1" customFormat="1" ht="16.35" hidden="1" customHeight="1" spans="1:18">
      <c r="A831" s="6" t="s">
        <v>4506</v>
      </c>
      <c r="B831" s="6">
        <v>2017</v>
      </c>
      <c r="C831" s="6">
        <v>12</v>
      </c>
      <c r="D831" s="7">
        <v>18</v>
      </c>
      <c r="E831" s="6" t="s">
        <v>4989</v>
      </c>
      <c r="F831" s="6" t="s">
        <v>4508</v>
      </c>
      <c r="G831" s="6" t="s">
        <v>25</v>
      </c>
      <c r="H831" s="8"/>
      <c r="I831" s="8">
        <v>4762</v>
      </c>
      <c r="J831" s="6" t="s">
        <v>3972</v>
      </c>
      <c r="K831" s="6" t="s">
        <v>947</v>
      </c>
      <c r="L831" s="6" t="s">
        <v>4509</v>
      </c>
      <c r="M831" s="6" t="s">
        <v>4537</v>
      </c>
      <c r="N831" s="6" t="s">
        <v>947</v>
      </c>
      <c r="O831" s="29">
        <f t="shared" si="14"/>
        <v>5000.1</v>
      </c>
      <c r="Q831" s="30" t="s">
        <v>947</v>
      </c>
      <c r="R831" s="31">
        <v>5000.1</v>
      </c>
    </row>
    <row r="832" s="1" customFormat="1" ht="16.35" hidden="1" customHeight="1" spans="1:18">
      <c r="A832" s="6" t="s">
        <v>4506</v>
      </c>
      <c r="B832" s="6">
        <v>2017</v>
      </c>
      <c r="C832" s="6">
        <v>12</v>
      </c>
      <c r="D832" s="7">
        <v>19</v>
      </c>
      <c r="E832" s="6" t="s">
        <v>4931</v>
      </c>
      <c r="F832" s="6" t="s">
        <v>4508</v>
      </c>
      <c r="G832" s="6" t="s">
        <v>25</v>
      </c>
      <c r="H832" s="8"/>
      <c r="I832" s="8">
        <v>19048</v>
      </c>
      <c r="J832" s="6" t="s">
        <v>4846</v>
      </c>
      <c r="K832" s="6" t="s">
        <v>742</v>
      </c>
      <c r="L832" s="6" t="s">
        <v>4509</v>
      </c>
      <c r="M832" s="6" t="s">
        <v>4537</v>
      </c>
      <c r="N832" s="6" t="s">
        <v>742</v>
      </c>
      <c r="O832" s="29">
        <f t="shared" si="14"/>
        <v>20000.4</v>
      </c>
      <c r="Q832" s="30" t="s">
        <v>742</v>
      </c>
      <c r="R832" s="31">
        <v>20000.4</v>
      </c>
    </row>
    <row r="833" s="1" customFormat="1" ht="16.35" hidden="1" customHeight="1" spans="1:18">
      <c r="A833" s="6" t="s">
        <v>4506</v>
      </c>
      <c r="B833" s="6">
        <v>2017</v>
      </c>
      <c r="C833" s="6">
        <v>12</v>
      </c>
      <c r="D833" s="7">
        <v>20</v>
      </c>
      <c r="E833" s="6" t="s">
        <v>4977</v>
      </c>
      <c r="F833" s="6" t="s">
        <v>4508</v>
      </c>
      <c r="G833" s="6" t="s">
        <v>25</v>
      </c>
      <c r="H833" s="8"/>
      <c r="I833" s="8">
        <v>123810</v>
      </c>
      <c r="J833" s="6" t="s">
        <v>3933</v>
      </c>
      <c r="K833" s="6" t="s">
        <v>705</v>
      </c>
      <c r="L833" s="6" t="s">
        <v>4509</v>
      </c>
      <c r="M833" s="6" t="s">
        <v>4537</v>
      </c>
      <c r="N833" s="6" t="s">
        <v>705</v>
      </c>
      <c r="O833" s="29">
        <f t="shared" si="14"/>
        <v>130000.5</v>
      </c>
      <c r="Q833" s="30" t="s">
        <v>705</v>
      </c>
      <c r="R833" s="31">
        <v>130000.5</v>
      </c>
    </row>
    <row r="834" s="1" customFormat="1" ht="16.35" hidden="1" customHeight="1" spans="1:18">
      <c r="A834" s="6" t="s">
        <v>4506</v>
      </c>
      <c r="B834" s="6">
        <v>2017</v>
      </c>
      <c r="C834" s="6">
        <v>12</v>
      </c>
      <c r="D834" s="7">
        <v>21</v>
      </c>
      <c r="E834" s="6" t="s">
        <v>4960</v>
      </c>
      <c r="F834" s="6" t="s">
        <v>4508</v>
      </c>
      <c r="G834" s="6" t="s">
        <v>25</v>
      </c>
      <c r="H834" s="8"/>
      <c r="I834" s="8">
        <v>219048</v>
      </c>
      <c r="J834" s="6" t="s">
        <v>4961</v>
      </c>
      <c r="K834" s="6" t="s">
        <v>769</v>
      </c>
      <c r="L834" s="6" t="s">
        <v>4509</v>
      </c>
      <c r="M834" s="6" t="s">
        <v>4537</v>
      </c>
      <c r="N834" s="6" t="s">
        <v>769</v>
      </c>
      <c r="O834" s="29">
        <f t="shared" si="14"/>
        <v>230000.4</v>
      </c>
      <c r="Q834" s="30" t="s">
        <v>769</v>
      </c>
      <c r="R834" s="31">
        <v>230000.4</v>
      </c>
    </row>
    <row r="835" s="1" customFormat="1" ht="16.35" hidden="1" customHeight="1" spans="1:18">
      <c r="A835" s="6" t="s">
        <v>4506</v>
      </c>
      <c r="B835" s="6">
        <v>2017</v>
      </c>
      <c r="C835" s="6">
        <v>12</v>
      </c>
      <c r="D835" s="7">
        <v>22</v>
      </c>
      <c r="E835" s="6" t="s">
        <v>4967</v>
      </c>
      <c r="F835" s="6" t="s">
        <v>4508</v>
      </c>
      <c r="G835" s="6" t="s">
        <v>25</v>
      </c>
      <c r="H835" s="8"/>
      <c r="I835" s="8">
        <v>128571</v>
      </c>
      <c r="J835" s="6" t="s">
        <v>4968</v>
      </c>
      <c r="K835" s="6" t="s">
        <v>918</v>
      </c>
      <c r="L835" s="6" t="s">
        <v>4509</v>
      </c>
      <c r="M835" s="6" t="s">
        <v>4537</v>
      </c>
      <c r="N835" s="6" t="s">
        <v>918</v>
      </c>
      <c r="O835" s="29">
        <f t="shared" si="14"/>
        <v>134999.55</v>
      </c>
      <c r="Q835" s="30" t="s">
        <v>918</v>
      </c>
      <c r="R835" s="31">
        <v>134999.55</v>
      </c>
    </row>
    <row r="836" s="1" customFormat="1" ht="16.35" hidden="1" customHeight="1" spans="1:18">
      <c r="A836" s="6" t="s">
        <v>4506</v>
      </c>
      <c r="B836" s="6">
        <v>2017</v>
      </c>
      <c r="C836" s="6">
        <v>12</v>
      </c>
      <c r="D836" s="7">
        <v>23</v>
      </c>
      <c r="E836" s="6" t="s">
        <v>4965</v>
      </c>
      <c r="F836" s="6" t="s">
        <v>4508</v>
      </c>
      <c r="G836" s="6" t="s">
        <v>25</v>
      </c>
      <c r="H836" s="8"/>
      <c r="I836" s="8">
        <v>82857</v>
      </c>
      <c r="J836" s="6" t="s">
        <v>4966</v>
      </c>
      <c r="K836" s="6" t="s">
        <v>916</v>
      </c>
      <c r="L836" s="6" t="s">
        <v>4509</v>
      </c>
      <c r="M836" s="6" t="s">
        <v>4537</v>
      </c>
      <c r="N836" s="6" t="s">
        <v>916</v>
      </c>
      <c r="O836" s="29">
        <f t="shared" si="14"/>
        <v>86999.85</v>
      </c>
      <c r="Q836" s="30" t="s">
        <v>916</v>
      </c>
      <c r="R836" s="31">
        <v>86999.85</v>
      </c>
    </row>
    <row r="837" s="1" customFormat="1" ht="16.35" hidden="1" customHeight="1" spans="1:18">
      <c r="A837" s="6" t="s">
        <v>4506</v>
      </c>
      <c r="B837" s="6">
        <v>2017</v>
      </c>
      <c r="C837" s="6">
        <v>12</v>
      </c>
      <c r="D837" s="7">
        <v>24</v>
      </c>
      <c r="E837" s="6" t="s">
        <v>4997</v>
      </c>
      <c r="F837" s="6" t="s">
        <v>4508</v>
      </c>
      <c r="G837" s="6" t="s">
        <v>25</v>
      </c>
      <c r="H837" s="8"/>
      <c r="I837" s="8">
        <v>18095</v>
      </c>
      <c r="J837" s="6" t="s">
        <v>3985</v>
      </c>
      <c r="K837" s="6" t="s">
        <v>699</v>
      </c>
      <c r="L837" s="6" t="s">
        <v>4509</v>
      </c>
      <c r="M837" s="6" t="s">
        <v>4537</v>
      </c>
      <c r="N837" s="6" t="s">
        <v>699</v>
      </c>
      <c r="O837" s="29">
        <f t="shared" si="14"/>
        <v>18999.75</v>
      </c>
      <c r="Q837" s="30" t="s">
        <v>699</v>
      </c>
      <c r="R837" s="31">
        <v>18999.75</v>
      </c>
    </row>
    <row r="838" s="1" customFormat="1" ht="16.35" hidden="1" customHeight="1" spans="1:18">
      <c r="A838" s="6" t="s">
        <v>4506</v>
      </c>
      <c r="B838" s="6">
        <v>2017</v>
      </c>
      <c r="C838" s="6">
        <v>12</v>
      </c>
      <c r="D838" s="7">
        <v>26</v>
      </c>
      <c r="E838" s="6" t="s">
        <v>4998</v>
      </c>
      <c r="F838" s="6" t="s">
        <v>4508</v>
      </c>
      <c r="G838" s="6" t="s">
        <v>25</v>
      </c>
      <c r="H838" s="8"/>
      <c r="I838" s="8">
        <v>90595</v>
      </c>
      <c r="J838" s="6" t="s">
        <v>3975</v>
      </c>
      <c r="K838" s="6" t="s">
        <v>406</v>
      </c>
      <c r="L838" s="6" t="s">
        <v>4509</v>
      </c>
      <c r="M838" s="6" t="s">
        <v>4537</v>
      </c>
      <c r="N838" s="6" t="s">
        <v>406</v>
      </c>
      <c r="O838" s="29">
        <f t="shared" si="14"/>
        <v>95124.75</v>
      </c>
      <c r="Q838" s="30" t="s">
        <v>406</v>
      </c>
      <c r="R838" s="31">
        <v>95124.75</v>
      </c>
    </row>
    <row r="839" s="1" customFormat="1" ht="16.35" hidden="1" customHeight="1" spans="1:18">
      <c r="A839" s="6" t="s">
        <v>4506</v>
      </c>
      <c r="B839" s="6">
        <v>2017</v>
      </c>
      <c r="C839" s="6">
        <v>12</v>
      </c>
      <c r="D839" s="7">
        <v>29</v>
      </c>
      <c r="E839" s="6" t="s">
        <v>4999</v>
      </c>
      <c r="F839" s="6" t="s">
        <v>4508</v>
      </c>
      <c r="G839" s="6" t="s">
        <v>25</v>
      </c>
      <c r="H839" s="8"/>
      <c r="I839" s="8">
        <v>33434</v>
      </c>
      <c r="J839" s="6" t="s">
        <v>3983</v>
      </c>
      <c r="K839" s="6" t="s">
        <v>928</v>
      </c>
      <c r="L839" s="6" t="s">
        <v>4509</v>
      </c>
      <c r="M839" s="6" t="s">
        <v>4537</v>
      </c>
      <c r="N839" s="6" t="s">
        <v>928</v>
      </c>
      <c r="O839" s="29">
        <f t="shared" si="14"/>
        <v>35105.7</v>
      </c>
      <c r="Q839" s="30" t="s">
        <v>928</v>
      </c>
      <c r="R839" s="31">
        <v>35105.7</v>
      </c>
    </row>
    <row r="840" s="1" customFormat="1" ht="16.35" hidden="1" customHeight="1" spans="1:18">
      <c r="A840" s="6" t="s">
        <v>4506</v>
      </c>
      <c r="B840" s="6">
        <v>2017</v>
      </c>
      <c r="C840" s="6">
        <v>12</v>
      </c>
      <c r="D840" s="7">
        <v>31</v>
      </c>
      <c r="E840" s="6" t="s">
        <v>4998</v>
      </c>
      <c r="F840" s="6" t="s">
        <v>4508</v>
      </c>
      <c r="G840" s="6" t="s">
        <v>25</v>
      </c>
      <c r="H840" s="8"/>
      <c r="I840" s="8">
        <v>9524</v>
      </c>
      <c r="J840" s="6" t="s">
        <v>3975</v>
      </c>
      <c r="K840" s="6" t="s">
        <v>406</v>
      </c>
      <c r="L840" s="6" t="s">
        <v>4509</v>
      </c>
      <c r="M840" s="6" t="s">
        <v>4537</v>
      </c>
      <c r="N840" s="6" t="s">
        <v>406</v>
      </c>
      <c r="O840" s="29">
        <f t="shared" si="14"/>
        <v>10000.2</v>
      </c>
      <c r="Q840" s="30" t="s">
        <v>406</v>
      </c>
      <c r="R840" s="31">
        <v>10000.2</v>
      </c>
    </row>
    <row r="841" s="1" customFormat="1" ht="16.35" hidden="1" customHeight="1" spans="1:18">
      <c r="A841" s="6" t="s">
        <v>4506</v>
      </c>
      <c r="B841" s="6">
        <v>2017</v>
      </c>
      <c r="C841" s="6">
        <v>12</v>
      </c>
      <c r="D841" s="7">
        <v>40</v>
      </c>
      <c r="E841" s="6" t="s">
        <v>4970</v>
      </c>
      <c r="F841" s="6" t="s">
        <v>4508</v>
      </c>
      <c r="G841" s="6" t="s">
        <v>25</v>
      </c>
      <c r="H841" s="8"/>
      <c r="I841" s="8">
        <v>228571</v>
      </c>
      <c r="J841" s="6" t="s">
        <v>3525</v>
      </c>
      <c r="K841" s="6" t="s">
        <v>832</v>
      </c>
      <c r="L841" s="6" t="s">
        <v>4509</v>
      </c>
      <c r="M841" s="6" t="s">
        <v>4537</v>
      </c>
      <c r="N841" s="6" t="s">
        <v>832</v>
      </c>
      <c r="O841" s="29">
        <f t="shared" si="14"/>
        <v>239999.55</v>
      </c>
      <c r="Q841" s="30" t="s">
        <v>832</v>
      </c>
      <c r="R841" s="31">
        <v>239999.55</v>
      </c>
    </row>
    <row r="842" s="1" customFormat="1" ht="16.35" hidden="1" customHeight="1" spans="1:18">
      <c r="A842" s="6" t="s">
        <v>4506</v>
      </c>
      <c r="B842" s="6">
        <v>2017</v>
      </c>
      <c r="C842" s="6">
        <v>12</v>
      </c>
      <c r="D842" s="7">
        <v>42</v>
      </c>
      <c r="E842" s="6" t="s">
        <v>5000</v>
      </c>
      <c r="F842" s="6" t="s">
        <v>4508</v>
      </c>
      <c r="G842" s="6" t="s">
        <v>25</v>
      </c>
      <c r="H842" s="8"/>
      <c r="I842" s="8">
        <v>1212</v>
      </c>
      <c r="J842" s="6" t="s">
        <v>3673</v>
      </c>
      <c r="K842" s="6" t="s">
        <v>595</v>
      </c>
      <c r="L842" s="6" t="s">
        <v>4509</v>
      </c>
      <c r="M842" s="6" t="s">
        <v>4537</v>
      </c>
      <c r="N842" s="6" t="s">
        <v>595</v>
      </c>
      <c r="O842" s="29">
        <f t="shared" si="14"/>
        <v>1272.6</v>
      </c>
      <c r="Q842" s="30" t="s">
        <v>595</v>
      </c>
      <c r="R842" s="31">
        <v>1272.6</v>
      </c>
    </row>
    <row r="843" s="1" customFormat="1" ht="16.35" hidden="1" customHeight="1" spans="1:18">
      <c r="A843" s="6" t="s">
        <v>4506</v>
      </c>
      <c r="B843" s="6">
        <v>2017</v>
      </c>
      <c r="C843" s="6">
        <v>12</v>
      </c>
      <c r="D843" s="7">
        <v>43</v>
      </c>
      <c r="E843" s="6" t="s">
        <v>5001</v>
      </c>
      <c r="F843" s="6" t="s">
        <v>4508</v>
      </c>
      <c r="G843" s="6" t="s">
        <v>25</v>
      </c>
      <c r="H843" s="8"/>
      <c r="I843" s="8">
        <v>29176</v>
      </c>
      <c r="J843" s="6" t="s">
        <v>3866</v>
      </c>
      <c r="K843" s="6" t="s">
        <v>957</v>
      </c>
      <c r="L843" s="6" t="s">
        <v>4509</v>
      </c>
      <c r="M843" s="6" t="s">
        <v>4537</v>
      </c>
      <c r="N843" s="6" t="s">
        <v>957</v>
      </c>
      <c r="O843" s="29">
        <f t="shared" si="14"/>
        <v>30634.8</v>
      </c>
      <c r="Q843" s="30" t="s">
        <v>957</v>
      </c>
      <c r="R843" s="31">
        <v>30634.8</v>
      </c>
    </row>
    <row r="844" s="1" customFormat="1" ht="16.35" hidden="1" customHeight="1" spans="1:18">
      <c r="A844" s="6" t="s">
        <v>4506</v>
      </c>
      <c r="B844" s="6">
        <v>2017</v>
      </c>
      <c r="C844" s="6">
        <v>12</v>
      </c>
      <c r="D844" s="7">
        <v>44</v>
      </c>
      <c r="E844" s="6" t="s">
        <v>5002</v>
      </c>
      <c r="F844" s="6" t="s">
        <v>4508</v>
      </c>
      <c r="G844" s="6" t="s">
        <v>25</v>
      </c>
      <c r="H844" s="8"/>
      <c r="I844" s="8">
        <v>26217</v>
      </c>
      <c r="J844" s="6" t="s">
        <v>3947</v>
      </c>
      <c r="K844" s="6" t="s">
        <v>959</v>
      </c>
      <c r="L844" s="6" t="s">
        <v>4509</v>
      </c>
      <c r="M844" s="6" t="s">
        <v>4537</v>
      </c>
      <c r="N844" s="6" t="s">
        <v>959</v>
      </c>
      <c r="O844" s="29">
        <f t="shared" si="14"/>
        <v>27527.85</v>
      </c>
      <c r="Q844" s="30" t="s">
        <v>959</v>
      </c>
      <c r="R844" s="31">
        <v>27527.85</v>
      </c>
    </row>
    <row r="845" s="1" customFormat="1" ht="16.35" hidden="1" customHeight="1" spans="1:18">
      <c r="A845" s="6" t="s">
        <v>4506</v>
      </c>
      <c r="B845" s="6">
        <v>2018</v>
      </c>
      <c r="C845" s="6">
        <v>1</v>
      </c>
      <c r="D845" s="7">
        <v>1</v>
      </c>
      <c r="E845" s="6" t="s">
        <v>5003</v>
      </c>
      <c r="F845" s="6" t="s">
        <v>4508</v>
      </c>
      <c r="G845" s="6" t="s">
        <v>25</v>
      </c>
      <c r="H845" s="8"/>
      <c r="I845" s="8">
        <v>111429</v>
      </c>
      <c r="J845" s="6" t="s">
        <v>3951</v>
      </c>
      <c r="K845" s="6" t="s">
        <v>940</v>
      </c>
      <c r="L845" s="6" t="s">
        <v>4509</v>
      </c>
      <c r="M845" s="6" t="s">
        <v>4537</v>
      </c>
      <c r="N845" s="6" t="s">
        <v>940</v>
      </c>
      <c r="O845" s="29">
        <f t="shared" si="14"/>
        <v>117000.45</v>
      </c>
      <c r="Q845" s="30" t="s">
        <v>940</v>
      </c>
      <c r="R845" s="31">
        <v>117000.45</v>
      </c>
    </row>
    <row r="846" s="1" customFormat="1" ht="16.35" hidden="1" customHeight="1" spans="1:18">
      <c r="A846" s="6" t="s">
        <v>4506</v>
      </c>
      <c r="B846" s="6">
        <v>2018</v>
      </c>
      <c r="C846" s="6">
        <v>1</v>
      </c>
      <c r="D846" s="7">
        <v>6</v>
      </c>
      <c r="E846" s="6" t="s">
        <v>4997</v>
      </c>
      <c r="F846" s="6" t="s">
        <v>4508</v>
      </c>
      <c r="G846" s="6" t="s">
        <v>25</v>
      </c>
      <c r="H846" s="8"/>
      <c r="I846" s="8">
        <v>21245</v>
      </c>
      <c r="J846" s="6" t="s">
        <v>3985</v>
      </c>
      <c r="K846" s="6" t="s">
        <v>699</v>
      </c>
      <c r="L846" s="6" t="s">
        <v>4509</v>
      </c>
      <c r="M846" s="6" t="s">
        <v>4537</v>
      </c>
      <c r="N846" s="6" t="s">
        <v>699</v>
      </c>
      <c r="O846" s="29">
        <f t="shared" si="14"/>
        <v>22307.25</v>
      </c>
      <c r="Q846" s="30" t="s">
        <v>699</v>
      </c>
      <c r="R846" s="31">
        <v>22307.25</v>
      </c>
    </row>
    <row r="847" s="1" customFormat="1" ht="16.35" hidden="1" customHeight="1" spans="1:18">
      <c r="A847" s="6" t="s">
        <v>4506</v>
      </c>
      <c r="B847" s="6">
        <v>2018</v>
      </c>
      <c r="C847" s="6">
        <v>1</v>
      </c>
      <c r="D847" s="7">
        <v>7</v>
      </c>
      <c r="E847" s="6" t="s">
        <v>5004</v>
      </c>
      <c r="F847" s="6" t="s">
        <v>4508</v>
      </c>
      <c r="G847" s="6" t="s">
        <v>25</v>
      </c>
      <c r="H847" s="8"/>
      <c r="I847" s="8">
        <v>19342</v>
      </c>
      <c r="J847" s="6" t="s">
        <v>4019</v>
      </c>
      <c r="K847" s="6" t="s">
        <v>748</v>
      </c>
      <c r="L847" s="6" t="s">
        <v>4509</v>
      </c>
      <c r="M847" s="6" t="s">
        <v>4537</v>
      </c>
      <c r="N847" s="6" t="s">
        <v>748</v>
      </c>
      <c r="O847" s="29">
        <f t="shared" si="14"/>
        <v>20309.1</v>
      </c>
      <c r="Q847" s="30" t="s">
        <v>748</v>
      </c>
      <c r="R847" s="31">
        <v>20309.1</v>
      </c>
    </row>
    <row r="848" s="1" customFormat="1" ht="16.35" hidden="1" customHeight="1" spans="1:18">
      <c r="A848" s="6" t="s">
        <v>4506</v>
      </c>
      <c r="B848" s="6">
        <v>2018</v>
      </c>
      <c r="C848" s="6">
        <v>1</v>
      </c>
      <c r="D848" s="7">
        <v>9</v>
      </c>
      <c r="E848" s="6" t="s">
        <v>5005</v>
      </c>
      <c r="F848" s="6" t="s">
        <v>4508</v>
      </c>
      <c r="G848" s="6" t="s">
        <v>25</v>
      </c>
      <c r="H848" s="8"/>
      <c r="I848" s="8">
        <v>57290</v>
      </c>
      <c r="J848" s="6" t="s">
        <v>4021</v>
      </c>
      <c r="K848" s="6" t="s">
        <v>779</v>
      </c>
      <c r="L848" s="6" t="s">
        <v>4509</v>
      </c>
      <c r="M848" s="6" t="s">
        <v>4537</v>
      </c>
      <c r="N848" s="6" t="s">
        <v>779</v>
      </c>
      <c r="O848" s="29">
        <v>60155</v>
      </c>
      <c r="Q848" s="30" t="s">
        <v>779</v>
      </c>
      <c r="R848" s="31">
        <f>O848</f>
        <v>60155</v>
      </c>
    </row>
    <row r="849" s="1" customFormat="1" ht="16.35" hidden="1" customHeight="1" spans="1:18">
      <c r="A849" s="6" t="s">
        <v>4506</v>
      </c>
      <c r="B849" s="6">
        <v>2018</v>
      </c>
      <c r="C849" s="6">
        <v>1</v>
      </c>
      <c r="D849" s="7">
        <v>10</v>
      </c>
      <c r="E849" s="6" t="s">
        <v>5006</v>
      </c>
      <c r="F849" s="6" t="s">
        <v>4508</v>
      </c>
      <c r="G849" s="6" t="s">
        <v>25</v>
      </c>
      <c r="H849" s="8"/>
      <c r="I849" s="8">
        <v>9524</v>
      </c>
      <c r="J849" s="6" t="s">
        <v>4029</v>
      </c>
      <c r="K849" s="6" t="s">
        <v>5007</v>
      </c>
      <c r="L849" s="6" t="s">
        <v>4509</v>
      </c>
      <c r="M849" s="6" t="s">
        <v>4537</v>
      </c>
      <c r="N849" s="6" t="s">
        <v>5007</v>
      </c>
      <c r="O849" s="29">
        <f t="shared" si="14"/>
        <v>10000.2</v>
      </c>
      <c r="Q849" s="30" t="s">
        <v>5007</v>
      </c>
      <c r="R849" s="31">
        <v>10000.2</v>
      </c>
    </row>
    <row r="850" s="1" customFormat="1" ht="16.35" hidden="1" customHeight="1" spans="1:18">
      <c r="A850" s="6" t="s">
        <v>4506</v>
      </c>
      <c r="B850" s="6">
        <v>2018</v>
      </c>
      <c r="C850" s="6">
        <v>1</v>
      </c>
      <c r="D850" s="7">
        <v>12</v>
      </c>
      <c r="E850" s="6" t="s">
        <v>5008</v>
      </c>
      <c r="F850" s="6" t="s">
        <v>4508</v>
      </c>
      <c r="G850" s="6" t="s">
        <v>25</v>
      </c>
      <c r="H850" s="8"/>
      <c r="I850" s="8">
        <v>120952</v>
      </c>
      <c r="J850" s="6" t="s">
        <v>3947</v>
      </c>
      <c r="K850" s="6" t="s">
        <v>959</v>
      </c>
      <c r="L850" s="6" t="s">
        <v>4509</v>
      </c>
      <c r="M850" s="6" t="s">
        <v>4537</v>
      </c>
      <c r="N850" s="6" t="s">
        <v>959</v>
      </c>
      <c r="O850" s="29">
        <f t="shared" si="14"/>
        <v>126999.6</v>
      </c>
      <c r="Q850" s="30" t="s">
        <v>959</v>
      </c>
      <c r="R850" s="31">
        <v>126999.6</v>
      </c>
    </row>
    <row r="851" s="1" customFormat="1" ht="16.35" hidden="1" customHeight="1" spans="1:18">
      <c r="A851" s="6" t="s">
        <v>4506</v>
      </c>
      <c r="B851" s="6">
        <v>2018</v>
      </c>
      <c r="C851" s="6">
        <v>1</v>
      </c>
      <c r="D851" s="7">
        <v>13</v>
      </c>
      <c r="E851" s="6" t="s">
        <v>5001</v>
      </c>
      <c r="F851" s="6" t="s">
        <v>4508</v>
      </c>
      <c r="G851" s="6" t="s">
        <v>25</v>
      </c>
      <c r="H851" s="8"/>
      <c r="I851" s="8">
        <v>79048</v>
      </c>
      <c r="J851" s="6" t="s">
        <v>3866</v>
      </c>
      <c r="K851" s="6" t="s">
        <v>957</v>
      </c>
      <c r="L851" s="6" t="s">
        <v>4509</v>
      </c>
      <c r="M851" s="6" t="s">
        <v>4537</v>
      </c>
      <c r="N851" s="6" t="s">
        <v>957</v>
      </c>
      <c r="O851" s="29">
        <f t="shared" si="14"/>
        <v>83000.4</v>
      </c>
      <c r="Q851" s="30" t="s">
        <v>957</v>
      </c>
      <c r="R851" s="31">
        <v>83000.4</v>
      </c>
    </row>
    <row r="852" s="1" customFormat="1" ht="16.35" hidden="1" customHeight="1" spans="1:18">
      <c r="A852" s="6" t="s">
        <v>4506</v>
      </c>
      <c r="B852" s="6">
        <v>2018</v>
      </c>
      <c r="C852" s="6">
        <v>1</v>
      </c>
      <c r="D852" s="7">
        <v>14</v>
      </c>
      <c r="E852" s="6" t="s">
        <v>5009</v>
      </c>
      <c r="F852" s="6" t="s">
        <v>4508</v>
      </c>
      <c r="G852" s="6" t="s">
        <v>25</v>
      </c>
      <c r="H852" s="8"/>
      <c r="I852" s="8">
        <v>36441</v>
      </c>
      <c r="J852" s="6" t="s">
        <v>4031</v>
      </c>
      <c r="K852" s="6" t="s">
        <v>951</v>
      </c>
      <c r="L852" s="6" t="s">
        <v>4509</v>
      </c>
      <c r="M852" s="6" t="s">
        <v>4537</v>
      </c>
      <c r="N852" s="6" t="s">
        <v>951</v>
      </c>
      <c r="O852" s="29">
        <f t="shared" si="14"/>
        <v>38263.05</v>
      </c>
      <c r="Q852" s="30" t="s">
        <v>951</v>
      </c>
      <c r="R852" s="31">
        <v>38263.05</v>
      </c>
    </row>
    <row r="853" s="1" customFormat="1" ht="16.35" hidden="1" customHeight="1" spans="1:18">
      <c r="A853" s="6" t="s">
        <v>4506</v>
      </c>
      <c r="B853" s="6">
        <v>2018</v>
      </c>
      <c r="C853" s="6">
        <v>1</v>
      </c>
      <c r="D853" s="7">
        <v>15</v>
      </c>
      <c r="E853" s="6" t="s">
        <v>5010</v>
      </c>
      <c r="F853" s="6" t="s">
        <v>4508</v>
      </c>
      <c r="G853" s="6" t="s">
        <v>25</v>
      </c>
      <c r="H853" s="8"/>
      <c r="I853" s="8">
        <v>39171</v>
      </c>
      <c r="J853" s="6" t="s">
        <v>3266</v>
      </c>
      <c r="K853" s="6" t="s">
        <v>953</v>
      </c>
      <c r="L853" s="6" t="s">
        <v>4509</v>
      </c>
      <c r="M853" s="6" t="s">
        <v>4537</v>
      </c>
      <c r="N853" s="6" t="s">
        <v>953</v>
      </c>
      <c r="O853" s="29">
        <f t="shared" si="14"/>
        <v>41129.55</v>
      </c>
      <c r="Q853" s="30" t="s">
        <v>953</v>
      </c>
      <c r="R853" s="31">
        <v>41129.55</v>
      </c>
    </row>
    <row r="854" s="1" customFormat="1" ht="16.35" hidden="1" customHeight="1" spans="1:18">
      <c r="A854" s="6" t="s">
        <v>4506</v>
      </c>
      <c r="B854" s="6">
        <v>2018</v>
      </c>
      <c r="C854" s="6">
        <v>1</v>
      </c>
      <c r="D854" s="7">
        <v>18</v>
      </c>
      <c r="E854" s="6" t="s">
        <v>5011</v>
      </c>
      <c r="F854" s="6" t="s">
        <v>4508</v>
      </c>
      <c r="G854" s="6" t="s">
        <v>25</v>
      </c>
      <c r="H854" s="8"/>
      <c r="I854" s="8">
        <v>-23910</v>
      </c>
      <c r="J854" s="6" t="s">
        <v>3983</v>
      </c>
      <c r="K854" s="6" t="s">
        <v>928</v>
      </c>
      <c r="L854" s="6" t="s">
        <v>4509</v>
      </c>
      <c r="M854" s="6" t="s">
        <v>4537</v>
      </c>
      <c r="N854" s="6" t="s">
        <v>928</v>
      </c>
      <c r="O854" s="29">
        <f t="shared" si="14"/>
        <v>-25105.5</v>
      </c>
      <c r="Q854" s="30" t="s">
        <v>928</v>
      </c>
      <c r="R854" s="31">
        <v>-25105.5</v>
      </c>
    </row>
    <row r="855" s="1" customFormat="1" ht="16.35" hidden="1" customHeight="1" spans="1:18">
      <c r="A855" s="6" t="s">
        <v>4506</v>
      </c>
      <c r="B855" s="6">
        <v>2018</v>
      </c>
      <c r="C855" s="6">
        <v>1</v>
      </c>
      <c r="D855" s="7">
        <v>19</v>
      </c>
      <c r="E855" s="6" t="s">
        <v>5012</v>
      </c>
      <c r="F855" s="6" t="s">
        <v>4508</v>
      </c>
      <c r="G855" s="6" t="s">
        <v>25</v>
      </c>
      <c r="H855" s="8"/>
      <c r="I855" s="8">
        <v>9524</v>
      </c>
      <c r="J855" s="6" t="s">
        <v>4034</v>
      </c>
      <c r="K855" s="6" t="s">
        <v>5013</v>
      </c>
      <c r="L855" s="6" t="s">
        <v>4509</v>
      </c>
      <c r="M855" s="6" t="s">
        <v>4537</v>
      </c>
      <c r="N855" s="6" t="s">
        <v>5013</v>
      </c>
      <c r="O855" s="29">
        <f t="shared" si="14"/>
        <v>10000.2</v>
      </c>
      <c r="Q855" s="30" t="s">
        <v>5013</v>
      </c>
      <c r="R855" s="31">
        <v>10000.2</v>
      </c>
    </row>
    <row r="856" s="1" customFormat="1" ht="16.35" hidden="1" customHeight="1" spans="1:18">
      <c r="A856" s="6" t="s">
        <v>4506</v>
      </c>
      <c r="B856" s="6">
        <v>2018</v>
      </c>
      <c r="C856" s="6">
        <v>1</v>
      </c>
      <c r="D856" s="7">
        <v>21</v>
      </c>
      <c r="E856" s="6" t="s">
        <v>5005</v>
      </c>
      <c r="F856" s="6" t="s">
        <v>4508</v>
      </c>
      <c r="G856" s="6" t="s">
        <v>25</v>
      </c>
      <c r="H856" s="8"/>
      <c r="I856" s="8">
        <v>952</v>
      </c>
      <c r="J856" s="6" t="s">
        <v>4021</v>
      </c>
      <c r="K856" s="6" t="s">
        <v>779</v>
      </c>
      <c r="L856" s="6" t="s">
        <v>4509</v>
      </c>
      <c r="M856" s="6" t="s">
        <v>4537</v>
      </c>
      <c r="N856" s="6" t="s">
        <v>779</v>
      </c>
      <c r="O856" s="29">
        <v>1000</v>
      </c>
      <c r="Q856" s="30" t="s">
        <v>779</v>
      </c>
      <c r="R856" s="31">
        <f>O856</f>
        <v>1000</v>
      </c>
    </row>
    <row r="857" s="1" customFormat="1" ht="16.35" hidden="1" customHeight="1" spans="1:18">
      <c r="A857" s="6" t="s">
        <v>4506</v>
      </c>
      <c r="B857" s="6">
        <v>2018</v>
      </c>
      <c r="C857" s="6">
        <v>1</v>
      </c>
      <c r="D857" s="7">
        <v>24</v>
      </c>
      <c r="E857" s="6" t="s">
        <v>4976</v>
      </c>
      <c r="F857" s="6" t="s">
        <v>4508</v>
      </c>
      <c r="G857" s="6" t="s">
        <v>25</v>
      </c>
      <c r="H857" s="8"/>
      <c r="I857" s="8">
        <v>228571</v>
      </c>
      <c r="J857" s="6" t="s">
        <v>3931</v>
      </c>
      <c r="K857" s="6" t="s">
        <v>830</v>
      </c>
      <c r="L857" s="6" t="s">
        <v>4509</v>
      </c>
      <c r="M857" s="6" t="s">
        <v>4537</v>
      </c>
      <c r="N857" s="6" t="s">
        <v>830</v>
      </c>
      <c r="O857" s="29">
        <f t="shared" ref="O857:O920" si="15">I857*1.05</f>
        <v>239999.55</v>
      </c>
      <c r="Q857" s="30" t="s">
        <v>830</v>
      </c>
      <c r="R857" s="31">
        <v>239999.55</v>
      </c>
    </row>
    <row r="858" s="1" customFormat="1" ht="16.35" hidden="1" customHeight="1" spans="1:18">
      <c r="A858" s="6" t="s">
        <v>4506</v>
      </c>
      <c r="B858" s="6">
        <v>2018</v>
      </c>
      <c r="C858" s="6">
        <v>1</v>
      </c>
      <c r="D858" s="7">
        <v>37</v>
      </c>
      <c r="E858" s="6" t="s">
        <v>4974</v>
      </c>
      <c r="F858" s="6" t="s">
        <v>4508</v>
      </c>
      <c r="G858" s="6" t="s">
        <v>25</v>
      </c>
      <c r="H858" s="8"/>
      <c r="I858" s="8">
        <v>19048</v>
      </c>
      <c r="J858" s="6" t="s">
        <v>4973</v>
      </c>
      <c r="K858" s="6" t="s">
        <v>949</v>
      </c>
      <c r="L858" s="6" t="s">
        <v>4509</v>
      </c>
      <c r="M858" s="6" t="s">
        <v>4537</v>
      </c>
      <c r="N858" s="6" t="s">
        <v>949</v>
      </c>
      <c r="O858" s="29">
        <f t="shared" si="15"/>
        <v>20000.4</v>
      </c>
      <c r="Q858" s="30" t="s">
        <v>949</v>
      </c>
      <c r="R858" s="31">
        <v>20000.4</v>
      </c>
    </row>
    <row r="859" s="1" customFormat="1" ht="16.35" hidden="1" customHeight="1" spans="1:18">
      <c r="A859" s="6" t="s">
        <v>4506</v>
      </c>
      <c r="B859" s="6">
        <v>2018</v>
      </c>
      <c r="C859" s="6">
        <v>1</v>
      </c>
      <c r="D859" s="7">
        <v>38</v>
      </c>
      <c r="E859" s="6" t="s">
        <v>5014</v>
      </c>
      <c r="F859" s="6" t="s">
        <v>4508</v>
      </c>
      <c r="G859" s="6" t="s">
        <v>25</v>
      </c>
      <c r="H859" s="8"/>
      <c r="I859" s="8">
        <v>2981</v>
      </c>
      <c r="J859" s="6" t="s">
        <v>4034</v>
      </c>
      <c r="K859" s="6" t="s">
        <v>5013</v>
      </c>
      <c r="L859" s="6" t="s">
        <v>4509</v>
      </c>
      <c r="M859" s="6" t="s">
        <v>4537</v>
      </c>
      <c r="N859" s="6" t="s">
        <v>5013</v>
      </c>
      <c r="O859" s="29">
        <f t="shared" si="15"/>
        <v>3130.05</v>
      </c>
      <c r="Q859" s="30" t="s">
        <v>5013</v>
      </c>
      <c r="R859" s="31">
        <v>3130.05</v>
      </c>
    </row>
    <row r="860" s="1" customFormat="1" ht="16.35" hidden="1" customHeight="1" spans="1:18">
      <c r="A860" s="6" t="s">
        <v>4506</v>
      </c>
      <c r="B860" s="6">
        <v>2018</v>
      </c>
      <c r="C860" s="6">
        <v>1</v>
      </c>
      <c r="D860" s="7">
        <v>39</v>
      </c>
      <c r="E860" s="6" t="s">
        <v>5015</v>
      </c>
      <c r="F860" s="6" t="s">
        <v>4508</v>
      </c>
      <c r="G860" s="6" t="s">
        <v>25</v>
      </c>
      <c r="H860" s="8"/>
      <c r="I860" s="8">
        <v>36441</v>
      </c>
      <c r="J860" s="6" t="s">
        <v>4034</v>
      </c>
      <c r="K860" s="6" t="s">
        <v>5013</v>
      </c>
      <c r="L860" s="6" t="s">
        <v>4509</v>
      </c>
      <c r="M860" s="6" t="s">
        <v>4537</v>
      </c>
      <c r="N860" s="6" t="s">
        <v>5013</v>
      </c>
      <c r="O860" s="29">
        <f t="shared" si="15"/>
        <v>38263.05</v>
      </c>
      <c r="Q860" s="30" t="s">
        <v>5013</v>
      </c>
      <c r="R860" s="31">
        <v>38263.05</v>
      </c>
    </row>
    <row r="861" s="1" customFormat="1" ht="16.35" hidden="1" customHeight="1" spans="1:18">
      <c r="A861" s="6" t="s">
        <v>4506</v>
      </c>
      <c r="B861" s="6">
        <v>2018</v>
      </c>
      <c r="C861" s="6">
        <v>1</v>
      </c>
      <c r="D861" s="7">
        <v>40</v>
      </c>
      <c r="E861" s="6" t="s">
        <v>4997</v>
      </c>
      <c r="F861" s="6" t="s">
        <v>4508</v>
      </c>
      <c r="G861" s="6" t="s">
        <v>25</v>
      </c>
      <c r="H861" s="8"/>
      <c r="I861" s="8">
        <v>0.95</v>
      </c>
      <c r="J861" s="6" t="s">
        <v>3985</v>
      </c>
      <c r="K861" s="6" t="s">
        <v>699</v>
      </c>
      <c r="L861" s="6" t="s">
        <v>4509</v>
      </c>
      <c r="M861" s="6" t="s">
        <v>4537</v>
      </c>
      <c r="N861" s="6" t="s">
        <v>699</v>
      </c>
      <c r="O861" s="29">
        <f t="shared" si="15"/>
        <v>0.9975</v>
      </c>
      <c r="Q861" s="30" t="s">
        <v>699</v>
      </c>
      <c r="R861" s="31">
        <v>0.9975</v>
      </c>
    </row>
    <row r="862" s="1" customFormat="1" ht="16.35" hidden="1" customHeight="1" spans="1:18">
      <c r="A862" s="6" t="s">
        <v>4506</v>
      </c>
      <c r="B862" s="6">
        <v>2018</v>
      </c>
      <c r="C862" s="6">
        <v>1</v>
      </c>
      <c r="D862" s="7">
        <v>41</v>
      </c>
      <c r="E862" s="6" t="s">
        <v>5016</v>
      </c>
      <c r="F862" s="6" t="s">
        <v>4508</v>
      </c>
      <c r="G862" s="6" t="s">
        <v>25</v>
      </c>
      <c r="H862" s="8"/>
      <c r="I862" s="8">
        <v>9524</v>
      </c>
      <c r="J862" s="6" t="s">
        <v>4038</v>
      </c>
      <c r="K862" s="6" t="s">
        <v>721</v>
      </c>
      <c r="L862" s="6" t="s">
        <v>4509</v>
      </c>
      <c r="M862" s="6" t="s">
        <v>4537</v>
      </c>
      <c r="N862" s="6" t="s">
        <v>721</v>
      </c>
      <c r="O862" s="29">
        <f t="shared" si="15"/>
        <v>10000.2</v>
      </c>
      <c r="Q862" s="30" t="s">
        <v>721</v>
      </c>
      <c r="R862" s="31">
        <v>10000.2</v>
      </c>
    </row>
    <row r="863" s="1" customFormat="1" ht="16.35" hidden="1" customHeight="1" spans="1:18">
      <c r="A863" s="6" t="s">
        <v>4506</v>
      </c>
      <c r="B863" s="6">
        <v>2018</v>
      </c>
      <c r="C863" s="6">
        <v>1</v>
      </c>
      <c r="D863" s="7">
        <v>46</v>
      </c>
      <c r="E863" s="6" t="s">
        <v>5017</v>
      </c>
      <c r="F863" s="6" t="s">
        <v>4508</v>
      </c>
      <c r="G863" s="6" t="s">
        <v>25</v>
      </c>
      <c r="H863" s="8"/>
      <c r="I863" s="8">
        <v>-34</v>
      </c>
      <c r="J863" s="6" t="s">
        <v>3679</v>
      </c>
      <c r="K863" s="6" t="s">
        <v>636</v>
      </c>
      <c r="L863" s="6" t="s">
        <v>4509</v>
      </c>
      <c r="M863" s="6" t="s">
        <v>4537</v>
      </c>
      <c r="N863" s="6" t="s">
        <v>636</v>
      </c>
      <c r="O863" s="29">
        <f t="shared" si="15"/>
        <v>-35.7</v>
      </c>
      <c r="Q863" s="30" t="s">
        <v>636</v>
      </c>
      <c r="R863" s="31">
        <v>-35.7</v>
      </c>
    </row>
    <row r="864" s="1" customFormat="1" ht="16.35" hidden="1" customHeight="1" spans="1:18">
      <c r="A864" s="6" t="s">
        <v>4506</v>
      </c>
      <c r="B864" s="6">
        <v>2018</v>
      </c>
      <c r="C864" s="6">
        <v>1</v>
      </c>
      <c r="D864" s="7">
        <v>46</v>
      </c>
      <c r="E864" s="6" t="s">
        <v>5018</v>
      </c>
      <c r="F864" s="6" t="s">
        <v>4508</v>
      </c>
      <c r="G864" s="6" t="s">
        <v>25</v>
      </c>
      <c r="H864" s="8"/>
      <c r="I864" s="8">
        <v>-34</v>
      </c>
      <c r="J864" s="6" t="s">
        <v>4001</v>
      </c>
      <c r="K864" s="6" t="s">
        <v>656</v>
      </c>
      <c r="L864" s="6" t="s">
        <v>4509</v>
      </c>
      <c r="M864" s="6" t="s">
        <v>4537</v>
      </c>
      <c r="N864" s="6" t="s">
        <v>656</v>
      </c>
      <c r="O864" s="29">
        <f t="shared" si="15"/>
        <v>-35.7</v>
      </c>
      <c r="Q864" s="30" t="s">
        <v>656</v>
      </c>
      <c r="R864" s="31">
        <v>-35.7</v>
      </c>
    </row>
    <row r="865" s="1" customFormat="1" ht="16.35" hidden="1" customHeight="1" spans="1:18">
      <c r="A865" s="6" t="s">
        <v>4506</v>
      </c>
      <c r="B865" s="6">
        <v>2018</v>
      </c>
      <c r="C865" s="6">
        <v>1</v>
      </c>
      <c r="D865" s="7">
        <v>46</v>
      </c>
      <c r="E865" s="6" t="s">
        <v>5019</v>
      </c>
      <c r="F865" s="6" t="s">
        <v>4508</v>
      </c>
      <c r="G865" s="6" t="s">
        <v>25</v>
      </c>
      <c r="H865" s="8"/>
      <c r="I865" s="8">
        <v>-514</v>
      </c>
      <c r="J865" s="6" t="s">
        <v>3016</v>
      </c>
      <c r="K865" s="6" t="s">
        <v>431</v>
      </c>
      <c r="L865" s="6" t="s">
        <v>4509</v>
      </c>
      <c r="M865" s="6" t="s">
        <v>4537</v>
      </c>
      <c r="N865" s="6" t="s">
        <v>431</v>
      </c>
      <c r="O865" s="29">
        <f>I865-26</f>
        <v>-540</v>
      </c>
      <c r="Q865" s="30" t="s">
        <v>431</v>
      </c>
      <c r="R865" s="31">
        <f>O865</f>
        <v>-540</v>
      </c>
    </row>
    <row r="866" s="1" customFormat="1" ht="16.35" hidden="1" customHeight="1" spans="1:18">
      <c r="A866" s="6" t="s">
        <v>4506</v>
      </c>
      <c r="B866" s="6">
        <v>2018</v>
      </c>
      <c r="C866" s="6">
        <v>1</v>
      </c>
      <c r="D866" s="7">
        <v>47</v>
      </c>
      <c r="E866" s="6" t="s">
        <v>5020</v>
      </c>
      <c r="F866" s="6" t="s">
        <v>4508</v>
      </c>
      <c r="G866" s="6" t="s">
        <v>25</v>
      </c>
      <c r="H866" s="8"/>
      <c r="I866" s="8">
        <v>-33</v>
      </c>
      <c r="J866" s="6" t="s">
        <v>2942</v>
      </c>
      <c r="K866" s="6" t="s">
        <v>640</v>
      </c>
      <c r="L866" s="6" t="s">
        <v>4509</v>
      </c>
      <c r="M866" s="6" t="s">
        <v>4537</v>
      </c>
      <c r="N866" s="6" t="s">
        <v>640</v>
      </c>
      <c r="O866" s="29">
        <f t="shared" si="15"/>
        <v>-34.65</v>
      </c>
      <c r="Q866" s="30" t="s">
        <v>640</v>
      </c>
      <c r="R866" s="31">
        <v>-34.65</v>
      </c>
    </row>
    <row r="867" s="1" customFormat="1" ht="16.35" hidden="1" customHeight="1" spans="1:18">
      <c r="A867" s="6" t="s">
        <v>4506</v>
      </c>
      <c r="B867" s="6">
        <v>2018</v>
      </c>
      <c r="C867" s="6">
        <v>1</v>
      </c>
      <c r="D867" s="7">
        <v>47</v>
      </c>
      <c r="E867" s="6" t="s">
        <v>5021</v>
      </c>
      <c r="F867" s="6" t="s">
        <v>4508</v>
      </c>
      <c r="G867" s="6" t="s">
        <v>25</v>
      </c>
      <c r="H867" s="8"/>
      <c r="I867" s="8">
        <v>-407</v>
      </c>
      <c r="J867" s="6" t="s">
        <v>3056</v>
      </c>
      <c r="K867" s="6" t="s">
        <v>491</v>
      </c>
      <c r="L867" s="6" t="s">
        <v>4509</v>
      </c>
      <c r="M867" s="6" t="s">
        <v>4537</v>
      </c>
      <c r="N867" s="6" t="s">
        <v>491</v>
      </c>
      <c r="O867" s="29">
        <v>-427</v>
      </c>
      <c r="Q867" s="30" t="s">
        <v>491</v>
      </c>
      <c r="R867" s="31">
        <f>O867</f>
        <v>-427</v>
      </c>
    </row>
    <row r="868" s="1" customFormat="1" ht="16.35" hidden="1" customHeight="1" spans="1:18">
      <c r="A868" s="6" t="s">
        <v>4506</v>
      </c>
      <c r="B868" s="6">
        <v>2018</v>
      </c>
      <c r="C868" s="6">
        <v>1</v>
      </c>
      <c r="D868" s="7">
        <v>47</v>
      </c>
      <c r="E868" s="6" t="s">
        <v>5022</v>
      </c>
      <c r="F868" s="6" t="s">
        <v>4508</v>
      </c>
      <c r="G868" s="6" t="s">
        <v>25</v>
      </c>
      <c r="H868" s="8"/>
      <c r="I868" s="8">
        <v>-35</v>
      </c>
      <c r="J868" s="6" t="s">
        <v>3686</v>
      </c>
      <c r="K868" s="6" t="s">
        <v>652</v>
      </c>
      <c r="L868" s="6" t="s">
        <v>4509</v>
      </c>
      <c r="M868" s="6" t="s">
        <v>4537</v>
      </c>
      <c r="N868" s="6" t="s">
        <v>652</v>
      </c>
      <c r="O868" s="29">
        <f t="shared" si="15"/>
        <v>-36.75</v>
      </c>
      <c r="Q868" s="30" t="s">
        <v>652</v>
      </c>
      <c r="R868" s="31">
        <v>-36.75</v>
      </c>
    </row>
    <row r="869" s="1" customFormat="1" ht="16.35" hidden="1" customHeight="1" spans="1:18">
      <c r="A869" s="6" t="s">
        <v>4506</v>
      </c>
      <c r="B869" s="6">
        <v>2018</v>
      </c>
      <c r="C869" s="6">
        <v>1</v>
      </c>
      <c r="D869" s="7">
        <v>48</v>
      </c>
      <c r="E869" s="6" t="s">
        <v>5023</v>
      </c>
      <c r="F869" s="6" t="s">
        <v>4508</v>
      </c>
      <c r="G869" s="6" t="s">
        <v>25</v>
      </c>
      <c r="H869" s="8"/>
      <c r="I869" s="8">
        <v>-35</v>
      </c>
      <c r="J869" s="6" t="s">
        <v>2945</v>
      </c>
      <c r="K869" s="6" t="s">
        <v>654</v>
      </c>
      <c r="L869" s="6" t="s">
        <v>4509</v>
      </c>
      <c r="M869" s="6" t="s">
        <v>4537</v>
      </c>
      <c r="N869" s="6" t="s">
        <v>654</v>
      </c>
      <c r="O869" s="29">
        <f t="shared" si="15"/>
        <v>-36.75</v>
      </c>
      <c r="Q869" s="30" t="s">
        <v>654</v>
      </c>
      <c r="R869" s="31">
        <v>-36.75</v>
      </c>
    </row>
    <row r="870" s="1" customFormat="1" ht="16.35" hidden="1" customHeight="1" spans="1:18">
      <c r="A870" s="6" t="s">
        <v>4506</v>
      </c>
      <c r="B870" s="6">
        <v>2018</v>
      </c>
      <c r="C870" s="6">
        <v>1</v>
      </c>
      <c r="D870" s="7">
        <v>48</v>
      </c>
      <c r="E870" s="6" t="s">
        <v>5024</v>
      </c>
      <c r="F870" s="6" t="s">
        <v>4508</v>
      </c>
      <c r="G870" s="6" t="s">
        <v>25</v>
      </c>
      <c r="H870" s="8"/>
      <c r="I870" s="8">
        <v>-35</v>
      </c>
      <c r="J870" s="6" t="s">
        <v>2946</v>
      </c>
      <c r="K870" s="6" t="s">
        <v>658</v>
      </c>
      <c r="L870" s="6" t="s">
        <v>4509</v>
      </c>
      <c r="M870" s="6" t="s">
        <v>4537</v>
      </c>
      <c r="N870" s="6" t="s">
        <v>658</v>
      </c>
      <c r="O870" s="29">
        <f t="shared" si="15"/>
        <v>-36.75</v>
      </c>
      <c r="Q870" s="30" t="s">
        <v>658</v>
      </c>
      <c r="R870" s="31">
        <v>-36.75</v>
      </c>
    </row>
    <row r="871" s="1" customFormat="1" ht="16.35" hidden="1" customHeight="1" spans="1:18">
      <c r="A871" s="6" t="s">
        <v>4506</v>
      </c>
      <c r="B871" s="6">
        <v>2018</v>
      </c>
      <c r="C871" s="6">
        <v>1</v>
      </c>
      <c r="D871" s="7">
        <v>48</v>
      </c>
      <c r="E871" s="6" t="s">
        <v>5025</v>
      </c>
      <c r="F871" s="6" t="s">
        <v>4508</v>
      </c>
      <c r="G871" s="6" t="s">
        <v>25</v>
      </c>
      <c r="H871" s="8"/>
      <c r="I871" s="8">
        <v>-35</v>
      </c>
      <c r="J871" s="6" t="s">
        <v>3675</v>
      </c>
      <c r="K871" s="6" t="s">
        <v>624</v>
      </c>
      <c r="L871" s="6" t="s">
        <v>4509</v>
      </c>
      <c r="M871" s="6" t="s">
        <v>4537</v>
      </c>
      <c r="N871" s="6" t="s">
        <v>624</v>
      </c>
      <c r="O871" s="29">
        <v>-37</v>
      </c>
      <c r="Q871" s="30" t="s">
        <v>624</v>
      </c>
      <c r="R871" s="31">
        <f>O871</f>
        <v>-37</v>
      </c>
    </row>
    <row r="872" s="1" customFormat="1" ht="16.35" hidden="1" customHeight="1" spans="1:18">
      <c r="A872" s="6" t="s">
        <v>4506</v>
      </c>
      <c r="B872" s="6">
        <v>2018</v>
      </c>
      <c r="C872" s="6">
        <v>1</v>
      </c>
      <c r="D872" s="7">
        <v>49</v>
      </c>
      <c r="E872" s="6" t="s">
        <v>5026</v>
      </c>
      <c r="F872" s="6" t="s">
        <v>4508</v>
      </c>
      <c r="G872" s="6" t="s">
        <v>25</v>
      </c>
      <c r="H872" s="8"/>
      <c r="I872" s="8">
        <v>-31</v>
      </c>
      <c r="J872" s="6" t="s">
        <v>2943</v>
      </c>
      <c r="K872" s="6" t="s">
        <v>642</v>
      </c>
      <c r="L872" s="6" t="s">
        <v>4509</v>
      </c>
      <c r="M872" s="6" t="s">
        <v>4537</v>
      </c>
      <c r="N872" s="6" t="s">
        <v>642</v>
      </c>
      <c r="O872" s="29">
        <f t="shared" si="15"/>
        <v>-32.55</v>
      </c>
      <c r="Q872" s="30" t="s">
        <v>642</v>
      </c>
      <c r="R872" s="31">
        <v>-32.55</v>
      </c>
    </row>
    <row r="873" s="1" customFormat="1" ht="16.35" hidden="1" customHeight="1" spans="1:18">
      <c r="A873" s="6" t="s">
        <v>4506</v>
      </c>
      <c r="B873" s="6">
        <v>2018</v>
      </c>
      <c r="C873" s="6">
        <v>1</v>
      </c>
      <c r="D873" s="7">
        <v>49</v>
      </c>
      <c r="E873" s="6" t="s">
        <v>5027</v>
      </c>
      <c r="F873" s="6" t="s">
        <v>4508</v>
      </c>
      <c r="G873" s="6" t="s">
        <v>25</v>
      </c>
      <c r="H873" s="8"/>
      <c r="I873" s="8">
        <v>-29</v>
      </c>
      <c r="J873" s="6" t="s">
        <v>3094</v>
      </c>
      <c r="K873" s="6" t="s">
        <v>634</v>
      </c>
      <c r="L873" s="6" t="s">
        <v>4509</v>
      </c>
      <c r="M873" s="6" t="s">
        <v>4537</v>
      </c>
      <c r="N873" s="6" t="s">
        <v>634</v>
      </c>
      <c r="O873" s="29">
        <f t="shared" si="15"/>
        <v>-30.45</v>
      </c>
      <c r="Q873" s="30" t="s">
        <v>634</v>
      </c>
      <c r="R873" s="31">
        <v>-30.45</v>
      </c>
    </row>
    <row r="874" s="1" customFormat="1" ht="16.35" hidden="1" customHeight="1" spans="1:18">
      <c r="A874" s="6" t="s">
        <v>4506</v>
      </c>
      <c r="B874" s="6">
        <v>2018</v>
      </c>
      <c r="C874" s="6">
        <v>1</v>
      </c>
      <c r="D874" s="7">
        <v>49</v>
      </c>
      <c r="E874" s="6" t="s">
        <v>5028</v>
      </c>
      <c r="F874" s="6" t="s">
        <v>4508</v>
      </c>
      <c r="G874" s="6" t="s">
        <v>25</v>
      </c>
      <c r="H874" s="8"/>
      <c r="I874" s="8">
        <v>-279</v>
      </c>
      <c r="J874" s="6" t="s">
        <v>3771</v>
      </c>
      <c r="K874" s="6" t="s">
        <v>328</v>
      </c>
      <c r="L874" s="6" t="s">
        <v>4509</v>
      </c>
      <c r="M874" s="6" t="s">
        <v>4537</v>
      </c>
      <c r="N874" s="6" t="s">
        <v>328</v>
      </c>
      <c r="O874" s="29">
        <f t="shared" si="15"/>
        <v>-292.95</v>
      </c>
      <c r="Q874" s="30" t="s">
        <v>328</v>
      </c>
      <c r="R874" s="31">
        <v>-292.95</v>
      </c>
    </row>
    <row r="875" s="1" customFormat="1" ht="16.35" hidden="1" customHeight="1" spans="1:18">
      <c r="A875" s="6" t="s">
        <v>4506</v>
      </c>
      <c r="B875" s="6">
        <v>2018</v>
      </c>
      <c r="C875" s="6">
        <v>1</v>
      </c>
      <c r="D875" s="7">
        <v>49</v>
      </c>
      <c r="E875" s="6" t="s">
        <v>5028</v>
      </c>
      <c r="F875" s="6" t="s">
        <v>4508</v>
      </c>
      <c r="G875" s="6" t="s">
        <v>25</v>
      </c>
      <c r="H875" s="8"/>
      <c r="I875" s="8">
        <v>-385</v>
      </c>
      <c r="J875" s="6" t="s">
        <v>3771</v>
      </c>
      <c r="K875" s="6" t="s">
        <v>328</v>
      </c>
      <c r="L875" s="6" t="s">
        <v>4509</v>
      </c>
      <c r="M875" s="6" t="s">
        <v>4537</v>
      </c>
      <c r="N875" s="6" t="s">
        <v>328</v>
      </c>
      <c r="O875" s="29">
        <f t="shared" si="15"/>
        <v>-404.25</v>
      </c>
      <c r="Q875" s="30" t="s">
        <v>328</v>
      </c>
      <c r="R875" s="31">
        <v>-404.25</v>
      </c>
    </row>
    <row r="876" s="1" customFormat="1" ht="16.35" hidden="1" customHeight="1" spans="1:18">
      <c r="A876" s="6" t="s">
        <v>4506</v>
      </c>
      <c r="B876" s="6">
        <v>2018</v>
      </c>
      <c r="C876" s="6">
        <v>1</v>
      </c>
      <c r="D876" s="7">
        <v>50</v>
      </c>
      <c r="E876" s="6" t="s">
        <v>5029</v>
      </c>
      <c r="F876" s="6" t="s">
        <v>4508</v>
      </c>
      <c r="G876" s="6" t="s">
        <v>25</v>
      </c>
      <c r="H876" s="8"/>
      <c r="I876" s="8">
        <v>-190</v>
      </c>
      <c r="J876" s="6" t="s">
        <v>3013</v>
      </c>
      <c r="K876" s="6" t="s">
        <v>418</v>
      </c>
      <c r="L876" s="6" t="s">
        <v>4509</v>
      </c>
      <c r="M876" s="6" t="s">
        <v>4537</v>
      </c>
      <c r="N876" s="6" t="s">
        <v>418</v>
      </c>
      <c r="O876" s="29">
        <f t="shared" si="15"/>
        <v>-199.5</v>
      </c>
      <c r="Q876" s="30" t="s">
        <v>418</v>
      </c>
      <c r="R876" s="31">
        <v>-199.5</v>
      </c>
    </row>
    <row r="877" s="1" customFormat="1" ht="16.35" hidden="1" customHeight="1" spans="1:18">
      <c r="A877" s="6" t="s">
        <v>4506</v>
      </c>
      <c r="B877" s="6">
        <v>2018</v>
      </c>
      <c r="C877" s="6">
        <v>1</v>
      </c>
      <c r="D877" s="7">
        <v>50</v>
      </c>
      <c r="E877" s="6" t="s">
        <v>5030</v>
      </c>
      <c r="F877" s="6" t="s">
        <v>4508</v>
      </c>
      <c r="G877" s="6" t="s">
        <v>25</v>
      </c>
      <c r="H877" s="8"/>
      <c r="I877" s="8">
        <v>-501</v>
      </c>
      <c r="J877" s="6" t="s">
        <v>3025</v>
      </c>
      <c r="K877" s="6" t="s">
        <v>457</v>
      </c>
      <c r="L877" s="6" t="s">
        <v>4509</v>
      </c>
      <c r="M877" s="6" t="s">
        <v>4537</v>
      </c>
      <c r="N877" s="6" t="s">
        <v>457</v>
      </c>
      <c r="O877" s="29">
        <f t="shared" si="15"/>
        <v>-526.05</v>
      </c>
      <c r="Q877" s="30" t="s">
        <v>457</v>
      </c>
      <c r="R877" s="31">
        <v>-526</v>
      </c>
    </row>
    <row r="878" s="1" customFormat="1" ht="16.35" hidden="1" customHeight="1" spans="1:18">
      <c r="A878" s="6" t="s">
        <v>4506</v>
      </c>
      <c r="B878" s="6">
        <v>2018</v>
      </c>
      <c r="C878" s="6">
        <v>1</v>
      </c>
      <c r="D878" s="7">
        <v>50</v>
      </c>
      <c r="E878" s="6" t="s">
        <v>5031</v>
      </c>
      <c r="F878" s="6" t="s">
        <v>4508</v>
      </c>
      <c r="G878" s="6" t="s">
        <v>25</v>
      </c>
      <c r="H878" s="8"/>
      <c r="I878" s="8">
        <v>-440</v>
      </c>
      <c r="J878" s="6" t="s">
        <v>3023</v>
      </c>
      <c r="K878" s="6" t="s">
        <v>441</v>
      </c>
      <c r="L878" s="6" t="s">
        <v>4509</v>
      </c>
      <c r="M878" s="6" t="s">
        <v>4537</v>
      </c>
      <c r="N878" s="6" t="s">
        <v>441</v>
      </c>
      <c r="O878" s="29">
        <f t="shared" si="15"/>
        <v>-462</v>
      </c>
      <c r="Q878" s="30" t="s">
        <v>441</v>
      </c>
      <c r="R878" s="31">
        <v>-462</v>
      </c>
    </row>
    <row r="879" s="1" customFormat="1" ht="16.35" hidden="1" customHeight="1" spans="1:18">
      <c r="A879" s="6" t="s">
        <v>4506</v>
      </c>
      <c r="B879" s="6">
        <v>2018</v>
      </c>
      <c r="C879" s="6">
        <v>2</v>
      </c>
      <c r="D879" s="7">
        <v>1</v>
      </c>
      <c r="E879" s="6" t="s">
        <v>5004</v>
      </c>
      <c r="F879" s="6" t="s">
        <v>4508</v>
      </c>
      <c r="G879" s="6" t="s">
        <v>25</v>
      </c>
      <c r="H879" s="8"/>
      <c r="I879" s="8">
        <v>156190</v>
      </c>
      <c r="J879" s="6" t="s">
        <v>4019</v>
      </c>
      <c r="K879" s="6" t="s">
        <v>748</v>
      </c>
      <c r="L879" s="6" t="s">
        <v>4509</v>
      </c>
      <c r="M879" s="6" t="s">
        <v>4537</v>
      </c>
      <c r="N879" s="6" t="s">
        <v>748</v>
      </c>
      <c r="O879" s="29">
        <f t="shared" si="15"/>
        <v>163999.5</v>
      </c>
      <c r="Q879" s="30" t="s">
        <v>748</v>
      </c>
      <c r="R879" s="31">
        <v>163999.5</v>
      </c>
    </row>
    <row r="880" s="1" customFormat="1" ht="16.35" hidden="1" customHeight="1" spans="1:18">
      <c r="A880" s="6" t="s">
        <v>4506</v>
      </c>
      <c r="B880" s="6">
        <v>2018</v>
      </c>
      <c r="C880" s="6">
        <v>2</v>
      </c>
      <c r="D880" s="7">
        <v>10</v>
      </c>
      <c r="E880" s="6" t="s">
        <v>5032</v>
      </c>
      <c r="F880" s="6" t="s">
        <v>4508</v>
      </c>
      <c r="G880" s="6" t="s">
        <v>25</v>
      </c>
      <c r="H880" s="8"/>
      <c r="I880" s="8">
        <v>285714</v>
      </c>
      <c r="J880" s="6" t="s">
        <v>5033</v>
      </c>
      <c r="K880" s="6" t="s">
        <v>5034</v>
      </c>
      <c r="L880" s="6" t="s">
        <v>4510</v>
      </c>
      <c r="M880" s="6" t="s">
        <v>4511</v>
      </c>
      <c r="N880" s="6" t="s">
        <v>4832</v>
      </c>
      <c r="O880" s="29">
        <f t="shared" si="15"/>
        <v>299999.7</v>
      </c>
      <c r="Q880" s="30" t="s">
        <v>4832</v>
      </c>
      <c r="R880" s="31">
        <v>299999.7</v>
      </c>
    </row>
    <row r="881" s="1" customFormat="1" ht="16.35" hidden="1" customHeight="1" spans="1:18">
      <c r="A881" s="6" t="s">
        <v>4506</v>
      </c>
      <c r="B881" s="6">
        <v>2018</v>
      </c>
      <c r="C881" s="6">
        <v>2</v>
      </c>
      <c r="D881" s="7">
        <v>11</v>
      </c>
      <c r="E881" s="6" t="s">
        <v>5009</v>
      </c>
      <c r="F881" s="6" t="s">
        <v>4508</v>
      </c>
      <c r="G881" s="6" t="s">
        <v>25</v>
      </c>
      <c r="H881" s="8"/>
      <c r="I881" s="8">
        <v>84762</v>
      </c>
      <c r="J881" s="6" t="s">
        <v>4031</v>
      </c>
      <c r="K881" s="6" t="s">
        <v>951</v>
      </c>
      <c r="L881" s="6" t="s">
        <v>4509</v>
      </c>
      <c r="M881" s="6" t="s">
        <v>4537</v>
      </c>
      <c r="N881" s="6" t="s">
        <v>951</v>
      </c>
      <c r="O881" s="29">
        <f t="shared" si="15"/>
        <v>89000.1</v>
      </c>
      <c r="Q881" s="30" t="s">
        <v>951</v>
      </c>
      <c r="R881" s="31">
        <v>89000.1</v>
      </c>
    </row>
    <row r="882" s="1" customFormat="1" ht="16.35" hidden="1" customHeight="1" spans="1:18">
      <c r="A882" s="6" t="s">
        <v>4506</v>
      </c>
      <c r="B882" s="6">
        <v>2018</v>
      </c>
      <c r="C882" s="6">
        <v>2</v>
      </c>
      <c r="D882" s="7">
        <v>12</v>
      </c>
      <c r="E882" s="6" t="s">
        <v>5010</v>
      </c>
      <c r="F882" s="6" t="s">
        <v>4508</v>
      </c>
      <c r="G882" s="6" t="s">
        <v>25</v>
      </c>
      <c r="H882" s="8"/>
      <c r="I882" s="8">
        <v>123810</v>
      </c>
      <c r="J882" s="6" t="s">
        <v>3266</v>
      </c>
      <c r="K882" s="6" t="s">
        <v>953</v>
      </c>
      <c r="L882" s="6" t="s">
        <v>4509</v>
      </c>
      <c r="M882" s="6" t="s">
        <v>4537</v>
      </c>
      <c r="N882" s="6" t="s">
        <v>953</v>
      </c>
      <c r="O882" s="29">
        <f t="shared" si="15"/>
        <v>130000.5</v>
      </c>
      <c r="Q882" s="30" t="s">
        <v>953</v>
      </c>
      <c r="R882" s="31">
        <v>130000.5</v>
      </c>
    </row>
    <row r="883" s="1" customFormat="1" ht="16.35" hidden="1" customHeight="1" spans="1:18">
      <c r="A883" s="6" t="s">
        <v>4506</v>
      </c>
      <c r="B883" s="6">
        <v>2018</v>
      </c>
      <c r="C883" s="6">
        <v>2</v>
      </c>
      <c r="D883" s="7">
        <v>13</v>
      </c>
      <c r="E883" s="6" t="s">
        <v>4997</v>
      </c>
      <c r="F883" s="6" t="s">
        <v>4508</v>
      </c>
      <c r="G883" s="6" t="s">
        <v>25</v>
      </c>
      <c r="H883" s="8"/>
      <c r="I883" s="8">
        <v>9524</v>
      </c>
      <c r="J883" s="6" t="s">
        <v>3985</v>
      </c>
      <c r="K883" s="6" t="s">
        <v>699</v>
      </c>
      <c r="L883" s="6" t="s">
        <v>4509</v>
      </c>
      <c r="M883" s="6" t="s">
        <v>4537</v>
      </c>
      <c r="N883" s="6" t="s">
        <v>699</v>
      </c>
      <c r="O883" s="29">
        <f t="shared" si="15"/>
        <v>10000.2</v>
      </c>
      <c r="Q883" s="30" t="s">
        <v>699</v>
      </c>
      <c r="R883" s="31">
        <v>10000.2</v>
      </c>
    </row>
    <row r="884" s="1" customFormat="1" ht="16.35" hidden="1" customHeight="1" spans="1:18">
      <c r="A884" s="6" t="s">
        <v>4506</v>
      </c>
      <c r="B884" s="6">
        <v>2018</v>
      </c>
      <c r="C884" s="6">
        <v>2</v>
      </c>
      <c r="D884" s="7">
        <v>17</v>
      </c>
      <c r="E884" s="6" t="s">
        <v>5035</v>
      </c>
      <c r="F884" s="6" t="s">
        <v>4508</v>
      </c>
      <c r="G884" s="6" t="s">
        <v>25</v>
      </c>
      <c r="H884" s="8"/>
      <c r="I884" s="8">
        <v>152381</v>
      </c>
      <c r="J884" s="6" t="s">
        <v>3962</v>
      </c>
      <c r="K884" s="6" t="s">
        <v>707</v>
      </c>
      <c r="L884" s="6" t="s">
        <v>4509</v>
      </c>
      <c r="M884" s="6" t="s">
        <v>4537</v>
      </c>
      <c r="N884" s="6" t="s">
        <v>707</v>
      </c>
      <c r="O884" s="29">
        <f t="shared" si="15"/>
        <v>160000.05</v>
      </c>
      <c r="Q884" s="30" t="s">
        <v>707</v>
      </c>
      <c r="R884" s="31">
        <v>160000.05</v>
      </c>
    </row>
    <row r="885" s="1" customFormat="1" ht="16.35" hidden="1" customHeight="1" spans="1:18">
      <c r="A885" s="6" t="s">
        <v>4506</v>
      </c>
      <c r="B885" s="6">
        <v>2018</v>
      </c>
      <c r="C885" s="6">
        <v>2</v>
      </c>
      <c r="D885" s="7">
        <v>19</v>
      </c>
      <c r="E885" s="6" t="s">
        <v>4989</v>
      </c>
      <c r="F885" s="6" t="s">
        <v>4508</v>
      </c>
      <c r="G885" s="6" t="s">
        <v>25</v>
      </c>
      <c r="H885" s="8"/>
      <c r="I885" s="8">
        <v>9524</v>
      </c>
      <c r="J885" s="6" t="s">
        <v>3972</v>
      </c>
      <c r="K885" s="6" t="s">
        <v>947</v>
      </c>
      <c r="L885" s="6" t="s">
        <v>4509</v>
      </c>
      <c r="M885" s="6" t="s">
        <v>4537</v>
      </c>
      <c r="N885" s="6" t="s">
        <v>947</v>
      </c>
      <c r="O885" s="29">
        <f t="shared" si="15"/>
        <v>10000.2</v>
      </c>
      <c r="Q885" s="30" t="s">
        <v>947</v>
      </c>
      <c r="R885" s="31">
        <v>10000.2</v>
      </c>
    </row>
    <row r="886" s="1" customFormat="1" ht="16.35" hidden="1" customHeight="1" spans="1:19">
      <c r="A886" s="6" t="s">
        <v>4506</v>
      </c>
      <c r="B886" s="6">
        <v>2018</v>
      </c>
      <c r="C886" s="6">
        <v>2</v>
      </c>
      <c r="D886" s="7">
        <v>21</v>
      </c>
      <c r="E886" s="6" t="s">
        <v>5036</v>
      </c>
      <c r="F886" s="6" t="s">
        <v>4508</v>
      </c>
      <c r="G886" s="6" t="s">
        <v>25</v>
      </c>
      <c r="H886" s="8"/>
      <c r="I886" s="8">
        <v>238095</v>
      </c>
      <c r="J886" s="6" t="s">
        <v>3114</v>
      </c>
      <c r="K886" s="6" t="s">
        <v>4536</v>
      </c>
      <c r="L886" s="6" t="s">
        <v>4510</v>
      </c>
      <c r="M886" s="6" t="s">
        <v>4511</v>
      </c>
      <c r="N886" s="6" t="s">
        <v>4536</v>
      </c>
      <c r="O886" s="29">
        <f t="shared" si="15"/>
        <v>249999.75</v>
      </c>
      <c r="Q886" s="30" t="s">
        <v>4536</v>
      </c>
      <c r="R886" s="31">
        <v>249999.75</v>
      </c>
      <c r="S886" s="1">
        <f>R886-I886</f>
        <v>11904.75</v>
      </c>
    </row>
    <row r="887" s="1" customFormat="1" ht="16.35" hidden="1" customHeight="1" spans="1:18">
      <c r="A887" s="6" t="s">
        <v>4506</v>
      </c>
      <c r="B887" s="6">
        <v>2018</v>
      </c>
      <c r="C887" s="6">
        <v>3</v>
      </c>
      <c r="D887" s="7">
        <v>1</v>
      </c>
      <c r="E887" s="6" t="s">
        <v>5035</v>
      </c>
      <c r="F887" s="6" t="s">
        <v>4508</v>
      </c>
      <c r="G887" s="6" t="s">
        <v>25</v>
      </c>
      <c r="H887" s="8"/>
      <c r="I887" s="8">
        <v>16190</v>
      </c>
      <c r="J887" s="6" t="s">
        <v>3962</v>
      </c>
      <c r="K887" s="6" t="s">
        <v>707</v>
      </c>
      <c r="L887" s="6" t="s">
        <v>4509</v>
      </c>
      <c r="M887" s="6" t="s">
        <v>4537</v>
      </c>
      <c r="N887" s="6" t="s">
        <v>707</v>
      </c>
      <c r="O887" s="29">
        <f t="shared" si="15"/>
        <v>16999.5</v>
      </c>
      <c r="Q887" s="30" t="s">
        <v>707</v>
      </c>
      <c r="R887" s="31">
        <v>16999.5</v>
      </c>
    </row>
    <row r="888" s="1" customFormat="1" ht="16.35" hidden="1" customHeight="1" spans="1:18">
      <c r="A888" s="6" t="s">
        <v>4506</v>
      </c>
      <c r="B888" s="6">
        <v>2018</v>
      </c>
      <c r="C888" s="6">
        <v>3</v>
      </c>
      <c r="D888" s="7">
        <v>2</v>
      </c>
      <c r="E888" s="6" t="s">
        <v>5037</v>
      </c>
      <c r="F888" s="6" t="s">
        <v>4508</v>
      </c>
      <c r="G888" s="6" t="s">
        <v>25</v>
      </c>
      <c r="H888" s="8"/>
      <c r="I888" s="8">
        <v>371429</v>
      </c>
      <c r="J888" s="6" t="s">
        <v>3975</v>
      </c>
      <c r="K888" s="6" t="s">
        <v>406</v>
      </c>
      <c r="L888" s="6" t="s">
        <v>4509</v>
      </c>
      <c r="M888" s="6" t="s">
        <v>4537</v>
      </c>
      <c r="N888" s="6" t="s">
        <v>406</v>
      </c>
      <c r="O888" s="29">
        <f t="shared" si="15"/>
        <v>390000.45</v>
      </c>
      <c r="Q888" s="30" t="s">
        <v>406</v>
      </c>
      <c r="R888" s="31">
        <v>390000.45</v>
      </c>
    </row>
    <row r="889" s="1" customFormat="1" ht="16.35" hidden="1" customHeight="1" spans="1:18">
      <c r="A889" s="6" t="s">
        <v>4506</v>
      </c>
      <c r="B889" s="6">
        <v>2018</v>
      </c>
      <c r="C889" s="6">
        <v>3</v>
      </c>
      <c r="D889" s="7">
        <v>3</v>
      </c>
      <c r="E889" s="6" t="s">
        <v>5038</v>
      </c>
      <c r="F889" s="6" t="s">
        <v>4508</v>
      </c>
      <c r="G889" s="6" t="s">
        <v>25</v>
      </c>
      <c r="H889" s="8"/>
      <c r="I889" s="8">
        <v>127619</v>
      </c>
      <c r="J889" s="6" t="s">
        <v>3992</v>
      </c>
      <c r="K889" s="6" t="s">
        <v>946</v>
      </c>
      <c r="L889" s="6" t="s">
        <v>4509</v>
      </c>
      <c r="M889" s="6" t="s">
        <v>4537</v>
      </c>
      <c r="N889" s="6" t="s">
        <v>946</v>
      </c>
      <c r="O889" s="29">
        <f t="shared" si="15"/>
        <v>133999.95</v>
      </c>
      <c r="Q889" s="30" t="s">
        <v>946</v>
      </c>
      <c r="R889" s="31">
        <v>133999.95</v>
      </c>
    </row>
    <row r="890" s="1" customFormat="1" ht="16.35" hidden="1" customHeight="1" spans="1:18">
      <c r="A890" s="6" t="s">
        <v>4506</v>
      </c>
      <c r="B890" s="6">
        <v>2018</v>
      </c>
      <c r="C890" s="6">
        <v>3</v>
      </c>
      <c r="D890" s="7">
        <v>4</v>
      </c>
      <c r="E890" s="6" t="s">
        <v>5039</v>
      </c>
      <c r="F890" s="6" t="s">
        <v>4508</v>
      </c>
      <c r="G890" s="6" t="s">
        <v>25</v>
      </c>
      <c r="H890" s="8"/>
      <c r="I890" s="8">
        <v>82857</v>
      </c>
      <c r="J890" s="6" t="s">
        <v>3993</v>
      </c>
      <c r="K890" s="6" t="s">
        <v>944</v>
      </c>
      <c r="L890" s="6" t="s">
        <v>4509</v>
      </c>
      <c r="M890" s="6" t="s">
        <v>4537</v>
      </c>
      <c r="N890" s="6" t="s">
        <v>944</v>
      </c>
      <c r="O890" s="29">
        <f t="shared" si="15"/>
        <v>86999.85</v>
      </c>
      <c r="Q890" s="30" t="s">
        <v>944</v>
      </c>
      <c r="R890" s="31">
        <v>86999.85</v>
      </c>
    </row>
    <row r="891" s="1" customFormat="1" ht="16.35" hidden="1" customHeight="1" spans="1:18">
      <c r="A891" s="6" t="s">
        <v>4506</v>
      </c>
      <c r="B891" s="6">
        <v>2018</v>
      </c>
      <c r="C891" s="6">
        <v>3</v>
      </c>
      <c r="D891" s="7">
        <v>5</v>
      </c>
      <c r="E891" s="6" t="s">
        <v>5040</v>
      </c>
      <c r="F891" s="6" t="s">
        <v>4508</v>
      </c>
      <c r="G891" s="6" t="s">
        <v>25</v>
      </c>
      <c r="H891" s="8"/>
      <c r="I891" s="8">
        <v>82857</v>
      </c>
      <c r="J891" s="6" t="s">
        <v>4956</v>
      </c>
      <c r="K891" s="6" t="s">
        <v>930</v>
      </c>
      <c r="L891" s="6" t="s">
        <v>4509</v>
      </c>
      <c r="M891" s="6" t="s">
        <v>4537</v>
      </c>
      <c r="N891" s="6" t="s">
        <v>930</v>
      </c>
      <c r="O891" s="29">
        <f t="shared" si="15"/>
        <v>86999.85</v>
      </c>
      <c r="Q891" s="30" t="s">
        <v>930</v>
      </c>
      <c r="R891" s="31">
        <v>86999.85</v>
      </c>
    </row>
    <row r="892" s="1" customFormat="1" ht="16.35" hidden="1" customHeight="1" spans="1:18">
      <c r="A892" s="6" t="s">
        <v>4506</v>
      </c>
      <c r="B892" s="6">
        <v>2018</v>
      </c>
      <c r="C892" s="6">
        <v>3</v>
      </c>
      <c r="D892" s="7">
        <v>6</v>
      </c>
      <c r="E892" s="6" t="s">
        <v>5041</v>
      </c>
      <c r="F892" s="6" t="s">
        <v>4508</v>
      </c>
      <c r="G892" s="6" t="s">
        <v>25</v>
      </c>
      <c r="H892" s="8"/>
      <c r="I892" s="8">
        <v>128571</v>
      </c>
      <c r="J892" s="6" t="s">
        <v>4954</v>
      </c>
      <c r="K892" s="6" t="s">
        <v>932</v>
      </c>
      <c r="L892" s="6" t="s">
        <v>4509</v>
      </c>
      <c r="M892" s="6" t="s">
        <v>4537</v>
      </c>
      <c r="N892" s="6" t="s">
        <v>932</v>
      </c>
      <c r="O892" s="29">
        <f t="shared" si="15"/>
        <v>134999.55</v>
      </c>
      <c r="Q892" s="30" t="s">
        <v>932</v>
      </c>
      <c r="R892" s="31">
        <v>134999.55</v>
      </c>
    </row>
    <row r="893" s="1" customFormat="1" ht="16.35" hidden="1" customHeight="1" spans="1:18">
      <c r="A893" s="6" t="s">
        <v>4506</v>
      </c>
      <c r="B893" s="6">
        <v>2018</v>
      </c>
      <c r="C893" s="6">
        <v>3</v>
      </c>
      <c r="D893" s="7">
        <v>7</v>
      </c>
      <c r="E893" s="6" t="s">
        <v>5042</v>
      </c>
      <c r="F893" s="6" t="s">
        <v>4508</v>
      </c>
      <c r="G893" s="6" t="s">
        <v>25</v>
      </c>
      <c r="H893" s="8"/>
      <c r="I893" s="8">
        <v>366667</v>
      </c>
      <c r="J893" s="6" t="s">
        <v>3981</v>
      </c>
      <c r="K893" s="6" t="s">
        <v>400</v>
      </c>
      <c r="L893" s="6" t="s">
        <v>4509</v>
      </c>
      <c r="M893" s="6" t="s">
        <v>4537</v>
      </c>
      <c r="N893" s="6" t="s">
        <v>400</v>
      </c>
      <c r="O893" s="29">
        <f t="shared" si="15"/>
        <v>385000.35</v>
      </c>
      <c r="Q893" s="30" t="s">
        <v>400</v>
      </c>
      <c r="R893" s="31">
        <v>385000.35</v>
      </c>
    </row>
    <row r="894" s="1" customFormat="1" ht="16.35" hidden="1" customHeight="1" spans="1:18">
      <c r="A894" s="6" t="s">
        <v>4506</v>
      </c>
      <c r="B894" s="6">
        <v>2018</v>
      </c>
      <c r="C894" s="6">
        <v>3</v>
      </c>
      <c r="D894" s="7">
        <v>10</v>
      </c>
      <c r="E894" s="6" t="s">
        <v>5043</v>
      </c>
      <c r="F894" s="6" t="s">
        <v>4508</v>
      </c>
      <c r="G894" s="6" t="s">
        <v>25</v>
      </c>
      <c r="H894" s="8"/>
      <c r="I894" s="8">
        <v>209524</v>
      </c>
      <c r="J894" s="6" t="s">
        <v>4021</v>
      </c>
      <c r="K894" s="6" t="s">
        <v>779</v>
      </c>
      <c r="L894" s="6" t="s">
        <v>4509</v>
      </c>
      <c r="M894" s="6" t="s">
        <v>4537</v>
      </c>
      <c r="N894" s="6" t="s">
        <v>779</v>
      </c>
      <c r="O894" s="29">
        <v>220000</v>
      </c>
      <c r="Q894" s="30" t="s">
        <v>779</v>
      </c>
      <c r="R894" s="31">
        <f>O894</f>
        <v>220000</v>
      </c>
    </row>
    <row r="895" s="1" customFormat="1" ht="16.35" hidden="1" customHeight="1" spans="1:18">
      <c r="A895" s="6" t="s">
        <v>4506</v>
      </c>
      <c r="B895" s="6">
        <v>2018</v>
      </c>
      <c r="C895" s="6">
        <v>3</v>
      </c>
      <c r="D895" s="7">
        <v>12</v>
      </c>
      <c r="E895" s="6" t="s">
        <v>5044</v>
      </c>
      <c r="F895" s="6" t="s">
        <v>4508</v>
      </c>
      <c r="G895" s="6" t="s">
        <v>25</v>
      </c>
      <c r="H895" s="8"/>
      <c r="I895" s="8">
        <v>-4762</v>
      </c>
      <c r="J895" s="6" t="s">
        <v>3866</v>
      </c>
      <c r="K895" s="6" t="s">
        <v>957</v>
      </c>
      <c r="L895" s="6" t="s">
        <v>4509</v>
      </c>
      <c r="M895" s="6" t="s">
        <v>4537</v>
      </c>
      <c r="N895" s="6" t="s">
        <v>957</v>
      </c>
      <c r="O895" s="29">
        <f t="shared" si="15"/>
        <v>-5000.1</v>
      </c>
      <c r="Q895" s="30" t="s">
        <v>957</v>
      </c>
      <c r="R895" s="31">
        <v>-5000.1</v>
      </c>
    </row>
    <row r="896" s="1" customFormat="1" ht="16.35" hidden="1" customHeight="1" spans="1:18">
      <c r="A896" s="6" t="s">
        <v>4506</v>
      </c>
      <c r="B896" s="6">
        <v>2018</v>
      </c>
      <c r="C896" s="6">
        <v>3</v>
      </c>
      <c r="D896" s="7">
        <v>15</v>
      </c>
      <c r="E896" s="6" t="s">
        <v>5045</v>
      </c>
      <c r="F896" s="6" t="s">
        <v>4508</v>
      </c>
      <c r="G896" s="6" t="s">
        <v>25</v>
      </c>
      <c r="H896" s="8"/>
      <c r="I896" s="8">
        <v>143810</v>
      </c>
      <c r="J896" s="6" t="s">
        <v>3985</v>
      </c>
      <c r="K896" s="6" t="s">
        <v>699</v>
      </c>
      <c r="L896" s="6" t="s">
        <v>4510</v>
      </c>
      <c r="M896" s="6" t="s">
        <v>4511</v>
      </c>
      <c r="N896" s="6" t="s">
        <v>699</v>
      </c>
      <c r="O896" s="29">
        <f t="shared" si="15"/>
        <v>151000.5</v>
      </c>
      <c r="Q896" s="30" t="s">
        <v>699</v>
      </c>
      <c r="R896" s="31">
        <v>151000.5</v>
      </c>
    </row>
    <row r="897" s="1" customFormat="1" ht="16.35" hidden="1" customHeight="1" spans="1:18">
      <c r="A897" s="6" t="s">
        <v>4506</v>
      </c>
      <c r="B897" s="6">
        <v>2018</v>
      </c>
      <c r="C897" s="6">
        <v>3</v>
      </c>
      <c r="D897" s="7">
        <v>16</v>
      </c>
      <c r="E897" s="6" t="s">
        <v>5046</v>
      </c>
      <c r="F897" s="6" t="s">
        <v>4508</v>
      </c>
      <c r="G897" s="6" t="s">
        <v>25</v>
      </c>
      <c r="H897" s="8"/>
      <c r="I897" s="8">
        <v>95238</v>
      </c>
      <c r="J897" s="6" t="s">
        <v>3895</v>
      </c>
      <c r="K897" s="6" t="s">
        <v>665</v>
      </c>
      <c r="L897" s="6" t="s">
        <v>4509</v>
      </c>
      <c r="M897" s="6" t="s">
        <v>4537</v>
      </c>
      <c r="N897" s="6" t="s">
        <v>665</v>
      </c>
      <c r="O897" s="29">
        <f t="shared" si="15"/>
        <v>99999.9</v>
      </c>
      <c r="Q897" s="30" t="s">
        <v>665</v>
      </c>
      <c r="R897" s="31">
        <v>99999.9</v>
      </c>
    </row>
    <row r="898" s="1" customFormat="1" ht="16.35" hidden="1" customHeight="1" spans="1:18">
      <c r="A898" s="6" t="s">
        <v>4506</v>
      </c>
      <c r="B898" s="6">
        <v>2018</v>
      </c>
      <c r="C898" s="6">
        <v>3</v>
      </c>
      <c r="D898" s="7">
        <v>18</v>
      </c>
      <c r="E898" s="6" t="s">
        <v>5047</v>
      </c>
      <c r="F898" s="6" t="s">
        <v>4508</v>
      </c>
      <c r="G898" s="6" t="s">
        <v>25</v>
      </c>
      <c r="H898" s="8"/>
      <c r="I898" s="8">
        <v>30348</v>
      </c>
      <c r="J898" s="6" t="s">
        <v>4038</v>
      </c>
      <c r="K898" s="6" t="s">
        <v>721</v>
      </c>
      <c r="L898" s="6" t="s">
        <v>4509</v>
      </c>
      <c r="M898" s="6" t="s">
        <v>4537</v>
      </c>
      <c r="N898" s="6" t="s">
        <v>721</v>
      </c>
      <c r="O898" s="29">
        <f t="shared" si="15"/>
        <v>31865.4</v>
      </c>
      <c r="Q898" s="30" t="s">
        <v>721</v>
      </c>
      <c r="R898" s="31">
        <v>31865.4</v>
      </c>
    </row>
    <row r="899" s="1" customFormat="1" ht="16.35" hidden="1" customHeight="1" spans="1:18">
      <c r="A899" s="6" t="s">
        <v>4506</v>
      </c>
      <c r="B899" s="6">
        <v>2018</v>
      </c>
      <c r="C899" s="6">
        <v>3</v>
      </c>
      <c r="D899" s="7">
        <v>22</v>
      </c>
      <c r="E899" s="6" t="s">
        <v>5048</v>
      </c>
      <c r="F899" s="6" t="s">
        <v>4508</v>
      </c>
      <c r="G899" s="6" t="s">
        <v>25</v>
      </c>
      <c r="H899" s="8"/>
      <c r="I899" s="8">
        <v>20952</v>
      </c>
      <c r="J899" s="6" t="s">
        <v>4036</v>
      </c>
      <c r="K899" s="6" t="s">
        <v>939</v>
      </c>
      <c r="L899" s="6" t="s">
        <v>4510</v>
      </c>
      <c r="M899" s="6" t="s">
        <v>4511</v>
      </c>
      <c r="N899" s="6" t="s">
        <v>939</v>
      </c>
      <c r="O899" s="29">
        <f t="shared" si="15"/>
        <v>21999.6</v>
      </c>
      <c r="Q899" s="30" t="s">
        <v>939</v>
      </c>
      <c r="R899" s="31">
        <v>21999.6</v>
      </c>
    </row>
    <row r="900" s="1" customFormat="1" ht="16.35" hidden="1" customHeight="1" spans="1:18">
      <c r="A900" s="6" t="s">
        <v>4506</v>
      </c>
      <c r="B900" s="6">
        <v>2018</v>
      </c>
      <c r="C900" s="6">
        <v>3</v>
      </c>
      <c r="D900" s="7">
        <v>24</v>
      </c>
      <c r="E900" s="6" t="s">
        <v>5049</v>
      </c>
      <c r="F900" s="6" t="s">
        <v>4508</v>
      </c>
      <c r="G900" s="6" t="s">
        <v>25</v>
      </c>
      <c r="H900" s="8"/>
      <c r="I900" s="8">
        <v>19048</v>
      </c>
      <c r="J900" s="6" t="s">
        <v>3909</v>
      </c>
      <c r="K900" s="6" t="s">
        <v>733</v>
      </c>
      <c r="L900" s="6" t="s">
        <v>4510</v>
      </c>
      <c r="M900" s="6" t="s">
        <v>4511</v>
      </c>
      <c r="N900" s="6" t="s">
        <v>733</v>
      </c>
      <c r="O900" s="29">
        <f t="shared" si="15"/>
        <v>20000.4</v>
      </c>
      <c r="Q900" s="30" t="s">
        <v>733</v>
      </c>
      <c r="R900" s="31">
        <v>20000.4</v>
      </c>
    </row>
    <row r="901" s="1" customFormat="1" ht="16.35" hidden="1" customHeight="1" spans="1:18">
      <c r="A901" s="6" t="s">
        <v>4506</v>
      </c>
      <c r="B901" s="6">
        <v>2018</v>
      </c>
      <c r="C901" s="6">
        <v>3</v>
      </c>
      <c r="D901" s="7">
        <v>27</v>
      </c>
      <c r="E901" s="6" t="s">
        <v>5050</v>
      </c>
      <c r="F901" s="6" t="s">
        <v>4508</v>
      </c>
      <c r="G901" s="6" t="s">
        <v>25</v>
      </c>
      <c r="H901" s="8"/>
      <c r="I901" s="8">
        <v>952</v>
      </c>
      <c r="J901" s="6" t="s">
        <v>4044</v>
      </c>
      <c r="K901" s="6" t="s">
        <v>723</v>
      </c>
      <c r="L901" s="6" t="s">
        <v>4510</v>
      </c>
      <c r="M901" s="6" t="s">
        <v>4511</v>
      </c>
      <c r="N901" s="6" t="s">
        <v>723</v>
      </c>
      <c r="O901" s="29">
        <f t="shared" si="15"/>
        <v>999.6</v>
      </c>
      <c r="Q901" s="30" t="s">
        <v>723</v>
      </c>
      <c r="R901" s="31">
        <v>999.6</v>
      </c>
    </row>
    <row r="902" s="1" customFormat="1" ht="16.35" hidden="1" customHeight="1" spans="1:18">
      <c r="A902" s="6" t="s">
        <v>4506</v>
      </c>
      <c r="B902" s="6">
        <v>2018</v>
      </c>
      <c r="C902" s="6">
        <v>3</v>
      </c>
      <c r="D902" s="7">
        <v>28</v>
      </c>
      <c r="E902" s="6" t="s">
        <v>5051</v>
      </c>
      <c r="F902" s="6" t="s">
        <v>4508</v>
      </c>
      <c r="G902" s="6" t="s">
        <v>25</v>
      </c>
      <c r="H902" s="8"/>
      <c r="I902" s="8">
        <v>42958</v>
      </c>
      <c r="J902" s="6" t="s">
        <v>3999</v>
      </c>
      <c r="K902" s="6" t="s">
        <v>899</v>
      </c>
      <c r="L902" s="6" t="s">
        <v>4510</v>
      </c>
      <c r="M902" s="6" t="s">
        <v>4511</v>
      </c>
      <c r="N902" s="6" t="s">
        <v>899</v>
      </c>
      <c r="O902" s="29">
        <f t="shared" si="15"/>
        <v>45105.9</v>
      </c>
      <c r="Q902" s="30" t="s">
        <v>899</v>
      </c>
      <c r="R902" s="31">
        <v>45105.9</v>
      </c>
    </row>
    <row r="903" s="1" customFormat="1" ht="16.35" hidden="1" customHeight="1" spans="1:18">
      <c r="A903" s="6" t="s">
        <v>4506</v>
      </c>
      <c r="B903" s="6">
        <v>2018</v>
      </c>
      <c r="C903" s="6">
        <v>3</v>
      </c>
      <c r="D903" s="7">
        <v>29</v>
      </c>
      <c r="E903" s="6" t="s">
        <v>5051</v>
      </c>
      <c r="F903" s="6" t="s">
        <v>4508</v>
      </c>
      <c r="G903" s="6" t="s">
        <v>25</v>
      </c>
      <c r="H903" s="8"/>
      <c r="I903" s="8">
        <v>76190</v>
      </c>
      <c r="J903" s="6" t="s">
        <v>3999</v>
      </c>
      <c r="K903" s="6" t="s">
        <v>899</v>
      </c>
      <c r="L903" s="6" t="s">
        <v>4510</v>
      </c>
      <c r="M903" s="6" t="s">
        <v>4511</v>
      </c>
      <c r="N903" s="6" t="s">
        <v>899</v>
      </c>
      <c r="O903" s="29">
        <f t="shared" si="15"/>
        <v>79999.5</v>
      </c>
      <c r="Q903" s="30" t="s">
        <v>899</v>
      </c>
      <c r="R903" s="31">
        <v>79999.5</v>
      </c>
    </row>
    <row r="904" s="1" customFormat="1" ht="16.35" hidden="1" customHeight="1" spans="1:19">
      <c r="A904" s="6" t="s">
        <v>4506</v>
      </c>
      <c r="B904" s="6">
        <v>2018</v>
      </c>
      <c r="C904" s="6">
        <v>3</v>
      </c>
      <c r="D904" s="7">
        <v>30</v>
      </c>
      <c r="E904" s="6" t="s">
        <v>5052</v>
      </c>
      <c r="F904" s="6" t="s">
        <v>4508</v>
      </c>
      <c r="G904" s="6" t="s">
        <v>25</v>
      </c>
      <c r="H904" s="8"/>
      <c r="I904" s="8">
        <v>762</v>
      </c>
      <c r="J904" s="6" t="s">
        <v>4046</v>
      </c>
      <c r="K904" s="6" t="s">
        <v>892</v>
      </c>
      <c r="L904" s="6" t="s">
        <v>4510</v>
      </c>
      <c r="M904" s="6" t="s">
        <v>4511</v>
      </c>
      <c r="N904" s="6" t="s">
        <v>892</v>
      </c>
      <c r="O904" s="29">
        <f t="shared" si="15"/>
        <v>800.1</v>
      </c>
      <c r="Q904" s="30" t="s">
        <v>892</v>
      </c>
      <c r="R904" s="31">
        <v>800.1</v>
      </c>
      <c r="S904" s="1" t="s">
        <v>5053</v>
      </c>
    </row>
    <row r="905" s="1" customFormat="1" ht="16.35" hidden="1" customHeight="1" spans="1:18">
      <c r="A905" s="6" t="s">
        <v>4506</v>
      </c>
      <c r="B905" s="6">
        <v>2018</v>
      </c>
      <c r="C905" s="6">
        <v>3</v>
      </c>
      <c r="D905" s="7">
        <v>31</v>
      </c>
      <c r="E905" s="6" t="s">
        <v>5054</v>
      </c>
      <c r="F905" s="6" t="s">
        <v>4508</v>
      </c>
      <c r="G905" s="6" t="s">
        <v>25</v>
      </c>
      <c r="H905" s="8"/>
      <c r="I905" s="8">
        <v>7200</v>
      </c>
      <c r="J905" s="6" t="s">
        <v>4058</v>
      </c>
      <c r="K905" s="6" t="s">
        <v>740</v>
      </c>
      <c r="L905" s="6" t="s">
        <v>4510</v>
      </c>
      <c r="M905" s="6" t="s">
        <v>4511</v>
      </c>
      <c r="N905" s="6" t="s">
        <v>740</v>
      </c>
      <c r="O905" s="29">
        <f t="shared" si="15"/>
        <v>7560</v>
      </c>
      <c r="Q905" s="30" t="s">
        <v>740</v>
      </c>
      <c r="R905" s="31">
        <v>7560</v>
      </c>
    </row>
    <row r="906" s="1" customFormat="1" ht="16.35" hidden="1" customHeight="1" spans="1:18">
      <c r="A906" s="6" t="s">
        <v>4506</v>
      </c>
      <c r="B906" s="6">
        <v>2018</v>
      </c>
      <c r="C906" s="6">
        <v>3</v>
      </c>
      <c r="D906" s="7">
        <v>32</v>
      </c>
      <c r="E906" s="6" t="s">
        <v>5055</v>
      </c>
      <c r="F906" s="6" t="s">
        <v>4508</v>
      </c>
      <c r="G906" s="6" t="s">
        <v>25</v>
      </c>
      <c r="H906" s="8"/>
      <c r="I906" s="8">
        <v>40535</v>
      </c>
      <c r="J906" s="6" t="s">
        <v>4062</v>
      </c>
      <c r="K906" s="6" t="s">
        <v>731</v>
      </c>
      <c r="L906" s="6" t="s">
        <v>4510</v>
      </c>
      <c r="M906" s="6" t="s">
        <v>4511</v>
      </c>
      <c r="N906" s="6" t="s">
        <v>731</v>
      </c>
      <c r="O906" s="29">
        <f t="shared" si="15"/>
        <v>42561.75</v>
      </c>
      <c r="Q906" s="30" t="s">
        <v>731</v>
      </c>
      <c r="R906" s="31">
        <v>42561.75</v>
      </c>
    </row>
    <row r="907" s="1" customFormat="1" ht="16.35" hidden="1" customHeight="1" spans="1:18">
      <c r="A907" s="6" t="s">
        <v>4506</v>
      </c>
      <c r="B907" s="6">
        <v>2018</v>
      </c>
      <c r="C907" s="6">
        <v>3</v>
      </c>
      <c r="D907" s="7">
        <v>33</v>
      </c>
      <c r="E907" s="6" t="s">
        <v>5054</v>
      </c>
      <c r="F907" s="6" t="s">
        <v>4508</v>
      </c>
      <c r="G907" s="6" t="s">
        <v>25</v>
      </c>
      <c r="H907" s="8"/>
      <c r="I907" s="8">
        <v>190476</v>
      </c>
      <c r="J907" s="6" t="s">
        <v>4058</v>
      </c>
      <c r="K907" s="6" t="s">
        <v>740</v>
      </c>
      <c r="L907" s="6" t="s">
        <v>4510</v>
      </c>
      <c r="M907" s="6" t="s">
        <v>4511</v>
      </c>
      <c r="N907" s="6" t="s">
        <v>740</v>
      </c>
      <c r="O907" s="29">
        <f t="shared" si="15"/>
        <v>199999.8</v>
      </c>
      <c r="Q907" s="30" t="s">
        <v>740</v>
      </c>
      <c r="R907" s="31">
        <v>199999.8</v>
      </c>
    </row>
    <row r="908" s="1" customFormat="1" ht="16.35" hidden="1" customHeight="1" spans="1:18">
      <c r="A908" s="6" t="s">
        <v>4506</v>
      </c>
      <c r="B908" s="6">
        <v>2018</v>
      </c>
      <c r="C908" s="6">
        <v>3</v>
      </c>
      <c r="D908" s="7">
        <v>41</v>
      </c>
      <c r="E908" s="6" t="s">
        <v>5056</v>
      </c>
      <c r="F908" s="6" t="s">
        <v>4508</v>
      </c>
      <c r="G908" s="6" t="s">
        <v>25</v>
      </c>
      <c r="H908" s="8"/>
      <c r="I908" s="8">
        <v>285714</v>
      </c>
      <c r="J908" s="6" t="s">
        <v>3844</v>
      </c>
      <c r="K908" s="6" t="s">
        <v>660</v>
      </c>
      <c r="L908" s="6" t="s">
        <v>4509</v>
      </c>
      <c r="M908" s="6" t="s">
        <v>4537</v>
      </c>
      <c r="N908" s="6" t="s">
        <v>660</v>
      </c>
      <c r="O908" s="29">
        <f t="shared" si="15"/>
        <v>299999.7</v>
      </c>
      <c r="Q908" s="30" t="s">
        <v>660</v>
      </c>
      <c r="R908" s="31">
        <v>299999.7</v>
      </c>
    </row>
    <row r="909" s="1" customFormat="1" ht="16.35" hidden="1" customHeight="1" spans="1:18">
      <c r="A909" s="6" t="s">
        <v>4506</v>
      </c>
      <c r="B909" s="6">
        <v>2018</v>
      </c>
      <c r="C909" s="6">
        <v>3</v>
      </c>
      <c r="D909" s="7">
        <v>49</v>
      </c>
      <c r="E909" s="6" t="s">
        <v>5057</v>
      </c>
      <c r="F909" s="6" t="s">
        <v>4508</v>
      </c>
      <c r="G909" s="6" t="s">
        <v>25</v>
      </c>
      <c r="H909" s="8"/>
      <c r="I909" s="8">
        <v>71429</v>
      </c>
      <c r="J909" s="6" t="s">
        <v>3959</v>
      </c>
      <c r="K909" s="6" t="s">
        <v>935</v>
      </c>
      <c r="L909" s="6" t="s">
        <v>4510</v>
      </c>
      <c r="M909" s="6" t="s">
        <v>4511</v>
      </c>
      <c r="N909" s="6" t="s">
        <v>935</v>
      </c>
      <c r="O909" s="29">
        <f t="shared" si="15"/>
        <v>75000.45</v>
      </c>
      <c r="Q909" s="30" t="s">
        <v>935</v>
      </c>
      <c r="R909" s="31">
        <v>75000.45</v>
      </c>
    </row>
    <row r="910" s="1" customFormat="1" ht="16.35" hidden="1" customHeight="1" spans="1:18">
      <c r="A910" s="6" t="s">
        <v>4506</v>
      </c>
      <c r="B910" s="6">
        <v>2018</v>
      </c>
      <c r="C910" s="6">
        <v>3</v>
      </c>
      <c r="D910" s="7">
        <v>50</v>
      </c>
      <c r="E910" s="6" t="s">
        <v>5058</v>
      </c>
      <c r="F910" s="6" t="s">
        <v>4508</v>
      </c>
      <c r="G910" s="6" t="s">
        <v>25</v>
      </c>
      <c r="H910" s="8"/>
      <c r="I910" s="8">
        <v>47619</v>
      </c>
      <c r="J910" s="6" t="s">
        <v>3881</v>
      </c>
      <c r="K910" s="6" t="s">
        <v>666</v>
      </c>
      <c r="L910" s="6" t="s">
        <v>4510</v>
      </c>
      <c r="M910" s="6" t="s">
        <v>4511</v>
      </c>
      <c r="N910" s="6" t="s">
        <v>666</v>
      </c>
      <c r="O910" s="29">
        <f t="shared" si="15"/>
        <v>49999.95</v>
      </c>
      <c r="Q910" s="30" t="s">
        <v>666</v>
      </c>
      <c r="R910" s="31">
        <v>49999.95</v>
      </c>
    </row>
    <row r="911" s="1" customFormat="1" ht="16.35" hidden="1" customHeight="1" spans="1:18">
      <c r="A911" s="6" t="s">
        <v>4506</v>
      </c>
      <c r="B911" s="6">
        <v>2018</v>
      </c>
      <c r="C911" s="6">
        <v>4</v>
      </c>
      <c r="D911" s="7">
        <v>6</v>
      </c>
      <c r="E911" s="6" t="s">
        <v>5059</v>
      </c>
      <c r="F911" s="6" t="s">
        <v>4508</v>
      </c>
      <c r="G911" s="6" t="s">
        <v>25</v>
      </c>
      <c r="H911" s="8"/>
      <c r="I911" s="8">
        <v>2857</v>
      </c>
      <c r="J911" s="6" t="s">
        <v>3983</v>
      </c>
      <c r="K911" s="6" t="s">
        <v>928</v>
      </c>
      <c r="L911" s="6" t="s">
        <v>4509</v>
      </c>
      <c r="M911" s="6" t="s">
        <v>4537</v>
      </c>
      <c r="N911" s="6" t="s">
        <v>928</v>
      </c>
      <c r="O911" s="29">
        <f t="shared" si="15"/>
        <v>2999.85</v>
      </c>
      <c r="Q911" s="30" t="s">
        <v>928</v>
      </c>
      <c r="R911" s="31">
        <v>2999.85</v>
      </c>
    </row>
    <row r="912" s="1" customFormat="1" ht="16.35" hidden="1" customHeight="1" spans="1:18">
      <c r="A912" s="6" t="s">
        <v>4506</v>
      </c>
      <c r="B912" s="6">
        <v>2018</v>
      </c>
      <c r="C912" s="6">
        <v>4</v>
      </c>
      <c r="D912" s="7">
        <v>8</v>
      </c>
      <c r="E912" s="6" t="s">
        <v>5060</v>
      </c>
      <c r="F912" s="6" t="s">
        <v>4508</v>
      </c>
      <c r="G912" s="6" t="s">
        <v>25</v>
      </c>
      <c r="H912" s="8"/>
      <c r="I912" s="8">
        <v>4762</v>
      </c>
      <c r="J912" s="6" t="s">
        <v>4066</v>
      </c>
      <c r="K912" s="6" t="s">
        <v>713</v>
      </c>
      <c r="L912" s="6" t="s">
        <v>4509</v>
      </c>
      <c r="M912" s="6" t="s">
        <v>4537</v>
      </c>
      <c r="N912" s="6" t="s">
        <v>713</v>
      </c>
      <c r="O912" s="29">
        <f t="shared" si="15"/>
        <v>5000.1</v>
      </c>
      <c r="Q912" s="30" t="s">
        <v>713</v>
      </c>
      <c r="R912" s="31">
        <v>5000.1</v>
      </c>
    </row>
    <row r="913" s="1" customFormat="1" ht="16.35" hidden="1" customHeight="1" spans="1:18">
      <c r="A913" s="6" t="s">
        <v>4506</v>
      </c>
      <c r="B913" s="6">
        <v>2018</v>
      </c>
      <c r="C913" s="6">
        <v>4</v>
      </c>
      <c r="D913" s="7">
        <v>11</v>
      </c>
      <c r="E913" s="6" t="s">
        <v>5061</v>
      </c>
      <c r="F913" s="6" t="s">
        <v>4508</v>
      </c>
      <c r="G913" s="6" t="s">
        <v>25</v>
      </c>
      <c r="H913" s="8"/>
      <c r="I913" s="8">
        <v>952</v>
      </c>
      <c r="J913" s="6" t="s">
        <v>4068</v>
      </c>
      <c r="K913" s="6" t="s">
        <v>746</v>
      </c>
      <c r="L913" s="6" t="s">
        <v>4509</v>
      </c>
      <c r="M913" s="6" t="s">
        <v>4537</v>
      </c>
      <c r="N913" s="6" t="s">
        <v>746</v>
      </c>
      <c r="O913" s="29">
        <f t="shared" si="15"/>
        <v>999.6</v>
      </c>
      <c r="Q913" s="30" t="s">
        <v>746</v>
      </c>
      <c r="R913" s="31">
        <v>999.6</v>
      </c>
    </row>
    <row r="914" s="1" customFormat="1" ht="16.35" hidden="1" customHeight="1" spans="1:18">
      <c r="A914" s="6" t="s">
        <v>4506</v>
      </c>
      <c r="B914" s="6">
        <v>2018</v>
      </c>
      <c r="C914" s="6">
        <v>4</v>
      </c>
      <c r="D914" s="7">
        <v>12</v>
      </c>
      <c r="E914" s="6" t="s">
        <v>5062</v>
      </c>
      <c r="F914" s="6" t="s">
        <v>4508</v>
      </c>
      <c r="G914" s="6" t="s">
        <v>25</v>
      </c>
      <c r="H914" s="8"/>
      <c r="I914" s="8">
        <v>952</v>
      </c>
      <c r="J914" s="6" t="s">
        <v>4071</v>
      </c>
      <c r="K914" s="6" t="s">
        <v>754</v>
      </c>
      <c r="L914" s="6" t="s">
        <v>4509</v>
      </c>
      <c r="M914" s="6" t="s">
        <v>4537</v>
      </c>
      <c r="N914" s="6" t="s">
        <v>754</v>
      </c>
      <c r="O914" s="29">
        <f t="shared" si="15"/>
        <v>999.6</v>
      </c>
      <c r="Q914" s="30" t="s">
        <v>754</v>
      </c>
      <c r="R914" s="31">
        <v>999.6</v>
      </c>
    </row>
    <row r="915" s="1" customFormat="1" ht="16.35" hidden="1" customHeight="1" spans="1:18">
      <c r="A915" s="6" t="s">
        <v>4506</v>
      </c>
      <c r="B915" s="6">
        <v>2018</v>
      </c>
      <c r="C915" s="6">
        <v>4</v>
      </c>
      <c r="D915" s="7">
        <v>13</v>
      </c>
      <c r="E915" s="6" t="s">
        <v>5063</v>
      </c>
      <c r="F915" s="6" t="s">
        <v>4508</v>
      </c>
      <c r="G915" s="6" t="s">
        <v>25</v>
      </c>
      <c r="H915" s="8"/>
      <c r="I915" s="8">
        <v>-244851</v>
      </c>
      <c r="J915" s="6" t="s">
        <v>4021</v>
      </c>
      <c r="K915" s="6" t="s">
        <v>779</v>
      </c>
      <c r="L915" s="6" t="s">
        <v>4509</v>
      </c>
      <c r="M915" s="6" t="s">
        <v>4537</v>
      </c>
      <c r="N915" s="6" t="s">
        <v>779</v>
      </c>
      <c r="O915" s="29">
        <v>-257094</v>
      </c>
      <c r="Q915" s="30" t="s">
        <v>779</v>
      </c>
      <c r="R915" s="31">
        <f>O915</f>
        <v>-257094</v>
      </c>
    </row>
    <row r="916" s="1" customFormat="1" ht="16.35" hidden="1" customHeight="1" spans="1:18">
      <c r="A916" s="6" t="s">
        <v>4506</v>
      </c>
      <c r="B916" s="6">
        <v>2018</v>
      </c>
      <c r="C916" s="6">
        <v>4</v>
      </c>
      <c r="D916" s="7">
        <v>14</v>
      </c>
      <c r="E916" s="6" t="s">
        <v>5064</v>
      </c>
      <c r="F916" s="6" t="s">
        <v>4508</v>
      </c>
      <c r="G916" s="6" t="s">
        <v>25</v>
      </c>
      <c r="H916" s="8"/>
      <c r="I916" s="8">
        <v>13370</v>
      </c>
      <c r="J916" s="6" t="s">
        <v>3411</v>
      </c>
      <c r="K916" s="6" t="s">
        <v>142</v>
      </c>
      <c r="L916" s="6" t="s">
        <v>4509</v>
      </c>
      <c r="M916" s="6" t="s">
        <v>4537</v>
      </c>
      <c r="N916" s="6" t="s">
        <v>142</v>
      </c>
      <c r="O916" s="29">
        <f t="shared" si="15"/>
        <v>14038.5</v>
      </c>
      <c r="Q916" s="30" t="s">
        <v>142</v>
      </c>
      <c r="R916" s="31">
        <v>14038.5</v>
      </c>
    </row>
    <row r="917" s="1" customFormat="1" ht="16.35" hidden="1" customHeight="1" spans="1:18">
      <c r="A917" s="6" t="s">
        <v>4506</v>
      </c>
      <c r="B917" s="6">
        <v>2018</v>
      </c>
      <c r="C917" s="6">
        <v>4</v>
      </c>
      <c r="D917" s="7">
        <v>20</v>
      </c>
      <c r="E917" s="6" t="s">
        <v>5065</v>
      </c>
      <c r="F917" s="6" t="s">
        <v>4508</v>
      </c>
      <c r="G917" s="6" t="s">
        <v>25</v>
      </c>
      <c r="H917" s="8"/>
      <c r="I917" s="8">
        <v>118095</v>
      </c>
      <c r="J917" s="6" t="s">
        <v>3972</v>
      </c>
      <c r="K917" s="6" t="s">
        <v>947</v>
      </c>
      <c r="L917" s="6" t="s">
        <v>4509</v>
      </c>
      <c r="M917" s="6" t="s">
        <v>4537</v>
      </c>
      <c r="N917" s="6" t="s">
        <v>947</v>
      </c>
      <c r="O917" s="29">
        <f t="shared" si="15"/>
        <v>123999.75</v>
      </c>
      <c r="Q917" s="30" t="s">
        <v>947</v>
      </c>
      <c r="R917" s="31">
        <v>123999.75</v>
      </c>
    </row>
    <row r="918" s="1" customFormat="1" ht="16.35" hidden="1" customHeight="1" spans="1:18">
      <c r="A918" s="6" t="s">
        <v>4506</v>
      </c>
      <c r="B918" s="6">
        <v>2018</v>
      </c>
      <c r="C918" s="6">
        <v>4</v>
      </c>
      <c r="D918" s="7">
        <v>22</v>
      </c>
      <c r="E918" s="6" t="s">
        <v>5066</v>
      </c>
      <c r="F918" s="6" t="s">
        <v>4508</v>
      </c>
      <c r="G918" s="6" t="s">
        <v>25</v>
      </c>
      <c r="H918" s="8"/>
      <c r="I918" s="8">
        <v>4762</v>
      </c>
      <c r="J918" s="6" t="s">
        <v>4073</v>
      </c>
      <c r="K918" s="6" t="s">
        <v>737</v>
      </c>
      <c r="L918" s="6" t="s">
        <v>4509</v>
      </c>
      <c r="M918" s="6" t="s">
        <v>4537</v>
      </c>
      <c r="N918" s="6" t="s">
        <v>737</v>
      </c>
      <c r="O918" s="29">
        <f t="shared" si="15"/>
        <v>5000.1</v>
      </c>
      <c r="Q918" s="30" t="s">
        <v>737</v>
      </c>
      <c r="R918" s="31">
        <v>5000.1</v>
      </c>
    </row>
    <row r="919" s="1" customFormat="1" ht="16.35" hidden="1" customHeight="1" spans="1:18">
      <c r="A919" s="6" t="s">
        <v>4506</v>
      </c>
      <c r="B919" s="6">
        <v>2018</v>
      </c>
      <c r="C919" s="6">
        <v>4</v>
      </c>
      <c r="D919" s="7">
        <v>26</v>
      </c>
      <c r="E919" s="6" t="s">
        <v>5067</v>
      </c>
      <c r="F919" s="6" t="s">
        <v>4508</v>
      </c>
      <c r="G919" s="6" t="s">
        <v>25</v>
      </c>
      <c r="H919" s="8"/>
      <c r="I919" s="8">
        <v>142857</v>
      </c>
      <c r="J919" s="6" t="s">
        <v>3161</v>
      </c>
      <c r="K919" s="6" t="s">
        <v>834</v>
      </c>
      <c r="L919" s="6" t="s">
        <v>4509</v>
      </c>
      <c r="M919" s="6" t="s">
        <v>4537</v>
      </c>
      <c r="N919" s="6" t="s">
        <v>834</v>
      </c>
      <c r="O919" s="29">
        <f t="shared" si="15"/>
        <v>149999.85</v>
      </c>
      <c r="Q919" s="30" t="s">
        <v>834</v>
      </c>
      <c r="R919" s="31">
        <v>149999.85</v>
      </c>
    </row>
    <row r="920" s="1" customFormat="1" ht="16.35" hidden="1" customHeight="1" spans="1:18">
      <c r="A920" s="6" t="s">
        <v>4506</v>
      </c>
      <c r="B920" s="6">
        <v>2018</v>
      </c>
      <c r="C920" s="6">
        <v>4</v>
      </c>
      <c r="D920" s="7">
        <v>27</v>
      </c>
      <c r="E920" s="6" t="s">
        <v>5061</v>
      </c>
      <c r="F920" s="6" t="s">
        <v>4508</v>
      </c>
      <c r="G920" s="6" t="s">
        <v>25</v>
      </c>
      <c r="H920" s="8"/>
      <c r="I920" s="8">
        <v>79826</v>
      </c>
      <c r="J920" s="6" t="s">
        <v>4068</v>
      </c>
      <c r="K920" s="6" t="s">
        <v>746</v>
      </c>
      <c r="L920" s="6" t="s">
        <v>4509</v>
      </c>
      <c r="M920" s="6" t="s">
        <v>4537</v>
      </c>
      <c r="N920" s="6" t="s">
        <v>746</v>
      </c>
      <c r="O920" s="29">
        <f t="shared" si="15"/>
        <v>83817.3</v>
      </c>
      <c r="Q920" s="30" t="s">
        <v>746</v>
      </c>
      <c r="R920" s="31">
        <v>83817.3</v>
      </c>
    </row>
    <row r="921" s="1" customFormat="1" ht="16.35" hidden="1" customHeight="1" spans="1:18">
      <c r="A921" s="6" t="s">
        <v>4506</v>
      </c>
      <c r="B921" s="6">
        <v>2018</v>
      </c>
      <c r="C921" s="6">
        <v>4</v>
      </c>
      <c r="D921" s="7">
        <v>37</v>
      </c>
      <c r="E921" s="6" t="s">
        <v>5047</v>
      </c>
      <c r="F921" s="6" t="s">
        <v>4508</v>
      </c>
      <c r="G921" s="6" t="s">
        <v>25</v>
      </c>
      <c r="H921" s="8"/>
      <c r="I921" s="8">
        <v>156190</v>
      </c>
      <c r="J921" s="6" t="s">
        <v>4038</v>
      </c>
      <c r="K921" s="6" t="s">
        <v>721</v>
      </c>
      <c r="L921" s="6" t="s">
        <v>4510</v>
      </c>
      <c r="M921" s="6" t="s">
        <v>4511</v>
      </c>
      <c r="N921" s="6" t="s">
        <v>721</v>
      </c>
      <c r="O921" s="29">
        <f t="shared" ref="O921:O984" si="16">I921*1.05</f>
        <v>163999.5</v>
      </c>
      <c r="Q921" s="30" t="s">
        <v>721</v>
      </c>
      <c r="R921" s="31">
        <v>163999.5</v>
      </c>
    </row>
    <row r="922" s="1" customFormat="1" ht="16.35" hidden="1" customHeight="1" spans="1:18">
      <c r="A922" s="6" t="s">
        <v>4506</v>
      </c>
      <c r="B922" s="6">
        <v>2018</v>
      </c>
      <c r="C922" s="6">
        <v>4</v>
      </c>
      <c r="D922" s="7">
        <v>38</v>
      </c>
      <c r="E922" s="6" t="s">
        <v>5055</v>
      </c>
      <c r="F922" s="6" t="s">
        <v>4508</v>
      </c>
      <c r="G922" s="6" t="s">
        <v>25</v>
      </c>
      <c r="H922" s="8"/>
      <c r="I922" s="8">
        <v>160000</v>
      </c>
      <c r="J922" s="6" t="s">
        <v>4062</v>
      </c>
      <c r="K922" s="6" t="s">
        <v>731</v>
      </c>
      <c r="L922" s="6" t="s">
        <v>4510</v>
      </c>
      <c r="M922" s="6" t="s">
        <v>4511</v>
      </c>
      <c r="N922" s="6" t="s">
        <v>731</v>
      </c>
      <c r="O922" s="29">
        <f t="shared" si="16"/>
        <v>168000</v>
      </c>
      <c r="Q922" s="30" t="s">
        <v>731</v>
      </c>
      <c r="R922" s="31">
        <v>168000</v>
      </c>
    </row>
    <row r="923" s="1" customFormat="1" ht="16.35" hidden="1" customHeight="1" spans="1:18">
      <c r="A923" s="6" t="s">
        <v>4506</v>
      </c>
      <c r="B923" s="6">
        <v>2018</v>
      </c>
      <c r="C923" s="6">
        <v>4</v>
      </c>
      <c r="D923" s="7">
        <v>39</v>
      </c>
      <c r="E923" s="6" t="s">
        <v>5068</v>
      </c>
      <c r="F923" s="6" t="s">
        <v>4508</v>
      </c>
      <c r="G923" s="6" t="s">
        <v>25</v>
      </c>
      <c r="H923" s="8"/>
      <c r="I923" s="8">
        <v>84762</v>
      </c>
      <c r="J923" s="6" t="s">
        <v>4034</v>
      </c>
      <c r="K923" s="6" t="s">
        <v>5013</v>
      </c>
      <c r="L923" s="6" t="s">
        <v>4510</v>
      </c>
      <c r="M923" s="6" t="s">
        <v>4511</v>
      </c>
      <c r="N923" s="6" t="s">
        <v>5013</v>
      </c>
      <c r="O923" s="29">
        <f t="shared" si="16"/>
        <v>89000.1</v>
      </c>
      <c r="Q923" s="30" t="s">
        <v>5013</v>
      </c>
      <c r="R923" s="31">
        <v>89000.1</v>
      </c>
    </row>
    <row r="924" s="1" customFormat="1" ht="16.35" hidden="1" customHeight="1" spans="1:18">
      <c r="A924" s="6" t="s">
        <v>4506</v>
      </c>
      <c r="B924" s="6">
        <v>2018</v>
      </c>
      <c r="C924" s="6">
        <v>4</v>
      </c>
      <c r="D924" s="7">
        <v>40</v>
      </c>
      <c r="E924" s="6" t="s">
        <v>5048</v>
      </c>
      <c r="F924" s="6" t="s">
        <v>4508</v>
      </c>
      <c r="G924" s="6" t="s">
        <v>25</v>
      </c>
      <c r="H924" s="8"/>
      <c r="I924" s="8">
        <v>129524</v>
      </c>
      <c r="J924" s="6" t="s">
        <v>4036</v>
      </c>
      <c r="K924" s="6" t="s">
        <v>939</v>
      </c>
      <c r="L924" s="6" t="s">
        <v>4510</v>
      </c>
      <c r="M924" s="6" t="s">
        <v>4511</v>
      </c>
      <c r="N924" s="6" t="s">
        <v>939</v>
      </c>
      <c r="O924" s="29">
        <f t="shared" si="16"/>
        <v>136000.2</v>
      </c>
      <c r="Q924" s="30" t="s">
        <v>939</v>
      </c>
      <c r="R924" s="31">
        <v>136000.2</v>
      </c>
    </row>
    <row r="925" s="1" customFormat="1" ht="16.35" hidden="1" customHeight="1" spans="1:18">
      <c r="A925" s="6" t="s">
        <v>4506</v>
      </c>
      <c r="B925" s="6">
        <v>2018</v>
      </c>
      <c r="C925" s="6">
        <v>4</v>
      </c>
      <c r="D925" s="7">
        <v>41</v>
      </c>
      <c r="E925" s="6" t="s">
        <v>5069</v>
      </c>
      <c r="F925" s="6" t="s">
        <v>4508</v>
      </c>
      <c r="G925" s="6" t="s">
        <v>25</v>
      </c>
      <c r="H925" s="8"/>
      <c r="I925" s="8">
        <v>542857.14</v>
      </c>
      <c r="J925" s="6" t="s">
        <v>5070</v>
      </c>
      <c r="K925" s="6" t="s">
        <v>5071</v>
      </c>
      <c r="L925" s="6" t="s">
        <v>4509</v>
      </c>
      <c r="M925" s="6" t="s">
        <v>4537</v>
      </c>
      <c r="N925" s="6" t="s">
        <v>5071</v>
      </c>
      <c r="O925" s="29">
        <f t="shared" si="16"/>
        <v>569999.997</v>
      </c>
      <c r="Q925" s="30" t="s">
        <v>5071</v>
      </c>
      <c r="R925" s="31">
        <v>569999.997</v>
      </c>
    </row>
    <row r="926" s="1" customFormat="1" ht="16.35" hidden="1" customHeight="1" spans="1:18">
      <c r="A926" s="6" t="s">
        <v>4506</v>
      </c>
      <c r="B926" s="6">
        <v>2018</v>
      </c>
      <c r="C926" s="6">
        <v>4</v>
      </c>
      <c r="D926" s="7">
        <v>42</v>
      </c>
      <c r="E926" s="6" t="s">
        <v>4972</v>
      </c>
      <c r="F926" s="6" t="s">
        <v>4508</v>
      </c>
      <c r="G926" s="6" t="s">
        <v>25</v>
      </c>
      <c r="H926" s="8"/>
      <c r="I926" s="8">
        <v>76190</v>
      </c>
      <c r="J926" s="6" t="s">
        <v>4973</v>
      </c>
      <c r="K926" s="6" t="s">
        <v>949</v>
      </c>
      <c r="L926" s="6" t="s">
        <v>4510</v>
      </c>
      <c r="M926" s="6" t="s">
        <v>4511</v>
      </c>
      <c r="N926" s="6" t="s">
        <v>949</v>
      </c>
      <c r="O926" s="29">
        <f t="shared" si="16"/>
        <v>79999.5</v>
      </c>
      <c r="Q926" s="30" t="s">
        <v>949</v>
      </c>
      <c r="R926" s="31">
        <v>79999.5</v>
      </c>
    </row>
    <row r="927" s="1" customFormat="1" ht="16.35" hidden="1" customHeight="1" spans="1:18">
      <c r="A927" s="6" t="s">
        <v>4506</v>
      </c>
      <c r="B927" s="6">
        <v>2018</v>
      </c>
      <c r="C927" s="6">
        <v>5</v>
      </c>
      <c r="D927" s="7">
        <v>3</v>
      </c>
      <c r="E927" s="6" t="s">
        <v>5072</v>
      </c>
      <c r="F927" s="6" t="s">
        <v>4508</v>
      </c>
      <c r="G927" s="6" t="s">
        <v>25</v>
      </c>
      <c r="H927" s="8"/>
      <c r="I927" s="8">
        <v>-5524</v>
      </c>
      <c r="J927" s="6" t="s">
        <v>4073</v>
      </c>
      <c r="K927" s="6" t="s">
        <v>737</v>
      </c>
      <c r="L927" s="6" t="s">
        <v>4510</v>
      </c>
      <c r="M927" s="6" t="s">
        <v>4511</v>
      </c>
      <c r="N927" s="6" t="s">
        <v>737</v>
      </c>
      <c r="O927" s="29">
        <f t="shared" si="16"/>
        <v>-5800.2</v>
      </c>
      <c r="Q927" s="30" t="s">
        <v>737</v>
      </c>
      <c r="R927" s="31">
        <v>-5800.2</v>
      </c>
    </row>
    <row r="928" s="1" customFormat="1" ht="16.35" hidden="1" customHeight="1" spans="1:18">
      <c r="A928" s="6" t="s">
        <v>4506</v>
      </c>
      <c r="B928" s="6">
        <v>2018</v>
      </c>
      <c r="C928" s="6">
        <v>5</v>
      </c>
      <c r="D928" s="7">
        <v>9</v>
      </c>
      <c r="E928" s="6" t="s">
        <v>5073</v>
      </c>
      <c r="F928" s="6" t="s">
        <v>4508</v>
      </c>
      <c r="G928" s="6" t="s">
        <v>25</v>
      </c>
      <c r="H928" s="8"/>
      <c r="I928" s="8">
        <v>952</v>
      </c>
      <c r="J928" s="6" t="s">
        <v>4044</v>
      </c>
      <c r="K928" s="6" t="s">
        <v>723</v>
      </c>
      <c r="L928" s="6" t="s">
        <v>4510</v>
      </c>
      <c r="M928" s="6" t="s">
        <v>4511</v>
      </c>
      <c r="N928" s="6" t="s">
        <v>723</v>
      </c>
      <c r="O928" s="29">
        <f t="shared" si="16"/>
        <v>999.6</v>
      </c>
      <c r="Q928" s="30" t="s">
        <v>723</v>
      </c>
      <c r="R928" s="31">
        <v>999.6</v>
      </c>
    </row>
    <row r="929" s="1" customFormat="1" ht="16.35" hidden="1" customHeight="1" spans="1:18">
      <c r="A929" s="6" t="s">
        <v>4506</v>
      </c>
      <c r="B929" s="6">
        <v>2018</v>
      </c>
      <c r="C929" s="6">
        <v>5</v>
      </c>
      <c r="D929" s="7">
        <v>10</v>
      </c>
      <c r="E929" s="6" t="s">
        <v>5061</v>
      </c>
      <c r="F929" s="6" t="s">
        <v>4508</v>
      </c>
      <c r="G929" s="6" t="s">
        <v>25</v>
      </c>
      <c r="H929" s="8"/>
      <c r="I929" s="8">
        <v>19048</v>
      </c>
      <c r="J929" s="6" t="s">
        <v>4068</v>
      </c>
      <c r="K929" s="6" t="s">
        <v>746</v>
      </c>
      <c r="L929" s="6" t="s">
        <v>4510</v>
      </c>
      <c r="M929" s="6" t="s">
        <v>4511</v>
      </c>
      <c r="N929" s="6" t="s">
        <v>746</v>
      </c>
      <c r="O929" s="29">
        <f t="shared" si="16"/>
        <v>20000.4</v>
      </c>
      <c r="Q929" s="30" t="s">
        <v>746</v>
      </c>
      <c r="R929" s="31">
        <v>20000.4</v>
      </c>
    </row>
    <row r="930" s="1" customFormat="1" ht="16.35" hidden="1" customHeight="1" spans="1:18">
      <c r="A930" s="6" t="s">
        <v>4506</v>
      </c>
      <c r="B930" s="6">
        <v>2018</v>
      </c>
      <c r="C930" s="6">
        <v>5</v>
      </c>
      <c r="D930" s="7">
        <v>11</v>
      </c>
      <c r="E930" s="6" t="s">
        <v>5062</v>
      </c>
      <c r="F930" s="6" t="s">
        <v>4508</v>
      </c>
      <c r="G930" s="6" t="s">
        <v>25</v>
      </c>
      <c r="H930" s="8"/>
      <c r="I930" s="8">
        <v>100299</v>
      </c>
      <c r="J930" s="6" t="s">
        <v>4071</v>
      </c>
      <c r="K930" s="6" t="s">
        <v>754</v>
      </c>
      <c r="L930" s="6" t="s">
        <v>4510</v>
      </c>
      <c r="M930" s="6" t="s">
        <v>4511</v>
      </c>
      <c r="N930" s="6" t="s">
        <v>754</v>
      </c>
      <c r="O930" s="29">
        <f t="shared" si="16"/>
        <v>105313.95</v>
      </c>
      <c r="Q930" s="30" t="s">
        <v>754</v>
      </c>
      <c r="R930" s="31">
        <v>105313.95</v>
      </c>
    </row>
    <row r="931" s="1" customFormat="1" ht="16.35" hidden="1" customHeight="1" spans="1:18">
      <c r="A931" s="6" t="s">
        <v>4506</v>
      </c>
      <c r="B931" s="6">
        <v>2018</v>
      </c>
      <c r="C931" s="6">
        <v>5</v>
      </c>
      <c r="D931" s="7">
        <v>24</v>
      </c>
      <c r="E931" s="6" t="s">
        <v>5074</v>
      </c>
      <c r="F931" s="6" t="s">
        <v>4508</v>
      </c>
      <c r="G931" s="6" t="s">
        <v>25</v>
      </c>
      <c r="H931" s="8"/>
      <c r="I931" s="8">
        <v>39344</v>
      </c>
      <c r="J931" s="6" t="s">
        <v>4044</v>
      </c>
      <c r="K931" s="6" t="s">
        <v>723</v>
      </c>
      <c r="L931" s="6" t="s">
        <v>4510</v>
      </c>
      <c r="M931" s="6" t="s">
        <v>4511</v>
      </c>
      <c r="N931" s="6" t="s">
        <v>723</v>
      </c>
      <c r="O931" s="29">
        <f t="shared" si="16"/>
        <v>41311.2</v>
      </c>
      <c r="Q931" s="30" t="s">
        <v>723</v>
      </c>
      <c r="R931" s="31">
        <v>41311.2</v>
      </c>
    </row>
    <row r="932" s="1" customFormat="1" ht="16.35" hidden="1" customHeight="1" spans="1:18">
      <c r="A932" s="6" t="s">
        <v>4506</v>
      </c>
      <c r="B932" s="6">
        <v>2018</v>
      </c>
      <c r="C932" s="6">
        <v>5</v>
      </c>
      <c r="D932" s="7">
        <v>25</v>
      </c>
      <c r="E932" s="6" t="s">
        <v>5060</v>
      </c>
      <c r="F932" s="6" t="s">
        <v>4508</v>
      </c>
      <c r="G932" s="6" t="s">
        <v>25</v>
      </c>
      <c r="H932" s="8"/>
      <c r="I932" s="8">
        <v>35110</v>
      </c>
      <c r="J932" s="6" t="s">
        <v>4066</v>
      </c>
      <c r="K932" s="6" t="s">
        <v>713</v>
      </c>
      <c r="L932" s="6" t="s">
        <v>4510</v>
      </c>
      <c r="M932" s="6" t="s">
        <v>4511</v>
      </c>
      <c r="N932" s="6" t="s">
        <v>713</v>
      </c>
      <c r="O932" s="29">
        <f t="shared" si="16"/>
        <v>36865.5</v>
      </c>
      <c r="Q932" s="30" t="s">
        <v>713</v>
      </c>
      <c r="R932" s="31">
        <v>36865.5</v>
      </c>
    </row>
    <row r="933" s="1" customFormat="1" ht="16.35" hidden="1" customHeight="1" spans="1:18">
      <c r="A933" s="6" t="s">
        <v>4506</v>
      </c>
      <c r="B933" s="6">
        <v>2018</v>
      </c>
      <c r="C933" s="6">
        <v>5</v>
      </c>
      <c r="D933" s="7">
        <v>36</v>
      </c>
      <c r="E933" s="6" t="s">
        <v>5075</v>
      </c>
      <c r="F933" s="6" t="s">
        <v>4508</v>
      </c>
      <c r="G933" s="6" t="s">
        <v>25</v>
      </c>
      <c r="H933" s="8"/>
      <c r="I933" s="8">
        <v>95238</v>
      </c>
      <c r="J933" s="6" t="s">
        <v>3895</v>
      </c>
      <c r="K933" s="6" t="s">
        <v>665</v>
      </c>
      <c r="L933" s="6" t="s">
        <v>4510</v>
      </c>
      <c r="M933" s="6" t="s">
        <v>4511</v>
      </c>
      <c r="N933" s="6" t="s">
        <v>665</v>
      </c>
      <c r="O933" s="29">
        <f t="shared" si="16"/>
        <v>99999.9</v>
      </c>
      <c r="Q933" s="30" t="s">
        <v>665</v>
      </c>
      <c r="R933" s="31">
        <v>99999.9</v>
      </c>
    </row>
    <row r="934" s="1" customFormat="1" ht="16.35" hidden="1" customHeight="1" spans="1:18">
      <c r="A934" s="6" t="s">
        <v>4506</v>
      </c>
      <c r="B934" s="6">
        <v>2018</v>
      </c>
      <c r="C934" s="6">
        <v>5</v>
      </c>
      <c r="D934" s="7">
        <v>37</v>
      </c>
      <c r="E934" s="6" t="s">
        <v>5059</v>
      </c>
      <c r="F934" s="6" t="s">
        <v>4508</v>
      </c>
      <c r="G934" s="6" t="s">
        <v>25</v>
      </c>
      <c r="H934" s="8"/>
      <c r="I934" s="8">
        <v>23283</v>
      </c>
      <c r="J934" s="6" t="s">
        <v>3983</v>
      </c>
      <c r="K934" s="6" t="s">
        <v>928</v>
      </c>
      <c r="L934" s="6" t="s">
        <v>4510</v>
      </c>
      <c r="M934" s="6" t="s">
        <v>4511</v>
      </c>
      <c r="N934" s="6" t="s">
        <v>928</v>
      </c>
      <c r="O934" s="29">
        <f t="shared" si="16"/>
        <v>24447.15</v>
      </c>
      <c r="Q934" s="30" t="s">
        <v>928</v>
      </c>
      <c r="R934" s="31">
        <v>24447.15</v>
      </c>
    </row>
    <row r="935" s="1" customFormat="1" ht="16.35" hidden="1" customHeight="1" spans="1:18">
      <c r="A935" s="6" t="s">
        <v>4506</v>
      </c>
      <c r="B935" s="6">
        <v>2018</v>
      </c>
      <c r="C935" s="6">
        <v>6</v>
      </c>
      <c r="D935" s="7">
        <v>1</v>
      </c>
      <c r="E935" s="6" t="s">
        <v>5076</v>
      </c>
      <c r="F935" s="6" t="s">
        <v>4508</v>
      </c>
      <c r="G935" s="6" t="s">
        <v>25</v>
      </c>
      <c r="H935" s="8"/>
      <c r="I935" s="8">
        <v>47619</v>
      </c>
      <c r="J935" s="6" t="s">
        <v>3250</v>
      </c>
      <c r="K935" s="6" t="s">
        <v>369</v>
      </c>
      <c r="L935" s="6" t="s">
        <v>4510</v>
      </c>
      <c r="M935" s="6" t="s">
        <v>4511</v>
      </c>
      <c r="N935" s="6" t="s">
        <v>369</v>
      </c>
      <c r="O935" s="29">
        <f t="shared" si="16"/>
        <v>49999.95</v>
      </c>
      <c r="Q935" s="30" t="s">
        <v>369</v>
      </c>
      <c r="R935" s="31">
        <v>49999.95</v>
      </c>
    </row>
    <row r="936" s="1" customFormat="1" ht="16.35" hidden="1" customHeight="1" spans="1:18">
      <c r="A936" s="6" t="s">
        <v>4506</v>
      </c>
      <c r="B936" s="6">
        <v>2018</v>
      </c>
      <c r="C936" s="6">
        <v>6</v>
      </c>
      <c r="D936" s="7">
        <v>2</v>
      </c>
      <c r="E936" s="6" t="s">
        <v>5077</v>
      </c>
      <c r="F936" s="6" t="s">
        <v>4508</v>
      </c>
      <c r="G936" s="6" t="s">
        <v>25</v>
      </c>
      <c r="H936" s="8"/>
      <c r="I936" s="8">
        <v>9524</v>
      </c>
      <c r="J936" s="6" t="s">
        <v>3411</v>
      </c>
      <c r="K936" s="6" t="s">
        <v>142</v>
      </c>
      <c r="L936" s="6" t="s">
        <v>4510</v>
      </c>
      <c r="M936" s="6" t="s">
        <v>4511</v>
      </c>
      <c r="N936" s="6" t="s">
        <v>142</v>
      </c>
      <c r="O936" s="29">
        <f t="shared" si="16"/>
        <v>10000.2</v>
      </c>
      <c r="Q936" s="30" t="s">
        <v>142</v>
      </c>
      <c r="R936" s="31">
        <v>10000.2</v>
      </c>
    </row>
    <row r="937" s="1" customFormat="1" ht="16.35" hidden="1" customHeight="1" spans="1:19">
      <c r="A937" s="6" t="s">
        <v>4506</v>
      </c>
      <c r="B937" s="6">
        <v>2018</v>
      </c>
      <c r="C937" s="6">
        <v>6</v>
      </c>
      <c r="D937" s="7">
        <v>3</v>
      </c>
      <c r="E937" s="6" t="s">
        <v>5078</v>
      </c>
      <c r="F937" s="6" t="s">
        <v>4508</v>
      </c>
      <c r="G937" s="6" t="s">
        <v>25</v>
      </c>
      <c r="H937" s="8"/>
      <c r="I937" s="8">
        <v>269524</v>
      </c>
      <c r="J937" s="6" t="s">
        <v>4094</v>
      </c>
      <c r="K937" s="6" t="s">
        <v>5079</v>
      </c>
      <c r="L937" s="6" t="s">
        <v>4510</v>
      </c>
      <c r="M937" s="6" t="s">
        <v>4511</v>
      </c>
      <c r="N937" s="6" t="s">
        <v>5079</v>
      </c>
      <c r="O937" s="29">
        <f t="shared" si="16"/>
        <v>283000.2</v>
      </c>
      <c r="Q937" s="30" t="s">
        <v>5079</v>
      </c>
      <c r="R937" s="31">
        <v>283000.2</v>
      </c>
      <c r="S937" s="25">
        <v>13476</v>
      </c>
    </row>
    <row r="938" s="1" customFormat="1" ht="16.35" hidden="1" customHeight="1" spans="1:19">
      <c r="A938" s="6" t="s">
        <v>4506</v>
      </c>
      <c r="B938" s="6">
        <v>2018</v>
      </c>
      <c r="C938" s="6">
        <v>6</v>
      </c>
      <c r="D938" s="7">
        <v>4</v>
      </c>
      <c r="E938" s="6" t="s">
        <v>5080</v>
      </c>
      <c r="F938" s="6" t="s">
        <v>4508</v>
      </c>
      <c r="G938" s="6" t="s">
        <v>25</v>
      </c>
      <c r="H938" s="8"/>
      <c r="I938" s="8">
        <v>4762</v>
      </c>
      <c r="J938" s="6" t="s">
        <v>4094</v>
      </c>
      <c r="K938" s="6" t="s">
        <v>5079</v>
      </c>
      <c r="L938" s="6" t="s">
        <v>4510</v>
      </c>
      <c r="M938" s="6" t="s">
        <v>4511</v>
      </c>
      <c r="N938" s="6" t="s">
        <v>5079</v>
      </c>
      <c r="O938" s="29">
        <f t="shared" si="16"/>
        <v>5000.1</v>
      </c>
      <c r="Q938" s="30" t="s">
        <v>5079</v>
      </c>
      <c r="R938" s="31">
        <v>5000.1</v>
      </c>
      <c r="S938" s="35">
        <v>238</v>
      </c>
    </row>
    <row r="939" s="1" customFormat="1" ht="16.35" hidden="1" customHeight="1" spans="1:18">
      <c r="A939" s="6" t="s">
        <v>4506</v>
      </c>
      <c r="B939" s="6">
        <v>2018</v>
      </c>
      <c r="C939" s="6">
        <v>6</v>
      </c>
      <c r="D939" s="7">
        <v>5</v>
      </c>
      <c r="E939" s="6" t="s">
        <v>5081</v>
      </c>
      <c r="F939" s="6" t="s">
        <v>4508</v>
      </c>
      <c r="G939" s="6" t="s">
        <v>25</v>
      </c>
      <c r="H939" s="8"/>
      <c r="I939" s="8">
        <v>4762</v>
      </c>
      <c r="J939" s="6" t="s">
        <v>4096</v>
      </c>
      <c r="K939" s="6" t="s">
        <v>2065</v>
      </c>
      <c r="L939" s="6" t="s">
        <v>4516</v>
      </c>
      <c r="M939" s="6" t="s">
        <v>5082</v>
      </c>
      <c r="N939" s="6" t="s">
        <v>2065</v>
      </c>
      <c r="O939" s="29">
        <f>I939</f>
        <v>4762</v>
      </c>
      <c r="Q939" s="30" t="s">
        <v>2065</v>
      </c>
      <c r="R939" s="31">
        <v>5000.1</v>
      </c>
    </row>
    <row r="940" s="1" customFormat="1" ht="16.35" hidden="1" customHeight="1" spans="1:18">
      <c r="A940" s="6" t="s">
        <v>4506</v>
      </c>
      <c r="B940" s="6">
        <v>2018</v>
      </c>
      <c r="C940" s="6">
        <v>6</v>
      </c>
      <c r="D940" s="7">
        <v>6</v>
      </c>
      <c r="E940" s="6" t="s">
        <v>5083</v>
      </c>
      <c r="F940" s="6" t="s">
        <v>4508</v>
      </c>
      <c r="G940" s="6" t="s">
        <v>25</v>
      </c>
      <c r="H940" s="8"/>
      <c r="I940" s="8">
        <v>7619</v>
      </c>
      <c r="J940" s="6" t="s">
        <v>4099</v>
      </c>
      <c r="K940" s="6" t="s">
        <v>1953</v>
      </c>
      <c r="L940" s="6" t="s">
        <v>4516</v>
      </c>
      <c r="M940" s="6" t="s">
        <v>5082</v>
      </c>
      <c r="N940" s="6" t="s">
        <v>1953</v>
      </c>
      <c r="O940" s="29">
        <f>I940</f>
        <v>7619</v>
      </c>
      <c r="Q940" s="30" t="s">
        <v>1953</v>
      </c>
      <c r="R940" s="31">
        <v>7999.95</v>
      </c>
    </row>
    <row r="941" s="1" customFormat="1" ht="16.35" hidden="1" customHeight="1" spans="1:18">
      <c r="A941" s="6" t="s">
        <v>4506</v>
      </c>
      <c r="B941" s="6">
        <v>2018</v>
      </c>
      <c r="C941" s="6">
        <v>6</v>
      </c>
      <c r="D941" s="7">
        <v>8</v>
      </c>
      <c r="E941" s="6" t="s">
        <v>5084</v>
      </c>
      <c r="F941" s="6" t="s">
        <v>4508</v>
      </c>
      <c r="G941" s="6" t="s">
        <v>25</v>
      </c>
      <c r="H941" s="8"/>
      <c r="I941" s="8">
        <v>95238</v>
      </c>
      <c r="J941" s="6" t="s">
        <v>4071</v>
      </c>
      <c r="K941" s="6" t="s">
        <v>754</v>
      </c>
      <c r="L941" s="6" t="s">
        <v>4510</v>
      </c>
      <c r="M941" s="6" t="s">
        <v>4511</v>
      </c>
      <c r="N941" s="6" t="s">
        <v>754</v>
      </c>
      <c r="O941" s="29">
        <f t="shared" si="16"/>
        <v>99999.9</v>
      </c>
      <c r="Q941" s="30" t="s">
        <v>754</v>
      </c>
      <c r="R941" s="31">
        <v>99999.9</v>
      </c>
    </row>
    <row r="942" s="1" customFormat="1" ht="16.35" hidden="1" customHeight="1" spans="1:19">
      <c r="A942" s="6" t="s">
        <v>4506</v>
      </c>
      <c r="B942" s="6">
        <v>2018</v>
      </c>
      <c r="C942" s="6">
        <v>6</v>
      </c>
      <c r="D942" s="7">
        <v>9</v>
      </c>
      <c r="E942" s="6" t="s">
        <v>5085</v>
      </c>
      <c r="F942" s="6" t="s">
        <v>4508</v>
      </c>
      <c r="G942" s="6" t="s">
        <v>25</v>
      </c>
      <c r="H942" s="8"/>
      <c r="I942" s="8">
        <v>59048</v>
      </c>
      <c r="J942" s="6" t="s">
        <v>4094</v>
      </c>
      <c r="K942" s="6" t="s">
        <v>5079</v>
      </c>
      <c r="L942" s="6" t="s">
        <v>4510</v>
      </c>
      <c r="M942" s="6" t="s">
        <v>4511</v>
      </c>
      <c r="N942" s="6" t="s">
        <v>5079</v>
      </c>
      <c r="O942" s="29">
        <f t="shared" si="16"/>
        <v>62000.4</v>
      </c>
      <c r="Q942" s="30" t="s">
        <v>5079</v>
      </c>
      <c r="R942" s="31">
        <v>62000.4</v>
      </c>
      <c r="S942" s="25">
        <v>2952</v>
      </c>
    </row>
    <row r="943" s="1" customFormat="1" ht="16.35" hidden="1" customHeight="1" spans="1:18">
      <c r="A943" s="6" t="s">
        <v>4506</v>
      </c>
      <c r="B943" s="6">
        <v>2018</v>
      </c>
      <c r="C943" s="6">
        <v>6</v>
      </c>
      <c r="D943" s="7">
        <v>10</v>
      </c>
      <c r="E943" s="6" t="s">
        <v>5086</v>
      </c>
      <c r="F943" s="6" t="s">
        <v>4508</v>
      </c>
      <c r="G943" s="6" t="s">
        <v>25</v>
      </c>
      <c r="H943" s="8"/>
      <c r="I943" s="8">
        <v>4762</v>
      </c>
      <c r="J943" s="6" t="s">
        <v>4102</v>
      </c>
      <c r="K943" s="6" t="s">
        <v>2005</v>
      </c>
      <c r="L943" s="6" t="s">
        <v>4516</v>
      </c>
      <c r="M943" s="6" t="s">
        <v>5082</v>
      </c>
      <c r="N943" s="6" t="s">
        <v>2005</v>
      </c>
      <c r="O943" s="29">
        <f>I943</f>
        <v>4762</v>
      </c>
      <c r="Q943" s="30" t="s">
        <v>2005</v>
      </c>
      <c r="R943" s="31">
        <v>5000.1</v>
      </c>
    </row>
    <row r="944" s="1" customFormat="1" ht="16.35" hidden="1" customHeight="1" spans="1:18">
      <c r="A944" s="6" t="s">
        <v>4506</v>
      </c>
      <c r="B944" s="6">
        <v>2018</v>
      </c>
      <c r="C944" s="6">
        <v>6</v>
      </c>
      <c r="D944" s="7">
        <v>11</v>
      </c>
      <c r="E944" s="6" t="s">
        <v>5087</v>
      </c>
      <c r="F944" s="6" t="s">
        <v>4508</v>
      </c>
      <c r="G944" s="6" t="s">
        <v>25</v>
      </c>
      <c r="H944" s="8"/>
      <c r="I944" s="8">
        <v>9524</v>
      </c>
      <c r="J944" s="6" t="s">
        <v>4112</v>
      </c>
      <c r="K944" s="6" t="s">
        <v>2101</v>
      </c>
      <c r="L944" s="6" t="s">
        <v>4516</v>
      </c>
      <c r="M944" s="6" t="s">
        <v>5082</v>
      </c>
      <c r="N944" s="6" t="s">
        <v>2101</v>
      </c>
      <c r="O944" s="29">
        <f>I944</f>
        <v>9524</v>
      </c>
      <c r="Q944" s="30" t="s">
        <v>2101</v>
      </c>
      <c r="R944" s="31">
        <v>10000.2</v>
      </c>
    </row>
    <row r="945" s="1" customFormat="1" ht="16.35" hidden="1" customHeight="1" spans="1:18">
      <c r="A945" s="6" t="s">
        <v>4506</v>
      </c>
      <c r="B945" s="6">
        <v>2018</v>
      </c>
      <c r="C945" s="6">
        <v>6</v>
      </c>
      <c r="D945" s="7">
        <v>12</v>
      </c>
      <c r="E945" s="6" t="s">
        <v>5076</v>
      </c>
      <c r="F945" s="6" t="s">
        <v>4508</v>
      </c>
      <c r="G945" s="6" t="s">
        <v>25</v>
      </c>
      <c r="H945" s="8"/>
      <c r="I945" s="8">
        <v>87182</v>
      </c>
      <c r="J945" s="6" t="s">
        <v>3250</v>
      </c>
      <c r="K945" s="6" t="s">
        <v>369</v>
      </c>
      <c r="L945" s="6" t="s">
        <v>4510</v>
      </c>
      <c r="M945" s="6" t="s">
        <v>4511</v>
      </c>
      <c r="N945" s="6" t="s">
        <v>369</v>
      </c>
      <c r="O945" s="29">
        <f t="shared" si="16"/>
        <v>91541.1</v>
      </c>
      <c r="Q945" s="30" t="s">
        <v>369</v>
      </c>
      <c r="R945" s="31">
        <v>91541.1</v>
      </c>
    </row>
    <row r="946" s="1" customFormat="1" ht="16.35" hidden="1" customHeight="1" spans="1:18">
      <c r="A946" s="6" t="s">
        <v>4506</v>
      </c>
      <c r="B946" s="6">
        <v>2018</v>
      </c>
      <c r="C946" s="6">
        <v>6</v>
      </c>
      <c r="D946" s="7">
        <v>15</v>
      </c>
      <c r="E946" s="6" t="s">
        <v>5088</v>
      </c>
      <c r="F946" s="6" t="s">
        <v>4508</v>
      </c>
      <c r="G946" s="6" t="s">
        <v>25</v>
      </c>
      <c r="H946" s="8"/>
      <c r="I946" s="8">
        <v>55226</v>
      </c>
      <c r="J946" s="6" t="s">
        <v>4116</v>
      </c>
      <c r="K946" s="6" t="s">
        <v>926</v>
      </c>
      <c r="L946" s="6" t="s">
        <v>4510</v>
      </c>
      <c r="M946" s="6" t="s">
        <v>4511</v>
      </c>
      <c r="N946" s="6" t="s">
        <v>926</v>
      </c>
      <c r="O946" s="29">
        <f t="shared" si="16"/>
        <v>57987.3</v>
      </c>
      <c r="Q946" s="30" t="s">
        <v>926</v>
      </c>
      <c r="R946" s="31">
        <v>57987.3</v>
      </c>
    </row>
    <row r="947" s="1" customFormat="1" ht="16.35" hidden="1" customHeight="1" spans="1:18">
      <c r="A947" s="6" t="s">
        <v>4506</v>
      </c>
      <c r="B947" s="6">
        <v>2018</v>
      </c>
      <c r="C947" s="6">
        <v>6</v>
      </c>
      <c r="D947" s="7">
        <v>18</v>
      </c>
      <c r="E947" s="6" t="s">
        <v>5089</v>
      </c>
      <c r="F947" s="6" t="s">
        <v>4508</v>
      </c>
      <c r="G947" s="6" t="s">
        <v>25</v>
      </c>
      <c r="H947" s="8"/>
      <c r="I947" s="8">
        <v>-952</v>
      </c>
      <c r="J947" s="6" t="s">
        <v>4044</v>
      </c>
      <c r="K947" s="6" t="s">
        <v>723</v>
      </c>
      <c r="L947" s="6" t="s">
        <v>4510</v>
      </c>
      <c r="M947" s="6" t="s">
        <v>4511</v>
      </c>
      <c r="N947" s="6" t="s">
        <v>723</v>
      </c>
      <c r="O947" s="29">
        <f t="shared" si="16"/>
        <v>-999.6</v>
      </c>
      <c r="Q947" s="30" t="s">
        <v>723</v>
      </c>
      <c r="R947" s="31">
        <v>-999.6</v>
      </c>
    </row>
    <row r="948" s="1" customFormat="1" ht="16.35" hidden="1" customHeight="1" spans="1:18">
      <c r="A948" s="6" t="s">
        <v>4506</v>
      </c>
      <c r="B948" s="6">
        <v>2018</v>
      </c>
      <c r="C948" s="6">
        <v>6</v>
      </c>
      <c r="D948" s="7">
        <v>19</v>
      </c>
      <c r="E948" s="6" t="s">
        <v>5090</v>
      </c>
      <c r="F948" s="6" t="s">
        <v>4508</v>
      </c>
      <c r="G948" s="6" t="s">
        <v>25</v>
      </c>
      <c r="H948" s="8"/>
      <c r="I948" s="8">
        <v>117244</v>
      </c>
      <c r="J948" s="6" t="s">
        <v>4046</v>
      </c>
      <c r="K948" s="6" t="s">
        <v>892</v>
      </c>
      <c r="L948" s="6" t="s">
        <v>4510</v>
      </c>
      <c r="M948" s="6" t="s">
        <v>4511</v>
      </c>
      <c r="N948" s="6" t="s">
        <v>892</v>
      </c>
      <c r="O948" s="29">
        <f t="shared" si="16"/>
        <v>123106.2</v>
      </c>
      <c r="Q948" s="30" t="s">
        <v>892</v>
      </c>
      <c r="R948" s="31">
        <v>123106.2</v>
      </c>
    </row>
    <row r="949" s="1" customFormat="1" ht="16.35" hidden="1" customHeight="1" spans="1:18">
      <c r="A949" s="6" t="s">
        <v>4506</v>
      </c>
      <c r="B949" s="6">
        <v>2018</v>
      </c>
      <c r="C949" s="6">
        <v>6</v>
      </c>
      <c r="D949" s="7">
        <v>26</v>
      </c>
      <c r="E949" s="6" t="s">
        <v>5090</v>
      </c>
      <c r="F949" s="6" t="s">
        <v>4508</v>
      </c>
      <c r="G949" s="6" t="s">
        <v>25</v>
      </c>
      <c r="H949" s="8"/>
      <c r="I949" s="8">
        <v>1905</v>
      </c>
      <c r="J949" s="6" t="s">
        <v>4046</v>
      </c>
      <c r="K949" s="6" t="s">
        <v>892</v>
      </c>
      <c r="L949" s="6" t="s">
        <v>4510</v>
      </c>
      <c r="M949" s="6" t="s">
        <v>4511</v>
      </c>
      <c r="N949" s="6" t="s">
        <v>892</v>
      </c>
      <c r="O949" s="29">
        <f t="shared" si="16"/>
        <v>2000.25</v>
      </c>
      <c r="Q949" s="30" t="s">
        <v>892</v>
      </c>
      <c r="R949" s="31">
        <v>2000.25</v>
      </c>
    </row>
    <row r="950" s="1" customFormat="1" ht="16.35" hidden="1" customHeight="1" spans="1:18">
      <c r="A950" s="6" t="s">
        <v>4506</v>
      </c>
      <c r="B950" s="6">
        <v>2018</v>
      </c>
      <c r="C950" s="6">
        <v>6</v>
      </c>
      <c r="D950" s="7">
        <v>27</v>
      </c>
      <c r="E950" s="6" t="s">
        <v>5091</v>
      </c>
      <c r="F950" s="6" t="s">
        <v>4508</v>
      </c>
      <c r="G950" s="6" t="s">
        <v>25</v>
      </c>
      <c r="H950" s="8"/>
      <c r="I950" s="8">
        <v>2381</v>
      </c>
      <c r="J950" s="6" t="s">
        <v>5092</v>
      </c>
      <c r="K950" s="6" t="s">
        <v>2095</v>
      </c>
      <c r="L950" s="6" t="s">
        <v>4516</v>
      </c>
      <c r="M950" s="6" t="s">
        <v>5082</v>
      </c>
      <c r="N950" s="6" t="s">
        <v>2095</v>
      </c>
      <c r="O950" s="29">
        <f>I950</f>
        <v>2381</v>
      </c>
      <c r="Q950" s="30" t="s">
        <v>2095</v>
      </c>
      <c r="R950" s="31">
        <v>2500.05</v>
      </c>
    </row>
    <row r="951" s="1" customFormat="1" ht="16.35" hidden="1" customHeight="1" spans="1:18">
      <c r="A951" s="6" t="s">
        <v>4506</v>
      </c>
      <c r="B951" s="6">
        <v>2018</v>
      </c>
      <c r="C951" s="6">
        <v>6</v>
      </c>
      <c r="D951" s="7">
        <v>28</v>
      </c>
      <c r="E951" s="6" t="s">
        <v>5093</v>
      </c>
      <c r="F951" s="6" t="s">
        <v>4508</v>
      </c>
      <c r="G951" s="6" t="s">
        <v>25</v>
      </c>
      <c r="H951" s="8"/>
      <c r="I951" s="8">
        <v>95238</v>
      </c>
      <c r="J951" s="6" t="s">
        <v>4068</v>
      </c>
      <c r="K951" s="6" t="s">
        <v>746</v>
      </c>
      <c r="L951" s="6" t="s">
        <v>4510</v>
      </c>
      <c r="M951" s="6" t="s">
        <v>4511</v>
      </c>
      <c r="N951" s="6" t="s">
        <v>746</v>
      </c>
      <c r="O951" s="29">
        <f t="shared" si="16"/>
        <v>99999.9</v>
      </c>
      <c r="Q951" s="30" t="s">
        <v>746</v>
      </c>
      <c r="R951" s="31">
        <v>99999.9</v>
      </c>
    </row>
    <row r="952" s="1" customFormat="1" ht="16.35" hidden="1" customHeight="1" spans="1:18">
      <c r="A952" s="6" t="s">
        <v>4506</v>
      </c>
      <c r="B952" s="6">
        <v>2018</v>
      </c>
      <c r="C952" s="6">
        <v>6</v>
      </c>
      <c r="D952" s="7">
        <v>29</v>
      </c>
      <c r="E952" s="6" t="s">
        <v>5094</v>
      </c>
      <c r="F952" s="6" t="s">
        <v>4508</v>
      </c>
      <c r="G952" s="6" t="s">
        <v>25</v>
      </c>
      <c r="H952" s="8"/>
      <c r="I952" s="8">
        <v>158095</v>
      </c>
      <c r="J952" s="6" t="s">
        <v>4044</v>
      </c>
      <c r="K952" s="6" t="s">
        <v>723</v>
      </c>
      <c r="L952" s="6" t="s">
        <v>4510</v>
      </c>
      <c r="M952" s="6" t="s">
        <v>4511</v>
      </c>
      <c r="N952" s="6" t="s">
        <v>723</v>
      </c>
      <c r="O952" s="29">
        <f t="shared" si="16"/>
        <v>165999.75</v>
      </c>
      <c r="Q952" s="30" t="s">
        <v>723</v>
      </c>
      <c r="R952" s="31">
        <v>165999.75</v>
      </c>
    </row>
    <row r="953" s="1" customFormat="1" ht="16.35" hidden="1" customHeight="1" spans="1:18">
      <c r="A953" s="6" t="s">
        <v>4506</v>
      </c>
      <c r="B953" s="6">
        <v>2018</v>
      </c>
      <c r="C953" s="6">
        <v>6</v>
      </c>
      <c r="D953" s="7">
        <v>39</v>
      </c>
      <c r="E953" s="6" t="s">
        <v>5095</v>
      </c>
      <c r="F953" s="6" t="s">
        <v>4508</v>
      </c>
      <c r="G953" s="6" t="s">
        <v>25</v>
      </c>
      <c r="H953" s="8"/>
      <c r="I953" s="8">
        <v>77732</v>
      </c>
      <c r="J953" s="6" t="s">
        <v>4073</v>
      </c>
      <c r="K953" s="6" t="s">
        <v>737</v>
      </c>
      <c r="L953" s="6" t="s">
        <v>4510</v>
      </c>
      <c r="M953" s="6" t="s">
        <v>4511</v>
      </c>
      <c r="N953" s="6" t="s">
        <v>737</v>
      </c>
      <c r="O953" s="29">
        <f t="shared" si="16"/>
        <v>81618.6</v>
      </c>
      <c r="Q953" s="30" t="s">
        <v>737</v>
      </c>
      <c r="R953" s="31">
        <v>81618.6</v>
      </c>
    </row>
    <row r="954" s="1" customFormat="1" ht="16.35" hidden="1" customHeight="1" spans="1:18">
      <c r="A954" s="6" t="s">
        <v>4506</v>
      </c>
      <c r="B954" s="6">
        <v>2018</v>
      </c>
      <c r="C954" s="6">
        <v>6</v>
      </c>
      <c r="D954" s="7">
        <v>40</v>
      </c>
      <c r="E954" s="6" t="s">
        <v>5096</v>
      </c>
      <c r="F954" s="6" t="s">
        <v>4508</v>
      </c>
      <c r="G954" s="6" t="s">
        <v>25</v>
      </c>
      <c r="H954" s="8"/>
      <c r="I954" s="8">
        <v>4762</v>
      </c>
      <c r="J954" s="6" t="s">
        <v>5097</v>
      </c>
      <c r="K954" s="6" t="s">
        <v>2163</v>
      </c>
      <c r="L954" s="6" t="s">
        <v>4516</v>
      </c>
      <c r="M954" s="6" t="s">
        <v>5082</v>
      </c>
      <c r="N954" s="6" t="s">
        <v>2163</v>
      </c>
      <c r="O954" s="29">
        <f>I954</f>
        <v>4762</v>
      </c>
      <c r="Q954" s="30" t="s">
        <v>2163</v>
      </c>
      <c r="R954" s="31">
        <v>5000.1</v>
      </c>
    </row>
    <row r="955" s="1" customFormat="1" ht="16.35" hidden="1" customHeight="1" spans="1:19">
      <c r="A955" s="6" t="s">
        <v>4506</v>
      </c>
      <c r="B955" s="6">
        <v>2018</v>
      </c>
      <c r="C955" s="6">
        <v>6</v>
      </c>
      <c r="D955" s="7">
        <v>41</v>
      </c>
      <c r="E955" s="6" t="s">
        <v>5098</v>
      </c>
      <c r="F955" s="6" t="s">
        <v>4508</v>
      </c>
      <c r="G955" s="6" t="s">
        <v>25</v>
      </c>
      <c r="H955" s="8"/>
      <c r="I955" s="8">
        <v>4762</v>
      </c>
      <c r="J955" s="6" t="s">
        <v>5099</v>
      </c>
      <c r="K955" s="6" t="s">
        <v>1938</v>
      </c>
      <c r="L955" s="6" t="s">
        <v>4516</v>
      </c>
      <c r="M955" s="6" t="s">
        <v>5082</v>
      </c>
      <c r="N955" s="6" t="s">
        <v>1938</v>
      </c>
      <c r="O955" s="29">
        <f>I955</f>
        <v>4762</v>
      </c>
      <c r="Q955" s="30" t="s">
        <v>1938</v>
      </c>
      <c r="R955" s="31">
        <v>4762</v>
      </c>
      <c r="S955" s="29">
        <v>231750</v>
      </c>
    </row>
    <row r="956" s="1" customFormat="1" ht="16.35" hidden="1" customHeight="1" spans="1:18">
      <c r="A956" s="6" t="s">
        <v>4506</v>
      </c>
      <c r="B956" s="6">
        <v>2018</v>
      </c>
      <c r="C956" s="6">
        <v>6</v>
      </c>
      <c r="D956" s="7">
        <v>42</v>
      </c>
      <c r="E956" s="6" t="s">
        <v>5100</v>
      </c>
      <c r="F956" s="6" t="s">
        <v>4508</v>
      </c>
      <c r="G956" s="6" t="s">
        <v>25</v>
      </c>
      <c r="H956" s="8"/>
      <c r="I956" s="8">
        <v>4762</v>
      </c>
      <c r="J956" s="6" t="s">
        <v>5101</v>
      </c>
      <c r="K956" s="6" t="s">
        <v>1940</v>
      </c>
      <c r="L956" s="6" t="s">
        <v>4516</v>
      </c>
      <c r="M956" s="6" t="s">
        <v>5082</v>
      </c>
      <c r="N956" s="6" t="s">
        <v>1940</v>
      </c>
      <c r="O956" s="29">
        <f>I956</f>
        <v>4762</v>
      </c>
      <c r="Q956" s="30" t="s">
        <v>1940</v>
      </c>
      <c r="R956" s="31">
        <v>4762</v>
      </c>
    </row>
    <row r="957" s="1" customFormat="1" ht="16.35" hidden="1" customHeight="1" spans="1:18">
      <c r="A957" s="6" t="s">
        <v>4506</v>
      </c>
      <c r="B957" s="6">
        <v>2018</v>
      </c>
      <c r="C957" s="6">
        <v>6</v>
      </c>
      <c r="D957" s="7">
        <v>43</v>
      </c>
      <c r="E957" s="6" t="s">
        <v>5102</v>
      </c>
      <c r="F957" s="6" t="s">
        <v>4508</v>
      </c>
      <c r="G957" s="6" t="s">
        <v>25</v>
      </c>
      <c r="H957" s="8"/>
      <c r="I957" s="8">
        <v>4762</v>
      </c>
      <c r="J957" s="6" t="s">
        <v>5103</v>
      </c>
      <c r="K957" s="6" t="s">
        <v>1972</v>
      </c>
      <c r="L957" s="6" t="s">
        <v>4516</v>
      </c>
      <c r="M957" s="6" t="s">
        <v>5082</v>
      </c>
      <c r="N957" s="6" t="s">
        <v>1972</v>
      </c>
      <c r="O957" s="29">
        <f>I957</f>
        <v>4762</v>
      </c>
      <c r="Q957" s="30" t="s">
        <v>1972</v>
      </c>
      <c r="R957" s="31">
        <v>5000.1</v>
      </c>
    </row>
    <row r="958" s="1" customFormat="1" ht="16.35" hidden="1" customHeight="1" spans="1:18">
      <c r="A958" s="6" t="s">
        <v>4506</v>
      </c>
      <c r="B958" s="6">
        <v>2018</v>
      </c>
      <c r="C958" s="6">
        <v>6</v>
      </c>
      <c r="D958" s="7">
        <v>44</v>
      </c>
      <c r="E958" s="6" t="s">
        <v>5104</v>
      </c>
      <c r="F958" s="6" t="s">
        <v>4508</v>
      </c>
      <c r="G958" s="6" t="s">
        <v>25</v>
      </c>
      <c r="H958" s="8"/>
      <c r="I958" s="8">
        <v>4762</v>
      </c>
      <c r="J958" s="6" t="s">
        <v>5105</v>
      </c>
      <c r="K958" s="6" t="s">
        <v>2107</v>
      </c>
      <c r="L958" s="6" t="s">
        <v>4516</v>
      </c>
      <c r="M958" s="6" t="s">
        <v>5082</v>
      </c>
      <c r="N958" s="6" t="s">
        <v>2107</v>
      </c>
      <c r="O958" s="29">
        <f>I958</f>
        <v>4762</v>
      </c>
      <c r="Q958" s="30" t="s">
        <v>2107</v>
      </c>
      <c r="R958" s="31">
        <v>5000.1</v>
      </c>
    </row>
    <row r="959" s="1" customFormat="1" ht="16.35" hidden="1" customHeight="1" spans="1:18">
      <c r="A959" s="6" t="s">
        <v>4506</v>
      </c>
      <c r="B959" s="6">
        <v>2018</v>
      </c>
      <c r="C959" s="6">
        <v>6</v>
      </c>
      <c r="D959" s="7">
        <v>46</v>
      </c>
      <c r="E959" s="6" t="s">
        <v>5106</v>
      </c>
      <c r="F959" s="6" t="s">
        <v>4508</v>
      </c>
      <c r="G959" s="6" t="s">
        <v>25</v>
      </c>
      <c r="H959" s="8"/>
      <c r="I959" s="8">
        <v>59627</v>
      </c>
      <c r="J959" s="6" t="s">
        <v>3256</v>
      </c>
      <c r="K959" s="6" t="s">
        <v>715</v>
      </c>
      <c r="L959" s="6" t="s">
        <v>4510</v>
      </c>
      <c r="M959" s="6" t="s">
        <v>4511</v>
      </c>
      <c r="N959" s="6" t="s">
        <v>715</v>
      </c>
      <c r="O959" s="29">
        <f t="shared" si="16"/>
        <v>62608.35</v>
      </c>
      <c r="Q959" s="30" t="s">
        <v>715</v>
      </c>
      <c r="R959" s="31">
        <v>62608.35</v>
      </c>
    </row>
    <row r="960" s="1" customFormat="1" ht="16.35" hidden="1" customHeight="1" spans="1:18">
      <c r="A960" s="6" t="s">
        <v>4506</v>
      </c>
      <c r="B960" s="6">
        <v>2018</v>
      </c>
      <c r="C960" s="6">
        <v>6</v>
      </c>
      <c r="D960" s="7">
        <v>47</v>
      </c>
      <c r="E960" s="6" t="s">
        <v>5107</v>
      </c>
      <c r="F960" s="6" t="s">
        <v>4508</v>
      </c>
      <c r="G960" s="6" t="s">
        <v>25</v>
      </c>
      <c r="H960" s="8"/>
      <c r="I960" s="8">
        <v>9524</v>
      </c>
      <c r="J960" s="6" t="s">
        <v>5108</v>
      </c>
      <c r="K960" s="6" t="s">
        <v>2169</v>
      </c>
      <c r="L960" s="6" t="s">
        <v>4516</v>
      </c>
      <c r="M960" s="6" t="s">
        <v>5082</v>
      </c>
      <c r="N960" s="6" t="s">
        <v>2169</v>
      </c>
      <c r="O960" s="29">
        <f>I960</f>
        <v>9524</v>
      </c>
      <c r="Q960" s="30" t="s">
        <v>2169</v>
      </c>
      <c r="R960" s="31">
        <v>10000.2</v>
      </c>
    </row>
    <row r="961" s="1" customFormat="1" ht="16.35" hidden="1" customHeight="1" spans="1:18">
      <c r="A961" s="6" t="s">
        <v>4506</v>
      </c>
      <c r="B961" s="6">
        <v>2018</v>
      </c>
      <c r="C961" s="6">
        <v>7</v>
      </c>
      <c r="D961" s="7">
        <v>2</v>
      </c>
      <c r="E961" s="6" t="s">
        <v>5109</v>
      </c>
      <c r="F961" s="6" t="s">
        <v>4508</v>
      </c>
      <c r="G961" s="6" t="s">
        <v>25</v>
      </c>
      <c r="H961" s="8"/>
      <c r="I961" s="8">
        <v>19048</v>
      </c>
      <c r="J961" s="6" t="s">
        <v>3881</v>
      </c>
      <c r="K961" s="6" t="s">
        <v>666</v>
      </c>
      <c r="L961" s="6" t="s">
        <v>4510</v>
      </c>
      <c r="M961" s="6" t="s">
        <v>4511</v>
      </c>
      <c r="N961" s="6" t="s">
        <v>666</v>
      </c>
      <c r="O961" s="29">
        <f t="shared" si="16"/>
        <v>20000.4</v>
      </c>
      <c r="Q961" s="30" t="s">
        <v>666</v>
      </c>
      <c r="R961" s="31">
        <v>20000.4</v>
      </c>
    </row>
    <row r="962" s="1" customFormat="1" ht="16.35" hidden="1" customHeight="1" spans="1:18">
      <c r="A962" s="6" t="s">
        <v>4506</v>
      </c>
      <c r="B962" s="6">
        <v>2018</v>
      </c>
      <c r="C962" s="6">
        <v>7</v>
      </c>
      <c r="D962" s="7">
        <v>8</v>
      </c>
      <c r="E962" s="6" t="s">
        <v>5110</v>
      </c>
      <c r="F962" s="6" t="s">
        <v>4508</v>
      </c>
      <c r="G962" s="6" t="s">
        <v>25</v>
      </c>
      <c r="H962" s="8"/>
      <c r="I962" s="8">
        <v>156190</v>
      </c>
      <c r="J962" s="6" t="s">
        <v>4066</v>
      </c>
      <c r="K962" s="6" t="s">
        <v>713</v>
      </c>
      <c r="L962" s="6" t="s">
        <v>4510</v>
      </c>
      <c r="M962" s="6" t="s">
        <v>4511</v>
      </c>
      <c r="N962" s="6" t="s">
        <v>713</v>
      </c>
      <c r="O962" s="29">
        <f t="shared" si="16"/>
        <v>163999.5</v>
      </c>
      <c r="Q962" s="30" t="s">
        <v>713</v>
      </c>
      <c r="R962" s="31">
        <v>163999.5</v>
      </c>
    </row>
    <row r="963" s="1" customFormat="1" ht="16.35" hidden="1" customHeight="1" spans="1:18">
      <c r="A963" s="6" t="s">
        <v>4506</v>
      </c>
      <c r="B963" s="6">
        <v>2018</v>
      </c>
      <c r="C963" s="6">
        <v>7</v>
      </c>
      <c r="D963" s="7">
        <v>15</v>
      </c>
      <c r="E963" s="6" t="s">
        <v>5111</v>
      </c>
      <c r="F963" s="6" t="s">
        <v>4508</v>
      </c>
      <c r="G963" s="6" t="s">
        <v>25</v>
      </c>
      <c r="H963" s="8"/>
      <c r="I963" s="8">
        <v>-119149</v>
      </c>
      <c r="J963" s="6" t="s">
        <v>4046</v>
      </c>
      <c r="K963" s="6" t="s">
        <v>892</v>
      </c>
      <c r="L963" s="6" t="s">
        <v>4510</v>
      </c>
      <c r="M963" s="6" t="s">
        <v>4511</v>
      </c>
      <c r="N963" s="6" t="s">
        <v>892</v>
      </c>
      <c r="O963" s="29">
        <f t="shared" si="16"/>
        <v>-125106.45</v>
      </c>
      <c r="Q963" s="30" t="s">
        <v>892</v>
      </c>
      <c r="R963" s="31">
        <v>-125106.45</v>
      </c>
    </row>
    <row r="964" s="1" customFormat="1" ht="16.35" hidden="1" customHeight="1" spans="1:18">
      <c r="A964" s="6" t="s">
        <v>4506</v>
      </c>
      <c r="B964" s="6">
        <v>2018</v>
      </c>
      <c r="C964" s="6">
        <v>7</v>
      </c>
      <c r="D964" s="7">
        <v>18</v>
      </c>
      <c r="E964" s="6" t="s">
        <v>5112</v>
      </c>
      <c r="F964" s="6" t="s">
        <v>4508</v>
      </c>
      <c r="G964" s="6" t="s">
        <v>25</v>
      </c>
      <c r="H964" s="8"/>
      <c r="I964" s="8">
        <v>314286</v>
      </c>
      <c r="J964" s="6" t="s">
        <v>3250</v>
      </c>
      <c r="K964" s="6" t="s">
        <v>369</v>
      </c>
      <c r="L964" s="6" t="s">
        <v>4516</v>
      </c>
      <c r="M964" s="6" t="s">
        <v>5082</v>
      </c>
      <c r="N964" s="6" t="s">
        <v>369</v>
      </c>
      <c r="O964" s="29">
        <f t="shared" si="16"/>
        <v>330000.3</v>
      </c>
      <c r="Q964" s="30" t="s">
        <v>369</v>
      </c>
      <c r="R964" s="31">
        <v>330000.3</v>
      </c>
    </row>
    <row r="965" s="1" customFormat="1" ht="16.35" hidden="1" customHeight="1" spans="1:18">
      <c r="A965" s="6" t="s">
        <v>4506</v>
      </c>
      <c r="B965" s="6">
        <v>2018</v>
      </c>
      <c r="C965" s="6">
        <v>7</v>
      </c>
      <c r="D965" s="7">
        <v>20</v>
      </c>
      <c r="E965" s="6" t="s">
        <v>5113</v>
      </c>
      <c r="F965" s="6" t="s">
        <v>4508</v>
      </c>
      <c r="G965" s="6" t="s">
        <v>25</v>
      </c>
      <c r="H965" s="8"/>
      <c r="I965" s="8">
        <v>-55226</v>
      </c>
      <c r="J965" s="6" t="s">
        <v>4116</v>
      </c>
      <c r="K965" s="6" t="s">
        <v>926</v>
      </c>
      <c r="L965" s="6" t="s">
        <v>4510</v>
      </c>
      <c r="M965" s="6" t="s">
        <v>4511</v>
      </c>
      <c r="N965" s="6" t="s">
        <v>926</v>
      </c>
      <c r="O965" s="29">
        <f t="shared" si="16"/>
        <v>-57987.3</v>
      </c>
      <c r="Q965" s="30" t="s">
        <v>926</v>
      </c>
      <c r="R965" s="31">
        <v>-57987.3</v>
      </c>
    </row>
    <row r="966" s="1" customFormat="1" ht="16.35" hidden="1" customHeight="1" spans="1:18">
      <c r="A966" s="6" t="s">
        <v>4506</v>
      </c>
      <c r="B966" s="6">
        <v>2018</v>
      </c>
      <c r="C966" s="6">
        <v>8</v>
      </c>
      <c r="D966" s="7">
        <v>18</v>
      </c>
      <c r="E966" s="6" t="s">
        <v>5114</v>
      </c>
      <c r="F966" s="6" t="s">
        <v>4508</v>
      </c>
      <c r="G966" s="6" t="s">
        <v>25</v>
      </c>
      <c r="H966" s="8"/>
      <c r="I966" s="8">
        <v>133333</v>
      </c>
      <c r="J966" s="6" t="s">
        <v>3256</v>
      </c>
      <c r="K966" s="6" t="s">
        <v>715</v>
      </c>
      <c r="L966" s="6" t="s">
        <v>4510</v>
      </c>
      <c r="M966" s="6" t="s">
        <v>4511</v>
      </c>
      <c r="N966" s="6" t="s">
        <v>715</v>
      </c>
      <c r="O966" s="29">
        <f t="shared" si="16"/>
        <v>139999.65</v>
      </c>
      <c r="Q966" s="30" t="s">
        <v>715</v>
      </c>
      <c r="R966" s="31">
        <v>139999.65</v>
      </c>
    </row>
    <row r="967" s="1" customFormat="1" ht="16.35" hidden="1" customHeight="1" spans="1:18">
      <c r="A967" s="6" t="s">
        <v>4506</v>
      </c>
      <c r="B967" s="6">
        <v>2018</v>
      </c>
      <c r="C967" s="6">
        <v>8</v>
      </c>
      <c r="D967" s="7">
        <v>19</v>
      </c>
      <c r="E967" s="6" t="s">
        <v>5115</v>
      </c>
      <c r="F967" s="6" t="s">
        <v>4508</v>
      </c>
      <c r="G967" s="6" t="s">
        <v>25</v>
      </c>
      <c r="H967" s="8"/>
      <c r="I967" s="8">
        <v>116190</v>
      </c>
      <c r="J967" s="6" t="s">
        <v>4073</v>
      </c>
      <c r="K967" s="6" t="s">
        <v>737</v>
      </c>
      <c r="L967" s="6" t="s">
        <v>4510</v>
      </c>
      <c r="M967" s="6" t="s">
        <v>4511</v>
      </c>
      <c r="N967" s="6" t="s">
        <v>737</v>
      </c>
      <c r="O967" s="29">
        <f t="shared" si="16"/>
        <v>121999.5</v>
      </c>
      <c r="Q967" s="30" t="s">
        <v>737</v>
      </c>
      <c r="R967" s="31">
        <v>121999.5</v>
      </c>
    </row>
    <row r="968" s="1" customFormat="1" ht="16.35" hidden="1" customHeight="1" spans="1:18">
      <c r="A968" s="6" t="s">
        <v>4506</v>
      </c>
      <c r="B968" s="6">
        <v>2018</v>
      </c>
      <c r="C968" s="6">
        <v>9</v>
      </c>
      <c r="D968" s="7">
        <v>3</v>
      </c>
      <c r="E968" s="6" t="s">
        <v>5116</v>
      </c>
      <c r="F968" s="6" t="s">
        <v>4508</v>
      </c>
      <c r="G968" s="6" t="s">
        <v>25</v>
      </c>
      <c r="H968" s="8"/>
      <c r="I968" s="8">
        <v>11291</v>
      </c>
      <c r="J968" s="6" t="s">
        <v>3518</v>
      </c>
      <c r="K968" s="6" t="s">
        <v>954</v>
      </c>
      <c r="L968" s="6" t="s">
        <v>4510</v>
      </c>
      <c r="M968" s="6" t="s">
        <v>4511</v>
      </c>
      <c r="N968" s="6" t="s">
        <v>954</v>
      </c>
      <c r="O968" s="29">
        <f t="shared" si="16"/>
        <v>11855.55</v>
      </c>
      <c r="Q968" s="30" t="s">
        <v>954</v>
      </c>
      <c r="R968" s="31">
        <v>11855.55</v>
      </c>
    </row>
    <row r="969" s="1" customFormat="1" ht="16.35" hidden="1" customHeight="1" spans="1:18">
      <c r="A969" s="6" t="s">
        <v>4506</v>
      </c>
      <c r="B969" s="6">
        <v>2018</v>
      </c>
      <c r="C969" s="6">
        <v>9</v>
      </c>
      <c r="D969" s="7">
        <v>50</v>
      </c>
      <c r="E969" s="6" t="s">
        <v>5117</v>
      </c>
      <c r="F969" s="6" t="s">
        <v>4508</v>
      </c>
      <c r="G969" s="6" t="s">
        <v>25</v>
      </c>
      <c r="H969" s="8"/>
      <c r="I969" s="8">
        <v>-192960</v>
      </c>
      <c r="J969" s="6" t="s">
        <v>3256</v>
      </c>
      <c r="K969" s="6" t="s">
        <v>715</v>
      </c>
      <c r="L969" s="6" t="s">
        <v>4510</v>
      </c>
      <c r="M969" s="6" t="s">
        <v>4511</v>
      </c>
      <c r="N969" s="6" t="s">
        <v>715</v>
      </c>
      <c r="O969" s="29">
        <f t="shared" si="16"/>
        <v>-202608</v>
      </c>
      <c r="Q969" s="30" t="s">
        <v>715</v>
      </c>
      <c r="R969" s="31">
        <v>-202608</v>
      </c>
    </row>
    <row r="970" s="1" customFormat="1" ht="16.35" hidden="1" customHeight="1" spans="1:18">
      <c r="A970" s="6" t="s">
        <v>4506</v>
      </c>
      <c r="B970" s="6">
        <v>2018</v>
      </c>
      <c r="C970" s="6">
        <v>10</v>
      </c>
      <c r="D970" s="7">
        <v>18</v>
      </c>
      <c r="E970" s="6" t="s">
        <v>5118</v>
      </c>
      <c r="F970" s="6" t="s">
        <v>4508</v>
      </c>
      <c r="G970" s="6" t="s">
        <v>25</v>
      </c>
      <c r="H970" s="8"/>
      <c r="I970" s="8">
        <v>52381</v>
      </c>
      <c r="J970" s="6" t="s">
        <v>5119</v>
      </c>
      <c r="K970" s="6" t="s">
        <v>2287</v>
      </c>
      <c r="L970" s="6" t="s">
        <v>4516</v>
      </c>
      <c r="M970" s="6" t="s">
        <v>5082</v>
      </c>
      <c r="N970" s="6" t="s">
        <v>2287</v>
      </c>
      <c r="O970" s="29">
        <f>I970</f>
        <v>52381</v>
      </c>
      <c r="Q970" s="30" t="s">
        <v>2287</v>
      </c>
      <c r="R970" s="31">
        <v>55000.05</v>
      </c>
    </row>
    <row r="971" s="1" customFormat="1" ht="16.35" hidden="1" customHeight="1" spans="1:18">
      <c r="A971" s="6" t="s">
        <v>4506</v>
      </c>
      <c r="B971" s="6">
        <v>2018</v>
      </c>
      <c r="C971" s="6">
        <v>10</v>
      </c>
      <c r="D971" s="7">
        <v>23</v>
      </c>
      <c r="E971" s="6" t="s">
        <v>5120</v>
      </c>
      <c r="F971" s="6" t="s">
        <v>4508</v>
      </c>
      <c r="G971" s="6" t="s">
        <v>25</v>
      </c>
      <c r="H971" s="8"/>
      <c r="I971" s="8">
        <v>79838</v>
      </c>
      <c r="J971" s="6" t="s">
        <v>5121</v>
      </c>
      <c r="K971" s="6" t="s">
        <v>681</v>
      </c>
      <c r="L971" s="6" t="s">
        <v>4510</v>
      </c>
      <c r="M971" s="6" t="s">
        <v>4511</v>
      </c>
      <c r="N971" s="6" t="s">
        <v>681</v>
      </c>
      <c r="O971" s="29">
        <f t="shared" si="16"/>
        <v>83829.9</v>
      </c>
      <c r="Q971" s="30" t="s">
        <v>681</v>
      </c>
      <c r="R971" s="31">
        <v>83829.9</v>
      </c>
    </row>
    <row r="972" s="1" customFormat="1" ht="16.35" hidden="1" customHeight="1" spans="1:18">
      <c r="A972" s="6" t="s">
        <v>4506</v>
      </c>
      <c r="B972" s="6">
        <v>2018</v>
      </c>
      <c r="C972" s="6">
        <v>10</v>
      </c>
      <c r="D972" s="7">
        <v>26</v>
      </c>
      <c r="E972" s="6" t="s">
        <v>5122</v>
      </c>
      <c r="F972" s="6" t="s">
        <v>4508</v>
      </c>
      <c r="G972" s="6" t="s">
        <v>25</v>
      </c>
      <c r="H972" s="8"/>
      <c r="I972" s="8">
        <v>1523810</v>
      </c>
      <c r="J972" s="6" t="s">
        <v>5123</v>
      </c>
      <c r="K972" s="6" t="s">
        <v>5124</v>
      </c>
      <c r="L972" s="6" t="s">
        <v>4516</v>
      </c>
      <c r="M972" s="6" t="s">
        <v>5082</v>
      </c>
      <c r="N972" s="6" t="s">
        <v>5124</v>
      </c>
      <c r="O972" s="29">
        <f t="shared" ref="O972:O1007" si="17">I972</f>
        <v>1523810</v>
      </c>
      <c r="Q972" s="30" t="s">
        <v>5124</v>
      </c>
      <c r="R972" s="31">
        <v>1600000.5</v>
      </c>
    </row>
    <row r="973" s="1" customFormat="1" ht="16.35" hidden="1" customHeight="1" spans="1:18">
      <c r="A973" s="6" t="s">
        <v>4506</v>
      </c>
      <c r="B973" s="6">
        <v>2018</v>
      </c>
      <c r="C973" s="6">
        <v>10</v>
      </c>
      <c r="D973" s="7">
        <v>27</v>
      </c>
      <c r="E973" s="6" t="s">
        <v>5125</v>
      </c>
      <c r="F973" s="6" t="s">
        <v>4508</v>
      </c>
      <c r="G973" s="6" t="s">
        <v>25</v>
      </c>
      <c r="H973" s="8"/>
      <c r="I973" s="8">
        <v>54716</v>
      </c>
      <c r="J973" s="6" t="s">
        <v>5126</v>
      </c>
      <c r="K973" s="6" t="s">
        <v>1970</v>
      </c>
      <c r="L973" s="6" t="s">
        <v>4516</v>
      </c>
      <c r="M973" s="6" t="s">
        <v>5082</v>
      </c>
      <c r="N973" s="6" t="s">
        <v>1970</v>
      </c>
      <c r="O973" s="29">
        <f t="shared" si="17"/>
        <v>54716</v>
      </c>
      <c r="Q973" s="30" t="s">
        <v>1970</v>
      </c>
      <c r="R973" s="31">
        <v>57451.8</v>
      </c>
    </row>
    <row r="974" s="1" customFormat="1" ht="16.35" hidden="1" customHeight="1" spans="1:18">
      <c r="A974" s="6" t="s">
        <v>4506</v>
      </c>
      <c r="B974" s="6">
        <v>2018</v>
      </c>
      <c r="C974" s="6">
        <v>10</v>
      </c>
      <c r="D974" s="7">
        <v>28</v>
      </c>
      <c r="E974" s="6" t="s">
        <v>5127</v>
      </c>
      <c r="F974" s="6" t="s">
        <v>4508</v>
      </c>
      <c r="G974" s="6" t="s">
        <v>25</v>
      </c>
      <c r="H974" s="8"/>
      <c r="I974" s="8">
        <v>95238</v>
      </c>
      <c r="J974" s="6" t="s">
        <v>5128</v>
      </c>
      <c r="K974" s="6" t="s">
        <v>2293</v>
      </c>
      <c r="L974" s="6" t="s">
        <v>4516</v>
      </c>
      <c r="M974" s="6" t="s">
        <v>5082</v>
      </c>
      <c r="N974" s="6" t="s">
        <v>2293</v>
      </c>
      <c r="O974" s="29">
        <f t="shared" si="17"/>
        <v>95238</v>
      </c>
      <c r="Q974" s="30" t="s">
        <v>2293</v>
      </c>
      <c r="R974" s="31">
        <v>99999.9</v>
      </c>
    </row>
    <row r="975" s="1" customFormat="1" ht="16.35" hidden="1" customHeight="1" spans="1:18">
      <c r="A975" s="6" t="s">
        <v>4506</v>
      </c>
      <c r="B975" s="6">
        <v>2018</v>
      </c>
      <c r="C975" s="6">
        <v>10</v>
      </c>
      <c r="D975" s="7">
        <v>29</v>
      </c>
      <c r="E975" s="6" t="s">
        <v>5129</v>
      </c>
      <c r="F975" s="6" t="s">
        <v>4508</v>
      </c>
      <c r="G975" s="6" t="s">
        <v>25</v>
      </c>
      <c r="H975" s="8"/>
      <c r="I975" s="8">
        <v>115238</v>
      </c>
      <c r="J975" s="6" t="s">
        <v>5130</v>
      </c>
      <c r="K975" s="6" t="s">
        <v>2035</v>
      </c>
      <c r="L975" s="6" t="s">
        <v>4516</v>
      </c>
      <c r="M975" s="6" t="s">
        <v>5082</v>
      </c>
      <c r="N975" s="6" t="s">
        <v>2035</v>
      </c>
      <c r="O975" s="29">
        <f t="shared" si="17"/>
        <v>115238</v>
      </c>
      <c r="Q975" s="30" t="s">
        <v>2035</v>
      </c>
      <c r="R975" s="31">
        <v>120999.9</v>
      </c>
    </row>
    <row r="976" s="1" customFormat="1" ht="16.35" hidden="1" customHeight="1" spans="1:18">
      <c r="A976" s="6" t="s">
        <v>4506</v>
      </c>
      <c r="B976" s="6">
        <v>2018</v>
      </c>
      <c r="C976" s="6">
        <v>10</v>
      </c>
      <c r="D976" s="7">
        <v>30</v>
      </c>
      <c r="E976" s="6" t="s">
        <v>5131</v>
      </c>
      <c r="F976" s="6" t="s">
        <v>4508</v>
      </c>
      <c r="G976" s="6" t="s">
        <v>25</v>
      </c>
      <c r="H976" s="8"/>
      <c r="I976" s="8">
        <v>28468</v>
      </c>
      <c r="J976" s="6" t="s">
        <v>5132</v>
      </c>
      <c r="K976" s="6" t="s">
        <v>2139</v>
      </c>
      <c r="L976" s="6" t="s">
        <v>4516</v>
      </c>
      <c r="M976" s="6" t="s">
        <v>5082</v>
      </c>
      <c r="N976" s="6" t="s">
        <v>2139</v>
      </c>
      <c r="O976" s="29">
        <f t="shared" si="17"/>
        <v>28468</v>
      </c>
      <c r="Q976" s="30" t="s">
        <v>2139</v>
      </c>
      <c r="R976" s="31">
        <v>29891.4</v>
      </c>
    </row>
    <row r="977" s="1" customFormat="1" ht="16.35" hidden="1" customHeight="1" spans="1:18">
      <c r="A977" s="6" t="s">
        <v>4506</v>
      </c>
      <c r="B977" s="6">
        <v>2018</v>
      </c>
      <c r="C977" s="6">
        <v>10</v>
      </c>
      <c r="D977" s="7">
        <v>32</v>
      </c>
      <c r="E977" s="6" t="s">
        <v>5133</v>
      </c>
      <c r="F977" s="6" t="s">
        <v>4508</v>
      </c>
      <c r="G977" s="6" t="s">
        <v>25</v>
      </c>
      <c r="H977" s="8"/>
      <c r="I977" s="8">
        <v>47619</v>
      </c>
      <c r="J977" s="6" t="s">
        <v>5134</v>
      </c>
      <c r="K977" s="6" t="s">
        <v>2301</v>
      </c>
      <c r="L977" s="6" t="s">
        <v>4516</v>
      </c>
      <c r="M977" s="6" t="s">
        <v>5082</v>
      </c>
      <c r="N977" s="6" t="s">
        <v>2301</v>
      </c>
      <c r="O977" s="29">
        <f t="shared" si="17"/>
        <v>47619</v>
      </c>
      <c r="Q977" s="30" t="s">
        <v>2301</v>
      </c>
      <c r="R977" s="31">
        <v>49999.95</v>
      </c>
    </row>
    <row r="978" s="1" customFormat="1" ht="16.35" hidden="1" customHeight="1" spans="1:18">
      <c r="A978" s="6" t="s">
        <v>4506</v>
      </c>
      <c r="B978" s="6">
        <v>2018</v>
      </c>
      <c r="C978" s="6">
        <v>10</v>
      </c>
      <c r="D978" s="7">
        <v>33</v>
      </c>
      <c r="E978" s="6" t="s">
        <v>5135</v>
      </c>
      <c r="F978" s="6" t="s">
        <v>4508</v>
      </c>
      <c r="G978" s="6" t="s">
        <v>25</v>
      </c>
      <c r="H978" s="8"/>
      <c r="I978" s="8">
        <v>4762</v>
      </c>
      <c r="J978" s="6" t="s">
        <v>5136</v>
      </c>
      <c r="K978" s="6" t="s">
        <v>2089</v>
      </c>
      <c r="L978" s="6" t="s">
        <v>4516</v>
      </c>
      <c r="M978" s="6" t="s">
        <v>5082</v>
      </c>
      <c r="N978" s="6" t="s">
        <v>2089</v>
      </c>
      <c r="O978" s="29">
        <f t="shared" si="17"/>
        <v>4762</v>
      </c>
      <c r="Q978" s="30" t="s">
        <v>2089</v>
      </c>
      <c r="R978" s="31">
        <v>5000.1</v>
      </c>
    </row>
    <row r="979" s="1" customFormat="1" ht="16.35" hidden="1" customHeight="1" spans="1:18">
      <c r="A979" s="6" t="s">
        <v>4506</v>
      </c>
      <c r="B979" s="6">
        <v>2018</v>
      </c>
      <c r="C979" s="6">
        <v>10</v>
      </c>
      <c r="D979" s="7">
        <v>34</v>
      </c>
      <c r="E979" s="6" t="s">
        <v>5137</v>
      </c>
      <c r="F979" s="6" t="s">
        <v>4508</v>
      </c>
      <c r="G979" s="6" t="s">
        <v>25</v>
      </c>
      <c r="H979" s="8"/>
      <c r="I979" s="8">
        <v>9524</v>
      </c>
      <c r="J979" s="6" t="s">
        <v>4102</v>
      </c>
      <c r="K979" s="6" t="s">
        <v>2005</v>
      </c>
      <c r="L979" s="6" t="s">
        <v>4516</v>
      </c>
      <c r="M979" s="6" t="s">
        <v>5082</v>
      </c>
      <c r="N979" s="6" t="s">
        <v>2005</v>
      </c>
      <c r="O979" s="29">
        <f t="shared" si="17"/>
        <v>9524</v>
      </c>
      <c r="Q979" s="30" t="s">
        <v>2005</v>
      </c>
      <c r="R979" s="31">
        <v>10000.2</v>
      </c>
    </row>
    <row r="980" s="1" customFormat="1" ht="16.35" hidden="1" customHeight="1" spans="1:18">
      <c r="A980" s="6" t="s">
        <v>4506</v>
      </c>
      <c r="B980" s="6">
        <v>2018</v>
      </c>
      <c r="C980" s="6">
        <v>10</v>
      </c>
      <c r="D980" s="7">
        <v>35</v>
      </c>
      <c r="E980" s="6" t="s">
        <v>5138</v>
      </c>
      <c r="F980" s="6" t="s">
        <v>4508</v>
      </c>
      <c r="G980" s="6" t="s">
        <v>25</v>
      </c>
      <c r="H980" s="8"/>
      <c r="I980" s="8">
        <v>41905</v>
      </c>
      <c r="J980" s="6" t="s">
        <v>5139</v>
      </c>
      <c r="K980" s="6" t="s">
        <v>2157</v>
      </c>
      <c r="L980" s="6" t="s">
        <v>4516</v>
      </c>
      <c r="M980" s="6" t="s">
        <v>5082</v>
      </c>
      <c r="N980" s="6" t="s">
        <v>2157</v>
      </c>
      <c r="O980" s="29">
        <f t="shared" si="17"/>
        <v>41905</v>
      </c>
      <c r="Q980" s="30" t="s">
        <v>2157</v>
      </c>
      <c r="R980" s="31">
        <v>44000.25</v>
      </c>
    </row>
    <row r="981" s="1" customFormat="1" ht="16.35" hidden="1" customHeight="1" spans="1:18">
      <c r="A981" s="6" t="s">
        <v>4506</v>
      </c>
      <c r="B981" s="6">
        <v>2018</v>
      </c>
      <c r="C981" s="6">
        <v>10</v>
      </c>
      <c r="D981" s="7">
        <v>36</v>
      </c>
      <c r="E981" s="6" t="s">
        <v>5140</v>
      </c>
      <c r="F981" s="6" t="s">
        <v>4508</v>
      </c>
      <c r="G981" s="6" t="s">
        <v>25</v>
      </c>
      <c r="H981" s="8"/>
      <c r="I981" s="8">
        <v>75500</v>
      </c>
      <c r="J981" s="6" t="s">
        <v>5141</v>
      </c>
      <c r="K981" s="6" t="s">
        <v>2029</v>
      </c>
      <c r="L981" s="6" t="s">
        <v>4516</v>
      </c>
      <c r="M981" s="6" t="s">
        <v>5082</v>
      </c>
      <c r="N981" s="6" t="s">
        <v>2029</v>
      </c>
      <c r="O981" s="29">
        <f t="shared" si="17"/>
        <v>75500</v>
      </c>
      <c r="Q981" s="30" t="s">
        <v>2029</v>
      </c>
      <c r="R981" s="31">
        <v>79275</v>
      </c>
    </row>
    <row r="982" s="1" customFormat="1" ht="16.35" hidden="1" customHeight="1" spans="1:18">
      <c r="A982" s="6" t="s">
        <v>4506</v>
      </c>
      <c r="B982" s="6">
        <v>2018</v>
      </c>
      <c r="C982" s="6">
        <v>10</v>
      </c>
      <c r="D982" s="7">
        <v>37</v>
      </c>
      <c r="E982" s="6" t="s">
        <v>5142</v>
      </c>
      <c r="F982" s="6" t="s">
        <v>4508</v>
      </c>
      <c r="G982" s="6" t="s">
        <v>25</v>
      </c>
      <c r="H982" s="8"/>
      <c r="I982" s="8">
        <v>212</v>
      </c>
      <c r="J982" s="6" t="s">
        <v>5143</v>
      </c>
      <c r="K982" s="6" t="s">
        <v>2227</v>
      </c>
      <c r="L982" s="6" t="s">
        <v>4516</v>
      </c>
      <c r="M982" s="6" t="s">
        <v>5082</v>
      </c>
      <c r="N982" s="6" t="s">
        <v>2227</v>
      </c>
      <c r="O982" s="29">
        <f t="shared" si="17"/>
        <v>212</v>
      </c>
      <c r="Q982" s="30" t="s">
        <v>2227</v>
      </c>
      <c r="R982" s="31">
        <v>222.6</v>
      </c>
    </row>
    <row r="983" s="1" customFormat="1" ht="16.35" hidden="1" customHeight="1" spans="1:18">
      <c r="A983" s="6" t="s">
        <v>4506</v>
      </c>
      <c r="B983" s="6">
        <v>2018</v>
      </c>
      <c r="C983" s="6">
        <v>10</v>
      </c>
      <c r="D983" s="7">
        <v>38</v>
      </c>
      <c r="E983" s="6" t="s">
        <v>5144</v>
      </c>
      <c r="F983" s="6" t="s">
        <v>4508</v>
      </c>
      <c r="G983" s="6" t="s">
        <v>25</v>
      </c>
      <c r="H983" s="8"/>
      <c r="I983" s="8">
        <v>98095</v>
      </c>
      <c r="J983" s="6" t="s">
        <v>5145</v>
      </c>
      <c r="K983" s="6" t="s">
        <v>5146</v>
      </c>
      <c r="L983" s="6" t="s">
        <v>4516</v>
      </c>
      <c r="M983" s="6" t="s">
        <v>5082</v>
      </c>
      <c r="N983" s="6" t="s">
        <v>5146</v>
      </c>
      <c r="O983" s="29">
        <f t="shared" si="17"/>
        <v>98095</v>
      </c>
      <c r="Q983" s="30" t="s">
        <v>5146</v>
      </c>
      <c r="R983" s="31">
        <v>102999.75</v>
      </c>
    </row>
    <row r="984" s="1" customFormat="1" ht="16.35" hidden="1" customHeight="1" spans="1:18">
      <c r="A984" s="6" t="s">
        <v>4506</v>
      </c>
      <c r="B984" s="6">
        <v>2018</v>
      </c>
      <c r="C984" s="6">
        <v>10</v>
      </c>
      <c r="D984" s="7">
        <v>39</v>
      </c>
      <c r="E984" s="6" t="s">
        <v>5147</v>
      </c>
      <c r="F984" s="6" t="s">
        <v>4508</v>
      </c>
      <c r="G984" s="6" t="s">
        <v>25</v>
      </c>
      <c r="H984" s="8"/>
      <c r="I984" s="8">
        <v>40000</v>
      </c>
      <c r="J984" s="6" t="s">
        <v>5105</v>
      </c>
      <c r="K984" s="6" t="s">
        <v>2107</v>
      </c>
      <c r="L984" s="6" t="s">
        <v>4516</v>
      </c>
      <c r="M984" s="6" t="s">
        <v>5082</v>
      </c>
      <c r="N984" s="6" t="s">
        <v>2107</v>
      </c>
      <c r="O984" s="29">
        <f t="shared" si="17"/>
        <v>40000</v>
      </c>
      <c r="Q984" s="30" t="s">
        <v>2107</v>
      </c>
      <c r="R984" s="31">
        <v>42000</v>
      </c>
    </row>
    <row r="985" s="1" customFormat="1" ht="16.35" hidden="1" customHeight="1" spans="1:18">
      <c r="A985" s="6" t="s">
        <v>4506</v>
      </c>
      <c r="B985" s="6">
        <v>2018</v>
      </c>
      <c r="C985" s="6">
        <v>11</v>
      </c>
      <c r="D985" s="7">
        <v>1</v>
      </c>
      <c r="E985" s="6" t="s">
        <v>5148</v>
      </c>
      <c r="F985" s="6" t="s">
        <v>4508</v>
      </c>
      <c r="G985" s="6" t="s">
        <v>25</v>
      </c>
      <c r="H985" s="8"/>
      <c r="I985" s="8">
        <v>28592</v>
      </c>
      <c r="J985" s="6" t="s">
        <v>5149</v>
      </c>
      <c r="K985" s="6" t="s">
        <v>2083</v>
      </c>
      <c r="L985" s="6" t="s">
        <v>4516</v>
      </c>
      <c r="M985" s="6" t="s">
        <v>5082</v>
      </c>
      <c r="N985" s="6" t="s">
        <v>2083</v>
      </c>
      <c r="O985" s="29">
        <f t="shared" si="17"/>
        <v>28592</v>
      </c>
      <c r="Q985" s="30" t="s">
        <v>2083</v>
      </c>
      <c r="R985" s="31">
        <v>30021.6</v>
      </c>
    </row>
    <row r="986" s="1" customFormat="1" ht="16.35" hidden="1" customHeight="1" spans="1:18">
      <c r="A986" s="6" t="s">
        <v>4506</v>
      </c>
      <c r="B986" s="6">
        <v>2018</v>
      </c>
      <c r="C986" s="6">
        <v>11</v>
      </c>
      <c r="D986" s="7">
        <v>2</v>
      </c>
      <c r="E986" s="6" t="s">
        <v>5118</v>
      </c>
      <c r="F986" s="6" t="s">
        <v>4508</v>
      </c>
      <c r="G986" s="6" t="s">
        <v>25</v>
      </c>
      <c r="H986" s="8"/>
      <c r="I986" s="8">
        <v>13162</v>
      </c>
      <c r="J986" s="6" t="s">
        <v>5119</v>
      </c>
      <c r="K986" s="6" t="s">
        <v>2287</v>
      </c>
      <c r="L986" s="6" t="s">
        <v>4516</v>
      </c>
      <c r="M986" s="6" t="s">
        <v>5082</v>
      </c>
      <c r="N986" s="6" t="s">
        <v>2287</v>
      </c>
      <c r="O986" s="29">
        <f t="shared" si="17"/>
        <v>13162</v>
      </c>
      <c r="Q986" s="30" t="s">
        <v>2287</v>
      </c>
      <c r="R986" s="31">
        <v>13820.1</v>
      </c>
    </row>
    <row r="987" s="1" customFormat="1" ht="16.35" hidden="1" customHeight="1" spans="1:18">
      <c r="A987" s="6" t="s">
        <v>4506</v>
      </c>
      <c r="B987" s="6">
        <v>2018</v>
      </c>
      <c r="C987" s="6">
        <v>11</v>
      </c>
      <c r="D987" s="7">
        <v>3</v>
      </c>
      <c r="E987" s="6" t="s">
        <v>5150</v>
      </c>
      <c r="F987" s="6" t="s">
        <v>4508</v>
      </c>
      <c r="G987" s="6" t="s">
        <v>25</v>
      </c>
      <c r="H987" s="8"/>
      <c r="I987" s="8">
        <v>38095</v>
      </c>
      <c r="J987" s="6" t="s">
        <v>5108</v>
      </c>
      <c r="K987" s="6" t="s">
        <v>2169</v>
      </c>
      <c r="L987" s="6" t="s">
        <v>4516</v>
      </c>
      <c r="M987" s="6" t="s">
        <v>5082</v>
      </c>
      <c r="N987" s="6" t="s">
        <v>2169</v>
      </c>
      <c r="O987" s="29">
        <f t="shared" si="17"/>
        <v>38095</v>
      </c>
      <c r="Q987" s="30" t="s">
        <v>2169</v>
      </c>
      <c r="R987" s="31">
        <v>39999.75</v>
      </c>
    </row>
    <row r="988" s="1" customFormat="1" ht="16.35" hidden="1" customHeight="1" spans="1:18">
      <c r="A988" s="6" t="s">
        <v>4506</v>
      </c>
      <c r="B988" s="6">
        <v>2018</v>
      </c>
      <c r="C988" s="6">
        <v>11</v>
      </c>
      <c r="D988" s="7">
        <v>4</v>
      </c>
      <c r="E988" s="6" t="s">
        <v>5151</v>
      </c>
      <c r="F988" s="6" t="s">
        <v>4508</v>
      </c>
      <c r="G988" s="6" t="s">
        <v>25</v>
      </c>
      <c r="H988" s="8"/>
      <c r="I988" s="8">
        <v>95238</v>
      </c>
      <c r="J988" s="6" t="s">
        <v>5152</v>
      </c>
      <c r="K988" s="6" t="s">
        <v>1942</v>
      </c>
      <c r="L988" s="6" t="s">
        <v>4516</v>
      </c>
      <c r="M988" s="6" t="s">
        <v>5082</v>
      </c>
      <c r="N988" s="6" t="s">
        <v>1942</v>
      </c>
      <c r="O988" s="29">
        <f t="shared" si="17"/>
        <v>95238</v>
      </c>
      <c r="Q988" s="30" t="s">
        <v>1942</v>
      </c>
      <c r="R988" s="31">
        <v>95238</v>
      </c>
    </row>
    <row r="989" s="1" customFormat="1" ht="16.35" hidden="1" customHeight="1" spans="1:18">
      <c r="A989" s="6" t="s">
        <v>4506</v>
      </c>
      <c r="B989" s="6">
        <v>2018</v>
      </c>
      <c r="C989" s="6">
        <v>11</v>
      </c>
      <c r="D989" s="7">
        <v>5</v>
      </c>
      <c r="E989" s="6" t="s">
        <v>5148</v>
      </c>
      <c r="F989" s="6" t="s">
        <v>4508</v>
      </c>
      <c r="G989" s="6" t="s">
        <v>25</v>
      </c>
      <c r="H989" s="8"/>
      <c r="I989" s="8">
        <v>9524</v>
      </c>
      <c r="J989" s="6" t="s">
        <v>5149</v>
      </c>
      <c r="K989" s="6" t="s">
        <v>2083</v>
      </c>
      <c r="L989" s="6" t="s">
        <v>4516</v>
      </c>
      <c r="M989" s="6" t="s">
        <v>5082</v>
      </c>
      <c r="N989" s="6" t="s">
        <v>2083</v>
      </c>
      <c r="O989" s="29">
        <f t="shared" si="17"/>
        <v>9524</v>
      </c>
      <c r="Q989" s="30" t="s">
        <v>2083</v>
      </c>
      <c r="R989" s="31">
        <v>10000.2</v>
      </c>
    </row>
    <row r="990" s="1" customFormat="1" ht="16.35" hidden="1" customHeight="1" spans="1:18">
      <c r="A990" s="6" t="s">
        <v>4506</v>
      </c>
      <c r="B990" s="6">
        <v>2018</v>
      </c>
      <c r="C990" s="6">
        <v>11</v>
      </c>
      <c r="D990" s="7">
        <v>6</v>
      </c>
      <c r="E990" s="6" t="s">
        <v>5151</v>
      </c>
      <c r="F990" s="6" t="s">
        <v>4508</v>
      </c>
      <c r="G990" s="6" t="s">
        <v>25</v>
      </c>
      <c r="H990" s="8"/>
      <c r="I990" s="8">
        <v>95238</v>
      </c>
      <c r="J990" s="6" t="s">
        <v>5152</v>
      </c>
      <c r="K990" s="6" t="s">
        <v>1942</v>
      </c>
      <c r="L990" s="6" t="s">
        <v>4516</v>
      </c>
      <c r="M990" s="6" t="s">
        <v>5082</v>
      </c>
      <c r="N990" s="6" t="s">
        <v>1942</v>
      </c>
      <c r="O990" s="29">
        <f t="shared" si="17"/>
        <v>95238</v>
      </c>
      <c r="Q990" s="30" t="s">
        <v>1942</v>
      </c>
      <c r="R990" s="31">
        <v>95238</v>
      </c>
    </row>
    <row r="991" s="1" customFormat="1" ht="16.35" hidden="1" customHeight="1" spans="1:18">
      <c r="A991" s="6" t="s">
        <v>4506</v>
      </c>
      <c r="B991" s="6">
        <v>2018</v>
      </c>
      <c r="C991" s="6">
        <v>11</v>
      </c>
      <c r="D991" s="7">
        <v>7</v>
      </c>
      <c r="E991" s="6" t="s">
        <v>5153</v>
      </c>
      <c r="F991" s="6" t="s">
        <v>4508</v>
      </c>
      <c r="G991" s="6" t="s">
        <v>25</v>
      </c>
      <c r="H991" s="8"/>
      <c r="I991" s="8">
        <v>34077</v>
      </c>
      <c r="J991" s="6" t="s">
        <v>4099</v>
      </c>
      <c r="K991" s="6" t="s">
        <v>1953</v>
      </c>
      <c r="L991" s="6" t="s">
        <v>4516</v>
      </c>
      <c r="M991" s="6" t="s">
        <v>5082</v>
      </c>
      <c r="N991" s="6" t="s">
        <v>1953</v>
      </c>
      <c r="O991" s="29">
        <f t="shared" si="17"/>
        <v>34077</v>
      </c>
      <c r="Q991" s="30" t="s">
        <v>1953</v>
      </c>
      <c r="R991" s="31">
        <v>35780.85</v>
      </c>
    </row>
    <row r="992" s="1" customFormat="1" ht="16.35" hidden="1" customHeight="1" spans="1:18">
      <c r="A992" s="6" t="s">
        <v>4506</v>
      </c>
      <c r="B992" s="6">
        <v>2018</v>
      </c>
      <c r="C992" s="6">
        <v>11</v>
      </c>
      <c r="D992" s="7">
        <v>8</v>
      </c>
      <c r="E992" s="6" t="s">
        <v>5154</v>
      </c>
      <c r="F992" s="6" t="s">
        <v>4508</v>
      </c>
      <c r="G992" s="6" t="s">
        <v>25</v>
      </c>
      <c r="H992" s="8"/>
      <c r="I992" s="8">
        <v>2857</v>
      </c>
      <c r="J992" s="6" t="s">
        <v>5155</v>
      </c>
      <c r="K992" s="6" t="s">
        <v>2195</v>
      </c>
      <c r="L992" s="6" t="s">
        <v>4516</v>
      </c>
      <c r="M992" s="6" t="s">
        <v>5082</v>
      </c>
      <c r="N992" s="6" t="s">
        <v>2195</v>
      </c>
      <c r="O992" s="29">
        <f t="shared" si="17"/>
        <v>2857</v>
      </c>
      <c r="Q992" s="30" t="s">
        <v>2195</v>
      </c>
      <c r="R992" s="31">
        <v>2999.85</v>
      </c>
    </row>
    <row r="993" s="1" customFormat="1" ht="16.35" hidden="1" customHeight="1" spans="1:18">
      <c r="A993" s="6" t="s">
        <v>4506</v>
      </c>
      <c r="B993" s="6">
        <v>2018</v>
      </c>
      <c r="C993" s="6">
        <v>11</v>
      </c>
      <c r="D993" s="7">
        <v>9</v>
      </c>
      <c r="E993" s="6" t="s">
        <v>5156</v>
      </c>
      <c r="F993" s="6" t="s">
        <v>4508</v>
      </c>
      <c r="G993" s="6" t="s">
        <v>25</v>
      </c>
      <c r="H993" s="8"/>
      <c r="I993" s="8">
        <v>50933</v>
      </c>
      <c r="J993" s="6" t="s">
        <v>5157</v>
      </c>
      <c r="K993" s="6" t="s">
        <v>2047</v>
      </c>
      <c r="L993" s="6" t="s">
        <v>4516</v>
      </c>
      <c r="M993" s="6" t="s">
        <v>5082</v>
      </c>
      <c r="N993" s="6" t="s">
        <v>2047</v>
      </c>
      <c r="O993" s="29">
        <f t="shared" si="17"/>
        <v>50933</v>
      </c>
      <c r="Q993" s="30" t="s">
        <v>2047</v>
      </c>
      <c r="R993" s="31">
        <v>53479.65</v>
      </c>
    </row>
    <row r="994" s="1" customFormat="1" ht="16.35" hidden="1" customHeight="1" spans="1:18">
      <c r="A994" s="6" t="s">
        <v>4506</v>
      </c>
      <c r="B994" s="6">
        <v>2018</v>
      </c>
      <c r="C994" s="6">
        <v>11</v>
      </c>
      <c r="D994" s="7">
        <v>10</v>
      </c>
      <c r="E994" s="6" t="s">
        <v>5158</v>
      </c>
      <c r="F994" s="6" t="s">
        <v>4508</v>
      </c>
      <c r="G994" s="6" t="s">
        <v>25</v>
      </c>
      <c r="H994" s="8"/>
      <c r="I994" s="8">
        <v>213333</v>
      </c>
      <c r="J994" s="6" t="s">
        <v>5159</v>
      </c>
      <c r="K994" s="6" t="s">
        <v>2067</v>
      </c>
      <c r="L994" s="6" t="s">
        <v>4516</v>
      </c>
      <c r="M994" s="6" t="s">
        <v>5082</v>
      </c>
      <c r="N994" s="6" t="s">
        <v>2067</v>
      </c>
      <c r="O994" s="29">
        <f t="shared" si="17"/>
        <v>213333</v>
      </c>
      <c r="Q994" s="30" t="s">
        <v>2067</v>
      </c>
      <c r="R994" s="31">
        <v>223999.65</v>
      </c>
    </row>
    <row r="995" s="1" customFormat="1" ht="16.35" hidden="1" customHeight="1" spans="1:18">
      <c r="A995" s="6" t="s">
        <v>4506</v>
      </c>
      <c r="B995" s="6">
        <v>2018</v>
      </c>
      <c r="C995" s="6">
        <v>11</v>
      </c>
      <c r="D995" s="7">
        <v>11</v>
      </c>
      <c r="E995" s="6" t="s">
        <v>5160</v>
      </c>
      <c r="F995" s="6" t="s">
        <v>4508</v>
      </c>
      <c r="G995" s="6" t="s">
        <v>25</v>
      </c>
      <c r="H995" s="8"/>
      <c r="I995" s="8">
        <v>105714</v>
      </c>
      <c r="J995" s="6" t="s">
        <v>5161</v>
      </c>
      <c r="K995" s="6" t="s">
        <v>1961</v>
      </c>
      <c r="L995" s="6" t="s">
        <v>4516</v>
      </c>
      <c r="M995" s="6" t="s">
        <v>5082</v>
      </c>
      <c r="N995" s="6" t="s">
        <v>1961</v>
      </c>
      <c r="O995" s="29">
        <f t="shared" si="17"/>
        <v>105714</v>
      </c>
      <c r="Q995" s="30" t="s">
        <v>1961</v>
      </c>
      <c r="R995" s="31">
        <v>110999.7</v>
      </c>
    </row>
    <row r="996" s="1" customFormat="1" ht="16.35" hidden="1" customHeight="1" spans="1:18">
      <c r="A996" s="6" t="s">
        <v>4506</v>
      </c>
      <c r="B996" s="6">
        <v>2018</v>
      </c>
      <c r="C996" s="6">
        <v>11</v>
      </c>
      <c r="D996" s="7">
        <v>12</v>
      </c>
      <c r="E996" s="6" t="s">
        <v>5162</v>
      </c>
      <c r="F996" s="6" t="s">
        <v>4508</v>
      </c>
      <c r="G996" s="6" t="s">
        <v>25</v>
      </c>
      <c r="H996" s="8"/>
      <c r="I996" s="8">
        <v>190476</v>
      </c>
      <c r="J996" s="6" t="s">
        <v>5163</v>
      </c>
      <c r="K996" s="6" t="s">
        <v>1988</v>
      </c>
      <c r="L996" s="6" t="s">
        <v>4516</v>
      </c>
      <c r="M996" s="6" t="s">
        <v>5082</v>
      </c>
      <c r="N996" s="6" t="s">
        <v>1988</v>
      </c>
      <c r="O996" s="29">
        <f t="shared" si="17"/>
        <v>190476</v>
      </c>
      <c r="Q996" s="30" t="s">
        <v>1988</v>
      </c>
      <c r="R996" s="31">
        <v>199999.8</v>
      </c>
    </row>
    <row r="997" s="1" customFormat="1" ht="16.35" hidden="1" customHeight="1" spans="1:18">
      <c r="A997" s="6" t="s">
        <v>4506</v>
      </c>
      <c r="B997" s="6">
        <v>2018</v>
      </c>
      <c r="C997" s="6">
        <v>11</v>
      </c>
      <c r="D997" s="7">
        <v>13</v>
      </c>
      <c r="E997" s="6" t="s">
        <v>5164</v>
      </c>
      <c r="F997" s="6" t="s">
        <v>4508</v>
      </c>
      <c r="G997" s="6" t="s">
        <v>25</v>
      </c>
      <c r="H997" s="8"/>
      <c r="I997" s="8">
        <v>57698</v>
      </c>
      <c r="J997" s="6" t="s">
        <v>5165</v>
      </c>
      <c r="K997" s="6" t="s">
        <v>1980</v>
      </c>
      <c r="L997" s="6" t="s">
        <v>4516</v>
      </c>
      <c r="M997" s="6" t="s">
        <v>5082</v>
      </c>
      <c r="N997" s="6" t="s">
        <v>1980</v>
      </c>
      <c r="O997" s="29">
        <f t="shared" si="17"/>
        <v>57698</v>
      </c>
      <c r="Q997" s="30" t="s">
        <v>1980</v>
      </c>
      <c r="R997" s="31">
        <v>60582.9</v>
      </c>
    </row>
    <row r="998" s="1" customFormat="1" ht="16.35" hidden="1" customHeight="1" spans="1:18">
      <c r="A998" s="6" t="s">
        <v>4506</v>
      </c>
      <c r="B998" s="6">
        <v>2018</v>
      </c>
      <c r="C998" s="6">
        <v>11</v>
      </c>
      <c r="D998" s="7">
        <v>14</v>
      </c>
      <c r="E998" s="6" t="s">
        <v>5166</v>
      </c>
      <c r="F998" s="6" t="s">
        <v>4508</v>
      </c>
      <c r="G998" s="6" t="s">
        <v>25</v>
      </c>
      <c r="H998" s="8"/>
      <c r="I998" s="8">
        <v>19048</v>
      </c>
      <c r="J998" s="6" t="s">
        <v>5167</v>
      </c>
      <c r="K998" s="6" t="s">
        <v>2011</v>
      </c>
      <c r="L998" s="6" t="s">
        <v>4516</v>
      </c>
      <c r="M998" s="6" t="s">
        <v>5082</v>
      </c>
      <c r="N998" s="6" t="s">
        <v>2011</v>
      </c>
      <c r="O998" s="29">
        <f t="shared" si="17"/>
        <v>19048</v>
      </c>
      <c r="Q998" s="30" t="s">
        <v>2011</v>
      </c>
      <c r="R998" s="31">
        <v>20000.4</v>
      </c>
    </row>
    <row r="999" s="1" customFormat="1" ht="16.35" hidden="1" customHeight="1" spans="1:18">
      <c r="A999" s="6" t="s">
        <v>4506</v>
      </c>
      <c r="B999" s="6">
        <v>2018</v>
      </c>
      <c r="C999" s="6">
        <v>11</v>
      </c>
      <c r="D999" s="7">
        <v>15</v>
      </c>
      <c r="E999" s="6" t="s">
        <v>5168</v>
      </c>
      <c r="F999" s="6" t="s">
        <v>4508</v>
      </c>
      <c r="G999" s="6" t="s">
        <v>25</v>
      </c>
      <c r="H999" s="8"/>
      <c r="I999" s="8">
        <v>57602</v>
      </c>
      <c r="J999" s="6" t="s">
        <v>5169</v>
      </c>
      <c r="K999" s="6" t="s">
        <v>2188</v>
      </c>
      <c r="L999" s="6" t="s">
        <v>4516</v>
      </c>
      <c r="M999" s="6" t="s">
        <v>5082</v>
      </c>
      <c r="N999" s="6" t="s">
        <v>2188</v>
      </c>
      <c r="O999" s="29">
        <f t="shared" si="17"/>
        <v>57602</v>
      </c>
      <c r="Q999" s="30" t="s">
        <v>2188</v>
      </c>
      <c r="R999" s="31">
        <v>60482.1</v>
      </c>
    </row>
    <row r="1000" s="1" customFormat="1" ht="16.35" hidden="1" customHeight="1" spans="1:18">
      <c r="A1000" s="6" t="s">
        <v>4506</v>
      </c>
      <c r="B1000" s="6">
        <v>2018</v>
      </c>
      <c r="C1000" s="6">
        <v>11</v>
      </c>
      <c r="D1000" s="7">
        <v>16</v>
      </c>
      <c r="E1000" s="6" t="s">
        <v>5170</v>
      </c>
      <c r="F1000" s="6" t="s">
        <v>4508</v>
      </c>
      <c r="G1000" s="6" t="s">
        <v>25</v>
      </c>
      <c r="H1000" s="8"/>
      <c r="I1000" s="8">
        <v>213</v>
      </c>
      <c r="J1000" s="6" t="s">
        <v>5171</v>
      </c>
      <c r="K1000" s="6" t="s">
        <v>1950</v>
      </c>
      <c r="L1000" s="6" t="s">
        <v>4516</v>
      </c>
      <c r="M1000" s="6" t="s">
        <v>5082</v>
      </c>
      <c r="N1000" s="6" t="s">
        <v>1950</v>
      </c>
      <c r="O1000" s="29">
        <f t="shared" si="17"/>
        <v>213</v>
      </c>
      <c r="Q1000" s="30" t="s">
        <v>1950</v>
      </c>
      <c r="R1000" s="31">
        <v>223.65</v>
      </c>
    </row>
    <row r="1001" s="1" customFormat="1" ht="16.35" hidden="1" customHeight="1" spans="1:18">
      <c r="A1001" s="6" t="s">
        <v>4506</v>
      </c>
      <c r="B1001" s="6">
        <v>2018</v>
      </c>
      <c r="C1001" s="6">
        <v>11</v>
      </c>
      <c r="D1001" s="7">
        <v>17</v>
      </c>
      <c r="E1001" s="6" t="s">
        <v>5172</v>
      </c>
      <c r="F1001" s="6" t="s">
        <v>4508</v>
      </c>
      <c r="G1001" s="6" t="s">
        <v>25</v>
      </c>
      <c r="H1001" s="8"/>
      <c r="I1001" s="8">
        <v>40000</v>
      </c>
      <c r="J1001" s="6" t="s">
        <v>5173</v>
      </c>
      <c r="K1001" s="6" t="s">
        <v>2023</v>
      </c>
      <c r="L1001" s="6" t="s">
        <v>4516</v>
      </c>
      <c r="M1001" s="6" t="s">
        <v>5082</v>
      </c>
      <c r="N1001" s="6" t="s">
        <v>2023</v>
      </c>
      <c r="O1001" s="29">
        <f t="shared" si="17"/>
        <v>40000</v>
      </c>
      <c r="Q1001" s="30" t="s">
        <v>2023</v>
      </c>
      <c r="R1001" s="31">
        <v>42000</v>
      </c>
    </row>
    <row r="1002" s="1" customFormat="1" ht="16.35" hidden="1" customHeight="1" spans="1:18">
      <c r="A1002" s="6" t="s">
        <v>4506</v>
      </c>
      <c r="B1002" s="6">
        <v>2018</v>
      </c>
      <c r="C1002" s="6">
        <v>11</v>
      </c>
      <c r="D1002" s="7">
        <v>18</v>
      </c>
      <c r="E1002" s="6" t="s">
        <v>5174</v>
      </c>
      <c r="F1002" s="6" t="s">
        <v>4508</v>
      </c>
      <c r="G1002" s="6" t="s">
        <v>25</v>
      </c>
      <c r="H1002" s="8"/>
      <c r="I1002" s="8">
        <v>3810</v>
      </c>
      <c r="J1002" s="6" t="s">
        <v>4112</v>
      </c>
      <c r="K1002" s="6" t="s">
        <v>2101</v>
      </c>
      <c r="L1002" s="6" t="s">
        <v>4516</v>
      </c>
      <c r="M1002" s="6" t="s">
        <v>5082</v>
      </c>
      <c r="N1002" s="6" t="s">
        <v>2101</v>
      </c>
      <c r="O1002" s="29">
        <f t="shared" si="17"/>
        <v>3810</v>
      </c>
      <c r="Q1002" s="30" t="s">
        <v>2101</v>
      </c>
      <c r="R1002" s="31">
        <v>4000.5</v>
      </c>
    </row>
    <row r="1003" s="1" customFormat="1" ht="16.35" hidden="1" customHeight="1" spans="1:18">
      <c r="A1003" s="6" t="s">
        <v>4506</v>
      </c>
      <c r="B1003" s="6">
        <v>2018</v>
      </c>
      <c r="C1003" s="6">
        <v>11</v>
      </c>
      <c r="D1003" s="7">
        <v>19</v>
      </c>
      <c r="E1003" s="6" t="s">
        <v>5166</v>
      </c>
      <c r="F1003" s="6" t="s">
        <v>4508</v>
      </c>
      <c r="G1003" s="6" t="s">
        <v>25</v>
      </c>
      <c r="H1003" s="8"/>
      <c r="I1003" s="8">
        <v>27593</v>
      </c>
      <c r="J1003" s="6" t="s">
        <v>5167</v>
      </c>
      <c r="K1003" s="6" t="s">
        <v>2011</v>
      </c>
      <c r="L1003" s="6" t="s">
        <v>4516</v>
      </c>
      <c r="M1003" s="6" t="s">
        <v>5082</v>
      </c>
      <c r="N1003" s="6" t="s">
        <v>2011</v>
      </c>
      <c r="O1003" s="29">
        <f t="shared" si="17"/>
        <v>27593</v>
      </c>
      <c r="Q1003" s="30" t="s">
        <v>2011</v>
      </c>
      <c r="R1003" s="31">
        <v>28972.65</v>
      </c>
    </row>
    <row r="1004" s="1" customFormat="1" ht="16.35" hidden="1" customHeight="1" spans="1:18">
      <c r="A1004" s="6" t="s">
        <v>4506</v>
      </c>
      <c r="B1004" s="6">
        <v>2018</v>
      </c>
      <c r="C1004" s="6">
        <v>11</v>
      </c>
      <c r="D1004" s="7">
        <v>20</v>
      </c>
      <c r="E1004" s="6" t="s">
        <v>5175</v>
      </c>
      <c r="F1004" s="6" t="s">
        <v>4508</v>
      </c>
      <c r="G1004" s="6" t="s">
        <v>25</v>
      </c>
      <c r="H1004" s="8"/>
      <c r="I1004" s="8">
        <v>1905</v>
      </c>
      <c r="J1004" s="6" t="s">
        <v>5176</v>
      </c>
      <c r="K1004" s="6" t="s">
        <v>2145</v>
      </c>
      <c r="L1004" s="6" t="s">
        <v>4516</v>
      </c>
      <c r="M1004" s="6" t="s">
        <v>5082</v>
      </c>
      <c r="N1004" s="6" t="s">
        <v>2145</v>
      </c>
      <c r="O1004" s="29">
        <f t="shared" si="17"/>
        <v>1905</v>
      </c>
      <c r="Q1004" s="30" t="s">
        <v>2145</v>
      </c>
      <c r="R1004" s="31">
        <v>2000.25</v>
      </c>
    </row>
    <row r="1005" s="1" customFormat="1" ht="16.35" hidden="1" customHeight="1" spans="1:18">
      <c r="A1005" s="6" t="s">
        <v>4506</v>
      </c>
      <c r="B1005" s="6">
        <v>2018</v>
      </c>
      <c r="C1005" s="6">
        <v>11</v>
      </c>
      <c r="D1005" s="7">
        <v>21</v>
      </c>
      <c r="E1005" s="6" t="s">
        <v>5177</v>
      </c>
      <c r="F1005" s="6" t="s">
        <v>4508</v>
      </c>
      <c r="G1005" s="6" t="s">
        <v>25</v>
      </c>
      <c r="H1005" s="8"/>
      <c r="I1005" s="8">
        <v>85714</v>
      </c>
      <c r="J1005" s="6" t="s">
        <v>5178</v>
      </c>
      <c r="K1005" s="6" t="s">
        <v>2818</v>
      </c>
      <c r="L1005" s="6" t="s">
        <v>4516</v>
      </c>
      <c r="M1005" s="6" t="s">
        <v>5082</v>
      </c>
      <c r="N1005" s="6" t="s">
        <v>2818</v>
      </c>
      <c r="O1005" s="29">
        <f t="shared" si="17"/>
        <v>85714</v>
      </c>
      <c r="Q1005" s="30" t="s">
        <v>2818</v>
      </c>
      <c r="R1005" s="31">
        <v>89999.7</v>
      </c>
    </row>
    <row r="1006" s="1" customFormat="1" ht="16.35" hidden="1" customHeight="1" spans="1:18">
      <c r="A1006" s="6" t="s">
        <v>4506</v>
      </c>
      <c r="B1006" s="6">
        <v>2018</v>
      </c>
      <c r="C1006" s="6">
        <v>11</v>
      </c>
      <c r="D1006" s="7">
        <v>22</v>
      </c>
      <c r="E1006" s="6" t="s">
        <v>5172</v>
      </c>
      <c r="F1006" s="6" t="s">
        <v>4508</v>
      </c>
      <c r="G1006" s="6" t="s">
        <v>25</v>
      </c>
      <c r="H1006" s="8"/>
      <c r="I1006" s="8">
        <v>2857</v>
      </c>
      <c r="J1006" s="6" t="s">
        <v>5173</v>
      </c>
      <c r="K1006" s="6" t="s">
        <v>2023</v>
      </c>
      <c r="L1006" s="6" t="s">
        <v>4516</v>
      </c>
      <c r="M1006" s="6" t="s">
        <v>5082</v>
      </c>
      <c r="N1006" s="6" t="s">
        <v>2023</v>
      </c>
      <c r="O1006" s="29">
        <f t="shared" si="17"/>
        <v>2857</v>
      </c>
      <c r="Q1006" s="30" t="s">
        <v>2023</v>
      </c>
      <c r="R1006" s="31">
        <v>2999.85</v>
      </c>
    </row>
    <row r="1007" s="1" customFormat="1" ht="16.35" hidden="1" customHeight="1" spans="1:18">
      <c r="A1007" s="6" t="s">
        <v>4506</v>
      </c>
      <c r="B1007" s="6">
        <v>2018</v>
      </c>
      <c r="C1007" s="6">
        <v>11</v>
      </c>
      <c r="D1007" s="7">
        <v>23</v>
      </c>
      <c r="E1007" s="6" t="s">
        <v>5179</v>
      </c>
      <c r="F1007" s="6" t="s">
        <v>4508</v>
      </c>
      <c r="G1007" s="6" t="s">
        <v>25</v>
      </c>
      <c r="H1007" s="8"/>
      <c r="I1007" s="8">
        <v>5714</v>
      </c>
      <c r="J1007" s="6" t="s">
        <v>5169</v>
      </c>
      <c r="K1007" s="6" t="s">
        <v>2188</v>
      </c>
      <c r="L1007" s="6" t="s">
        <v>4516</v>
      </c>
      <c r="M1007" s="6" t="s">
        <v>5082</v>
      </c>
      <c r="N1007" s="6" t="s">
        <v>2188</v>
      </c>
      <c r="O1007" s="29">
        <f t="shared" si="17"/>
        <v>5714</v>
      </c>
      <c r="Q1007" s="30" t="s">
        <v>2188</v>
      </c>
      <c r="R1007" s="31">
        <v>5999.7</v>
      </c>
    </row>
    <row r="1008" s="1" customFormat="1" ht="16.35" hidden="1" customHeight="1" spans="1:18">
      <c r="A1008" s="6" t="s">
        <v>4506</v>
      </c>
      <c r="B1008" s="6">
        <v>2018</v>
      </c>
      <c r="C1008" s="6">
        <v>11</v>
      </c>
      <c r="D1008" s="7">
        <v>34</v>
      </c>
      <c r="E1008" s="6" t="s">
        <v>5180</v>
      </c>
      <c r="F1008" s="6" t="s">
        <v>4508</v>
      </c>
      <c r="G1008" s="6" t="s">
        <v>25</v>
      </c>
      <c r="H1008" s="8"/>
      <c r="I1008" s="8">
        <v>361905</v>
      </c>
      <c r="J1008" s="6" t="s">
        <v>5181</v>
      </c>
      <c r="K1008" s="6" t="s">
        <v>672</v>
      </c>
      <c r="L1008" s="6" t="s">
        <v>4510</v>
      </c>
      <c r="M1008" s="6" t="s">
        <v>4511</v>
      </c>
      <c r="N1008" s="6" t="s">
        <v>672</v>
      </c>
      <c r="O1008" s="29">
        <f>I1008*1.05</f>
        <v>380000.25</v>
      </c>
      <c r="Q1008" s="30" t="s">
        <v>672</v>
      </c>
      <c r="R1008" s="31">
        <v>380000</v>
      </c>
    </row>
    <row r="1009" s="1" customFormat="1" ht="16.35" hidden="1" customHeight="1" spans="1:18">
      <c r="A1009" s="6" t="s">
        <v>4506</v>
      </c>
      <c r="B1009" s="6">
        <v>2018</v>
      </c>
      <c r="C1009" s="6">
        <v>11</v>
      </c>
      <c r="D1009" s="7">
        <v>35</v>
      </c>
      <c r="E1009" s="6" t="s">
        <v>5180</v>
      </c>
      <c r="F1009" s="6" t="s">
        <v>4508</v>
      </c>
      <c r="G1009" s="6" t="s">
        <v>25</v>
      </c>
      <c r="H1009" s="8"/>
      <c r="I1009" s="8">
        <v>19048</v>
      </c>
      <c r="J1009" s="6" t="s">
        <v>5181</v>
      </c>
      <c r="K1009" s="6" t="s">
        <v>672</v>
      </c>
      <c r="L1009" s="6" t="s">
        <v>4510</v>
      </c>
      <c r="M1009" s="6" t="s">
        <v>4511</v>
      </c>
      <c r="N1009" s="6" t="s">
        <v>672</v>
      </c>
      <c r="O1009" s="29">
        <f>I1009*1.05</f>
        <v>20000.4</v>
      </c>
      <c r="Q1009" s="30" t="s">
        <v>672</v>
      </c>
      <c r="R1009" s="31">
        <v>20000</v>
      </c>
    </row>
    <row r="1010" s="1" customFormat="1" ht="16.35" hidden="1" customHeight="1" spans="1:18">
      <c r="A1010" s="6" t="s">
        <v>4506</v>
      </c>
      <c r="B1010" s="6">
        <v>2018</v>
      </c>
      <c r="C1010" s="6">
        <v>11</v>
      </c>
      <c r="D1010" s="7">
        <v>36</v>
      </c>
      <c r="E1010" s="6" t="s">
        <v>5182</v>
      </c>
      <c r="F1010" s="6" t="s">
        <v>4508</v>
      </c>
      <c r="G1010" s="6" t="s">
        <v>25</v>
      </c>
      <c r="H1010" s="8"/>
      <c r="I1010" s="8">
        <v>3766</v>
      </c>
      <c r="J1010" s="6" t="s">
        <v>5178</v>
      </c>
      <c r="K1010" s="6" t="s">
        <v>2818</v>
      </c>
      <c r="L1010" s="6" t="s">
        <v>4516</v>
      </c>
      <c r="M1010" s="6" t="s">
        <v>5082</v>
      </c>
      <c r="N1010" s="6" t="s">
        <v>2818</v>
      </c>
      <c r="O1010" s="29">
        <f>I1010</f>
        <v>3766</v>
      </c>
      <c r="Q1010" s="30" t="s">
        <v>2818</v>
      </c>
      <c r="R1010" s="31">
        <v>3954.3</v>
      </c>
    </row>
    <row r="1011" s="1" customFormat="1" ht="16.35" hidden="1" customHeight="1" spans="1:18">
      <c r="A1011" s="6" t="s">
        <v>4506</v>
      </c>
      <c r="B1011" s="6">
        <v>2018</v>
      </c>
      <c r="C1011" s="6">
        <v>11</v>
      </c>
      <c r="D1011" s="7">
        <v>37</v>
      </c>
      <c r="E1011" s="6" t="s">
        <v>5183</v>
      </c>
      <c r="F1011" s="6" t="s">
        <v>4508</v>
      </c>
      <c r="G1011" s="6" t="s">
        <v>25</v>
      </c>
      <c r="H1011" s="8"/>
      <c r="I1011" s="8">
        <v>2138</v>
      </c>
      <c r="J1011" s="6" t="s">
        <v>5173</v>
      </c>
      <c r="K1011" s="6" t="s">
        <v>2023</v>
      </c>
      <c r="L1011" s="6" t="s">
        <v>4516</v>
      </c>
      <c r="M1011" s="6" t="s">
        <v>5082</v>
      </c>
      <c r="N1011" s="6" t="s">
        <v>2023</v>
      </c>
      <c r="O1011" s="29">
        <f>I1011</f>
        <v>2138</v>
      </c>
      <c r="Q1011" s="30" t="s">
        <v>2023</v>
      </c>
      <c r="R1011" s="31">
        <v>2244.9</v>
      </c>
    </row>
    <row r="1012" s="1" customFormat="1" ht="16.35" hidden="1" customHeight="1" spans="1:18">
      <c r="A1012" s="6" t="s">
        <v>4506</v>
      </c>
      <c r="B1012" s="6">
        <v>2018</v>
      </c>
      <c r="C1012" s="6">
        <v>11</v>
      </c>
      <c r="D1012" s="7">
        <v>39</v>
      </c>
      <c r="E1012" s="6" t="s">
        <v>5184</v>
      </c>
      <c r="F1012" s="6" t="s">
        <v>4508</v>
      </c>
      <c r="G1012" s="6" t="s">
        <v>25</v>
      </c>
      <c r="H1012" s="8"/>
      <c r="I1012" s="8">
        <v>444625</v>
      </c>
      <c r="J1012" s="6" t="s">
        <v>5185</v>
      </c>
      <c r="K1012" s="6" t="s">
        <v>5186</v>
      </c>
      <c r="L1012" s="6" t="s">
        <v>4510</v>
      </c>
      <c r="M1012" s="6" t="s">
        <v>4511</v>
      </c>
      <c r="N1012" s="6" t="s">
        <v>5186</v>
      </c>
      <c r="O1012" s="29">
        <f>I1012*1.05</f>
        <v>466856.25</v>
      </c>
      <c r="Q1012" s="30" t="s">
        <v>5186</v>
      </c>
      <c r="R1012" s="31">
        <v>466856.25</v>
      </c>
    </row>
    <row r="1013" s="1" customFormat="1" ht="16.35" hidden="1" customHeight="1" spans="1:18">
      <c r="A1013" s="6" t="s">
        <v>4506</v>
      </c>
      <c r="B1013" s="6">
        <v>2018</v>
      </c>
      <c r="C1013" s="6">
        <v>11</v>
      </c>
      <c r="D1013" s="7">
        <v>44</v>
      </c>
      <c r="E1013" s="6" t="s">
        <v>5187</v>
      </c>
      <c r="F1013" s="6" t="s">
        <v>4508</v>
      </c>
      <c r="G1013" s="6" t="s">
        <v>25</v>
      </c>
      <c r="H1013" s="8"/>
      <c r="I1013" s="8">
        <v>47619</v>
      </c>
      <c r="J1013" s="6" t="s">
        <v>5178</v>
      </c>
      <c r="K1013" s="6" t="s">
        <v>2818</v>
      </c>
      <c r="L1013" s="6" t="s">
        <v>4516</v>
      </c>
      <c r="M1013" s="6" t="s">
        <v>5082</v>
      </c>
      <c r="N1013" s="6" t="s">
        <v>2818</v>
      </c>
      <c r="O1013" s="29">
        <f>I1013</f>
        <v>47619</v>
      </c>
      <c r="Q1013" s="30" t="s">
        <v>2818</v>
      </c>
      <c r="R1013" s="31">
        <v>49999.95</v>
      </c>
    </row>
    <row r="1014" s="1" customFormat="1" ht="16.35" hidden="1" customHeight="1" spans="1:18">
      <c r="A1014" s="6" t="s">
        <v>4506</v>
      </c>
      <c r="B1014" s="6">
        <v>2018</v>
      </c>
      <c r="C1014" s="6">
        <v>11</v>
      </c>
      <c r="D1014" s="7">
        <v>45</v>
      </c>
      <c r="E1014" s="6" t="s">
        <v>5188</v>
      </c>
      <c r="F1014" s="6" t="s">
        <v>4508</v>
      </c>
      <c r="G1014" s="6" t="s">
        <v>25</v>
      </c>
      <c r="H1014" s="8"/>
      <c r="I1014" s="8">
        <v>3810</v>
      </c>
      <c r="J1014" s="6" t="s">
        <v>5189</v>
      </c>
      <c r="K1014" s="6" t="s">
        <v>2097</v>
      </c>
      <c r="L1014" s="6" t="s">
        <v>4516</v>
      </c>
      <c r="M1014" s="6" t="s">
        <v>5082</v>
      </c>
      <c r="N1014" s="6" t="s">
        <v>2097</v>
      </c>
      <c r="O1014" s="29">
        <f>I1014</f>
        <v>3810</v>
      </c>
      <c r="Q1014" s="30" t="s">
        <v>2097</v>
      </c>
      <c r="R1014" s="31">
        <v>4000.5</v>
      </c>
    </row>
    <row r="1015" s="1" customFormat="1" ht="16.35" hidden="1" customHeight="1" spans="1:18">
      <c r="A1015" s="6" t="s">
        <v>4506</v>
      </c>
      <c r="B1015" s="6">
        <v>2018</v>
      </c>
      <c r="C1015" s="6">
        <v>11</v>
      </c>
      <c r="D1015" s="7">
        <v>46</v>
      </c>
      <c r="E1015" s="6" t="s">
        <v>5190</v>
      </c>
      <c r="F1015" s="6" t="s">
        <v>4508</v>
      </c>
      <c r="G1015" s="6" t="s">
        <v>25</v>
      </c>
      <c r="H1015" s="8"/>
      <c r="I1015" s="8">
        <v>4762</v>
      </c>
      <c r="J1015" s="6" t="s">
        <v>5191</v>
      </c>
      <c r="K1015" s="6" t="s">
        <v>2041</v>
      </c>
      <c r="L1015" s="6" t="s">
        <v>4516</v>
      </c>
      <c r="M1015" s="6" t="s">
        <v>5082</v>
      </c>
      <c r="N1015" s="6" t="s">
        <v>2041</v>
      </c>
      <c r="O1015" s="29">
        <f>I1015</f>
        <v>4762</v>
      </c>
      <c r="Q1015" s="30" t="s">
        <v>2041</v>
      </c>
      <c r="R1015" s="31">
        <v>5000.1</v>
      </c>
    </row>
    <row r="1016" s="1" customFormat="1" ht="16.35" hidden="1" customHeight="1" spans="1:18">
      <c r="A1016" s="6" t="s">
        <v>4506</v>
      </c>
      <c r="B1016" s="6">
        <v>2018</v>
      </c>
      <c r="C1016" s="6">
        <v>11</v>
      </c>
      <c r="D1016" s="7">
        <v>55</v>
      </c>
      <c r="E1016" s="6" t="s">
        <v>5192</v>
      </c>
      <c r="F1016" s="6" t="s">
        <v>4508</v>
      </c>
      <c r="G1016" s="6" t="s">
        <v>25</v>
      </c>
      <c r="H1016" s="8"/>
      <c r="I1016" s="8">
        <v>-449087</v>
      </c>
      <c r="J1016" s="6" t="s">
        <v>3250</v>
      </c>
      <c r="K1016" s="6" t="s">
        <v>369</v>
      </c>
      <c r="L1016" s="6" t="s">
        <v>4510</v>
      </c>
      <c r="M1016" s="6" t="s">
        <v>4511</v>
      </c>
      <c r="N1016" s="6" t="s">
        <v>369</v>
      </c>
      <c r="O1016" s="29">
        <f>I1016*1.05</f>
        <v>-471541.35</v>
      </c>
      <c r="Q1016" s="30" t="s">
        <v>369</v>
      </c>
      <c r="R1016" s="31">
        <v>-471541.35</v>
      </c>
    </row>
    <row r="1017" s="1" customFormat="1" ht="16.35" hidden="1" customHeight="1" spans="1:18">
      <c r="A1017" s="6" t="s">
        <v>4506</v>
      </c>
      <c r="B1017" s="6">
        <v>2018</v>
      </c>
      <c r="C1017" s="6">
        <v>11</v>
      </c>
      <c r="D1017" s="7">
        <v>64</v>
      </c>
      <c r="E1017" s="6" t="s">
        <v>5193</v>
      </c>
      <c r="F1017" s="6" t="s">
        <v>4508</v>
      </c>
      <c r="G1017" s="6" t="s">
        <v>25</v>
      </c>
      <c r="H1017" s="8"/>
      <c r="I1017" s="8">
        <v>9524</v>
      </c>
      <c r="J1017" s="6" t="s">
        <v>5101</v>
      </c>
      <c r="K1017" s="6" t="s">
        <v>1940</v>
      </c>
      <c r="L1017" s="6" t="s">
        <v>4516</v>
      </c>
      <c r="M1017" s="6" t="s">
        <v>5082</v>
      </c>
      <c r="N1017" s="6" t="s">
        <v>1940</v>
      </c>
      <c r="O1017" s="29">
        <f>I1017</f>
        <v>9524</v>
      </c>
      <c r="Q1017" s="30" t="s">
        <v>1940</v>
      </c>
      <c r="R1017" s="31">
        <v>9524</v>
      </c>
    </row>
    <row r="1018" s="1" customFormat="1" ht="16.35" hidden="1" customHeight="1" spans="1:18">
      <c r="A1018" s="6" t="s">
        <v>4506</v>
      </c>
      <c r="B1018" s="6">
        <v>2018</v>
      </c>
      <c r="C1018" s="6">
        <v>11</v>
      </c>
      <c r="D1018" s="7">
        <v>69</v>
      </c>
      <c r="E1018" s="6" t="s">
        <v>5133</v>
      </c>
      <c r="F1018" s="6" t="s">
        <v>4508</v>
      </c>
      <c r="G1018" s="6" t="s">
        <v>25</v>
      </c>
      <c r="H1018" s="8"/>
      <c r="I1018" s="8">
        <v>7257</v>
      </c>
      <c r="J1018" s="6" t="s">
        <v>5134</v>
      </c>
      <c r="K1018" s="6" t="s">
        <v>2301</v>
      </c>
      <c r="L1018" s="6" t="s">
        <v>4516</v>
      </c>
      <c r="M1018" s="6" t="s">
        <v>5082</v>
      </c>
      <c r="N1018" s="6" t="s">
        <v>2301</v>
      </c>
      <c r="O1018" s="29">
        <f>I1018</f>
        <v>7257</v>
      </c>
      <c r="Q1018" s="30" t="s">
        <v>2301</v>
      </c>
      <c r="R1018" s="31">
        <v>7619.85</v>
      </c>
    </row>
    <row r="1019" s="1" customFormat="1" ht="16.35" hidden="1" customHeight="1" spans="1:18">
      <c r="A1019" s="6" t="s">
        <v>4506</v>
      </c>
      <c r="B1019" s="6">
        <v>2018</v>
      </c>
      <c r="C1019" s="6">
        <v>11</v>
      </c>
      <c r="D1019" s="7">
        <v>70</v>
      </c>
      <c r="E1019" s="6" t="s">
        <v>5194</v>
      </c>
      <c r="F1019" s="6" t="s">
        <v>4508</v>
      </c>
      <c r="G1019" s="6" t="s">
        <v>25</v>
      </c>
      <c r="H1019" s="8"/>
      <c r="I1019" s="8">
        <v>4539</v>
      </c>
      <c r="J1019" s="6" t="s">
        <v>5181</v>
      </c>
      <c r="K1019" s="6" t="s">
        <v>672</v>
      </c>
      <c r="L1019" s="6" t="s">
        <v>4510</v>
      </c>
      <c r="M1019" s="6" t="s">
        <v>4511</v>
      </c>
      <c r="N1019" s="6" t="s">
        <v>672</v>
      </c>
      <c r="O1019" s="29">
        <f>I1019*1.05</f>
        <v>4765.95</v>
      </c>
      <c r="Q1019" s="30" t="s">
        <v>672</v>
      </c>
      <c r="R1019" s="31">
        <v>4766</v>
      </c>
    </row>
    <row r="1020" s="1" customFormat="1" ht="16.35" hidden="1" customHeight="1" spans="1:18">
      <c r="A1020" s="6" t="s">
        <v>4506</v>
      </c>
      <c r="B1020" s="6">
        <v>2018</v>
      </c>
      <c r="C1020" s="6">
        <v>12</v>
      </c>
      <c r="D1020" s="7">
        <v>2</v>
      </c>
      <c r="E1020" s="6" t="s">
        <v>5188</v>
      </c>
      <c r="F1020" s="6" t="s">
        <v>4508</v>
      </c>
      <c r="G1020" s="6" t="s">
        <v>25</v>
      </c>
      <c r="H1020" s="8"/>
      <c r="I1020" s="8">
        <v>952</v>
      </c>
      <c r="J1020" s="6" t="s">
        <v>5189</v>
      </c>
      <c r="K1020" s="6" t="s">
        <v>2097</v>
      </c>
      <c r="L1020" s="6" t="s">
        <v>4516</v>
      </c>
      <c r="M1020" s="6" t="s">
        <v>5082</v>
      </c>
      <c r="N1020" s="6" t="s">
        <v>2097</v>
      </c>
      <c r="O1020" s="29">
        <f t="shared" ref="O1020:O1036" si="18">I1020</f>
        <v>952</v>
      </c>
      <c r="Q1020" s="30" t="s">
        <v>2097</v>
      </c>
      <c r="R1020" s="31">
        <v>999.6</v>
      </c>
    </row>
    <row r="1021" s="1" customFormat="1" ht="16.35" hidden="1" customHeight="1" spans="1:18">
      <c r="A1021" s="6" t="s">
        <v>4506</v>
      </c>
      <c r="B1021" s="6">
        <v>2018</v>
      </c>
      <c r="C1021" s="6">
        <v>12</v>
      </c>
      <c r="D1021" s="7">
        <v>3</v>
      </c>
      <c r="E1021" s="6" t="s">
        <v>5195</v>
      </c>
      <c r="F1021" s="6" t="s">
        <v>4508</v>
      </c>
      <c r="G1021" s="6" t="s">
        <v>25</v>
      </c>
      <c r="H1021" s="8"/>
      <c r="I1021" s="8">
        <v>9524</v>
      </c>
      <c r="J1021" s="6" t="s">
        <v>5196</v>
      </c>
      <c r="K1021" s="6" t="s">
        <v>5197</v>
      </c>
      <c r="L1021" s="6" t="s">
        <v>4516</v>
      </c>
      <c r="M1021" s="6" t="s">
        <v>5082</v>
      </c>
      <c r="N1021" s="6" t="s">
        <v>5197</v>
      </c>
      <c r="O1021" s="29">
        <f t="shared" si="18"/>
        <v>9524</v>
      </c>
      <c r="Q1021" s="30" t="s">
        <v>5197</v>
      </c>
      <c r="R1021" s="31">
        <v>10000.2</v>
      </c>
    </row>
    <row r="1022" s="1" customFormat="1" ht="16.35" hidden="1" customHeight="1" spans="1:18">
      <c r="A1022" s="6" t="s">
        <v>4506</v>
      </c>
      <c r="B1022" s="6">
        <v>2018</v>
      </c>
      <c r="C1022" s="6">
        <v>12</v>
      </c>
      <c r="D1022" s="7">
        <v>4</v>
      </c>
      <c r="E1022" s="6" t="s">
        <v>5198</v>
      </c>
      <c r="F1022" s="6" t="s">
        <v>4508</v>
      </c>
      <c r="G1022" s="6" t="s">
        <v>25</v>
      </c>
      <c r="H1022" s="8"/>
      <c r="I1022" s="8">
        <v>9524</v>
      </c>
      <c r="J1022" s="6" t="s">
        <v>5199</v>
      </c>
      <c r="K1022" s="6" t="s">
        <v>5200</v>
      </c>
      <c r="L1022" s="6" t="s">
        <v>4516</v>
      </c>
      <c r="M1022" s="6" t="s">
        <v>5082</v>
      </c>
      <c r="N1022" s="6" t="s">
        <v>5200</v>
      </c>
      <c r="O1022" s="29">
        <f t="shared" si="18"/>
        <v>9524</v>
      </c>
      <c r="Q1022" s="30" t="s">
        <v>5200</v>
      </c>
      <c r="R1022" s="31">
        <v>10000.2</v>
      </c>
    </row>
    <row r="1023" s="1" customFormat="1" ht="16.35" hidden="1" customHeight="1" spans="1:18">
      <c r="A1023" s="6" t="s">
        <v>4506</v>
      </c>
      <c r="B1023" s="6">
        <v>2018</v>
      </c>
      <c r="C1023" s="6">
        <v>12</v>
      </c>
      <c r="D1023" s="7">
        <v>5</v>
      </c>
      <c r="E1023" s="6" t="s">
        <v>5201</v>
      </c>
      <c r="F1023" s="6" t="s">
        <v>4508</v>
      </c>
      <c r="G1023" s="6" t="s">
        <v>25</v>
      </c>
      <c r="H1023" s="8"/>
      <c r="I1023" s="8">
        <v>45959</v>
      </c>
      <c r="J1023" s="6" t="s">
        <v>5202</v>
      </c>
      <c r="K1023" s="6" t="s">
        <v>2113</v>
      </c>
      <c r="L1023" s="6" t="s">
        <v>4516</v>
      </c>
      <c r="M1023" s="6" t="s">
        <v>5082</v>
      </c>
      <c r="N1023" s="6" t="s">
        <v>2113</v>
      </c>
      <c r="O1023" s="29">
        <f t="shared" si="18"/>
        <v>45959</v>
      </c>
      <c r="Q1023" s="30" t="s">
        <v>2113</v>
      </c>
      <c r="R1023" s="31">
        <v>48256.95</v>
      </c>
    </row>
    <row r="1024" s="1" customFormat="1" ht="16.35" hidden="1" customHeight="1" spans="1:18">
      <c r="A1024" s="6" t="s">
        <v>4506</v>
      </c>
      <c r="B1024" s="6">
        <v>2018</v>
      </c>
      <c r="C1024" s="6">
        <v>12</v>
      </c>
      <c r="D1024" s="7">
        <v>6</v>
      </c>
      <c r="E1024" s="6" t="s">
        <v>5203</v>
      </c>
      <c r="F1024" s="6" t="s">
        <v>4508</v>
      </c>
      <c r="G1024" s="6" t="s">
        <v>25</v>
      </c>
      <c r="H1024" s="8"/>
      <c r="I1024" s="8">
        <v>4762</v>
      </c>
      <c r="J1024" s="6" t="s">
        <v>5204</v>
      </c>
      <c r="K1024" s="6" t="s">
        <v>2744</v>
      </c>
      <c r="L1024" s="6" t="s">
        <v>4516</v>
      </c>
      <c r="M1024" s="6" t="s">
        <v>5082</v>
      </c>
      <c r="N1024" s="6" t="s">
        <v>2744</v>
      </c>
      <c r="O1024" s="29">
        <f t="shared" si="18"/>
        <v>4762</v>
      </c>
      <c r="Q1024" s="30" t="s">
        <v>2744</v>
      </c>
      <c r="R1024" s="31">
        <v>5000.1</v>
      </c>
    </row>
    <row r="1025" s="1" customFormat="1" ht="16.35" hidden="1" customHeight="1" spans="1:18">
      <c r="A1025" s="6" t="s">
        <v>4506</v>
      </c>
      <c r="B1025" s="6">
        <v>2018</v>
      </c>
      <c r="C1025" s="6">
        <v>12</v>
      </c>
      <c r="D1025" s="7">
        <v>7</v>
      </c>
      <c r="E1025" s="6" t="s">
        <v>5205</v>
      </c>
      <c r="F1025" s="6" t="s">
        <v>4508</v>
      </c>
      <c r="G1025" s="6" t="s">
        <v>25</v>
      </c>
      <c r="H1025" s="8"/>
      <c r="I1025" s="8">
        <v>47619</v>
      </c>
      <c r="J1025" s="6" t="s">
        <v>5206</v>
      </c>
      <c r="K1025" s="6" t="s">
        <v>2746</v>
      </c>
      <c r="L1025" s="6" t="s">
        <v>4516</v>
      </c>
      <c r="M1025" s="6" t="s">
        <v>5082</v>
      </c>
      <c r="N1025" s="6" t="s">
        <v>2746</v>
      </c>
      <c r="O1025" s="29">
        <f t="shared" si="18"/>
        <v>47619</v>
      </c>
      <c r="Q1025" s="30" t="s">
        <v>2746</v>
      </c>
      <c r="R1025" s="31">
        <v>49999.95</v>
      </c>
    </row>
    <row r="1026" s="1" customFormat="1" ht="16.35" hidden="1" customHeight="1" spans="1:18">
      <c r="A1026" s="6" t="s">
        <v>4506</v>
      </c>
      <c r="B1026" s="6">
        <v>2018</v>
      </c>
      <c r="C1026" s="6">
        <v>12</v>
      </c>
      <c r="D1026" s="7">
        <v>8</v>
      </c>
      <c r="E1026" s="6" t="s">
        <v>5207</v>
      </c>
      <c r="F1026" s="6" t="s">
        <v>4508</v>
      </c>
      <c r="G1026" s="6" t="s">
        <v>25</v>
      </c>
      <c r="H1026" s="8"/>
      <c r="I1026" s="8">
        <v>24762</v>
      </c>
      <c r="J1026" s="6" t="s">
        <v>5208</v>
      </c>
      <c r="K1026" s="6" t="s">
        <v>2151</v>
      </c>
      <c r="L1026" s="6" t="s">
        <v>4516</v>
      </c>
      <c r="M1026" s="6" t="s">
        <v>5082</v>
      </c>
      <c r="N1026" s="6" t="s">
        <v>2151</v>
      </c>
      <c r="O1026" s="29">
        <f t="shared" si="18"/>
        <v>24762</v>
      </c>
      <c r="Q1026" s="30" t="s">
        <v>2151</v>
      </c>
      <c r="R1026" s="31">
        <v>26000.1</v>
      </c>
    </row>
    <row r="1027" s="1" customFormat="1" ht="16.35" hidden="1" customHeight="1" spans="1:18">
      <c r="A1027" s="6" t="s">
        <v>4506</v>
      </c>
      <c r="B1027" s="6">
        <v>2018</v>
      </c>
      <c r="C1027" s="6">
        <v>12</v>
      </c>
      <c r="D1027" s="7">
        <v>9</v>
      </c>
      <c r="E1027" s="6" t="s">
        <v>5209</v>
      </c>
      <c r="F1027" s="6" t="s">
        <v>4508</v>
      </c>
      <c r="G1027" s="6" t="s">
        <v>25</v>
      </c>
      <c r="H1027" s="8"/>
      <c r="I1027" s="8">
        <v>9524</v>
      </c>
      <c r="J1027" s="6" t="s">
        <v>5210</v>
      </c>
      <c r="K1027" s="6" t="s">
        <v>1990</v>
      </c>
      <c r="L1027" s="6" t="s">
        <v>4516</v>
      </c>
      <c r="M1027" s="6" t="s">
        <v>5082</v>
      </c>
      <c r="N1027" s="6" t="s">
        <v>1990</v>
      </c>
      <c r="O1027" s="29">
        <f t="shared" si="18"/>
        <v>9524</v>
      </c>
      <c r="Q1027" s="30" t="s">
        <v>1990</v>
      </c>
      <c r="R1027" s="31">
        <v>10000.2</v>
      </c>
    </row>
    <row r="1028" s="1" customFormat="1" ht="16.35" hidden="1" customHeight="1" spans="1:18">
      <c r="A1028" s="6" t="s">
        <v>4506</v>
      </c>
      <c r="B1028" s="6">
        <v>2018</v>
      </c>
      <c r="C1028" s="6">
        <v>12</v>
      </c>
      <c r="D1028" s="7">
        <v>10</v>
      </c>
      <c r="E1028" s="6" t="s">
        <v>5211</v>
      </c>
      <c r="F1028" s="6" t="s">
        <v>4508</v>
      </c>
      <c r="G1028" s="6" t="s">
        <v>25</v>
      </c>
      <c r="H1028" s="8"/>
      <c r="I1028" s="8">
        <v>19048</v>
      </c>
      <c r="J1028" s="6" t="s">
        <v>5212</v>
      </c>
      <c r="K1028" s="6" t="s">
        <v>2229</v>
      </c>
      <c r="L1028" s="6" t="s">
        <v>4516</v>
      </c>
      <c r="M1028" s="6" t="s">
        <v>5082</v>
      </c>
      <c r="N1028" s="6" t="s">
        <v>2229</v>
      </c>
      <c r="O1028" s="29">
        <f t="shared" si="18"/>
        <v>19048</v>
      </c>
      <c r="Q1028" s="30" t="s">
        <v>2229</v>
      </c>
      <c r="R1028" s="31">
        <v>20000.4</v>
      </c>
    </row>
    <row r="1029" s="1" customFormat="1" ht="16.35" hidden="1" customHeight="1" spans="1:18">
      <c r="A1029" s="6" t="s">
        <v>4506</v>
      </c>
      <c r="B1029" s="6">
        <v>2018</v>
      </c>
      <c r="C1029" s="6">
        <v>12</v>
      </c>
      <c r="D1029" s="7">
        <v>11</v>
      </c>
      <c r="E1029" s="6" t="s">
        <v>5213</v>
      </c>
      <c r="F1029" s="6" t="s">
        <v>4508</v>
      </c>
      <c r="G1029" s="6" t="s">
        <v>25</v>
      </c>
      <c r="H1029" s="8"/>
      <c r="I1029" s="8">
        <v>69524</v>
      </c>
      <c r="J1029" s="6" t="s">
        <v>5214</v>
      </c>
      <c r="K1029" s="6" t="s">
        <v>2289</v>
      </c>
      <c r="L1029" s="6" t="s">
        <v>4516</v>
      </c>
      <c r="M1029" s="6" t="s">
        <v>5082</v>
      </c>
      <c r="N1029" s="6" t="s">
        <v>2289</v>
      </c>
      <c r="O1029" s="29">
        <f t="shared" si="18"/>
        <v>69524</v>
      </c>
      <c r="Q1029" s="30" t="s">
        <v>2289</v>
      </c>
      <c r="R1029" s="31">
        <v>73000.2</v>
      </c>
    </row>
    <row r="1030" s="1" customFormat="1" ht="16.35" hidden="1" customHeight="1" spans="1:18">
      <c r="A1030" s="6" t="s">
        <v>4506</v>
      </c>
      <c r="B1030" s="6">
        <v>2018</v>
      </c>
      <c r="C1030" s="6">
        <v>12</v>
      </c>
      <c r="D1030" s="7">
        <v>12</v>
      </c>
      <c r="E1030" s="6" t="s">
        <v>5215</v>
      </c>
      <c r="F1030" s="6" t="s">
        <v>4508</v>
      </c>
      <c r="G1030" s="6" t="s">
        <v>25</v>
      </c>
      <c r="H1030" s="8"/>
      <c r="I1030" s="8">
        <v>47619</v>
      </c>
      <c r="J1030" s="6" t="s">
        <v>5216</v>
      </c>
      <c r="K1030" s="6" t="s">
        <v>2742</v>
      </c>
      <c r="L1030" s="6" t="s">
        <v>4516</v>
      </c>
      <c r="M1030" s="6" t="s">
        <v>5082</v>
      </c>
      <c r="N1030" s="6" t="s">
        <v>2742</v>
      </c>
      <c r="O1030" s="29">
        <f t="shared" si="18"/>
        <v>47619</v>
      </c>
      <c r="Q1030" s="30" t="s">
        <v>2742</v>
      </c>
      <c r="R1030" s="31">
        <v>49999.95</v>
      </c>
    </row>
    <row r="1031" s="1" customFormat="1" ht="16.35" hidden="1" customHeight="1" spans="1:18">
      <c r="A1031" s="6" t="s">
        <v>4506</v>
      </c>
      <c r="B1031" s="6">
        <v>2018</v>
      </c>
      <c r="C1031" s="6">
        <v>12</v>
      </c>
      <c r="D1031" s="7">
        <v>34</v>
      </c>
      <c r="E1031" s="6" t="s">
        <v>5217</v>
      </c>
      <c r="F1031" s="6" t="s">
        <v>4508</v>
      </c>
      <c r="G1031" s="6" t="s">
        <v>25</v>
      </c>
      <c r="H1031" s="8"/>
      <c r="I1031" s="8">
        <v>4762</v>
      </c>
      <c r="J1031" s="6" t="s">
        <v>5218</v>
      </c>
      <c r="K1031" s="6" t="s">
        <v>1998</v>
      </c>
      <c r="L1031" s="6" t="s">
        <v>4516</v>
      </c>
      <c r="M1031" s="6" t="s">
        <v>5082</v>
      </c>
      <c r="N1031" s="6" t="s">
        <v>1998</v>
      </c>
      <c r="O1031" s="29">
        <f t="shared" si="18"/>
        <v>4762</v>
      </c>
      <c r="Q1031" s="30" t="s">
        <v>1998</v>
      </c>
      <c r="R1031" s="31">
        <v>5000.1</v>
      </c>
    </row>
    <row r="1032" s="1" customFormat="1" ht="16.35" hidden="1" customHeight="1" spans="1:18">
      <c r="A1032" s="6" t="s">
        <v>4506</v>
      </c>
      <c r="B1032" s="6">
        <v>2018</v>
      </c>
      <c r="C1032" s="6">
        <v>12</v>
      </c>
      <c r="D1032" s="7">
        <v>37</v>
      </c>
      <c r="E1032" s="6" t="s">
        <v>5219</v>
      </c>
      <c r="F1032" s="6" t="s">
        <v>4508</v>
      </c>
      <c r="G1032" s="6" t="s">
        <v>25</v>
      </c>
      <c r="H1032" s="8"/>
      <c r="I1032" s="8">
        <v>2857</v>
      </c>
      <c r="J1032" s="6" t="s">
        <v>5220</v>
      </c>
      <c r="K1032" s="6" t="s">
        <v>2780</v>
      </c>
      <c r="L1032" s="6" t="s">
        <v>4516</v>
      </c>
      <c r="M1032" s="6" t="s">
        <v>5082</v>
      </c>
      <c r="N1032" s="6" t="s">
        <v>2780</v>
      </c>
      <c r="O1032" s="29">
        <f t="shared" si="18"/>
        <v>2857</v>
      </c>
      <c r="Q1032" s="30" t="s">
        <v>2780</v>
      </c>
      <c r="R1032" s="31">
        <v>2999.85</v>
      </c>
    </row>
    <row r="1033" s="1" customFormat="1" ht="16.35" hidden="1" customHeight="1" spans="1:18">
      <c r="A1033" s="6" t="s">
        <v>4506</v>
      </c>
      <c r="B1033" s="6">
        <v>2018</v>
      </c>
      <c r="C1033" s="6">
        <v>12</v>
      </c>
      <c r="D1033" s="7">
        <v>38</v>
      </c>
      <c r="E1033" s="6" t="s">
        <v>5221</v>
      </c>
      <c r="F1033" s="6" t="s">
        <v>4508</v>
      </c>
      <c r="G1033" s="6" t="s">
        <v>25</v>
      </c>
      <c r="H1033" s="8"/>
      <c r="I1033" s="8">
        <v>4762</v>
      </c>
      <c r="J1033" s="6" t="s">
        <v>5222</v>
      </c>
      <c r="K1033" s="6" t="s">
        <v>1965</v>
      </c>
      <c r="L1033" s="6" t="s">
        <v>4516</v>
      </c>
      <c r="M1033" s="6" t="s">
        <v>5082</v>
      </c>
      <c r="N1033" s="6" t="s">
        <v>1965</v>
      </c>
      <c r="O1033" s="29">
        <f t="shared" si="18"/>
        <v>4762</v>
      </c>
      <c r="Q1033" s="30" t="s">
        <v>1965</v>
      </c>
      <c r="R1033" s="31">
        <v>5000.1</v>
      </c>
    </row>
    <row r="1034" s="1" customFormat="1" ht="16.35" hidden="1" customHeight="1" spans="1:18">
      <c r="A1034" s="6" t="s">
        <v>4506</v>
      </c>
      <c r="B1034" s="6">
        <v>2018</v>
      </c>
      <c r="C1034" s="6">
        <v>12</v>
      </c>
      <c r="D1034" s="7">
        <v>39</v>
      </c>
      <c r="E1034" s="6" t="s">
        <v>5221</v>
      </c>
      <c r="F1034" s="6" t="s">
        <v>4508</v>
      </c>
      <c r="G1034" s="6" t="s">
        <v>25</v>
      </c>
      <c r="H1034" s="8"/>
      <c r="I1034" s="8">
        <v>105</v>
      </c>
      <c r="J1034" s="6" t="s">
        <v>5222</v>
      </c>
      <c r="K1034" s="6" t="s">
        <v>1965</v>
      </c>
      <c r="L1034" s="6" t="s">
        <v>4516</v>
      </c>
      <c r="M1034" s="6" t="s">
        <v>5082</v>
      </c>
      <c r="N1034" s="6" t="s">
        <v>1965</v>
      </c>
      <c r="O1034" s="29">
        <f t="shared" si="18"/>
        <v>105</v>
      </c>
      <c r="Q1034" s="30" t="s">
        <v>1965</v>
      </c>
      <c r="R1034" s="31">
        <v>110.25</v>
      </c>
    </row>
    <row r="1035" s="1" customFormat="1" ht="16.35" hidden="1" customHeight="1" spans="1:18">
      <c r="A1035" s="6" t="s">
        <v>4506</v>
      </c>
      <c r="B1035" s="6">
        <v>2018</v>
      </c>
      <c r="C1035" s="6">
        <v>12</v>
      </c>
      <c r="D1035" s="7">
        <v>40</v>
      </c>
      <c r="E1035" s="6" t="s">
        <v>5205</v>
      </c>
      <c r="F1035" s="6" t="s">
        <v>4508</v>
      </c>
      <c r="G1035" s="6" t="s">
        <v>25</v>
      </c>
      <c r="H1035" s="8"/>
      <c r="I1035" s="8">
        <v>16190</v>
      </c>
      <c r="J1035" s="6" t="s">
        <v>5206</v>
      </c>
      <c r="K1035" s="6" t="s">
        <v>2746</v>
      </c>
      <c r="L1035" s="6" t="s">
        <v>4516</v>
      </c>
      <c r="M1035" s="6" t="s">
        <v>5082</v>
      </c>
      <c r="N1035" s="6" t="s">
        <v>2746</v>
      </c>
      <c r="O1035" s="29">
        <f t="shared" si="18"/>
        <v>16190</v>
      </c>
      <c r="Q1035" s="30" t="s">
        <v>2746</v>
      </c>
      <c r="R1035" s="31">
        <v>16999.5</v>
      </c>
    </row>
    <row r="1036" s="1" customFormat="1" ht="16.35" hidden="1" customHeight="1" spans="1:18">
      <c r="A1036" s="6" t="s">
        <v>4506</v>
      </c>
      <c r="B1036" s="6">
        <v>2018</v>
      </c>
      <c r="C1036" s="6">
        <v>12</v>
      </c>
      <c r="D1036" s="7">
        <v>41</v>
      </c>
      <c r="E1036" s="6" t="s">
        <v>5223</v>
      </c>
      <c r="F1036" s="6" t="s">
        <v>4508</v>
      </c>
      <c r="G1036" s="6" t="s">
        <v>25</v>
      </c>
      <c r="H1036" s="8"/>
      <c r="I1036" s="8">
        <v>4762</v>
      </c>
      <c r="J1036" s="6" t="s">
        <v>5224</v>
      </c>
      <c r="K1036" s="6" t="s">
        <v>1957</v>
      </c>
      <c r="L1036" s="6" t="s">
        <v>4516</v>
      </c>
      <c r="M1036" s="6" t="s">
        <v>5082</v>
      </c>
      <c r="N1036" s="6" t="s">
        <v>1957</v>
      </c>
      <c r="O1036" s="29">
        <f t="shared" si="18"/>
        <v>4762</v>
      </c>
      <c r="Q1036" s="30" t="s">
        <v>1957</v>
      </c>
      <c r="R1036" s="31">
        <v>5000.1</v>
      </c>
    </row>
    <row r="1037" s="1" customFormat="1" ht="16.35" hidden="1" customHeight="1" spans="1:18">
      <c r="A1037" s="6" t="s">
        <v>4506</v>
      </c>
      <c r="B1037" s="6">
        <v>2018</v>
      </c>
      <c r="C1037" s="6">
        <v>12</v>
      </c>
      <c r="D1037" s="7">
        <v>42</v>
      </c>
      <c r="E1037" s="6" t="s">
        <v>5225</v>
      </c>
      <c r="F1037" s="6" t="s">
        <v>4508</v>
      </c>
      <c r="G1037" s="6" t="s">
        <v>25</v>
      </c>
      <c r="H1037" s="8"/>
      <c r="I1037" s="8">
        <v>257143</v>
      </c>
      <c r="J1037" s="6" t="s">
        <v>5181</v>
      </c>
      <c r="K1037" s="6" t="s">
        <v>672</v>
      </c>
      <c r="L1037" s="6" t="s">
        <v>4510</v>
      </c>
      <c r="M1037" s="6" t="s">
        <v>4511</v>
      </c>
      <c r="N1037" s="6" t="s">
        <v>672</v>
      </c>
      <c r="O1037" s="29">
        <f>I1037*1.05</f>
        <v>270000.15</v>
      </c>
      <c r="Q1037" s="30" t="s">
        <v>672</v>
      </c>
      <c r="R1037" s="31">
        <v>270000</v>
      </c>
    </row>
    <row r="1038" s="1" customFormat="1" ht="16.35" hidden="1" customHeight="1" spans="1:18">
      <c r="A1038" s="6" t="s">
        <v>4506</v>
      </c>
      <c r="B1038" s="6">
        <v>2018</v>
      </c>
      <c r="C1038" s="6">
        <v>12</v>
      </c>
      <c r="D1038" s="7">
        <v>43</v>
      </c>
      <c r="E1038" s="6" t="s">
        <v>5059</v>
      </c>
      <c r="F1038" s="6" t="s">
        <v>4508</v>
      </c>
      <c r="G1038" s="6" t="s">
        <v>25</v>
      </c>
      <c r="H1038" s="8"/>
      <c r="I1038" s="8">
        <v>28571</v>
      </c>
      <c r="J1038" s="6" t="s">
        <v>3983</v>
      </c>
      <c r="K1038" s="6" t="s">
        <v>928</v>
      </c>
      <c r="L1038" s="6" t="s">
        <v>4510</v>
      </c>
      <c r="M1038" s="6" t="s">
        <v>4511</v>
      </c>
      <c r="N1038" s="6" t="s">
        <v>928</v>
      </c>
      <c r="O1038" s="29">
        <f>I1038*1.05</f>
        <v>29999.55</v>
      </c>
      <c r="Q1038" s="30" t="s">
        <v>928</v>
      </c>
      <c r="R1038" s="31">
        <v>29999.55</v>
      </c>
    </row>
    <row r="1039" s="1" customFormat="1" ht="16.35" hidden="1" customHeight="1" spans="1:18">
      <c r="A1039" s="6" t="s">
        <v>4506</v>
      </c>
      <c r="B1039" s="6">
        <v>2018</v>
      </c>
      <c r="C1039" s="6">
        <v>12</v>
      </c>
      <c r="D1039" s="7">
        <v>44</v>
      </c>
      <c r="E1039" s="6" t="s">
        <v>5226</v>
      </c>
      <c r="F1039" s="6" t="s">
        <v>4508</v>
      </c>
      <c r="G1039" s="6" t="s">
        <v>25</v>
      </c>
      <c r="H1039" s="8"/>
      <c r="I1039" s="8">
        <v>47619</v>
      </c>
      <c r="J1039" s="6" t="s">
        <v>5227</v>
      </c>
      <c r="K1039" s="6" t="s">
        <v>2119</v>
      </c>
      <c r="L1039" s="6" t="s">
        <v>4516</v>
      </c>
      <c r="M1039" s="6" t="s">
        <v>5082</v>
      </c>
      <c r="N1039" s="6" t="s">
        <v>2119</v>
      </c>
      <c r="O1039" s="29">
        <f>I1039</f>
        <v>47619</v>
      </c>
      <c r="Q1039" s="30" t="s">
        <v>2119</v>
      </c>
      <c r="R1039" s="31">
        <v>49999.95</v>
      </c>
    </row>
    <row r="1040" s="1" customFormat="1" ht="16.35" hidden="1" customHeight="1" spans="1:18">
      <c r="A1040" s="6" t="s">
        <v>4506</v>
      </c>
      <c r="B1040" s="6">
        <v>2018</v>
      </c>
      <c r="C1040" s="6">
        <v>12</v>
      </c>
      <c r="D1040" s="7">
        <v>67</v>
      </c>
      <c r="E1040" s="6" t="s">
        <v>5228</v>
      </c>
      <c r="F1040" s="6" t="s">
        <v>4508</v>
      </c>
      <c r="G1040" s="6" t="s">
        <v>25</v>
      </c>
      <c r="H1040" s="8"/>
      <c r="I1040" s="8">
        <v>9524</v>
      </c>
      <c r="J1040" s="6" t="s">
        <v>5229</v>
      </c>
      <c r="K1040" s="6" t="s">
        <v>5230</v>
      </c>
      <c r="L1040" s="6" t="s">
        <v>4510</v>
      </c>
      <c r="M1040" s="6" t="s">
        <v>4511</v>
      </c>
      <c r="N1040" s="6" t="s">
        <v>5230</v>
      </c>
      <c r="O1040" s="29">
        <f>I1040*1.05</f>
        <v>10000.2</v>
      </c>
      <c r="Q1040" s="30" t="s">
        <v>5230</v>
      </c>
      <c r="R1040" s="31">
        <v>10000.2</v>
      </c>
    </row>
    <row r="1041" s="1" customFormat="1" ht="16.35" hidden="1" customHeight="1" spans="1:18">
      <c r="A1041" s="6" t="s">
        <v>4506</v>
      </c>
      <c r="B1041" s="6">
        <v>2018</v>
      </c>
      <c r="C1041" s="6">
        <v>12</v>
      </c>
      <c r="D1041" s="7">
        <v>68</v>
      </c>
      <c r="E1041" s="6" t="s">
        <v>3928</v>
      </c>
      <c r="F1041" s="6" t="s">
        <v>4508</v>
      </c>
      <c r="G1041" s="6" t="s">
        <v>25</v>
      </c>
      <c r="H1041" s="8"/>
      <c r="I1041" s="8">
        <v>19048</v>
      </c>
      <c r="J1041" s="6" t="s">
        <v>5231</v>
      </c>
      <c r="K1041" s="6" t="s">
        <v>1483</v>
      </c>
      <c r="L1041" s="6" t="s">
        <v>4516</v>
      </c>
      <c r="M1041" s="6" t="s">
        <v>5082</v>
      </c>
      <c r="N1041" s="6" t="s">
        <v>1483</v>
      </c>
      <c r="O1041" s="29">
        <f>I1041</f>
        <v>19048</v>
      </c>
      <c r="Q1041" s="30" t="s">
        <v>1483</v>
      </c>
      <c r="R1041" s="31">
        <v>19048</v>
      </c>
    </row>
    <row r="1042" s="1" customFormat="1" ht="16.35" hidden="1" customHeight="1" spans="1:18">
      <c r="A1042" s="6" t="s">
        <v>4506</v>
      </c>
      <c r="B1042" s="6">
        <v>2018</v>
      </c>
      <c r="C1042" s="6">
        <v>12</v>
      </c>
      <c r="D1042" s="7">
        <v>69</v>
      </c>
      <c r="E1042" s="6" t="s">
        <v>5232</v>
      </c>
      <c r="F1042" s="6" t="s">
        <v>4508</v>
      </c>
      <c r="G1042" s="6" t="s">
        <v>25</v>
      </c>
      <c r="H1042" s="8"/>
      <c r="I1042" s="8">
        <v>95238</v>
      </c>
      <c r="J1042" s="6" t="s">
        <v>5233</v>
      </c>
      <c r="K1042" s="6" t="s">
        <v>2758</v>
      </c>
      <c r="L1042" s="6" t="s">
        <v>4516</v>
      </c>
      <c r="M1042" s="6" t="s">
        <v>5082</v>
      </c>
      <c r="N1042" s="6" t="s">
        <v>2758</v>
      </c>
      <c r="O1042" s="29">
        <f>I1042</f>
        <v>95238</v>
      </c>
      <c r="Q1042" s="30" t="s">
        <v>2758</v>
      </c>
      <c r="R1042" s="31">
        <v>99999.9</v>
      </c>
    </row>
    <row r="1043" s="1" customFormat="1" ht="16.35" hidden="1" customHeight="1" spans="1:18">
      <c r="A1043" s="6" t="s">
        <v>4506</v>
      </c>
      <c r="B1043" s="6">
        <v>2018</v>
      </c>
      <c r="C1043" s="6">
        <v>12</v>
      </c>
      <c r="D1043" s="7">
        <v>70</v>
      </c>
      <c r="E1043" s="6" t="s">
        <v>5234</v>
      </c>
      <c r="F1043" s="6" t="s">
        <v>4508</v>
      </c>
      <c r="G1043" s="6" t="s">
        <v>25</v>
      </c>
      <c r="H1043" s="8"/>
      <c r="I1043" s="8">
        <v>1905</v>
      </c>
      <c r="J1043" s="6" t="s">
        <v>5235</v>
      </c>
      <c r="K1043" s="6" t="s">
        <v>2059</v>
      </c>
      <c r="L1043" s="6" t="s">
        <v>4516</v>
      </c>
      <c r="M1043" s="6" t="s">
        <v>5082</v>
      </c>
      <c r="N1043" s="6" t="s">
        <v>2059</v>
      </c>
      <c r="O1043" s="29">
        <f>I1043</f>
        <v>1905</v>
      </c>
      <c r="Q1043" s="30" t="s">
        <v>2059</v>
      </c>
      <c r="R1043" s="31">
        <v>2000.25</v>
      </c>
    </row>
    <row r="1044" s="1" customFormat="1" ht="16.35" hidden="1" customHeight="1" spans="1:18">
      <c r="A1044" s="6" t="s">
        <v>4506</v>
      </c>
      <c r="B1044" s="6">
        <v>2018</v>
      </c>
      <c r="C1044" s="6">
        <v>12</v>
      </c>
      <c r="D1044" s="7">
        <v>75</v>
      </c>
      <c r="E1044" s="6" t="s">
        <v>5236</v>
      </c>
      <c r="F1044" s="6" t="s">
        <v>4508</v>
      </c>
      <c r="G1044" s="6" t="s">
        <v>25</v>
      </c>
      <c r="H1044" s="8"/>
      <c r="I1044" s="8">
        <v>54529</v>
      </c>
      <c r="J1044" s="6" t="s">
        <v>5237</v>
      </c>
      <c r="K1044" s="6" t="s">
        <v>1948</v>
      </c>
      <c r="L1044" s="6" t="s">
        <v>4516</v>
      </c>
      <c r="M1044" s="6" t="s">
        <v>5082</v>
      </c>
      <c r="N1044" s="6" t="s">
        <v>1948</v>
      </c>
      <c r="O1044" s="29">
        <f t="shared" ref="O1044:O1056" si="19">I1044</f>
        <v>54529</v>
      </c>
      <c r="Q1044" s="30" t="s">
        <v>1948</v>
      </c>
      <c r="R1044" s="31">
        <v>57255.45</v>
      </c>
    </row>
    <row r="1045" s="1" customFormat="1" ht="16.35" hidden="1" customHeight="1" spans="1:18">
      <c r="A1045" s="6" t="s">
        <v>4506</v>
      </c>
      <c r="B1045" s="6">
        <v>2019</v>
      </c>
      <c r="C1045" s="6">
        <v>1</v>
      </c>
      <c r="D1045" s="7">
        <v>1</v>
      </c>
      <c r="E1045" s="6" t="s">
        <v>5238</v>
      </c>
      <c r="F1045" s="6" t="s">
        <v>4508</v>
      </c>
      <c r="G1045" s="6" t="s">
        <v>25</v>
      </c>
      <c r="H1045" s="8"/>
      <c r="I1045" s="8">
        <v>2752</v>
      </c>
      <c r="J1045" s="6" t="s">
        <v>5239</v>
      </c>
      <c r="K1045" s="6" t="s">
        <v>2233</v>
      </c>
      <c r="L1045" s="6" t="s">
        <v>4516</v>
      </c>
      <c r="M1045" s="6" t="s">
        <v>5082</v>
      </c>
      <c r="N1045" s="6" t="s">
        <v>2233</v>
      </c>
      <c r="O1045" s="29">
        <f t="shared" si="19"/>
        <v>2752</v>
      </c>
      <c r="Q1045" s="30" t="s">
        <v>2233</v>
      </c>
      <c r="R1045" s="31">
        <v>2889.6</v>
      </c>
    </row>
    <row r="1046" s="1" customFormat="1" ht="16.35" hidden="1" customHeight="1" spans="1:18">
      <c r="A1046" s="6" t="s">
        <v>4506</v>
      </c>
      <c r="B1046" s="6">
        <v>2019</v>
      </c>
      <c r="C1046" s="6">
        <v>1</v>
      </c>
      <c r="D1046" s="7">
        <v>2</v>
      </c>
      <c r="E1046" s="6" t="s">
        <v>5240</v>
      </c>
      <c r="F1046" s="6" t="s">
        <v>4508</v>
      </c>
      <c r="G1046" s="6" t="s">
        <v>25</v>
      </c>
      <c r="H1046" s="8"/>
      <c r="I1046" s="8">
        <v>9174</v>
      </c>
      <c r="J1046" s="6" t="s">
        <v>5241</v>
      </c>
      <c r="K1046" s="6" t="s">
        <v>2764</v>
      </c>
      <c r="L1046" s="6" t="s">
        <v>4516</v>
      </c>
      <c r="M1046" s="6" t="s">
        <v>5082</v>
      </c>
      <c r="N1046" s="6" t="s">
        <v>2764</v>
      </c>
      <c r="O1046" s="29">
        <f t="shared" si="19"/>
        <v>9174</v>
      </c>
      <c r="Q1046" s="30" t="s">
        <v>2764</v>
      </c>
      <c r="R1046" s="31">
        <v>9632.7</v>
      </c>
    </row>
    <row r="1047" s="1" customFormat="1" ht="16.35" hidden="1" customHeight="1" spans="1:18">
      <c r="A1047" s="6" t="s">
        <v>4506</v>
      </c>
      <c r="B1047" s="6">
        <v>2019</v>
      </c>
      <c r="C1047" s="6">
        <v>1</v>
      </c>
      <c r="D1047" s="7">
        <v>3</v>
      </c>
      <c r="E1047" s="6" t="s">
        <v>5242</v>
      </c>
      <c r="F1047" s="6" t="s">
        <v>4508</v>
      </c>
      <c r="G1047" s="6" t="s">
        <v>25</v>
      </c>
      <c r="H1047" s="8"/>
      <c r="I1047" s="8">
        <v>917</v>
      </c>
      <c r="J1047" s="6" t="s">
        <v>5243</v>
      </c>
      <c r="K1047" s="6" t="s">
        <v>2787</v>
      </c>
      <c r="L1047" s="6" t="s">
        <v>4516</v>
      </c>
      <c r="M1047" s="6" t="s">
        <v>5082</v>
      </c>
      <c r="N1047" s="6" t="s">
        <v>2787</v>
      </c>
      <c r="O1047" s="29">
        <f t="shared" si="19"/>
        <v>917</v>
      </c>
      <c r="Q1047" s="30" t="s">
        <v>2787</v>
      </c>
      <c r="R1047" s="31">
        <v>962.85</v>
      </c>
    </row>
    <row r="1048" s="1" customFormat="1" ht="16.35" hidden="1" customHeight="1" spans="1:18">
      <c r="A1048" s="6" t="s">
        <v>4506</v>
      </c>
      <c r="B1048" s="6">
        <v>2019</v>
      </c>
      <c r="C1048" s="6">
        <v>1</v>
      </c>
      <c r="D1048" s="7">
        <v>4</v>
      </c>
      <c r="E1048" s="6" t="s">
        <v>5244</v>
      </c>
      <c r="F1048" s="6" t="s">
        <v>4508</v>
      </c>
      <c r="G1048" s="6" t="s">
        <v>25</v>
      </c>
      <c r="H1048" s="8"/>
      <c r="I1048" s="8">
        <v>8899</v>
      </c>
      <c r="J1048" s="6" t="s">
        <v>5097</v>
      </c>
      <c r="K1048" s="6" t="s">
        <v>2163</v>
      </c>
      <c r="L1048" s="6" t="s">
        <v>4516</v>
      </c>
      <c r="M1048" s="6" t="s">
        <v>5082</v>
      </c>
      <c r="N1048" s="6" t="s">
        <v>2163</v>
      </c>
      <c r="O1048" s="29">
        <f t="shared" si="19"/>
        <v>8899</v>
      </c>
      <c r="Q1048" s="30" t="s">
        <v>2163</v>
      </c>
      <c r="R1048" s="31">
        <v>9343.95</v>
      </c>
    </row>
    <row r="1049" s="1" customFormat="1" ht="16.35" hidden="1" customHeight="1" spans="1:18">
      <c r="A1049" s="6" t="s">
        <v>4506</v>
      </c>
      <c r="B1049" s="6">
        <v>2019</v>
      </c>
      <c r="C1049" s="6">
        <v>1</v>
      </c>
      <c r="D1049" s="7">
        <v>5</v>
      </c>
      <c r="E1049" s="6" t="s">
        <v>5245</v>
      </c>
      <c r="F1049" s="6" t="s">
        <v>4508</v>
      </c>
      <c r="G1049" s="6" t="s">
        <v>25</v>
      </c>
      <c r="H1049" s="8"/>
      <c r="I1049" s="8">
        <v>1835</v>
      </c>
      <c r="J1049" s="6" t="s">
        <v>5246</v>
      </c>
      <c r="K1049" s="6" t="s">
        <v>2269</v>
      </c>
      <c r="L1049" s="6" t="s">
        <v>4516</v>
      </c>
      <c r="M1049" s="6" t="s">
        <v>5082</v>
      </c>
      <c r="N1049" s="6" t="s">
        <v>2269</v>
      </c>
      <c r="O1049" s="29">
        <f t="shared" si="19"/>
        <v>1835</v>
      </c>
      <c r="Q1049" s="30" t="s">
        <v>2269</v>
      </c>
      <c r="R1049" s="31">
        <v>1926.75</v>
      </c>
    </row>
    <row r="1050" s="1" customFormat="1" ht="16.35" hidden="1" customHeight="1" spans="1:18">
      <c r="A1050" s="6" t="s">
        <v>4506</v>
      </c>
      <c r="B1050" s="6">
        <v>2019</v>
      </c>
      <c r="C1050" s="6">
        <v>1</v>
      </c>
      <c r="D1050" s="7">
        <v>6</v>
      </c>
      <c r="E1050" s="6" t="s">
        <v>5247</v>
      </c>
      <c r="F1050" s="6" t="s">
        <v>4508</v>
      </c>
      <c r="G1050" s="6" t="s">
        <v>25</v>
      </c>
      <c r="H1050" s="8"/>
      <c r="I1050" s="8">
        <v>126393</v>
      </c>
      <c r="J1050" s="6" t="s">
        <v>5248</v>
      </c>
      <c r="K1050" s="6" t="s">
        <v>2816</v>
      </c>
      <c r="L1050" s="6" t="s">
        <v>4516</v>
      </c>
      <c r="M1050" s="6" t="s">
        <v>5082</v>
      </c>
      <c r="N1050" s="6" t="s">
        <v>2816</v>
      </c>
      <c r="O1050" s="29">
        <f t="shared" si="19"/>
        <v>126393</v>
      </c>
      <c r="Q1050" s="30" t="s">
        <v>2816</v>
      </c>
      <c r="R1050" s="31">
        <v>132712.65</v>
      </c>
    </row>
    <row r="1051" s="1" customFormat="1" ht="16.35" hidden="1" customHeight="1" spans="1:18">
      <c r="A1051" s="6" t="s">
        <v>4506</v>
      </c>
      <c r="B1051" s="6">
        <v>2019</v>
      </c>
      <c r="C1051" s="6">
        <v>1</v>
      </c>
      <c r="D1051" s="7">
        <v>7</v>
      </c>
      <c r="E1051" s="6" t="s">
        <v>5249</v>
      </c>
      <c r="F1051" s="6" t="s">
        <v>4508</v>
      </c>
      <c r="G1051" s="6" t="s">
        <v>25</v>
      </c>
      <c r="H1051" s="8"/>
      <c r="I1051" s="8">
        <v>45872</v>
      </c>
      <c r="J1051" s="6" t="s">
        <v>5250</v>
      </c>
      <c r="K1051" s="6" t="s">
        <v>2013</v>
      </c>
      <c r="L1051" s="6" t="s">
        <v>4516</v>
      </c>
      <c r="M1051" s="6" t="s">
        <v>5082</v>
      </c>
      <c r="N1051" s="6" t="s">
        <v>2013</v>
      </c>
      <c r="O1051" s="29">
        <f t="shared" si="19"/>
        <v>45872</v>
      </c>
      <c r="Q1051" s="30" t="s">
        <v>2013</v>
      </c>
      <c r="R1051" s="31">
        <v>48165.6</v>
      </c>
    </row>
    <row r="1052" s="1" customFormat="1" ht="16.35" hidden="1" customHeight="1" spans="1:18">
      <c r="A1052" s="6" t="s">
        <v>4506</v>
      </c>
      <c r="B1052" s="6">
        <v>2019</v>
      </c>
      <c r="C1052" s="6">
        <v>1</v>
      </c>
      <c r="D1052" s="7">
        <v>8</v>
      </c>
      <c r="E1052" s="6" t="s">
        <v>5251</v>
      </c>
      <c r="F1052" s="6" t="s">
        <v>4508</v>
      </c>
      <c r="G1052" s="6" t="s">
        <v>25</v>
      </c>
      <c r="H1052" s="8"/>
      <c r="I1052" s="8">
        <v>58550</v>
      </c>
      <c r="J1052" s="6" t="s">
        <v>5252</v>
      </c>
      <c r="K1052" s="6" t="s">
        <v>2249</v>
      </c>
      <c r="L1052" s="6" t="s">
        <v>4516</v>
      </c>
      <c r="M1052" s="6" t="s">
        <v>5082</v>
      </c>
      <c r="N1052" s="6" t="s">
        <v>2249</v>
      </c>
      <c r="O1052" s="29">
        <f t="shared" si="19"/>
        <v>58550</v>
      </c>
      <c r="Q1052" s="30" t="s">
        <v>2249</v>
      </c>
      <c r="R1052" s="31">
        <v>61477.5</v>
      </c>
    </row>
    <row r="1053" s="1" customFormat="1" ht="16.35" hidden="1" customHeight="1" spans="1:18">
      <c r="A1053" s="6" t="s">
        <v>4506</v>
      </c>
      <c r="B1053" s="6">
        <v>2019</v>
      </c>
      <c r="C1053" s="6">
        <v>1</v>
      </c>
      <c r="D1053" s="7">
        <v>9</v>
      </c>
      <c r="E1053" s="6" t="s">
        <v>5253</v>
      </c>
      <c r="F1053" s="6" t="s">
        <v>4508</v>
      </c>
      <c r="G1053" s="6" t="s">
        <v>25</v>
      </c>
      <c r="H1053" s="8"/>
      <c r="I1053" s="8">
        <v>137615</v>
      </c>
      <c r="J1053" s="6" t="s">
        <v>5254</v>
      </c>
      <c r="K1053" s="6" t="s">
        <v>2271</v>
      </c>
      <c r="L1053" s="6" t="s">
        <v>4516</v>
      </c>
      <c r="M1053" s="6" t="s">
        <v>5082</v>
      </c>
      <c r="N1053" s="6" t="s">
        <v>2271</v>
      </c>
      <c r="O1053" s="29">
        <f t="shared" si="19"/>
        <v>137615</v>
      </c>
      <c r="Q1053" s="30" t="s">
        <v>2271</v>
      </c>
      <c r="R1053" s="31">
        <v>144495.75</v>
      </c>
    </row>
    <row r="1054" s="1" customFormat="1" ht="16.35" hidden="1" customHeight="1" spans="1:18">
      <c r="A1054" s="6" t="s">
        <v>4506</v>
      </c>
      <c r="B1054" s="6">
        <v>2019</v>
      </c>
      <c r="C1054" s="6">
        <v>1</v>
      </c>
      <c r="D1054" s="7">
        <v>10</v>
      </c>
      <c r="E1054" s="6" t="s">
        <v>5255</v>
      </c>
      <c r="F1054" s="6" t="s">
        <v>4508</v>
      </c>
      <c r="G1054" s="6" t="s">
        <v>25</v>
      </c>
      <c r="H1054" s="8"/>
      <c r="I1054" s="8">
        <v>9174</v>
      </c>
      <c r="J1054" s="6" t="s">
        <v>5256</v>
      </c>
      <c r="K1054" s="6" t="s">
        <v>2754</v>
      </c>
      <c r="L1054" s="6" t="s">
        <v>4516</v>
      </c>
      <c r="M1054" s="6" t="s">
        <v>5082</v>
      </c>
      <c r="N1054" s="6" t="s">
        <v>2754</v>
      </c>
      <c r="O1054" s="29">
        <f t="shared" si="19"/>
        <v>9174</v>
      </c>
      <c r="Q1054" s="30" t="s">
        <v>2754</v>
      </c>
      <c r="R1054" s="31">
        <v>9632.7</v>
      </c>
    </row>
    <row r="1055" s="1" customFormat="1" ht="16.35" hidden="1" customHeight="1" spans="1:18">
      <c r="A1055" s="6" t="s">
        <v>4506</v>
      </c>
      <c r="B1055" s="6">
        <v>2019</v>
      </c>
      <c r="C1055" s="6">
        <v>1</v>
      </c>
      <c r="D1055" s="7">
        <v>11</v>
      </c>
      <c r="E1055" s="6" t="s">
        <v>5257</v>
      </c>
      <c r="F1055" s="6" t="s">
        <v>4508</v>
      </c>
      <c r="G1055" s="6" t="s">
        <v>25</v>
      </c>
      <c r="H1055" s="8"/>
      <c r="I1055" s="8">
        <v>455142</v>
      </c>
      <c r="J1055" s="6" t="s">
        <v>5258</v>
      </c>
      <c r="K1055" s="6" t="s">
        <v>2766</v>
      </c>
      <c r="L1055" s="6" t="s">
        <v>4516</v>
      </c>
      <c r="M1055" s="6" t="s">
        <v>5082</v>
      </c>
      <c r="N1055" s="6" t="s">
        <v>2766</v>
      </c>
      <c r="O1055" s="29">
        <f t="shared" si="19"/>
        <v>455142</v>
      </c>
      <c r="Q1055" s="30" t="s">
        <v>2766</v>
      </c>
      <c r="R1055" s="31">
        <v>477899.1</v>
      </c>
    </row>
    <row r="1056" s="1" customFormat="1" ht="16.35" hidden="1" customHeight="1" spans="1:18">
      <c r="A1056" s="6" t="s">
        <v>4506</v>
      </c>
      <c r="B1056" s="6">
        <v>2019</v>
      </c>
      <c r="C1056" s="6">
        <v>1</v>
      </c>
      <c r="D1056" s="7">
        <v>12</v>
      </c>
      <c r="E1056" s="6" t="s">
        <v>5259</v>
      </c>
      <c r="F1056" s="6" t="s">
        <v>4508</v>
      </c>
      <c r="G1056" s="6" t="s">
        <v>25</v>
      </c>
      <c r="H1056" s="8"/>
      <c r="I1056" s="8">
        <v>3670</v>
      </c>
      <c r="J1056" s="6" t="s">
        <v>5260</v>
      </c>
      <c r="K1056" s="6" t="s">
        <v>1946</v>
      </c>
      <c r="L1056" s="6" t="s">
        <v>4516</v>
      </c>
      <c r="M1056" s="6" t="s">
        <v>5082</v>
      </c>
      <c r="N1056" s="6" t="s">
        <v>1946</v>
      </c>
      <c r="O1056" s="29">
        <f t="shared" si="19"/>
        <v>3670</v>
      </c>
      <c r="Q1056" s="30" t="s">
        <v>1946</v>
      </c>
      <c r="R1056" s="31">
        <v>3853.5</v>
      </c>
    </row>
    <row r="1057" s="1" customFormat="1" ht="16.35" hidden="1" customHeight="1" spans="1:18">
      <c r="A1057" s="6" t="s">
        <v>4506</v>
      </c>
      <c r="B1057" s="6">
        <v>2019</v>
      </c>
      <c r="C1057" s="6">
        <v>1</v>
      </c>
      <c r="D1057" s="7">
        <v>13</v>
      </c>
      <c r="E1057" s="6" t="s">
        <v>5261</v>
      </c>
      <c r="F1057" s="6" t="s">
        <v>4508</v>
      </c>
      <c r="G1057" s="6" t="s">
        <v>25</v>
      </c>
      <c r="H1057" s="8"/>
      <c r="I1057" s="8">
        <v>28571</v>
      </c>
      <c r="J1057" s="6" t="s">
        <v>3977</v>
      </c>
      <c r="K1057" s="6" t="s">
        <v>362</v>
      </c>
      <c r="L1057" s="6" t="s">
        <v>4510</v>
      </c>
      <c r="M1057" s="6" t="s">
        <v>4511</v>
      </c>
      <c r="N1057" s="6" t="s">
        <v>362</v>
      </c>
      <c r="O1057" s="29">
        <f>I1057*1.05</f>
        <v>29999.55</v>
      </c>
      <c r="Q1057" s="30" t="s">
        <v>362</v>
      </c>
      <c r="R1057" s="31">
        <v>29999.55</v>
      </c>
    </row>
    <row r="1058" s="1" customFormat="1" ht="16.35" hidden="1" customHeight="1" spans="1:18">
      <c r="A1058" s="6" t="s">
        <v>4506</v>
      </c>
      <c r="B1058" s="6">
        <v>2019</v>
      </c>
      <c r="C1058" s="6">
        <v>1</v>
      </c>
      <c r="D1058" s="7">
        <v>14</v>
      </c>
      <c r="E1058" s="6" t="s">
        <v>5262</v>
      </c>
      <c r="F1058" s="6" t="s">
        <v>4508</v>
      </c>
      <c r="G1058" s="6" t="s">
        <v>25</v>
      </c>
      <c r="H1058" s="8"/>
      <c r="I1058" s="8">
        <v>52381</v>
      </c>
      <c r="J1058" s="6" t="s">
        <v>3977</v>
      </c>
      <c r="K1058" s="6" t="s">
        <v>362</v>
      </c>
      <c r="L1058" s="6" t="s">
        <v>4510</v>
      </c>
      <c r="M1058" s="6" t="s">
        <v>4511</v>
      </c>
      <c r="N1058" s="6" t="s">
        <v>362</v>
      </c>
      <c r="O1058" s="29">
        <f>I1058*1.05</f>
        <v>55000.05</v>
      </c>
      <c r="Q1058" s="30" t="s">
        <v>362</v>
      </c>
      <c r="R1058" s="31">
        <v>55000.05</v>
      </c>
    </row>
    <row r="1059" s="1" customFormat="1" ht="16.35" hidden="1" customHeight="1" spans="1:18">
      <c r="A1059" s="6" t="s">
        <v>4506</v>
      </c>
      <c r="B1059" s="6">
        <v>2019</v>
      </c>
      <c r="C1059" s="6">
        <v>1</v>
      </c>
      <c r="D1059" s="7">
        <v>15</v>
      </c>
      <c r="E1059" s="6" t="s">
        <v>5263</v>
      </c>
      <c r="F1059" s="6" t="s">
        <v>4508</v>
      </c>
      <c r="G1059" s="6" t="s">
        <v>25</v>
      </c>
      <c r="H1059" s="8"/>
      <c r="I1059" s="8">
        <v>4587</v>
      </c>
      <c r="J1059" s="6" t="s">
        <v>5264</v>
      </c>
      <c r="K1059" s="6" t="s">
        <v>2103</v>
      </c>
      <c r="L1059" s="6" t="s">
        <v>4516</v>
      </c>
      <c r="M1059" s="6" t="s">
        <v>5082</v>
      </c>
      <c r="N1059" s="6" t="s">
        <v>2103</v>
      </c>
      <c r="O1059" s="29">
        <f t="shared" ref="O1059:O1097" si="20">I1059</f>
        <v>4587</v>
      </c>
      <c r="Q1059" s="30" t="s">
        <v>2103</v>
      </c>
      <c r="R1059" s="31">
        <v>4816.35</v>
      </c>
    </row>
    <row r="1060" s="1" customFormat="1" ht="16.35" hidden="1" customHeight="1" spans="1:18">
      <c r="A1060" s="6" t="s">
        <v>4506</v>
      </c>
      <c r="B1060" s="6">
        <v>2019</v>
      </c>
      <c r="C1060" s="6">
        <v>1</v>
      </c>
      <c r="D1060" s="7">
        <v>16</v>
      </c>
      <c r="E1060" s="6" t="s">
        <v>5265</v>
      </c>
      <c r="F1060" s="6" t="s">
        <v>4508</v>
      </c>
      <c r="G1060" s="6" t="s">
        <v>25</v>
      </c>
      <c r="H1060" s="8"/>
      <c r="I1060" s="8">
        <v>128440</v>
      </c>
      <c r="J1060" s="6" t="s">
        <v>5266</v>
      </c>
      <c r="K1060" s="6" t="s">
        <v>2797</v>
      </c>
      <c r="L1060" s="6" t="s">
        <v>4516</v>
      </c>
      <c r="M1060" s="6" t="s">
        <v>5082</v>
      </c>
      <c r="N1060" s="6" t="s">
        <v>2797</v>
      </c>
      <c r="O1060" s="29">
        <f t="shared" si="20"/>
        <v>128440</v>
      </c>
      <c r="Q1060" s="30" t="s">
        <v>2797</v>
      </c>
      <c r="R1060" s="31">
        <v>134862</v>
      </c>
    </row>
    <row r="1061" s="1" customFormat="1" ht="16.35" hidden="1" customHeight="1" spans="1:18">
      <c r="A1061" s="6" t="s">
        <v>4506</v>
      </c>
      <c r="B1061" s="6">
        <v>2019</v>
      </c>
      <c r="C1061" s="6">
        <v>1</v>
      </c>
      <c r="D1061" s="7">
        <v>17</v>
      </c>
      <c r="E1061" s="6" t="s">
        <v>5267</v>
      </c>
      <c r="F1061" s="6" t="s">
        <v>4508</v>
      </c>
      <c r="G1061" s="6" t="s">
        <v>25</v>
      </c>
      <c r="H1061" s="8"/>
      <c r="I1061" s="8">
        <v>9174</v>
      </c>
      <c r="J1061" s="6" t="s">
        <v>5268</v>
      </c>
      <c r="K1061" s="6" t="s">
        <v>2875</v>
      </c>
      <c r="L1061" s="6" t="s">
        <v>4516</v>
      </c>
      <c r="M1061" s="6" t="s">
        <v>5082</v>
      </c>
      <c r="N1061" s="6" t="s">
        <v>2875</v>
      </c>
      <c r="O1061" s="29">
        <f t="shared" si="20"/>
        <v>9174</v>
      </c>
      <c r="Q1061" s="30" t="s">
        <v>2875</v>
      </c>
      <c r="R1061" s="31">
        <v>9632.7</v>
      </c>
    </row>
    <row r="1062" s="1" customFormat="1" ht="16.35" hidden="1" customHeight="1" spans="1:18">
      <c r="A1062" s="6" t="s">
        <v>4506</v>
      </c>
      <c r="B1062" s="6">
        <v>2019</v>
      </c>
      <c r="C1062" s="6">
        <v>1</v>
      </c>
      <c r="D1062" s="7">
        <v>18</v>
      </c>
      <c r="E1062" s="6" t="s">
        <v>5269</v>
      </c>
      <c r="F1062" s="6" t="s">
        <v>4508</v>
      </c>
      <c r="G1062" s="6" t="s">
        <v>25</v>
      </c>
      <c r="H1062" s="8"/>
      <c r="I1062" s="8">
        <v>4587</v>
      </c>
      <c r="J1062" s="6" t="s">
        <v>5136</v>
      </c>
      <c r="K1062" s="6" t="s">
        <v>2089</v>
      </c>
      <c r="L1062" s="6" t="s">
        <v>4516</v>
      </c>
      <c r="M1062" s="6" t="s">
        <v>5082</v>
      </c>
      <c r="N1062" s="6" t="s">
        <v>2089</v>
      </c>
      <c r="O1062" s="29">
        <f t="shared" si="20"/>
        <v>4587</v>
      </c>
      <c r="Q1062" s="30" t="s">
        <v>2089</v>
      </c>
      <c r="R1062" s="31">
        <v>4816.35</v>
      </c>
    </row>
    <row r="1063" s="1" customFormat="1" ht="16.35" hidden="1" customHeight="1" spans="1:18">
      <c r="A1063" s="6" t="s">
        <v>4506</v>
      </c>
      <c r="B1063" s="6">
        <v>2019</v>
      </c>
      <c r="C1063" s="6">
        <v>1</v>
      </c>
      <c r="D1063" s="7">
        <v>19</v>
      </c>
      <c r="E1063" s="6" t="s">
        <v>5270</v>
      </c>
      <c r="F1063" s="6" t="s">
        <v>4508</v>
      </c>
      <c r="G1063" s="6" t="s">
        <v>25</v>
      </c>
      <c r="H1063" s="8"/>
      <c r="I1063" s="8">
        <v>4587</v>
      </c>
      <c r="J1063" s="6" t="s">
        <v>5271</v>
      </c>
      <c r="K1063" s="6" t="s">
        <v>2778</v>
      </c>
      <c r="L1063" s="6" t="s">
        <v>4516</v>
      </c>
      <c r="M1063" s="6" t="s">
        <v>5082</v>
      </c>
      <c r="N1063" s="6" t="s">
        <v>2778</v>
      </c>
      <c r="O1063" s="29">
        <f t="shared" si="20"/>
        <v>4587</v>
      </c>
      <c r="Q1063" s="30" t="s">
        <v>2778</v>
      </c>
      <c r="R1063" s="31">
        <v>4816.35</v>
      </c>
    </row>
    <row r="1064" s="1" customFormat="1" ht="16.35" hidden="1" customHeight="1" spans="1:18">
      <c r="A1064" s="6" t="s">
        <v>4506</v>
      </c>
      <c r="B1064" s="6">
        <v>2019</v>
      </c>
      <c r="C1064" s="6">
        <v>1</v>
      </c>
      <c r="D1064" s="7">
        <v>20</v>
      </c>
      <c r="E1064" s="6" t="s">
        <v>5272</v>
      </c>
      <c r="F1064" s="6" t="s">
        <v>4508</v>
      </c>
      <c r="G1064" s="6" t="s">
        <v>25</v>
      </c>
      <c r="H1064" s="8"/>
      <c r="I1064" s="8">
        <v>52146</v>
      </c>
      <c r="J1064" s="6" t="s">
        <v>5208</v>
      </c>
      <c r="K1064" s="6" t="s">
        <v>2151</v>
      </c>
      <c r="L1064" s="6" t="s">
        <v>4516</v>
      </c>
      <c r="M1064" s="6" t="s">
        <v>5082</v>
      </c>
      <c r="N1064" s="6" t="s">
        <v>2151</v>
      </c>
      <c r="O1064" s="29">
        <f t="shared" si="20"/>
        <v>52146</v>
      </c>
      <c r="Q1064" s="30" t="s">
        <v>2151</v>
      </c>
      <c r="R1064" s="31">
        <v>54753.3</v>
      </c>
    </row>
    <row r="1065" s="1" customFormat="1" ht="16.35" hidden="1" customHeight="1" spans="1:18">
      <c r="A1065" s="6" t="s">
        <v>4506</v>
      </c>
      <c r="B1065" s="6">
        <v>2019</v>
      </c>
      <c r="C1065" s="6">
        <v>1</v>
      </c>
      <c r="D1065" s="7">
        <v>21</v>
      </c>
      <c r="E1065" s="6" t="s">
        <v>5273</v>
      </c>
      <c r="F1065" s="6" t="s">
        <v>4508</v>
      </c>
      <c r="G1065" s="6" t="s">
        <v>25</v>
      </c>
      <c r="H1065" s="8"/>
      <c r="I1065" s="8">
        <v>917</v>
      </c>
      <c r="J1065" s="6" t="s">
        <v>5274</v>
      </c>
      <c r="K1065" s="6" t="s">
        <v>1978</v>
      </c>
      <c r="L1065" s="6" t="s">
        <v>4516</v>
      </c>
      <c r="M1065" s="6" t="s">
        <v>5082</v>
      </c>
      <c r="N1065" s="6" t="s">
        <v>1978</v>
      </c>
      <c r="O1065" s="29">
        <f t="shared" si="20"/>
        <v>917</v>
      </c>
      <c r="Q1065" s="30" t="s">
        <v>1978</v>
      </c>
      <c r="R1065" s="31">
        <v>962.85</v>
      </c>
    </row>
    <row r="1066" s="1" customFormat="1" ht="16.35" hidden="1" customHeight="1" spans="1:18">
      <c r="A1066" s="6" t="s">
        <v>4506</v>
      </c>
      <c r="B1066" s="6">
        <v>2019</v>
      </c>
      <c r="C1066" s="6">
        <v>1</v>
      </c>
      <c r="D1066" s="7">
        <v>22</v>
      </c>
      <c r="E1066" s="6" t="s">
        <v>5275</v>
      </c>
      <c r="F1066" s="6" t="s">
        <v>4508</v>
      </c>
      <c r="G1066" s="6" t="s">
        <v>25</v>
      </c>
      <c r="H1066" s="8"/>
      <c r="I1066" s="8">
        <v>4587</v>
      </c>
      <c r="J1066" s="6" t="s">
        <v>5276</v>
      </c>
      <c r="K1066" s="6" t="s">
        <v>2807</v>
      </c>
      <c r="L1066" s="6" t="s">
        <v>4516</v>
      </c>
      <c r="M1066" s="6" t="s">
        <v>5082</v>
      </c>
      <c r="N1066" s="6" t="s">
        <v>2807</v>
      </c>
      <c r="O1066" s="29">
        <f t="shared" si="20"/>
        <v>4587</v>
      </c>
      <c r="Q1066" s="30" t="s">
        <v>2807</v>
      </c>
      <c r="R1066" s="31">
        <v>4816.35</v>
      </c>
    </row>
    <row r="1067" s="1" customFormat="1" ht="16.35" hidden="1" customHeight="1" spans="1:18">
      <c r="A1067" s="6" t="s">
        <v>4506</v>
      </c>
      <c r="B1067" s="6">
        <v>2019</v>
      </c>
      <c r="C1067" s="6">
        <v>1</v>
      </c>
      <c r="D1067" s="7">
        <v>23</v>
      </c>
      <c r="E1067" s="6" t="s">
        <v>5277</v>
      </c>
      <c r="F1067" s="6" t="s">
        <v>4508</v>
      </c>
      <c r="G1067" s="6" t="s">
        <v>25</v>
      </c>
      <c r="H1067" s="8"/>
      <c r="I1067" s="8">
        <v>4587</v>
      </c>
      <c r="J1067" s="6" t="s">
        <v>5103</v>
      </c>
      <c r="K1067" s="6" t="s">
        <v>1972</v>
      </c>
      <c r="L1067" s="6" t="s">
        <v>4516</v>
      </c>
      <c r="M1067" s="6" t="s">
        <v>5082</v>
      </c>
      <c r="N1067" s="6" t="s">
        <v>1972</v>
      </c>
      <c r="O1067" s="29">
        <f t="shared" si="20"/>
        <v>4587</v>
      </c>
      <c r="Q1067" s="30" t="s">
        <v>1972</v>
      </c>
      <c r="R1067" s="31">
        <v>4816.35</v>
      </c>
    </row>
    <row r="1068" s="1" customFormat="1" ht="16.35" hidden="1" customHeight="1" spans="1:18">
      <c r="A1068" s="6" t="s">
        <v>4506</v>
      </c>
      <c r="B1068" s="6">
        <v>2019</v>
      </c>
      <c r="C1068" s="6">
        <v>1</v>
      </c>
      <c r="D1068" s="7">
        <v>24</v>
      </c>
      <c r="E1068" s="6" t="s">
        <v>5278</v>
      </c>
      <c r="F1068" s="6" t="s">
        <v>4508</v>
      </c>
      <c r="G1068" s="6" t="s">
        <v>25</v>
      </c>
      <c r="H1068" s="8"/>
      <c r="I1068" s="8">
        <v>149640</v>
      </c>
      <c r="J1068" s="6" t="s">
        <v>4096</v>
      </c>
      <c r="K1068" s="6" t="s">
        <v>2065</v>
      </c>
      <c r="L1068" s="6" t="s">
        <v>4516</v>
      </c>
      <c r="M1068" s="6" t="s">
        <v>5082</v>
      </c>
      <c r="N1068" s="6" t="s">
        <v>2065</v>
      </c>
      <c r="O1068" s="29">
        <f t="shared" si="20"/>
        <v>149640</v>
      </c>
      <c r="Q1068" s="30" t="s">
        <v>2065</v>
      </c>
      <c r="R1068" s="31">
        <v>157122</v>
      </c>
    </row>
    <row r="1069" s="1" customFormat="1" ht="16.35" hidden="1" customHeight="1" spans="1:18">
      <c r="A1069" s="6" t="s">
        <v>4506</v>
      </c>
      <c r="B1069" s="6">
        <v>2019</v>
      </c>
      <c r="C1069" s="6">
        <v>1</v>
      </c>
      <c r="D1069" s="7">
        <v>25</v>
      </c>
      <c r="E1069" s="6" t="s">
        <v>5279</v>
      </c>
      <c r="F1069" s="6" t="s">
        <v>4508</v>
      </c>
      <c r="G1069" s="6" t="s">
        <v>25</v>
      </c>
      <c r="H1069" s="8"/>
      <c r="I1069" s="8">
        <v>9174</v>
      </c>
      <c r="J1069" s="6" t="s">
        <v>5280</v>
      </c>
      <c r="K1069" s="6" t="s">
        <v>2123</v>
      </c>
      <c r="L1069" s="6" t="s">
        <v>4516</v>
      </c>
      <c r="M1069" s="6" t="s">
        <v>5082</v>
      </c>
      <c r="N1069" s="6" t="s">
        <v>2123</v>
      </c>
      <c r="O1069" s="29">
        <f t="shared" si="20"/>
        <v>9174</v>
      </c>
      <c r="Q1069" s="30" t="s">
        <v>2123</v>
      </c>
      <c r="R1069" s="31">
        <v>9632.7</v>
      </c>
    </row>
    <row r="1070" s="1" customFormat="1" ht="16.35" hidden="1" customHeight="1" spans="1:18">
      <c r="A1070" s="6" t="s">
        <v>4506</v>
      </c>
      <c r="B1070" s="6">
        <v>2019</v>
      </c>
      <c r="C1070" s="6">
        <v>1</v>
      </c>
      <c r="D1070" s="7">
        <v>26</v>
      </c>
      <c r="E1070" s="6" t="s">
        <v>5281</v>
      </c>
      <c r="F1070" s="6" t="s">
        <v>4508</v>
      </c>
      <c r="G1070" s="6" t="s">
        <v>25</v>
      </c>
      <c r="H1070" s="8"/>
      <c r="I1070" s="8">
        <v>9964</v>
      </c>
      <c r="J1070" s="6" t="s">
        <v>5282</v>
      </c>
      <c r="K1070" s="6" t="s">
        <v>2127</v>
      </c>
      <c r="L1070" s="6" t="s">
        <v>4516</v>
      </c>
      <c r="M1070" s="6" t="s">
        <v>5082</v>
      </c>
      <c r="N1070" s="6" t="s">
        <v>2127</v>
      </c>
      <c r="O1070" s="29">
        <f t="shared" si="20"/>
        <v>9964</v>
      </c>
      <c r="Q1070" s="30" t="s">
        <v>2127</v>
      </c>
      <c r="R1070" s="31">
        <v>10462.2</v>
      </c>
    </row>
    <row r="1071" s="1" customFormat="1" ht="16.35" hidden="1" customHeight="1" spans="1:18">
      <c r="A1071" s="6" t="s">
        <v>4506</v>
      </c>
      <c r="B1071" s="6">
        <v>2019</v>
      </c>
      <c r="C1071" s="6">
        <v>1</v>
      </c>
      <c r="D1071" s="7">
        <v>27</v>
      </c>
      <c r="E1071" s="6" t="s">
        <v>5257</v>
      </c>
      <c r="F1071" s="6" t="s">
        <v>4508</v>
      </c>
      <c r="G1071" s="6" t="s">
        <v>25</v>
      </c>
      <c r="H1071" s="8"/>
      <c r="I1071" s="8">
        <v>82569</v>
      </c>
      <c r="J1071" s="6" t="s">
        <v>5258</v>
      </c>
      <c r="K1071" s="6" t="s">
        <v>2766</v>
      </c>
      <c r="L1071" s="6" t="s">
        <v>4516</v>
      </c>
      <c r="M1071" s="6" t="s">
        <v>5082</v>
      </c>
      <c r="N1071" s="6" t="s">
        <v>2766</v>
      </c>
      <c r="O1071" s="29">
        <f t="shared" si="20"/>
        <v>82569</v>
      </c>
      <c r="Q1071" s="30" t="s">
        <v>2766</v>
      </c>
      <c r="R1071" s="31">
        <v>86697.45</v>
      </c>
    </row>
    <row r="1072" s="1" customFormat="1" ht="16.35" hidden="1" customHeight="1" spans="1:18">
      <c r="A1072" s="6" t="s">
        <v>4506</v>
      </c>
      <c r="B1072" s="6">
        <v>2019</v>
      </c>
      <c r="C1072" s="6">
        <v>1</v>
      </c>
      <c r="D1072" s="7">
        <v>28</v>
      </c>
      <c r="E1072" s="6" t="s">
        <v>5283</v>
      </c>
      <c r="F1072" s="6" t="s">
        <v>4508</v>
      </c>
      <c r="G1072" s="6" t="s">
        <v>25</v>
      </c>
      <c r="H1072" s="8"/>
      <c r="I1072" s="8">
        <v>4587</v>
      </c>
      <c r="J1072" s="6" t="s">
        <v>5284</v>
      </c>
      <c r="K1072" s="6" t="s">
        <v>2768</v>
      </c>
      <c r="L1072" s="6" t="s">
        <v>4516</v>
      </c>
      <c r="M1072" s="6" t="s">
        <v>5082</v>
      </c>
      <c r="N1072" s="6" t="s">
        <v>2768</v>
      </c>
      <c r="O1072" s="29">
        <f t="shared" si="20"/>
        <v>4587</v>
      </c>
      <c r="Q1072" s="30" t="s">
        <v>2768</v>
      </c>
      <c r="R1072" s="31">
        <v>4816.35</v>
      </c>
    </row>
    <row r="1073" s="1" customFormat="1" ht="16.35" hidden="1" customHeight="1" spans="1:18">
      <c r="A1073" s="6" t="s">
        <v>4506</v>
      </c>
      <c r="B1073" s="6">
        <v>2019</v>
      </c>
      <c r="C1073" s="6">
        <v>1</v>
      </c>
      <c r="D1073" s="7">
        <v>29</v>
      </c>
      <c r="E1073" s="6" t="s">
        <v>5285</v>
      </c>
      <c r="F1073" s="6" t="s">
        <v>4508</v>
      </c>
      <c r="G1073" s="6" t="s">
        <v>25</v>
      </c>
      <c r="H1073" s="8"/>
      <c r="I1073" s="8">
        <v>4587</v>
      </c>
      <c r="J1073" s="6" t="s">
        <v>5220</v>
      </c>
      <c r="K1073" s="6" t="s">
        <v>2780</v>
      </c>
      <c r="L1073" s="6" t="s">
        <v>4516</v>
      </c>
      <c r="M1073" s="6" t="s">
        <v>5082</v>
      </c>
      <c r="N1073" s="6" t="s">
        <v>2780</v>
      </c>
      <c r="O1073" s="29">
        <f t="shared" si="20"/>
        <v>4587</v>
      </c>
      <c r="Q1073" s="30" t="s">
        <v>2780</v>
      </c>
      <c r="R1073" s="31">
        <v>4816.35</v>
      </c>
    </row>
    <row r="1074" s="1" customFormat="1" ht="16.35" hidden="1" customHeight="1" spans="1:18">
      <c r="A1074" s="6" t="s">
        <v>4506</v>
      </c>
      <c r="B1074" s="6">
        <v>2019</v>
      </c>
      <c r="C1074" s="6">
        <v>1</v>
      </c>
      <c r="D1074" s="7">
        <v>30</v>
      </c>
      <c r="E1074" s="6" t="s">
        <v>5286</v>
      </c>
      <c r="F1074" s="6" t="s">
        <v>4508</v>
      </c>
      <c r="G1074" s="6" t="s">
        <v>25</v>
      </c>
      <c r="H1074" s="8"/>
      <c r="I1074" s="8">
        <v>4587</v>
      </c>
      <c r="J1074" s="6" t="s">
        <v>5287</v>
      </c>
      <c r="K1074" s="6" t="s">
        <v>2079</v>
      </c>
      <c r="L1074" s="6" t="s">
        <v>4516</v>
      </c>
      <c r="M1074" s="6" t="s">
        <v>5082</v>
      </c>
      <c r="N1074" s="6" t="s">
        <v>2079</v>
      </c>
      <c r="O1074" s="29">
        <f t="shared" si="20"/>
        <v>4587</v>
      </c>
      <c r="Q1074" s="30" t="s">
        <v>2079</v>
      </c>
      <c r="R1074" s="31">
        <v>4816.35</v>
      </c>
    </row>
    <row r="1075" s="1" customFormat="1" ht="16.35" hidden="1" customHeight="1" spans="1:18">
      <c r="A1075" s="6" t="s">
        <v>4506</v>
      </c>
      <c r="B1075" s="6">
        <v>2019</v>
      </c>
      <c r="C1075" s="6">
        <v>1</v>
      </c>
      <c r="D1075" s="7">
        <v>31</v>
      </c>
      <c r="E1075" s="6" t="s">
        <v>5288</v>
      </c>
      <c r="F1075" s="6" t="s">
        <v>4508</v>
      </c>
      <c r="G1075" s="6" t="s">
        <v>25</v>
      </c>
      <c r="H1075" s="8"/>
      <c r="I1075" s="8">
        <v>4587</v>
      </c>
      <c r="J1075" s="6" t="s">
        <v>5289</v>
      </c>
      <c r="K1075" s="6" t="s">
        <v>1963</v>
      </c>
      <c r="L1075" s="6" t="s">
        <v>4516</v>
      </c>
      <c r="M1075" s="6" t="s">
        <v>5082</v>
      </c>
      <c r="N1075" s="6" t="s">
        <v>1963</v>
      </c>
      <c r="O1075" s="29">
        <f t="shared" si="20"/>
        <v>4587</v>
      </c>
      <c r="Q1075" s="30" t="s">
        <v>1963</v>
      </c>
      <c r="R1075" s="31">
        <v>4816.35</v>
      </c>
    </row>
    <row r="1076" s="1" customFormat="1" ht="16.35" hidden="1" customHeight="1" spans="1:18">
      <c r="A1076" s="6" t="s">
        <v>4506</v>
      </c>
      <c r="B1076" s="6">
        <v>2019</v>
      </c>
      <c r="C1076" s="6">
        <v>1</v>
      </c>
      <c r="D1076" s="7">
        <v>32</v>
      </c>
      <c r="E1076" s="6" t="s">
        <v>5290</v>
      </c>
      <c r="F1076" s="6" t="s">
        <v>4508</v>
      </c>
      <c r="G1076" s="6" t="s">
        <v>25</v>
      </c>
      <c r="H1076" s="8"/>
      <c r="I1076" s="8">
        <v>917</v>
      </c>
      <c r="J1076" s="6" t="s">
        <v>5291</v>
      </c>
      <c r="K1076" s="6" t="s">
        <v>2186</v>
      </c>
      <c r="L1076" s="6" t="s">
        <v>4516</v>
      </c>
      <c r="M1076" s="6" t="s">
        <v>5082</v>
      </c>
      <c r="N1076" s="6" t="s">
        <v>2186</v>
      </c>
      <c r="O1076" s="29">
        <f t="shared" si="20"/>
        <v>917</v>
      </c>
      <c r="Q1076" s="30" t="s">
        <v>2186</v>
      </c>
      <c r="R1076" s="31">
        <v>962.85</v>
      </c>
    </row>
    <row r="1077" s="1" customFormat="1" ht="16.35" hidden="1" customHeight="1" spans="1:18">
      <c r="A1077" s="6" t="s">
        <v>4506</v>
      </c>
      <c r="B1077" s="6">
        <v>2019</v>
      </c>
      <c r="C1077" s="6">
        <v>2</v>
      </c>
      <c r="D1077" s="7">
        <v>1</v>
      </c>
      <c r="E1077" s="6" t="s">
        <v>5292</v>
      </c>
      <c r="F1077" s="6" t="s">
        <v>4508</v>
      </c>
      <c r="G1077" s="6" t="s">
        <v>25</v>
      </c>
      <c r="H1077" s="8"/>
      <c r="I1077" s="8">
        <v>4600</v>
      </c>
      <c r="J1077" s="6" t="s">
        <v>5293</v>
      </c>
      <c r="K1077" s="6" t="s">
        <v>2093</v>
      </c>
      <c r="L1077" s="6" t="s">
        <v>4516</v>
      </c>
      <c r="M1077" s="6" t="s">
        <v>5082</v>
      </c>
      <c r="N1077" s="6" t="s">
        <v>2093</v>
      </c>
      <c r="O1077" s="29">
        <f t="shared" si="20"/>
        <v>4600</v>
      </c>
      <c r="Q1077" s="30" t="s">
        <v>2093</v>
      </c>
      <c r="R1077" s="31">
        <v>4830</v>
      </c>
    </row>
    <row r="1078" s="1" customFormat="1" ht="16.35" hidden="1" customHeight="1" spans="1:18">
      <c r="A1078" s="6" t="s">
        <v>4506</v>
      </c>
      <c r="B1078" s="6">
        <v>2019</v>
      </c>
      <c r="C1078" s="6">
        <v>2</v>
      </c>
      <c r="D1078" s="7">
        <v>2</v>
      </c>
      <c r="E1078" s="6" t="s">
        <v>5294</v>
      </c>
      <c r="F1078" s="6" t="s">
        <v>4508</v>
      </c>
      <c r="G1078" s="6" t="s">
        <v>25</v>
      </c>
      <c r="H1078" s="8"/>
      <c r="I1078" s="8">
        <v>4587</v>
      </c>
      <c r="J1078" s="6" t="s">
        <v>5295</v>
      </c>
      <c r="K1078" s="6" t="s">
        <v>2190</v>
      </c>
      <c r="L1078" s="6" t="s">
        <v>4516</v>
      </c>
      <c r="M1078" s="6" t="s">
        <v>5082</v>
      </c>
      <c r="N1078" s="6" t="s">
        <v>2190</v>
      </c>
      <c r="O1078" s="29">
        <f t="shared" si="20"/>
        <v>4587</v>
      </c>
      <c r="Q1078" s="30" t="s">
        <v>2190</v>
      </c>
      <c r="R1078" s="31">
        <v>4816.35</v>
      </c>
    </row>
    <row r="1079" s="1" customFormat="1" ht="16.35" hidden="1" customHeight="1" spans="1:18">
      <c r="A1079" s="6" t="s">
        <v>4506</v>
      </c>
      <c r="B1079" s="6">
        <v>2019</v>
      </c>
      <c r="C1079" s="6">
        <v>2</v>
      </c>
      <c r="D1079" s="7">
        <v>3</v>
      </c>
      <c r="E1079" s="6" t="s">
        <v>5209</v>
      </c>
      <c r="F1079" s="6" t="s">
        <v>4508</v>
      </c>
      <c r="G1079" s="6" t="s">
        <v>25</v>
      </c>
      <c r="H1079" s="8"/>
      <c r="I1079" s="8">
        <v>34862</v>
      </c>
      <c r="J1079" s="6" t="s">
        <v>5210</v>
      </c>
      <c r="K1079" s="6" t="s">
        <v>1990</v>
      </c>
      <c r="L1079" s="6" t="s">
        <v>4516</v>
      </c>
      <c r="M1079" s="6" t="s">
        <v>5082</v>
      </c>
      <c r="N1079" s="6" t="s">
        <v>1990</v>
      </c>
      <c r="O1079" s="29">
        <f t="shared" si="20"/>
        <v>34862</v>
      </c>
      <c r="Q1079" s="30" t="s">
        <v>1990</v>
      </c>
      <c r="R1079" s="31">
        <v>36605.1</v>
      </c>
    </row>
    <row r="1080" s="1" customFormat="1" ht="16.35" hidden="1" customHeight="1" spans="1:18">
      <c r="A1080" s="6" t="s">
        <v>4506</v>
      </c>
      <c r="B1080" s="6">
        <v>2019</v>
      </c>
      <c r="C1080" s="6">
        <v>2</v>
      </c>
      <c r="D1080" s="7">
        <v>4</v>
      </c>
      <c r="E1080" s="6" t="s">
        <v>5296</v>
      </c>
      <c r="F1080" s="6" t="s">
        <v>4508</v>
      </c>
      <c r="G1080" s="6" t="s">
        <v>25</v>
      </c>
      <c r="H1080" s="8"/>
      <c r="I1080" s="8">
        <v>45872</v>
      </c>
      <c r="J1080" s="6" t="s">
        <v>5297</v>
      </c>
      <c r="K1080" s="6" t="s">
        <v>2247</v>
      </c>
      <c r="L1080" s="6" t="s">
        <v>4516</v>
      </c>
      <c r="M1080" s="6" t="s">
        <v>5082</v>
      </c>
      <c r="N1080" s="6" t="s">
        <v>2247</v>
      </c>
      <c r="O1080" s="29">
        <f t="shared" si="20"/>
        <v>45872</v>
      </c>
      <c r="Q1080" s="30" t="s">
        <v>2247</v>
      </c>
      <c r="R1080" s="31">
        <v>48165.6</v>
      </c>
    </row>
    <row r="1081" s="1" customFormat="1" ht="16.35" hidden="1" customHeight="1" spans="1:18">
      <c r="A1081" s="6" t="s">
        <v>4506</v>
      </c>
      <c r="B1081" s="6">
        <v>2019</v>
      </c>
      <c r="C1081" s="6">
        <v>2</v>
      </c>
      <c r="D1081" s="7">
        <v>5</v>
      </c>
      <c r="E1081" s="6" t="s">
        <v>5298</v>
      </c>
      <c r="F1081" s="6" t="s">
        <v>4508</v>
      </c>
      <c r="G1081" s="6" t="s">
        <v>25</v>
      </c>
      <c r="H1081" s="8"/>
      <c r="I1081" s="8">
        <v>212275</v>
      </c>
      <c r="J1081" s="6" t="s">
        <v>5299</v>
      </c>
      <c r="K1081" s="6" t="s">
        <v>2782</v>
      </c>
      <c r="L1081" s="6" t="s">
        <v>4516</v>
      </c>
      <c r="M1081" s="6" t="s">
        <v>5082</v>
      </c>
      <c r="N1081" s="6" t="s">
        <v>2782</v>
      </c>
      <c r="O1081" s="29">
        <f t="shared" si="20"/>
        <v>212275</v>
      </c>
      <c r="Q1081" s="30" t="s">
        <v>2782</v>
      </c>
      <c r="R1081" s="31">
        <v>222888.75</v>
      </c>
    </row>
    <row r="1082" s="1" customFormat="1" ht="16.35" hidden="1" customHeight="1" spans="1:18">
      <c r="A1082" s="6" t="s">
        <v>4506</v>
      </c>
      <c r="B1082" s="6">
        <v>2019</v>
      </c>
      <c r="C1082" s="6">
        <v>2</v>
      </c>
      <c r="D1082" s="7">
        <v>6</v>
      </c>
      <c r="E1082" s="6" t="s">
        <v>5300</v>
      </c>
      <c r="F1082" s="6" t="s">
        <v>4508</v>
      </c>
      <c r="G1082" s="6" t="s">
        <v>25</v>
      </c>
      <c r="H1082" s="8"/>
      <c r="I1082" s="8">
        <v>136697</v>
      </c>
      <c r="J1082" s="6" t="s">
        <v>5301</v>
      </c>
      <c r="K1082" s="6" t="s">
        <v>2803</v>
      </c>
      <c r="L1082" s="6" t="s">
        <v>4516</v>
      </c>
      <c r="M1082" s="6" t="s">
        <v>5082</v>
      </c>
      <c r="N1082" s="6" t="s">
        <v>2803</v>
      </c>
      <c r="O1082" s="29">
        <f t="shared" si="20"/>
        <v>136697</v>
      </c>
      <c r="Q1082" s="30" t="s">
        <v>2803</v>
      </c>
      <c r="R1082" s="31">
        <v>143531.85</v>
      </c>
    </row>
    <row r="1083" s="1" customFormat="1" ht="16.35" hidden="1" customHeight="1" spans="1:18">
      <c r="A1083" s="6" t="s">
        <v>4506</v>
      </c>
      <c r="B1083" s="6">
        <v>2019</v>
      </c>
      <c r="C1083" s="6">
        <v>2</v>
      </c>
      <c r="D1083" s="7">
        <v>7</v>
      </c>
      <c r="E1083" s="6" t="s">
        <v>5302</v>
      </c>
      <c r="F1083" s="6" t="s">
        <v>4508</v>
      </c>
      <c r="G1083" s="6" t="s">
        <v>25</v>
      </c>
      <c r="H1083" s="8"/>
      <c r="I1083" s="8">
        <v>9174</v>
      </c>
      <c r="J1083" s="6" t="s">
        <v>5303</v>
      </c>
      <c r="K1083" s="6" t="s">
        <v>2795</v>
      </c>
      <c r="L1083" s="6" t="s">
        <v>4516</v>
      </c>
      <c r="M1083" s="6" t="s">
        <v>5082</v>
      </c>
      <c r="N1083" s="6" t="s">
        <v>2795</v>
      </c>
      <c r="O1083" s="29">
        <f t="shared" si="20"/>
        <v>9174</v>
      </c>
      <c r="Q1083" s="30" t="s">
        <v>2795</v>
      </c>
      <c r="R1083" s="31">
        <v>9632.7</v>
      </c>
    </row>
    <row r="1084" s="1" customFormat="1" ht="16.35" hidden="1" customHeight="1" spans="1:18">
      <c r="A1084" s="6" t="s">
        <v>4506</v>
      </c>
      <c r="B1084" s="6">
        <v>2019</v>
      </c>
      <c r="C1084" s="6">
        <v>2</v>
      </c>
      <c r="D1084" s="7">
        <v>8</v>
      </c>
      <c r="E1084" s="6" t="s">
        <v>5304</v>
      </c>
      <c r="F1084" s="6" t="s">
        <v>4508</v>
      </c>
      <c r="G1084" s="6" t="s">
        <v>25</v>
      </c>
      <c r="H1084" s="8"/>
      <c r="I1084" s="8">
        <v>18349</v>
      </c>
      <c r="J1084" s="6" t="s">
        <v>5305</v>
      </c>
      <c r="K1084" s="6" t="s">
        <v>2791</v>
      </c>
      <c r="L1084" s="6" t="s">
        <v>4516</v>
      </c>
      <c r="M1084" s="6" t="s">
        <v>5082</v>
      </c>
      <c r="N1084" s="6" t="s">
        <v>2791</v>
      </c>
      <c r="O1084" s="29">
        <f t="shared" si="20"/>
        <v>18349</v>
      </c>
      <c r="Q1084" s="30" t="s">
        <v>2791</v>
      </c>
      <c r="R1084" s="31">
        <v>19266.45</v>
      </c>
    </row>
    <row r="1085" s="1" customFormat="1" ht="16.35" hidden="1" customHeight="1" spans="1:18">
      <c r="A1085" s="6" t="s">
        <v>4506</v>
      </c>
      <c r="B1085" s="6">
        <v>2019</v>
      </c>
      <c r="C1085" s="6">
        <v>2</v>
      </c>
      <c r="D1085" s="7">
        <v>9</v>
      </c>
      <c r="E1085" s="6" t="s">
        <v>5306</v>
      </c>
      <c r="F1085" s="6" t="s">
        <v>4508</v>
      </c>
      <c r="G1085" s="6" t="s">
        <v>25</v>
      </c>
      <c r="H1085" s="8"/>
      <c r="I1085" s="8">
        <v>2752</v>
      </c>
      <c r="J1085" s="6" t="s">
        <v>5307</v>
      </c>
      <c r="K1085" s="6" t="s">
        <v>2211</v>
      </c>
      <c r="L1085" s="6" t="s">
        <v>4516</v>
      </c>
      <c r="M1085" s="6" t="s">
        <v>5082</v>
      </c>
      <c r="N1085" s="6" t="s">
        <v>2211</v>
      </c>
      <c r="O1085" s="29">
        <f t="shared" si="20"/>
        <v>2752</v>
      </c>
      <c r="Q1085" s="30" t="s">
        <v>2211</v>
      </c>
      <c r="R1085" s="31">
        <v>2889.6</v>
      </c>
    </row>
    <row r="1086" s="1" customFormat="1" ht="16.35" hidden="1" customHeight="1" spans="1:18">
      <c r="A1086" s="6" t="s">
        <v>4506</v>
      </c>
      <c r="B1086" s="6">
        <v>2019</v>
      </c>
      <c r="C1086" s="6">
        <v>2</v>
      </c>
      <c r="D1086" s="7">
        <v>10</v>
      </c>
      <c r="E1086" s="6" t="s">
        <v>5308</v>
      </c>
      <c r="F1086" s="6" t="s">
        <v>4508</v>
      </c>
      <c r="G1086" s="6" t="s">
        <v>25</v>
      </c>
      <c r="H1086" s="8"/>
      <c r="I1086" s="8">
        <v>117601</v>
      </c>
      <c r="J1086" s="6" t="s">
        <v>5284</v>
      </c>
      <c r="K1086" s="6" t="s">
        <v>2768</v>
      </c>
      <c r="L1086" s="6" t="s">
        <v>4516</v>
      </c>
      <c r="M1086" s="6" t="s">
        <v>5082</v>
      </c>
      <c r="N1086" s="6" t="s">
        <v>2768</v>
      </c>
      <c r="O1086" s="29">
        <f t="shared" si="20"/>
        <v>117601</v>
      </c>
      <c r="Q1086" s="30" t="s">
        <v>2768</v>
      </c>
      <c r="R1086" s="31">
        <v>123481.05</v>
      </c>
    </row>
    <row r="1087" s="1" customFormat="1" ht="16.35" hidden="1" customHeight="1" spans="1:18">
      <c r="A1087" s="6" t="s">
        <v>4506</v>
      </c>
      <c r="B1087" s="6">
        <v>2019</v>
      </c>
      <c r="C1087" s="6">
        <v>2</v>
      </c>
      <c r="D1087" s="7">
        <v>11</v>
      </c>
      <c r="E1087" s="6" t="s">
        <v>5309</v>
      </c>
      <c r="F1087" s="6" t="s">
        <v>4508</v>
      </c>
      <c r="G1087" s="6" t="s">
        <v>25</v>
      </c>
      <c r="H1087" s="8"/>
      <c r="I1087" s="8">
        <v>917</v>
      </c>
      <c r="J1087" s="6" t="s">
        <v>5310</v>
      </c>
      <c r="K1087" s="6" t="s">
        <v>2213</v>
      </c>
      <c r="L1087" s="6" t="s">
        <v>4516</v>
      </c>
      <c r="M1087" s="6" t="s">
        <v>5082</v>
      </c>
      <c r="N1087" s="6" t="s">
        <v>2213</v>
      </c>
      <c r="O1087" s="29">
        <f t="shared" si="20"/>
        <v>917</v>
      </c>
      <c r="Q1087" s="30" t="s">
        <v>2213</v>
      </c>
      <c r="R1087" s="31">
        <v>962.85</v>
      </c>
    </row>
    <row r="1088" s="1" customFormat="1" ht="16.35" hidden="1" customHeight="1" spans="1:18">
      <c r="A1088" s="6" t="s">
        <v>4506</v>
      </c>
      <c r="B1088" s="6">
        <v>2019</v>
      </c>
      <c r="C1088" s="6">
        <v>2</v>
      </c>
      <c r="D1088" s="7">
        <v>12</v>
      </c>
      <c r="E1088" s="6" t="s">
        <v>5311</v>
      </c>
      <c r="F1088" s="6" t="s">
        <v>4508</v>
      </c>
      <c r="G1088" s="6" t="s">
        <v>25</v>
      </c>
      <c r="H1088" s="8"/>
      <c r="I1088" s="8">
        <v>4587</v>
      </c>
      <c r="J1088" s="6" t="s">
        <v>5312</v>
      </c>
      <c r="K1088" s="6" t="s">
        <v>2135</v>
      </c>
      <c r="L1088" s="6" t="s">
        <v>4516</v>
      </c>
      <c r="M1088" s="6" t="s">
        <v>5082</v>
      </c>
      <c r="N1088" s="6" t="s">
        <v>2135</v>
      </c>
      <c r="O1088" s="29">
        <f t="shared" si="20"/>
        <v>4587</v>
      </c>
      <c r="Q1088" s="30" t="s">
        <v>2135</v>
      </c>
      <c r="R1088" s="31">
        <v>4816.35</v>
      </c>
    </row>
    <row r="1089" s="1" customFormat="1" ht="16.35" hidden="1" customHeight="1" spans="1:18">
      <c r="A1089" s="6" t="s">
        <v>4506</v>
      </c>
      <c r="B1089" s="6">
        <v>2019</v>
      </c>
      <c r="C1089" s="6">
        <v>2</v>
      </c>
      <c r="D1089" s="7">
        <v>13</v>
      </c>
      <c r="E1089" s="6" t="s">
        <v>5313</v>
      </c>
      <c r="F1089" s="6" t="s">
        <v>4508</v>
      </c>
      <c r="G1089" s="6" t="s">
        <v>25</v>
      </c>
      <c r="H1089" s="8"/>
      <c r="I1089" s="8">
        <v>1835</v>
      </c>
      <c r="J1089" s="6" t="s">
        <v>5314</v>
      </c>
      <c r="K1089" s="6" t="s">
        <v>1992</v>
      </c>
      <c r="L1089" s="6" t="s">
        <v>4516</v>
      </c>
      <c r="M1089" s="6" t="s">
        <v>5082</v>
      </c>
      <c r="N1089" s="6" t="s">
        <v>1992</v>
      </c>
      <c r="O1089" s="29">
        <f t="shared" si="20"/>
        <v>1835</v>
      </c>
      <c r="Q1089" s="30" t="s">
        <v>1992</v>
      </c>
      <c r="R1089" s="31">
        <v>1926.75</v>
      </c>
    </row>
    <row r="1090" s="1" customFormat="1" ht="16.35" hidden="1" customHeight="1" spans="1:18">
      <c r="A1090" s="6" t="s">
        <v>4506</v>
      </c>
      <c r="B1090" s="6">
        <v>2019</v>
      </c>
      <c r="C1090" s="6">
        <v>2</v>
      </c>
      <c r="D1090" s="7">
        <v>14</v>
      </c>
      <c r="E1090" s="6" t="s">
        <v>5315</v>
      </c>
      <c r="F1090" s="6" t="s">
        <v>4508</v>
      </c>
      <c r="G1090" s="6" t="s">
        <v>25</v>
      </c>
      <c r="H1090" s="8"/>
      <c r="I1090" s="8">
        <v>1835</v>
      </c>
      <c r="J1090" s="6" t="s">
        <v>5316</v>
      </c>
      <c r="K1090" s="6" t="s">
        <v>2121</v>
      </c>
      <c r="L1090" s="6" t="s">
        <v>4516</v>
      </c>
      <c r="M1090" s="6" t="s">
        <v>5082</v>
      </c>
      <c r="N1090" s="6" t="s">
        <v>2121</v>
      </c>
      <c r="O1090" s="29">
        <f t="shared" si="20"/>
        <v>1835</v>
      </c>
      <c r="Q1090" s="30" t="s">
        <v>2121</v>
      </c>
      <c r="R1090" s="31">
        <v>1926.75</v>
      </c>
    </row>
    <row r="1091" s="1" customFormat="1" ht="16.35" hidden="1" customHeight="1" spans="1:18">
      <c r="A1091" s="6" t="s">
        <v>4506</v>
      </c>
      <c r="B1091" s="6">
        <v>2019</v>
      </c>
      <c r="C1091" s="6">
        <v>2</v>
      </c>
      <c r="D1091" s="7">
        <v>15</v>
      </c>
      <c r="E1091" s="6" t="s">
        <v>5317</v>
      </c>
      <c r="F1091" s="6" t="s">
        <v>4508</v>
      </c>
      <c r="G1091" s="6" t="s">
        <v>25</v>
      </c>
      <c r="H1091" s="8"/>
      <c r="I1091" s="8">
        <v>2752</v>
      </c>
      <c r="J1091" s="6" t="s">
        <v>5318</v>
      </c>
      <c r="K1091" s="6" t="s">
        <v>2231</v>
      </c>
      <c r="L1091" s="6" t="s">
        <v>4516</v>
      </c>
      <c r="M1091" s="6" t="s">
        <v>5082</v>
      </c>
      <c r="N1091" s="6" t="s">
        <v>2231</v>
      </c>
      <c r="O1091" s="29">
        <f t="shared" si="20"/>
        <v>2752</v>
      </c>
      <c r="Q1091" s="30" t="s">
        <v>2231</v>
      </c>
      <c r="R1091" s="31">
        <v>2889.6</v>
      </c>
    </row>
    <row r="1092" s="1" customFormat="1" ht="16.35" hidden="1" customHeight="1" spans="1:18">
      <c r="A1092" s="6" t="s">
        <v>4506</v>
      </c>
      <c r="B1092" s="6">
        <v>2019</v>
      </c>
      <c r="C1092" s="6">
        <v>2</v>
      </c>
      <c r="D1092" s="7">
        <v>16</v>
      </c>
      <c r="E1092" s="6" t="s">
        <v>5298</v>
      </c>
      <c r="F1092" s="6" t="s">
        <v>4508</v>
      </c>
      <c r="G1092" s="6" t="s">
        <v>25</v>
      </c>
      <c r="H1092" s="8"/>
      <c r="I1092" s="8">
        <v>9174</v>
      </c>
      <c r="J1092" s="6" t="s">
        <v>5299</v>
      </c>
      <c r="K1092" s="6" t="s">
        <v>2782</v>
      </c>
      <c r="L1092" s="6" t="s">
        <v>4516</v>
      </c>
      <c r="M1092" s="6" t="s">
        <v>5082</v>
      </c>
      <c r="N1092" s="6" t="s">
        <v>2782</v>
      </c>
      <c r="O1092" s="29">
        <f t="shared" si="20"/>
        <v>9174</v>
      </c>
      <c r="Q1092" s="30" t="s">
        <v>2782</v>
      </c>
      <c r="R1092" s="31">
        <v>9632.7</v>
      </c>
    </row>
    <row r="1093" s="1" customFormat="1" ht="16.35" hidden="1" customHeight="1" spans="1:18">
      <c r="A1093" s="6" t="s">
        <v>4506</v>
      </c>
      <c r="B1093" s="6">
        <v>2019</v>
      </c>
      <c r="C1093" s="6">
        <v>2</v>
      </c>
      <c r="D1093" s="7">
        <v>17</v>
      </c>
      <c r="E1093" s="6" t="s">
        <v>5223</v>
      </c>
      <c r="F1093" s="6" t="s">
        <v>4508</v>
      </c>
      <c r="G1093" s="6" t="s">
        <v>25</v>
      </c>
      <c r="H1093" s="8"/>
      <c r="I1093" s="8">
        <v>54494</v>
      </c>
      <c r="J1093" s="6" t="s">
        <v>5224</v>
      </c>
      <c r="K1093" s="6" t="s">
        <v>1957</v>
      </c>
      <c r="L1093" s="6" t="s">
        <v>4516</v>
      </c>
      <c r="M1093" s="6" t="s">
        <v>5082</v>
      </c>
      <c r="N1093" s="6" t="s">
        <v>1957</v>
      </c>
      <c r="O1093" s="29">
        <f t="shared" si="20"/>
        <v>54494</v>
      </c>
      <c r="Q1093" s="30" t="s">
        <v>1957</v>
      </c>
      <c r="R1093" s="31">
        <v>57218.7</v>
      </c>
    </row>
    <row r="1094" s="1" customFormat="1" ht="16.35" hidden="1" customHeight="1" spans="1:18">
      <c r="A1094" s="6" t="s">
        <v>4506</v>
      </c>
      <c r="B1094" s="6">
        <v>2019</v>
      </c>
      <c r="C1094" s="6">
        <v>2</v>
      </c>
      <c r="D1094" s="7">
        <v>18</v>
      </c>
      <c r="E1094" s="6" t="s">
        <v>5296</v>
      </c>
      <c r="F1094" s="6" t="s">
        <v>4508</v>
      </c>
      <c r="G1094" s="6" t="s">
        <v>25</v>
      </c>
      <c r="H1094" s="8"/>
      <c r="I1094" s="8">
        <v>9174</v>
      </c>
      <c r="J1094" s="6" t="s">
        <v>5297</v>
      </c>
      <c r="K1094" s="6" t="s">
        <v>2247</v>
      </c>
      <c r="L1094" s="6" t="s">
        <v>4516</v>
      </c>
      <c r="M1094" s="6" t="s">
        <v>5082</v>
      </c>
      <c r="N1094" s="6" t="s">
        <v>2247</v>
      </c>
      <c r="O1094" s="29">
        <f t="shared" si="20"/>
        <v>9174</v>
      </c>
      <c r="Q1094" s="30" t="s">
        <v>2247</v>
      </c>
      <c r="R1094" s="31">
        <v>9632.7</v>
      </c>
    </row>
    <row r="1095" s="1" customFormat="1" ht="16.35" hidden="1" customHeight="1" spans="1:18">
      <c r="A1095" s="6" t="s">
        <v>4506</v>
      </c>
      <c r="B1095" s="6">
        <v>2019</v>
      </c>
      <c r="C1095" s="6">
        <v>2</v>
      </c>
      <c r="D1095" s="7">
        <v>19</v>
      </c>
      <c r="E1095" s="6" t="s">
        <v>5311</v>
      </c>
      <c r="F1095" s="6" t="s">
        <v>4508</v>
      </c>
      <c r="G1095" s="6" t="s">
        <v>25</v>
      </c>
      <c r="H1095" s="8"/>
      <c r="I1095" s="8">
        <v>18349</v>
      </c>
      <c r="J1095" s="6" t="s">
        <v>5312</v>
      </c>
      <c r="K1095" s="6" t="s">
        <v>2135</v>
      </c>
      <c r="L1095" s="6" t="s">
        <v>4516</v>
      </c>
      <c r="M1095" s="6" t="s">
        <v>5082</v>
      </c>
      <c r="N1095" s="6" t="s">
        <v>2135</v>
      </c>
      <c r="O1095" s="29">
        <f t="shared" si="20"/>
        <v>18349</v>
      </c>
      <c r="Q1095" s="30" t="s">
        <v>2135</v>
      </c>
      <c r="R1095" s="31">
        <v>19266.45</v>
      </c>
    </row>
    <row r="1096" s="1" customFormat="1" ht="16.35" hidden="1" customHeight="1" spans="1:18">
      <c r="A1096" s="6" t="s">
        <v>4506</v>
      </c>
      <c r="B1096" s="6">
        <v>2019</v>
      </c>
      <c r="C1096" s="6">
        <v>2</v>
      </c>
      <c r="D1096" s="7">
        <v>20</v>
      </c>
      <c r="E1096" s="6" t="s">
        <v>5319</v>
      </c>
      <c r="F1096" s="6" t="s">
        <v>4508</v>
      </c>
      <c r="G1096" s="6" t="s">
        <v>25</v>
      </c>
      <c r="H1096" s="8"/>
      <c r="I1096" s="8">
        <v>107798</v>
      </c>
      <c r="J1096" s="6" t="s">
        <v>5305</v>
      </c>
      <c r="K1096" s="6" t="s">
        <v>2791</v>
      </c>
      <c r="L1096" s="6" t="s">
        <v>4516</v>
      </c>
      <c r="M1096" s="6" t="s">
        <v>5082</v>
      </c>
      <c r="N1096" s="6" t="s">
        <v>2791</v>
      </c>
      <c r="O1096" s="29">
        <f t="shared" si="20"/>
        <v>107798</v>
      </c>
      <c r="Q1096" s="30" t="s">
        <v>2791</v>
      </c>
      <c r="R1096" s="31">
        <v>113187.9</v>
      </c>
    </row>
    <row r="1097" s="1" customFormat="1" ht="16.35" hidden="1" customHeight="1" spans="1:18">
      <c r="A1097" s="6" t="s">
        <v>4506</v>
      </c>
      <c r="B1097" s="6">
        <v>2019</v>
      </c>
      <c r="C1097" s="6">
        <v>2</v>
      </c>
      <c r="D1097" s="7">
        <v>21</v>
      </c>
      <c r="E1097" s="6" t="s">
        <v>5253</v>
      </c>
      <c r="F1097" s="6" t="s">
        <v>4508</v>
      </c>
      <c r="G1097" s="6" t="s">
        <v>25</v>
      </c>
      <c r="H1097" s="8"/>
      <c r="I1097" s="8">
        <v>73394</v>
      </c>
      <c r="J1097" s="6" t="s">
        <v>5254</v>
      </c>
      <c r="K1097" s="6" t="s">
        <v>2271</v>
      </c>
      <c r="L1097" s="6" t="s">
        <v>4516</v>
      </c>
      <c r="M1097" s="6" t="s">
        <v>5082</v>
      </c>
      <c r="N1097" s="6" t="s">
        <v>2271</v>
      </c>
      <c r="O1097" s="29">
        <f t="shared" si="20"/>
        <v>73394</v>
      </c>
      <c r="Q1097" s="30" t="s">
        <v>2271</v>
      </c>
      <c r="R1097" s="31">
        <v>77063.7</v>
      </c>
    </row>
    <row r="1098" s="1" customFormat="1" ht="16.35" hidden="1" customHeight="1" spans="1:19">
      <c r="A1098" s="6" t="s">
        <v>4506</v>
      </c>
      <c r="B1098" s="6">
        <v>2019</v>
      </c>
      <c r="C1098" s="6">
        <v>2</v>
      </c>
      <c r="D1098" s="7">
        <v>22</v>
      </c>
      <c r="E1098" s="6" t="s">
        <v>5320</v>
      </c>
      <c r="F1098" s="6" t="s">
        <v>4508</v>
      </c>
      <c r="G1098" s="6" t="s">
        <v>25</v>
      </c>
      <c r="H1098" s="8"/>
      <c r="I1098" s="8">
        <v>190476</v>
      </c>
      <c r="J1098" s="6" t="s">
        <v>4094</v>
      </c>
      <c r="K1098" s="6" t="s">
        <v>5079</v>
      </c>
      <c r="L1098" s="6" t="s">
        <v>4510</v>
      </c>
      <c r="M1098" s="6" t="s">
        <v>4511</v>
      </c>
      <c r="N1098" s="6" t="s">
        <v>5079</v>
      </c>
      <c r="O1098" s="29">
        <f>I1098*1.05</f>
        <v>199999.8</v>
      </c>
      <c r="Q1098" s="30" t="s">
        <v>5079</v>
      </c>
      <c r="R1098" s="31">
        <v>199999.8</v>
      </c>
      <c r="S1098" s="25">
        <v>9524</v>
      </c>
    </row>
    <row r="1099" s="1" customFormat="1" ht="16.35" hidden="1" customHeight="1" spans="1:18">
      <c r="A1099" s="6" t="s">
        <v>4506</v>
      </c>
      <c r="B1099" s="6">
        <v>2019</v>
      </c>
      <c r="C1099" s="6">
        <v>2</v>
      </c>
      <c r="D1099" s="7">
        <v>22</v>
      </c>
      <c r="E1099" s="6" t="s">
        <v>5320</v>
      </c>
      <c r="F1099" s="6" t="s">
        <v>4508</v>
      </c>
      <c r="G1099" s="6" t="s">
        <v>25</v>
      </c>
      <c r="H1099" s="8"/>
      <c r="I1099" s="8">
        <v>190476</v>
      </c>
      <c r="J1099" s="6" t="s">
        <v>5321</v>
      </c>
      <c r="K1099" s="6" t="s">
        <v>5322</v>
      </c>
      <c r="L1099" s="6" t="s">
        <v>4510</v>
      </c>
      <c r="M1099" s="6" t="s">
        <v>4511</v>
      </c>
      <c r="N1099" s="6" t="s">
        <v>5322</v>
      </c>
      <c r="O1099" s="29">
        <f>I1099*1.05</f>
        <v>199999.8</v>
      </c>
      <c r="Q1099" s="30" t="s">
        <v>5322</v>
      </c>
      <c r="R1099" s="31">
        <v>199999.8</v>
      </c>
    </row>
    <row r="1100" s="1" customFormat="1" ht="16.35" hidden="1" customHeight="1" spans="1:18">
      <c r="A1100" s="6" t="s">
        <v>4506</v>
      </c>
      <c r="B1100" s="6">
        <v>2019</v>
      </c>
      <c r="C1100" s="6">
        <v>2</v>
      </c>
      <c r="D1100" s="7">
        <v>23</v>
      </c>
      <c r="E1100" s="6" t="s">
        <v>5154</v>
      </c>
      <c r="F1100" s="6" t="s">
        <v>4508</v>
      </c>
      <c r="G1100" s="6" t="s">
        <v>25</v>
      </c>
      <c r="H1100" s="8"/>
      <c r="I1100" s="8">
        <v>61865</v>
      </c>
      <c r="J1100" s="6" t="s">
        <v>5155</v>
      </c>
      <c r="K1100" s="6" t="s">
        <v>2195</v>
      </c>
      <c r="L1100" s="6" t="s">
        <v>4516</v>
      </c>
      <c r="M1100" s="6" t="s">
        <v>5082</v>
      </c>
      <c r="N1100" s="6" t="s">
        <v>2195</v>
      </c>
      <c r="O1100" s="29">
        <f>I1100</f>
        <v>61865</v>
      </c>
      <c r="Q1100" s="30" t="s">
        <v>2195</v>
      </c>
      <c r="R1100" s="31">
        <v>64958.25</v>
      </c>
    </row>
    <row r="1101" s="1" customFormat="1" ht="16.35" hidden="1" customHeight="1" spans="1:18">
      <c r="A1101" s="6" t="s">
        <v>4506</v>
      </c>
      <c r="B1101" s="6">
        <v>2019</v>
      </c>
      <c r="C1101" s="6">
        <v>2</v>
      </c>
      <c r="D1101" s="7">
        <v>24</v>
      </c>
      <c r="E1101" s="6" t="s">
        <v>5174</v>
      </c>
      <c r="F1101" s="6" t="s">
        <v>4508</v>
      </c>
      <c r="G1101" s="6" t="s">
        <v>25</v>
      </c>
      <c r="H1101" s="8"/>
      <c r="I1101" s="8">
        <v>16514</v>
      </c>
      <c r="J1101" s="6" t="s">
        <v>4112</v>
      </c>
      <c r="K1101" s="6" t="s">
        <v>2101</v>
      </c>
      <c r="L1101" s="6" t="s">
        <v>4516</v>
      </c>
      <c r="M1101" s="6" t="s">
        <v>5082</v>
      </c>
      <c r="N1101" s="6" t="s">
        <v>2101</v>
      </c>
      <c r="O1101" s="29">
        <f>I1101</f>
        <v>16514</v>
      </c>
      <c r="Q1101" s="30" t="s">
        <v>2101</v>
      </c>
      <c r="R1101" s="31">
        <v>17339.7</v>
      </c>
    </row>
    <row r="1102" s="1" customFormat="1" ht="16.35" hidden="1" customHeight="1" spans="1:18">
      <c r="A1102" s="6" t="s">
        <v>4506</v>
      </c>
      <c r="B1102" s="6">
        <v>2019</v>
      </c>
      <c r="C1102" s="6">
        <v>2</v>
      </c>
      <c r="D1102" s="7">
        <v>25</v>
      </c>
      <c r="E1102" s="6" t="s">
        <v>5323</v>
      </c>
      <c r="F1102" s="6" t="s">
        <v>4508</v>
      </c>
      <c r="G1102" s="6" t="s">
        <v>25</v>
      </c>
      <c r="H1102" s="8"/>
      <c r="I1102" s="8">
        <v>137615</v>
      </c>
      <c r="J1102" s="6" t="s">
        <v>5178</v>
      </c>
      <c r="K1102" s="6" t="s">
        <v>2818</v>
      </c>
      <c r="L1102" s="6" t="s">
        <v>4516</v>
      </c>
      <c r="M1102" s="6" t="s">
        <v>5082</v>
      </c>
      <c r="N1102" s="6" t="s">
        <v>2818</v>
      </c>
      <c r="O1102" s="29">
        <f>I1102</f>
        <v>137615</v>
      </c>
      <c r="Q1102" s="30" t="s">
        <v>2818</v>
      </c>
      <c r="R1102" s="31">
        <v>144495.75</v>
      </c>
    </row>
    <row r="1103" s="1" customFormat="1" ht="16.35" hidden="1" customHeight="1" spans="1:18">
      <c r="A1103" s="6" t="s">
        <v>4506</v>
      </c>
      <c r="B1103" s="6">
        <v>2019</v>
      </c>
      <c r="C1103" s="6">
        <v>2</v>
      </c>
      <c r="D1103" s="7">
        <v>26</v>
      </c>
      <c r="E1103" s="6" t="s">
        <v>5324</v>
      </c>
      <c r="F1103" s="6" t="s">
        <v>4508</v>
      </c>
      <c r="G1103" s="6" t="s">
        <v>25</v>
      </c>
      <c r="H1103" s="8"/>
      <c r="I1103" s="8">
        <v>123853</v>
      </c>
      <c r="J1103" s="6" t="s">
        <v>5325</v>
      </c>
      <c r="K1103" s="6" t="s">
        <v>2774</v>
      </c>
      <c r="L1103" s="6" t="s">
        <v>4516</v>
      </c>
      <c r="M1103" s="6" t="s">
        <v>5082</v>
      </c>
      <c r="N1103" s="6" t="s">
        <v>2774</v>
      </c>
      <c r="O1103" s="29">
        <f>I1103</f>
        <v>123853</v>
      </c>
      <c r="Q1103" s="30" t="s">
        <v>2774</v>
      </c>
      <c r="R1103" s="31">
        <v>130045.65</v>
      </c>
    </row>
    <row r="1104" s="2" customFormat="1" ht="16.35" hidden="1" customHeight="1" spans="1:18">
      <c r="A1104" s="10" t="s">
        <v>4506</v>
      </c>
      <c r="B1104" s="10">
        <v>2019</v>
      </c>
      <c r="C1104" s="10">
        <v>2</v>
      </c>
      <c r="D1104" s="11">
        <v>27</v>
      </c>
      <c r="E1104" s="10" t="s">
        <v>5326</v>
      </c>
      <c r="F1104" s="10" t="s">
        <v>4508</v>
      </c>
      <c r="G1104" s="10" t="s">
        <v>25</v>
      </c>
      <c r="H1104" s="12"/>
      <c r="I1104" s="12">
        <v>77992</v>
      </c>
      <c r="J1104" s="10" t="s">
        <v>3768</v>
      </c>
      <c r="K1104" s="10" t="s">
        <v>317</v>
      </c>
      <c r="L1104" s="10" t="s">
        <v>4510</v>
      </c>
      <c r="M1104" s="10" t="s">
        <v>4511</v>
      </c>
      <c r="N1104" s="10" t="s">
        <v>317</v>
      </c>
      <c r="O1104" s="33">
        <f>I1104*1.05</f>
        <v>81891.6</v>
      </c>
      <c r="Q1104" s="30" t="s">
        <v>317</v>
      </c>
      <c r="R1104" s="31">
        <v>81891.6</v>
      </c>
    </row>
    <row r="1105" s="1" customFormat="1" ht="16.35" hidden="1" customHeight="1" spans="1:18">
      <c r="A1105" s="6" t="s">
        <v>4506</v>
      </c>
      <c r="B1105" s="6">
        <v>2019</v>
      </c>
      <c r="C1105" s="6">
        <v>3</v>
      </c>
      <c r="D1105" s="7">
        <v>1</v>
      </c>
      <c r="E1105" s="6" t="s">
        <v>5327</v>
      </c>
      <c r="F1105" s="6" t="s">
        <v>4508</v>
      </c>
      <c r="G1105" s="6" t="s">
        <v>25</v>
      </c>
      <c r="H1105" s="8"/>
      <c r="I1105" s="8">
        <v>101</v>
      </c>
      <c r="J1105" s="6" t="s">
        <v>5222</v>
      </c>
      <c r="K1105" s="6" t="s">
        <v>1965</v>
      </c>
      <c r="L1105" s="6" t="s">
        <v>4516</v>
      </c>
      <c r="M1105" s="6" t="s">
        <v>5082</v>
      </c>
      <c r="N1105" s="6" t="s">
        <v>1965</v>
      </c>
      <c r="O1105" s="29">
        <f t="shared" ref="O1105:O1145" si="21">I1105</f>
        <v>101</v>
      </c>
      <c r="Q1105" s="30" t="s">
        <v>1965</v>
      </c>
      <c r="R1105" s="31">
        <v>106.05</v>
      </c>
    </row>
    <row r="1106" s="1" customFormat="1" ht="16.35" hidden="1" customHeight="1" spans="1:18">
      <c r="A1106" s="6" t="s">
        <v>4506</v>
      </c>
      <c r="B1106" s="6">
        <v>2019</v>
      </c>
      <c r="C1106" s="6">
        <v>3</v>
      </c>
      <c r="D1106" s="7">
        <v>2</v>
      </c>
      <c r="E1106" s="6" t="s">
        <v>5150</v>
      </c>
      <c r="F1106" s="6" t="s">
        <v>4508</v>
      </c>
      <c r="G1106" s="6" t="s">
        <v>25</v>
      </c>
      <c r="H1106" s="8"/>
      <c r="I1106" s="8">
        <v>25688</v>
      </c>
      <c r="J1106" s="6" t="s">
        <v>5108</v>
      </c>
      <c r="K1106" s="6" t="s">
        <v>2169</v>
      </c>
      <c r="L1106" s="6" t="s">
        <v>4516</v>
      </c>
      <c r="M1106" s="6" t="s">
        <v>5082</v>
      </c>
      <c r="N1106" s="6" t="s">
        <v>2169</v>
      </c>
      <c r="O1106" s="29">
        <f t="shared" si="21"/>
        <v>25688</v>
      </c>
      <c r="Q1106" s="30" t="s">
        <v>2169</v>
      </c>
      <c r="R1106" s="31">
        <v>26972.4</v>
      </c>
    </row>
    <row r="1107" s="1" customFormat="1" ht="16.35" hidden="1" customHeight="1" spans="1:18">
      <c r="A1107" s="6" t="s">
        <v>4506</v>
      </c>
      <c r="B1107" s="6">
        <v>2019</v>
      </c>
      <c r="C1107" s="6">
        <v>3</v>
      </c>
      <c r="D1107" s="7">
        <v>3</v>
      </c>
      <c r="E1107" s="6" t="s">
        <v>5328</v>
      </c>
      <c r="F1107" s="6" t="s">
        <v>4508</v>
      </c>
      <c r="G1107" s="6" t="s">
        <v>25</v>
      </c>
      <c r="H1107" s="8"/>
      <c r="I1107" s="8">
        <v>1835</v>
      </c>
      <c r="J1107" s="6" t="s">
        <v>5276</v>
      </c>
      <c r="K1107" s="6" t="s">
        <v>2807</v>
      </c>
      <c r="L1107" s="6" t="s">
        <v>4516</v>
      </c>
      <c r="M1107" s="6" t="s">
        <v>5082</v>
      </c>
      <c r="N1107" s="6" t="s">
        <v>2807</v>
      </c>
      <c r="O1107" s="29">
        <f t="shared" si="21"/>
        <v>1835</v>
      </c>
      <c r="Q1107" s="30" t="s">
        <v>2807</v>
      </c>
      <c r="R1107" s="31">
        <v>1926.75</v>
      </c>
    </row>
    <row r="1108" s="1" customFormat="1" ht="16.35" hidden="1" customHeight="1" spans="1:18">
      <c r="A1108" s="6" t="s">
        <v>4506</v>
      </c>
      <c r="B1108" s="6">
        <v>2019</v>
      </c>
      <c r="C1108" s="6">
        <v>3</v>
      </c>
      <c r="D1108" s="7">
        <v>4</v>
      </c>
      <c r="E1108" s="6" t="s">
        <v>5306</v>
      </c>
      <c r="F1108" s="6" t="s">
        <v>4508</v>
      </c>
      <c r="G1108" s="6" t="s">
        <v>25</v>
      </c>
      <c r="H1108" s="8"/>
      <c r="I1108" s="8">
        <v>47946</v>
      </c>
      <c r="J1108" s="6" t="s">
        <v>5307</v>
      </c>
      <c r="K1108" s="6" t="s">
        <v>2211</v>
      </c>
      <c r="L1108" s="6" t="s">
        <v>4516</v>
      </c>
      <c r="M1108" s="6" t="s">
        <v>5082</v>
      </c>
      <c r="N1108" s="6" t="s">
        <v>2211</v>
      </c>
      <c r="O1108" s="29">
        <f t="shared" si="21"/>
        <v>47946</v>
      </c>
      <c r="Q1108" s="30" t="s">
        <v>2211</v>
      </c>
      <c r="R1108" s="31">
        <v>50343.3</v>
      </c>
    </row>
    <row r="1109" s="1" customFormat="1" ht="16.35" hidden="1" customHeight="1" spans="1:18">
      <c r="A1109" s="6" t="s">
        <v>4506</v>
      </c>
      <c r="B1109" s="6">
        <v>2019</v>
      </c>
      <c r="C1109" s="6">
        <v>3</v>
      </c>
      <c r="D1109" s="7">
        <v>5</v>
      </c>
      <c r="E1109" s="6" t="s">
        <v>5221</v>
      </c>
      <c r="F1109" s="6" t="s">
        <v>4508</v>
      </c>
      <c r="G1109" s="6" t="s">
        <v>25</v>
      </c>
      <c r="H1109" s="8"/>
      <c r="I1109" s="8">
        <v>56881</v>
      </c>
      <c r="J1109" s="6" t="s">
        <v>5222</v>
      </c>
      <c r="K1109" s="6" t="s">
        <v>1965</v>
      </c>
      <c r="L1109" s="6" t="s">
        <v>4516</v>
      </c>
      <c r="M1109" s="6" t="s">
        <v>5082</v>
      </c>
      <c r="N1109" s="6" t="s">
        <v>1965</v>
      </c>
      <c r="O1109" s="29">
        <f t="shared" si="21"/>
        <v>56881</v>
      </c>
      <c r="Q1109" s="30" t="s">
        <v>1965</v>
      </c>
      <c r="R1109" s="31">
        <v>59725.05</v>
      </c>
    </row>
    <row r="1110" s="1" customFormat="1" ht="16.35" hidden="1" customHeight="1" spans="1:18">
      <c r="A1110" s="6" t="s">
        <v>4506</v>
      </c>
      <c r="B1110" s="6">
        <v>2019</v>
      </c>
      <c r="C1110" s="6">
        <v>3</v>
      </c>
      <c r="D1110" s="7">
        <v>6</v>
      </c>
      <c r="E1110" s="6" t="s">
        <v>5270</v>
      </c>
      <c r="F1110" s="6" t="s">
        <v>4508</v>
      </c>
      <c r="G1110" s="6" t="s">
        <v>25</v>
      </c>
      <c r="H1110" s="8"/>
      <c r="I1110" s="8">
        <v>34404</v>
      </c>
      <c r="J1110" s="6" t="s">
        <v>5271</v>
      </c>
      <c r="K1110" s="6" t="s">
        <v>2778</v>
      </c>
      <c r="L1110" s="6" t="s">
        <v>4516</v>
      </c>
      <c r="M1110" s="6" t="s">
        <v>5082</v>
      </c>
      <c r="N1110" s="6" t="s">
        <v>2778</v>
      </c>
      <c r="O1110" s="29">
        <f t="shared" si="21"/>
        <v>34404</v>
      </c>
      <c r="Q1110" s="30" t="s">
        <v>2778</v>
      </c>
      <c r="R1110" s="31">
        <v>36124.2</v>
      </c>
    </row>
    <row r="1111" s="1" customFormat="1" ht="16.35" hidden="1" customHeight="1" spans="1:18">
      <c r="A1111" s="6" t="s">
        <v>4506</v>
      </c>
      <c r="B1111" s="6">
        <v>2019</v>
      </c>
      <c r="C1111" s="6">
        <v>3</v>
      </c>
      <c r="D1111" s="7">
        <v>7</v>
      </c>
      <c r="E1111" s="6" t="s">
        <v>5329</v>
      </c>
      <c r="F1111" s="6" t="s">
        <v>4508</v>
      </c>
      <c r="G1111" s="6" t="s">
        <v>25</v>
      </c>
      <c r="H1111" s="8"/>
      <c r="I1111" s="8">
        <v>27523</v>
      </c>
      <c r="J1111" s="6" t="s">
        <v>5330</v>
      </c>
      <c r="K1111" s="6" t="s">
        <v>2251</v>
      </c>
      <c r="L1111" s="6" t="s">
        <v>4516</v>
      </c>
      <c r="M1111" s="6" t="s">
        <v>5082</v>
      </c>
      <c r="N1111" s="6" t="s">
        <v>2251</v>
      </c>
      <c r="O1111" s="29">
        <f t="shared" si="21"/>
        <v>27523</v>
      </c>
      <c r="Q1111" s="30" t="s">
        <v>2251</v>
      </c>
      <c r="R1111" s="31">
        <v>28899.15</v>
      </c>
    </row>
    <row r="1112" s="1" customFormat="1" ht="16.35" hidden="1" customHeight="1" spans="1:18">
      <c r="A1112" s="6" t="s">
        <v>4506</v>
      </c>
      <c r="B1112" s="6">
        <v>2019</v>
      </c>
      <c r="C1112" s="6">
        <v>3</v>
      </c>
      <c r="D1112" s="7">
        <v>8</v>
      </c>
      <c r="E1112" s="6" t="s">
        <v>5329</v>
      </c>
      <c r="F1112" s="6" t="s">
        <v>4508</v>
      </c>
      <c r="G1112" s="6" t="s">
        <v>25</v>
      </c>
      <c r="H1112" s="8"/>
      <c r="I1112" s="8">
        <v>917</v>
      </c>
      <c r="J1112" s="6" t="s">
        <v>5330</v>
      </c>
      <c r="K1112" s="6" t="s">
        <v>2251</v>
      </c>
      <c r="L1112" s="6" t="s">
        <v>4516</v>
      </c>
      <c r="M1112" s="6" t="s">
        <v>5082</v>
      </c>
      <c r="N1112" s="6" t="s">
        <v>2251</v>
      </c>
      <c r="O1112" s="29">
        <f t="shared" si="21"/>
        <v>917</v>
      </c>
      <c r="Q1112" s="30" t="s">
        <v>2251</v>
      </c>
      <c r="R1112" s="31">
        <v>962.85</v>
      </c>
    </row>
    <row r="1113" s="1" customFormat="1" ht="16.35" hidden="1" customHeight="1" spans="1:18">
      <c r="A1113" s="6" t="s">
        <v>4506</v>
      </c>
      <c r="B1113" s="6">
        <v>2019</v>
      </c>
      <c r="C1113" s="6">
        <v>3</v>
      </c>
      <c r="D1113" s="7">
        <v>9</v>
      </c>
      <c r="E1113" s="6" t="s">
        <v>5226</v>
      </c>
      <c r="F1113" s="6" t="s">
        <v>4508</v>
      </c>
      <c r="G1113" s="6" t="s">
        <v>25</v>
      </c>
      <c r="H1113" s="8"/>
      <c r="I1113" s="8">
        <v>46083</v>
      </c>
      <c r="J1113" s="6" t="s">
        <v>5227</v>
      </c>
      <c r="K1113" s="6" t="s">
        <v>2119</v>
      </c>
      <c r="L1113" s="6" t="s">
        <v>4516</v>
      </c>
      <c r="M1113" s="6" t="s">
        <v>5082</v>
      </c>
      <c r="N1113" s="6" t="s">
        <v>2119</v>
      </c>
      <c r="O1113" s="29">
        <f t="shared" si="21"/>
        <v>46083</v>
      </c>
      <c r="Q1113" s="30" t="s">
        <v>2119</v>
      </c>
      <c r="R1113" s="31">
        <v>48387.15</v>
      </c>
    </row>
    <row r="1114" s="1" customFormat="1" ht="16.35" hidden="1" customHeight="1" spans="1:18">
      <c r="A1114" s="6" t="s">
        <v>4506</v>
      </c>
      <c r="B1114" s="6">
        <v>2019</v>
      </c>
      <c r="C1114" s="6">
        <v>3</v>
      </c>
      <c r="D1114" s="7">
        <v>10</v>
      </c>
      <c r="E1114" s="6" t="s">
        <v>5311</v>
      </c>
      <c r="F1114" s="6" t="s">
        <v>4508</v>
      </c>
      <c r="G1114" s="6" t="s">
        <v>25</v>
      </c>
      <c r="H1114" s="8"/>
      <c r="I1114" s="8">
        <v>57734</v>
      </c>
      <c r="J1114" s="6" t="s">
        <v>5312</v>
      </c>
      <c r="K1114" s="6" t="s">
        <v>2135</v>
      </c>
      <c r="L1114" s="6" t="s">
        <v>4516</v>
      </c>
      <c r="M1114" s="6" t="s">
        <v>5082</v>
      </c>
      <c r="N1114" s="6" t="s">
        <v>2135</v>
      </c>
      <c r="O1114" s="29">
        <f t="shared" si="21"/>
        <v>57734</v>
      </c>
      <c r="Q1114" s="30" t="s">
        <v>2135</v>
      </c>
      <c r="R1114" s="31">
        <v>60620.7</v>
      </c>
    </row>
    <row r="1115" s="1" customFormat="1" ht="16.35" hidden="1" customHeight="1" spans="1:18">
      <c r="A1115" s="6" t="s">
        <v>4506</v>
      </c>
      <c r="B1115" s="6">
        <v>2019</v>
      </c>
      <c r="C1115" s="6">
        <v>3</v>
      </c>
      <c r="D1115" s="7">
        <v>11</v>
      </c>
      <c r="E1115" s="6" t="s">
        <v>5292</v>
      </c>
      <c r="F1115" s="6" t="s">
        <v>4508</v>
      </c>
      <c r="G1115" s="6" t="s">
        <v>25</v>
      </c>
      <c r="H1115" s="8"/>
      <c r="I1115" s="8">
        <v>73394</v>
      </c>
      <c r="J1115" s="6" t="s">
        <v>5293</v>
      </c>
      <c r="K1115" s="6" t="s">
        <v>2093</v>
      </c>
      <c r="L1115" s="6" t="s">
        <v>4516</v>
      </c>
      <c r="M1115" s="6" t="s">
        <v>5082</v>
      </c>
      <c r="N1115" s="6" t="s">
        <v>2093</v>
      </c>
      <c r="O1115" s="29">
        <f t="shared" si="21"/>
        <v>73394</v>
      </c>
      <c r="Q1115" s="30" t="s">
        <v>2093</v>
      </c>
      <c r="R1115" s="31">
        <v>77063.7</v>
      </c>
    </row>
    <row r="1116" s="1" customFormat="1" ht="16.35" hidden="1" customHeight="1" spans="1:18">
      <c r="A1116" s="6" t="s">
        <v>4506</v>
      </c>
      <c r="B1116" s="6">
        <v>2019</v>
      </c>
      <c r="C1116" s="6">
        <v>3</v>
      </c>
      <c r="D1116" s="7">
        <v>12</v>
      </c>
      <c r="E1116" s="6" t="s">
        <v>5331</v>
      </c>
      <c r="F1116" s="6" t="s">
        <v>4508</v>
      </c>
      <c r="G1116" s="6" t="s">
        <v>25</v>
      </c>
      <c r="H1116" s="8"/>
      <c r="I1116" s="8">
        <v>6422</v>
      </c>
      <c r="J1116" s="6" t="s">
        <v>5239</v>
      </c>
      <c r="K1116" s="6" t="s">
        <v>2233</v>
      </c>
      <c r="L1116" s="6" t="s">
        <v>4516</v>
      </c>
      <c r="M1116" s="6" t="s">
        <v>5082</v>
      </c>
      <c r="N1116" s="6" t="s">
        <v>2233</v>
      </c>
      <c r="O1116" s="29">
        <f t="shared" si="21"/>
        <v>6422</v>
      </c>
      <c r="Q1116" s="30" t="s">
        <v>2233</v>
      </c>
      <c r="R1116" s="31">
        <v>6743.1</v>
      </c>
    </row>
    <row r="1117" s="1" customFormat="1" ht="16.35" hidden="1" customHeight="1" spans="1:18">
      <c r="A1117" s="6" t="s">
        <v>4506</v>
      </c>
      <c r="B1117" s="6">
        <v>2019</v>
      </c>
      <c r="C1117" s="6">
        <v>3</v>
      </c>
      <c r="D1117" s="7">
        <v>13</v>
      </c>
      <c r="E1117" s="6" t="s">
        <v>5332</v>
      </c>
      <c r="F1117" s="6" t="s">
        <v>4508</v>
      </c>
      <c r="G1117" s="6" t="s">
        <v>25</v>
      </c>
      <c r="H1117" s="8"/>
      <c r="I1117" s="8">
        <v>29963</v>
      </c>
      <c r="J1117" s="6" t="s">
        <v>5235</v>
      </c>
      <c r="K1117" s="6" t="s">
        <v>2059</v>
      </c>
      <c r="L1117" s="6" t="s">
        <v>4516</v>
      </c>
      <c r="M1117" s="6" t="s">
        <v>5082</v>
      </c>
      <c r="N1117" s="6" t="s">
        <v>2059</v>
      </c>
      <c r="O1117" s="29">
        <f t="shared" si="21"/>
        <v>29963</v>
      </c>
      <c r="Q1117" s="30" t="s">
        <v>2059</v>
      </c>
      <c r="R1117" s="31">
        <v>31461.15</v>
      </c>
    </row>
    <row r="1118" s="1" customFormat="1" ht="16.35" hidden="1" customHeight="1" spans="1:18">
      <c r="A1118" s="6" t="s">
        <v>4506</v>
      </c>
      <c r="B1118" s="6">
        <v>2019</v>
      </c>
      <c r="C1118" s="6">
        <v>3</v>
      </c>
      <c r="D1118" s="7">
        <v>14</v>
      </c>
      <c r="E1118" s="6" t="s">
        <v>5333</v>
      </c>
      <c r="F1118" s="6" t="s">
        <v>4508</v>
      </c>
      <c r="G1118" s="6" t="s">
        <v>25</v>
      </c>
      <c r="H1118" s="8"/>
      <c r="I1118" s="8">
        <v>1835</v>
      </c>
      <c r="J1118" s="6" t="s">
        <v>5287</v>
      </c>
      <c r="K1118" s="6" t="s">
        <v>2079</v>
      </c>
      <c r="L1118" s="6" t="s">
        <v>4516</v>
      </c>
      <c r="M1118" s="6" t="s">
        <v>5082</v>
      </c>
      <c r="N1118" s="6" t="s">
        <v>2079</v>
      </c>
      <c r="O1118" s="29">
        <f t="shared" si="21"/>
        <v>1835</v>
      </c>
      <c r="Q1118" s="30" t="s">
        <v>2079</v>
      </c>
      <c r="R1118" s="31">
        <v>1926.75</v>
      </c>
    </row>
    <row r="1119" s="1" customFormat="1" ht="16.35" hidden="1" customHeight="1" spans="1:18">
      <c r="A1119" s="6" t="s">
        <v>4506</v>
      </c>
      <c r="B1119" s="6">
        <v>2019</v>
      </c>
      <c r="C1119" s="6">
        <v>3</v>
      </c>
      <c r="D1119" s="7">
        <v>15</v>
      </c>
      <c r="E1119" s="6" t="s">
        <v>5242</v>
      </c>
      <c r="F1119" s="6" t="s">
        <v>4508</v>
      </c>
      <c r="G1119" s="6" t="s">
        <v>25</v>
      </c>
      <c r="H1119" s="8"/>
      <c r="I1119" s="8">
        <v>85321</v>
      </c>
      <c r="J1119" s="6" t="s">
        <v>5243</v>
      </c>
      <c r="K1119" s="6" t="s">
        <v>2787</v>
      </c>
      <c r="L1119" s="6" t="s">
        <v>4516</v>
      </c>
      <c r="M1119" s="6" t="s">
        <v>5082</v>
      </c>
      <c r="N1119" s="6" t="s">
        <v>2787</v>
      </c>
      <c r="O1119" s="29">
        <f t="shared" si="21"/>
        <v>85321</v>
      </c>
      <c r="Q1119" s="30" t="s">
        <v>2787</v>
      </c>
      <c r="R1119" s="31">
        <v>89587.05</v>
      </c>
    </row>
    <row r="1120" s="1" customFormat="1" ht="16.35" hidden="1" customHeight="1" spans="1:18">
      <c r="A1120" s="6" t="s">
        <v>4506</v>
      </c>
      <c r="B1120" s="6">
        <v>2019</v>
      </c>
      <c r="C1120" s="6">
        <v>3</v>
      </c>
      <c r="D1120" s="7">
        <v>16</v>
      </c>
      <c r="E1120" s="6" t="s">
        <v>5334</v>
      </c>
      <c r="F1120" s="6" t="s">
        <v>4508</v>
      </c>
      <c r="G1120" s="6" t="s">
        <v>25</v>
      </c>
      <c r="H1120" s="8"/>
      <c r="I1120" s="12">
        <v>41729</v>
      </c>
      <c r="J1120" s="6" t="s">
        <v>5335</v>
      </c>
      <c r="K1120" s="6" t="s">
        <v>2181</v>
      </c>
      <c r="L1120" s="6" t="s">
        <v>4516</v>
      </c>
      <c r="M1120" s="6" t="s">
        <v>5082</v>
      </c>
      <c r="N1120" s="6" t="s">
        <v>2181</v>
      </c>
      <c r="O1120" s="29">
        <f t="shared" si="21"/>
        <v>41729</v>
      </c>
      <c r="Q1120" s="30" t="s">
        <v>2181</v>
      </c>
      <c r="R1120" s="31">
        <v>41729</v>
      </c>
    </row>
    <row r="1121" s="1" customFormat="1" ht="16.35" hidden="1" customHeight="1" spans="1:18">
      <c r="A1121" s="6" t="s">
        <v>4506</v>
      </c>
      <c r="B1121" s="6">
        <v>2019</v>
      </c>
      <c r="C1121" s="6">
        <v>3</v>
      </c>
      <c r="D1121" s="7">
        <v>17</v>
      </c>
      <c r="E1121" s="6" t="s">
        <v>5336</v>
      </c>
      <c r="F1121" s="6" t="s">
        <v>4508</v>
      </c>
      <c r="G1121" s="6" t="s">
        <v>25</v>
      </c>
      <c r="H1121" s="8"/>
      <c r="I1121" s="8">
        <v>242239</v>
      </c>
      <c r="J1121" s="6" t="s">
        <v>5241</v>
      </c>
      <c r="K1121" s="6" t="s">
        <v>2764</v>
      </c>
      <c r="L1121" s="6" t="s">
        <v>4516</v>
      </c>
      <c r="M1121" s="6" t="s">
        <v>5082</v>
      </c>
      <c r="N1121" s="6" t="s">
        <v>2764</v>
      </c>
      <c r="O1121" s="29">
        <f t="shared" si="21"/>
        <v>242239</v>
      </c>
      <c r="Q1121" s="30" t="s">
        <v>2764</v>
      </c>
      <c r="R1121" s="31">
        <v>254350.95</v>
      </c>
    </row>
    <row r="1122" s="1" customFormat="1" ht="16.35" hidden="1" customHeight="1" spans="1:18">
      <c r="A1122" s="6" t="s">
        <v>4506</v>
      </c>
      <c r="B1122" s="6">
        <v>2019</v>
      </c>
      <c r="C1122" s="6">
        <v>3</v>
      </c>
      <c r="D1122" s="7">
        <v>18</v>
      </c>
      <c r="E1122" s="6" t="s">
        <v>5269</v>
      </c>
      <c r="F1122" s="6" t="s">
        <v>4508</v>
      </c>
      <c r="G1122" s="6" t="s">
        <v>25</v>
      </c>
      <c r="H1122" s="8"/>
      <c r="I1122" s="8">
        <v>39685</v>
      </c>
      <c r="J1122" s="6" t="s">
        <v>5136</v>
      </c>
      <c r="K1122" s="6" t="s">
        <v>2089</v>
      </c>
      <c r="L1122" s="6" t="s">
        <v>4516</v>
      </c>
      <c r="M1122" s="6" t="s">
        <v>5082</v>
      </c>
      <c r="N1122" s="6" t="s">
        <v>2089</v>
      </c>
      <c r="O1122" s="29">
        <f t="shared" si="21"/>
        <v>39685</v>
      </c>
      <c r="Q1122" s="30" t="s">
        <v>2089</v>
      </c>
      <c r="R1122" s="31">
        <v>41669.25</v>
      </c>
    </row>
    <row r="1123" s="1" customFormat="1" ht="16.35" hidden="1" customHeight="1" spans="1:18">
      <c r="A1123" s="6" t="s">
        <v>4506</v>
      </c>
      <c r="B1123" s="6">
        <v>2019</v>
      </c>
      <c r="C1123" s="6">
        <v>3</v>
      </c>
      <c r="D1123" s="7">
        <v>19</v>
      </c>
      <c r="E1123" s="6" t="s">
        <v>5190</v>
      </c>
      <c r="F1123" s="6" t="s">
        <v>4508</v>
      </c>
      <c r="G1123" s="6" t="s">
        <v>25</v>
      </c>
      <c r="H1123" s="8"/>
      <c r="I1123" s="8">
        <v>4587</v>
      </c>
      <c r="J1123" s="6" t="s">
        <v>5191</v>
      </c>
      <c r="K1123" s="6" t="s">
        <v>2041</v>
      </c>
      <c r="L1123" s="6" t="s">
        <v>4516</v>
      </c>
      <c r="M1123" s="6" t="s">
        <v>5082</v>
      </c>
      <c r="N1123" s="6" t="s">
        <v>2041</v>
      </c>
      <c r="O1123" s="29">
        <f t="shared" si="21"/>
        <v>4587</v>
      </c>
      <c r="Q1123" s="30" t="s">
        <v>2041</v>
      </c>
      <c r="R1123" s="31">
        <v>4816.35</v>
      </c>
    </row>
    <row r="1124" s="1" customFormat="1" ht="16.35" hidden="1" customHeight="1" spans="1:18">
      <c r="A1124" s="6" t="s">
        <v>4506</v>
      </c>
      <c r="B1124" s="6">
        <v>2019</v>
      </c>
      <c r="C1124" s="6">
        <v>3</v>
      </c>
      <c r="D1124" s="7">
        <v>20</v>
      </c>
      <c r="E1124" s="6" t="s">
        <v>5337</v>
      </c>
      <c r="F1124" s="6" t="s">
        <v>4508</v>
      </c>
      <c r="G1124" s="6" t="s">
        <v>25</v>
      </c>
      <c r="H1124" s="8"/>
      <c r="I1124" s="8">
        <v>4587</v>
      </c>
      <c r="J1124" s="6" t="s">
        <v>5338</v>
      </c>
      <c r="K1124" s="6" t="s">
        <v>2109</v>
      </c>
      <c r="L1124" s="6" t="s">
        <v>4516</v>
      </c>
      <c r="M1124" s="6" t="s">
        <v>5082</v>
      </c>
      <c r="N1124" s="6" t="s">
        <v>2109</v>
      </c>
      <c r="O1124" s="29">
        <f t="shared" si="21"/>
        <v>4587</v>
      </c>
      <c r="Q1124" s="30" t="s">
        <v>2109</v>
      </c>
      <c r="R1124" s="31">
        <v>4816.35</v>
      </c>
    </row>
    <row r="1125" s="1" customFormat="1" ht="16.35" hidden="1" customHeight="1" spans="1:18">
      <c r="A1125" s="6" t="s">
        <v>4506</v>
      </c>
      <c r="B1125" s="6">
        <v>2019</v>
      </c>
      <c r="C1125" s="6">
        <v>3</v>
      </c>
      <c r="D1125" s="7">
        <v>21</v>
      </c>
      <c r="E1125" s="6" t="s">
        <v>5339</v>
      </c>
      <c r="F1125" s="6" t="s">
        <v>4508</v>
      </c>
      <c r="G1125" s="6" t="s">
        <v>25</v>
      </c>
      <c r="H1125" s="8"/>
      <c r="I1125" s="8">
        <v>55046</v>
      </c>
      <c r="J1125" s="6" t="s">
        <v>5340</v>
      </c>
      <c r="K1125" s="6" t="s">
        <v>2770</v>
      </c>
      <c r="L1125" s="6" t="s">
        <v>4516</v>
      </c>
      <c r="M1125" s="6" t="s">
        <v>5082</v>
      </c>
      <c r="N1125" s="6" t="s">
        <v>2770</v>
      </c>
      <c r="O1125" s="29">
        <f t="shared" si="21"/>
        <v>55046</v>
      </c>
      <c r="Q1125" s="30" t="s">
        <v>2770</v>
      </c>
      <c r="R1125" s="31">
        <v>57798.3</v>
      </c>
    </row>
    <row r="1126" s="1" customFormat="1" ht="16.35" hidden="1" customHeight="1" spans="1:18">
      <c r="A1126" s="6" t="s">
        <v>4506</v>
      </c>
      <c r="B1126" s="6">
        <v>2019</v>
      </c>
      <c r="C1126" s="6">
        <v>3</v>
      </c>
      <c r="D1126" s="7">
        <v>22</v>
      </c>
      <c r="E1126" s="6" t="s">
        <v>5341</v>
      </c>
      <c r="F1126" s="6" t="s">
        <v>4508</v>
      </c>
      <c r="G1126" s="6" t="s">
        <v>25</v>
      </c>
      <c r="H1126" s="8"/>
      <c r="I1126" s="8">
        <v>27523</v>
      </c>
      <c r="J1126" s="6" t="s">
        <v>5212</v>
      </c>
      <c r="K1126" s="6" t="s">
        <v>2229</v>
      </c>
      <c r="L1126" s="6" t="s">
        <v>4516</v>
      </c>
      <c r="M1126" s="6" t="s">
        <v>5082</v>
      </c>
      <c r="N1126" s="6" t="s">
        <v>2229</v>
      </c>
      <c r="O1126" s="29">
        <f t="shared" si="21"/>
        <v>27523</v>
      </c>
      <c r="Q1126" s="30" t="s">
        <v>2229</v>
      </c>
      <c r="R1126" s="31">
        <v>28899.15</v>
      </c>
    </row>
    <row r="1127" s="1" customFormat="1" ht="16.35" hidden="1" customHeight="1" spans="1:18">
      <c r="A1127" s="6" t="s">
        <v>4506</v>
      </c>
      <c r="B1127" s="6">
        <v>2019</v>
      </c>
      <c r="C1127" s="6">
        <v>3</v>
      </c>
      <c r="D1127" s="7">
        <v>23</v>
      </c>
      <c r="E1127" s="6" t="s">
        <v>5313</v>
      </c>
      <c r="F1127" s="6" t="s">
        <v>4508</v>
      </c>
      <c r="G1127" s="6" t="s">
        <v>25</v>
      </c>
      <c r="H1127" s="8"/>
      <c r="I1127" s="8">
        <v>60699</v>
      </c>
      <c r="J1127" s="6" t="s">
        <v>5314</v>
      </c>
      <c r="K1127" s="6" t="s">
        <v>1992</v>
      </c>
      <c r="L1127" s="6" t="s">
        <v>4516</v>
      </c>
      <c r="M1127" s="6" t="s">
        <v>5082</v>
      </c>
      <c r="N1127" s="6" t="s">
        <v>1992</v>
      </c>
      <c r="O1127" s="29">
        <f t="shared" si="21"/>
        <v>60699</v>
      </c>
      <c r="Q1127" s="30" t="s">
        <v>1992</v>
      </c>
      <c r="R1127" s="31">
        <v>63733.95</v>
      </c>
    </row>
    <row r="1128" s="1" customFormat="1" ht="16.35" hidden="1" customHeight="1" spans="1:18">
      <c r="A1128" s="6" t="s">
        <v>4506</v>
      </c>
      <c r="B1128" s="6">
        <v>2019</v>
      </c>
      <c r="C1128" s="6">
        <v>3</v>
      </c>
      <c r="D1128" s="7">
        <v>24</v>
      </c>
      <c r="E1128" s="6" t="s">
        <v>5329</v>
      </c>
      <c r="F1128" s="6" t="s">
        <v>4508</v>
      </c>
      <c r="G1128" s="6" t="s">
        <v>25</v>
      </c>
      <c r="H1128" s="8"/>
      <c r="I1128" s="8">
        <v>42823</v>
      </c>
      <c r="J1128" s="6" t="s">
        <v>5330</v>
      </c>
      <c r="K1128" s="6" t="s">
        <v>2251</v>
      </c>
      <c r="L1128" s="6" t="s">
        <v>4516</v>
      </c>
      <c r="M1128" s="6" t="s">
        <v>5082</v>
      </c>
      <c r="N1128" s="6" t="s">
        <v>2251</v>
      </c>
      <c r="O1128" s="29">
        <f t="shared" si="21"/>
        <v>42823</v>
      </c>
      <c r="Q1128" s="30" t="s">
        <v>2251</v>
      </c>
      <c r="R1128" s="31">
        <v>44964.15</v>
      </c>
    </row>
    <row r="1129" s="1" customFormat="1" ht="16.35" hidden="1" customHeight="1" spans="1:18">
      <c r="A1129" s="6" t="s">
        <v>4506</v>
      </c>
      <c r="B1129" s="6">
        <v>2019</v>
      </c>
      <c r="C1129" s="6">
        <v>3</v>
      </c>
      <c r="D1129" s="7">
        <v>25</v>
      </c>
      <c r="E1129" s="6" t="s">
        <v>5342</v>
      </c>
      <c r="F1129" s="6" t="s">
        <v>4508</v>
      </c>
      <c r="G1129" s="6" t="s">
        <v>25</v>
      </c>
      <c r="H1129" s="8"/>
      <c r="I1129" s="8">
        <v>7339</v>
      </c>
      <c r="J1129" s="6" t="s">
        <v>5176</v>
      </c>
      <c r="K1129" s="6" t="s">
        <v>2145</v>
      </c>
      <c r="L1129" s="6" t="s">
        <v>4516</v>
      </c>
      <c r="M1129" s="6" t="s">
        <v>5082</v>
      </c>
      <c r="N1129" s="6" t="s">
        <v>2145</v>
      </c>
      <c r="O1129" s="29">
        <f t="shared" si="21"/>
        <v>7339</v>
      </c>
      <c r="Q1129" s="30" t="s">
        <v>2145</v>
      </c>
      <c r="R1129" s="31">
        <v>7705.95</v>
      </c>
    </row>
    <row r="1130" s="1" customFormat="1" ht="16.35" hidden="1" customHeight="1" spans="1:18">
      <c r="A1130" s="6" t="s">
        <v>4506</v>
      </c>
      <c r="B1130" s="6">
        <v>2019</v>
      </c>
      <c r="C1130" s="6">
        <v>3</v>
      </c>
      <c r="D1130" s="7">
        <v>26</v>
      </c>
      <c r="E1130" s="6" t="s">
        <v>5343</v>
      </c>
      <c r="F1130" s="6" t="s">
        <v>4508</v>
      </c>
      <c r="G1130" s="6" t="s">
        <v>25</v>
      </c>
      <c r="H1130" s="8"/>
      <c r="I1130" s="8">
        <v>6881</v>
      </c>
      <c r="J1130" s="6" t="s">
        <v>5092</v>
      </c>
      <c r="K1130" s="6" t="s">
        <v>2095</v>
      </c>
      <c r="L1130" s="6" t="s">
        <v>4516</v>
      </c>
      <c r="M1130" s="6" t="s">
        <v>5082</v>
      </c>
      <c r="N1130" s="6" t="s">
        <v>2095</v>
      </c>
      <c r="O1130" s="29">
        <f t="shared" si="21"/>
        <v>6881</v>
      </c>
      <c r="Q1130" s="30" t="s">
        <v>2095</v>
      </c>
      <c r="R1130" s="31">
        <v>7225.05</v>
      </c>
    </row>
    <row r="1131" s="1" customFormat="1" ht="16.35" hidden="1" customHeight="1" spans="1:18">
      <c r="A1131" s="6" t="s">
        <v>4506</v>
      </c>
      <c r="B1131" s="6">
        <v>2019</v>
      </c>
      <c r="C1131" s="6">
        <v>3</v>
      </c>
      <c r="D1131" s="7">
        <v>27</v>
      </c>
      <c r="E1131" s="6" t="s">
        <v>5344</v>
      </c>
      <c r="F1131" s="6" t="s">
        <v>4508</v>
      </c>
      <c r="G1131" s="6" t="s">
        <v>25</v>
      </c>
      <c r="H1131" s="8"/>
      <c r="I1131" s="8">
        <v>6422</v>
      </c>
      <c r="J1131" s="6" t="s">
        <v>5318</v>
      </c>
      <c r="K1131" s="6" t="s">
        <v>2231</v>
      </c>
      <c r="L1131" s="6" t="s">
        <v>4516</v>
      </c>
      <c r="M1131" s="6" t="s">
        <v>5082</v>
      </c>
      <c r="N1131" s="6" t="s">
        <v>2231</v>
      </c>
      <c r="O1131" s="29">
        <f t="shared" si="21"/>
        <v>6422</v>
      </c>
      <c r="Q1131" s="30" t="s">
        <v>2231</v>
      </c>
      <c r="R1131" s="31">
        <v>6743.1</v>
      </c>
    </row>
    <row r="1132" s="1" customFormat="1" ht="16.35" hidden="1" customHeight="1" spans="1:18">
      <c r="A1132" s="6" t="s">
        <v>4506</v>
      </c>
      <c r="B1132" s="6">
        <v>2019</v>
      </c>
      <c r="C1132" s="6">
        <v>3</v>
      </c>
      <c r="D1132" s="7">
        <v>28</v>
      </c>
      <c r="E1132" s="6" t="s">
        <v>5345</v>
      </c>
      <c r="F1132" s="6" t="s">
        <v>4508</v>
      </c>
      <c r="G1132" s="6" t="s">
        <v>25</v>
      </c>
      <c r="H1132" s="8"/>
      <c r="I1132" s="8">
        <v>459</v>
      </c>
      <c r="J1132" s="6" t="s">
        <v>5346</v>
      </c>
      <c r="K1132" s="6" t="s">
        <v>2752</v>
      </c>
      <c r="L1132" s="6" t="s">
        <v>4516</v>
      </c>
      <c r="M1132" s="6" t="s">
        <v>5082</v>
      </c>
      <c r="N1132" s="6" t="s">
        <v>2752</v>
      </c>
      <c r="O1132" s="29">
        <f t="shared" si="21"/>
        <v>459</v>
      </c>
      <c r="Q1132" s="30" t="s">
        <v>2752</v>
      </c>
      <c r="R1132" s="31">
        <v>481.95</v>
      </c>
    </row>
    <row r="1133" s="1" customFormat="1" ht="16.35" hidden="1" customHeight="1" spans="1:18">
      <c r="A1133" s="6" t="s">
        <v>4506</v>
      </c>
      <c r="B1133" s="6">
        <v>2019</v>
      </c>
      <c r="C1133" s="6">
        <v>3</v>
      </c>
      <c r="D1133" s="7">
        <v>29</v>
      </c>
      <c r="E1133" s="6" t="s">
        <v>5347</v>
      </c>
      <c r="F1133" s="6" t="s">
        <v>4508</v>
      </c>
      <c r="G1133" s="6" t="s">
        <v>25</v>
      </c>
      <c r="H1133" s="8"/>
      <c r="I1133" s="8">
        <v>59633</v>
      </c>
      <c r="J1133" s="6" t="s">
        <v>5199</v>
      </c>
      <c r="K1133" s="6" t="s">
        <v>5200</v>
      </c>
      <c r="L1133" s="6" t="s">
        <v>4516</v>
      </c>
      <c r="M1133" s="6" t="s">
        <v>5082</v>
      </c>
      <c r="N1133" s="6" t="s">
        <v>5200</v>
      </c>
      <c r="O1133" s="29">
        <f t="shared" si="21"/>
        <v>59633</v>
      </c>
      <c r="Q1133" s="30" t="s">
        <v>5200</v>
      </c>
      <c r="R1133" s="31">
        <v>62614.65</v>
      </c>
    </row>
    <row r="1134" s="1" customFormat="1" ht="16.35" hidden="1" customHeight="1" spans="1:18">
      <c r="A1134" s="6" t="s">
        <v>4506</v>
      </c>
      <c r="B1134" s="6">
        <v>2019</v>
      </c>
      <c r="C1134" s="6">
        <v>3</v>
      </c>
      <c r="D1134" s="7">
        <v>30</v>
      </c>
      <c r="E1134" s="6" t="s">
        <v>5348</v>
      </c>
      <c r="F1134" s="6" t="s">
        <v>4508</v>
      </c>
      <c r="G1134" s="6" t="s">
        <v>25</v>
      </c>
      <c r="H1134" s="8"/>
      <c r="I1134" s="8">
        <v>9174</v>
      </c>
      <c r="J1134" s="6" t="s">
        <v>5349</v>
      </c>
      <c r="K1134" s="6" t="s">
        <v>2879</v>
      </c>
      <c r="L1134" s="6" t="s">
        <v>4516</v>
      </c>
      <c r="M1134" s="6" t="s">
        <v>5082</v>
      </c>
      <c r="N1134" s="6" t="s">
        <v>2879</v>
      </c>
      <c r="O1134" s="29">
        <f t="shared" si="21"/>
        <v>9174</v>
      </c>
      <c r="Q1134" s="30" t="s">
        <v>2879</v>
      </c>
      <c r="R1134" s="31">
        <v>9632.7</v>
      </c>
    </row>
    <row r="1135" s="1" customFormat="1" ht="16.35" hidden="1" customHeight="1" spans="1:18">
      <c r="A1135" s="6" t="s">
        <v>4506</v>
      </c>
      <c r="B1135" s="6">
        <v>2019</v>
      </c>
      <c r="C1135" s="6">
        <v>3</v>
      </c>
      <c r="D1135" s="7">
        <v>31</v>
      </c>
      <c r="E1135" s="6" t="s">
        <v>5350</v>
      </c>
      <c r="F1135" s="6" t="s">
        <v>4508</v>
      </c>
      <c r="G1135" s="6" t="s">
        <v>25</v>
      </c>
      <c r="H1135" s="8"/>
      <c r="I1135" s="8">
        <v>266789</v>
      </c>
      <c r="J1135" s="6" t="s">
        <v>5349</v>
      </c>
      <c r="K1135" s="6" t="s">
        <v>2879</v>
      </c>
      <c r="L1135" s="6" t="s">
        <v>4516</v>
      </c>
      <c r="M1135" s="6" t="s">
        <v>5082</v>
      </c>
      <c r="N1135" s="6" t="s">
        <v>2879</v>
      </c>
      <c r="O1135" s="29">
        <f t="shared" si="21"/>
        <v>266789</v>
      </c>
      <c r="Q1135" s="30" t="s">
        <v>2879</v>
      </c>
      <c r="R1135" s="31">
        <v>280128.45</v>
      </c>
    </row>
    <row r="1136" s="1" customFormat="1" ht="16.35" hidden="1" customHeight="1" spans="1:18">
      <c r="A1136" s="6" t="s">
        <v>4506</v>
      </c>
      <c r="B1136" s="6">
        <v>2019</v>
      </c>
      <c r="C1136" s="6">
        <v>3</v>
      </c>
      <c r="D1136" s="7">
        <v>32</v>
      </c>
      <c r="E1136" s="6" t="s">
        <v>5339</v>
      </c>
      <c r="F1136" s="6" t="s">
        <v>4508</v>
      </c>
      <c r="G1136" s="6" t="s">
        <v>25</v>
      </c>
      <c r="H1136" s="8"/>
      <c r="I1136" s="8">
        <v>4587</v>
      </c>
      <c r="J1136" s="6" t="s">
        <v>5340</v>
      </c>
      <c r="K1136" s="6" t="s">
        <v>2770</v>
      </c>
      <c r="L1136" s="6" t="s">
        <v>4516</v>
      </c>
      <c r="M1136" s="6" t="s">
        <v>5082</v>
      </c>
      <c r="N1136" s="6" t="s">
        <v>2770</v>
      </c>
      <c r="O1136" s="29">
        <f t="shared" si="21"/>
        <v>4587</v>
      </c>
      <c r="Q1136" s="30" t="s">
        <v>2770</v>
      </c>
      <c r="R1136" s="31">
        <v>4816.35</v>
      </c>
    </row>
    <row r="1137" s="1" customFormat="1" ht="16.35" hidden="1" customHeight="1" spans="1:18">
      <c r="A1137" s="6" t="s">
        <v>4506</v>
      </c>
      <c r="B1137" s="6">
        <v>2019</v>
      </c>
      <c r="C1137" s="6">
        <v>3</v>
      </c>
      <c r="D1137" s="7">
        <v>33</v>
      </c>
      <c r="E1137" s="6" t="s">
        <v>5351</v>
      </c>
      <c r="F1137" s="6" t="s">
        <v>4508</v>
      </c>
      <c r="G1137" s="6" t="s">
        <v>25</v>
      </c>
      <c r="H1137" s="8"/>
      <c r="I1137" s="8">
        <v>4587</v>
      </c>
      <c r="J1137" s="6" t="s">
        <v>5352</v>
      </c>
      <c r="K1137" s="6" t="s">
        <v>2799</v>
      </c>
      <c r="L1137" s="6" t="s">
        <v>4516</v>
      </c>
      <c r="M1137" s="6" t="s">
        <v>5082</v>
      </c>
      <c r="N1137" s="6" t="s">
        <v>2799</v>
      </c>
      <c r="O1137" s="29">
        <f t="shared" si="21"/>
        <v>4587</v>
      </c>
      <c r="Q1137" s="30" t="s">
        <v>2799</v>
      </c>
      <c r="R1137" s="31">
        <v>4816.35</v>
      </c>
    </row>
    <row r="1138" s="1" customFormat="1" ht="16.35" hidden="1" customHeight="1" spans="1:18">
      <c r="A1138" s="6" t="s">
        <v>4506</v>
      </c>
      <c r="B1138" s="6">
        <v>2019</v>
      </c>
      <c r="C1138" s="6">
        <v>3</v>
      </c>
      <c r="D1138" s="7">
        <v>34</v>
      </c>
      <c r="E1138" s="6" t="s">
        <v>5353</v>
      </c>
      <c r="F1138" s="6" t="s">
        <v>4508</v>
      </c>
      <c r="G1138" s="6" t="s">
        <v>25</v>
      </c>
      <c r="H1138" s="8"/>
      <c r="I1138" s="8">
        <v>4587</v>
      </c>
      <c r="J1138" s="6" t="s">
        <v>5335</v>
      </c>
      <c r="K1138" s="6" t="s">
        <v>2181</v>
      </c>
      <c r="L1138" s="6" t="s">
        <v>4516</v>
      </c>
      <c r="M1138" s="6" t="s">
        <v>5082</v>
      </c>
      <c r="N1138" s="6" t="s">
        <v>2181</v>
      </c>
      <c r="O1138" s="29">
        <f t="shared" si="21"/>
        <v>4587</v>
      </c>
      <c r="Q1138" s="30" t="s">
        <v>2181</v>
      </c>
      <c r="R1138" s="31">
        <v>4587</v>
      </c>
    </row>
    <row r="1139" s="1" customFormat="1" ht="25" hidden="1" customHeight="1" spans="1:18">
      <c r="A1139" s="6" t="s">
        <v>4506</v>
      </c>
      <c r="B1139" s="6">
        <v>2019</v>
      </c>
      <c r="C1139" s="6">
        <v>3</v>
      </c>
      <c r="D1139" s="7">
        <v>35</v>
      </c>
      <c r="E1139" s="6" t="s">
        <v>5354</v>
      </c>
      <c r="F1139" s="6" t="s">
        <v>4508</v>
      </c>
      <c r="G1139" s="6" t="s">
        <v>25</v>
      </c>
      <c r="H1139" s="8"/>
      <c r="I1139" s="8">
        <v>4587</v>
      </c>
      <c r="J1139" s="6" t="s">
        <v>5355</v>
      </c>
      <c r="K1139" s="6" t="s">
        <v>2793</v>
      </c>
      <c r="L1139" s="6" t="s">
        <v>4516</v>
      </c>
      <c r="M1139" s="6" t="s">
        <v>5082</v>
      </c>
      <c r="N1139" s="6" t="s">
        <v>2793</v>
      </c>
      <c r="O1139" s="29">
        <f t="shared" si="21"/>
        <v>4587</v>
      </c>
      <c r="Q1139" s="30" t="s">
        <v>2793</v>
      </c>
      <c r="R1139" s="31">
        <v>4816.35</v>
      </c>
    </row>
    <row r="1140" s="1" customFormat="1" ht="16.35" hidden="1" customHeight="1" spans="1:18">
      <c r="A1140" s="6" t="s">
        <v>4506</v>
      </c>
      <c r="B1140" s="6">
        <v>2019</v>
      </c>
      <c r="C1140" s="6">
        <v>3</v>
      </c>
      <c r="D1140" s="7">
        <v>36</v>
      </c>
      <c r="E1140" s="6" t="s">
        <v>5356</v>
      </c>
      <c r="F1140" s="6" t="s">
        <v>4508</v>
      </c>
      <c r="G1140" s="6" t="s">
        <v>25</v>
      </c>
      <c r="H1140" s="8"/>
      <c r="I1140" s="8">
        <v>917</v>
      </c>
      <c r="J1140" s="6" t="s">
        <v>5357</v>
      </c>
      <c r="K1140" s="6" t="s">
        <v>2784</v>
      </c>
      <c r="L1140" s="6" t="s">
        <v>4516</v>
      </c>
      <c r="M1140" s="6" t="s">
        <v>5082</v>
      </c>
      <c r="N1140" s="6" t="s">
        <v>2784</v>
      </c>
      <c r="O1140" s="29">
        <f t="shared" si="21"/>
        <v>917</v>
      </c>
      <c r="Q1140" s="30" t="s">
        <v>2784</v>
      </c>
      <c r="R1140" s="31">
        <v>962.85</v>
      </c>
    </row>
    <row r="1141" s="1" customFormat="1" ht="16.35" hidden="1" customHeight="1" spans="1:18">
      <c r="A1141" s="6" t="s">
        <v>4506</v>
      </c>
      <c r="B1141" s="6">
        <v>2019</v>
      </c>
      <c r="C1141" s="6">
        <v>3</v>
      </c>
      <c r="D1141" s="7">
        <v>37</v>
      </c>
      <c r="E1141" s="6" t="s">
        <v>5324</v>
      </c>
      <c r="F1141" s="6" t="s">
        <v>4508</v>
      </c>
      <c r="G1141" s="6" t="s">
        <v>25</v>
      </c>
      <c r="H1141" s="8"/>
      <c r="I1141" s="8">
        <v>9174</v>
      </c>
      <c r="J1141" s="6" t="s">
        <v>5325</v>
      </c>
      <c r="K1141" s="6" t="s">
        <v>2774</v>
      </c>
      <c r="L1141" s="6" t="s">
        <v>4516</v>
      </c>
      <c r="M1141" s="6" t="s">
        <v>5082</v>
      </c>
      <c r="N1141" s="6" t="s">
        <v>2774</v>
      </c>
      <c r="O1141" s="29">
        <f t="shared" si="21"/>
        <v>9174</v>
      </c>
      <c r="Q1141" s="30" t="s">
        <v>2774</v>
      </c>
      <c r="R1141" s="31">
        <v>9632.7</v>
      </c>
    </row>
    <row r="1142" s="1" customFormat="1" ht="16.35" hidden="1" customHeight="1" spans="1:18">
      <c r="A1142" s="6" t="s">
        <v>4506</v>
      </c>
      <c r="B1142" s="6">
        <v>2019</v>
      </c>
      <c r="C1142" s="6">
        <v>3</v>
      </c>
      <c r="D1142" s="7">
        <v>38</v>
      </c>
      <c r="E1142" s="6" t="s">
        <v>5358</v>
      </c>
      <c r="F1142" s="6" t="s">
        <v>4508</v>
      </c>
      <c r="G1142" s="6" t="s">
        <v>25</v>
      </c>
      <c r="H1142" s="8"/>
      <c r="I1142" s="8">
        <v>18349</v>
      </c>
      <c r="J1142" s="6" t="s">
        <v>5206</v>
      </c>
      <c r="K1142" s="6" t="s">
        <v>2746</v>
      </c>
      <c r="L1142" s="6" t="s">
        <v>4516</v>
      </c>
      <c r="M1142" s="6" t="s">
        <v>5082</v>
      </c>
      <c r="N1142" s="6" t="s">
        <v>2746</v>
      </c>
      <c r="O1142" s="29">
        <f t="shared" si="21"/>
        <v>18349</v>
      </c>
      <c r="Q1142" s="30" t="s">
        <v>2746</v>
      </c>
      <c r="R1142" s="31">
        <v>19266.45</v>
      </c>
    </row>
    <row r="1143" s="1" customFormat="1" ht="16.35" hidden="1" customHeight="1" spans="1:18">
      <c r="A1143" s="6" t="s">
        <v>4506</v>
      </c>
      <c r="B1143" s="6">
        <v>2019</v>
      </c>
      <c r="C1143" s="6">
        <v>3</v>
      </c>
      <c r="D1143" s="7">
        <v>39</v>
      </c>
      <c r="E1143" s="6" t="s">
        <v>5359</v>
      </c>
      <c r="F1143" s="6" t="s">
        <v>4508</v>
      </c>
      <c r="G1143" s="6" t="s">
        <v>25</v>
      </c>
      <c r="H1143" s="8"/>
      <c r="I1143" s="8">
        <v>11814</v>
      </c>
      <c r="J1143" s="6" t="s">
        <v>5360</v>
      </c>
      <c r="K1143" s="6" t="s">
        <v>2738</v>
      </c>
      <c r="L1143" s="6" t="s">
        <v>4516</v>
      </c>
      <c r="M1143" s="6" t="s">
        <v>5082</v>
      </c>
      <c r="N1143" s="6" t="s">
        <v>2738</v>
      </c>
      <c r="O1143" s="29">
        <f t="shared" si="21"/>
        <v>11814</v>
      </c>
      <c r="Q1143" s="30" t="s">
        <v>2738</v>
      </c>
      <c r="R1143" s="31">
        <v>12404.7</v>
      </c>
    </row>
    <row r="1144" s="1" customFormat="1" ht="16.35" hidden="1" customHeight="1" spans="1:18">
      <c r="A1144" s="6" t="s">
        <v>4506</v>
      </c>
      <c r="B1144" s="6">
        <v>2019</v>
      </c>
      <c r="C1144" s="6">
        <v>3</v>
      </c>
      <c r="D1144" s="7">
        <v>40</v>
      </c>
      <c r="E1144" s="6" t="s">
        <v>5281</v>
      </c>
      <c r="F1144" s="6" t="s">
        <v>4508</v>
      </c>
      <c r="G1144" s="6" t="s">
        <v>25</v>
      </c>
      <c r="H1144" s="8"/>
      <c r="I1144" s="8">
        <v>69725</v>
      </c>
      <c r="J1144" s="6" t="s">
        <v>5282</v>
      </c>
      <c r="K1144" s="6" t="s">
        <v>2127</v>
      </c>
      <c r="L1144" s="6" t="s">
        <v>4516</v>
      </c>
      <c r="M1144" s="6" t="s">
        <v>5082</v>
      </c>
      <c r="N1144" s="6" t="s">
        <v>2127</v>
      </c>
      <c r="O1144" s="29">
        <f t="shared" si="21"/>
        <v>69725</v>
      </c>
      <c r="Q1144" s="30" t="s">
        <v>2127</v>
      </c>
      <c r="R1144" s="31">
        <v>73211.25</v>
      </c>
    </row>
    <row r="1145" s="1" customFormat="1" ht="16.35" hidden="1" customHeight="1" spans="1:18">
      <c r="A1145" s="6" t="s">
        <v>4506</v>
      </c>
      <c r="B1145" s="6">
        <v>2019</v>
      </c>
      <c r="C1145" s="6">
        <v>3</v>
      </c>
      <c r="D1145" s="7">
        <v>72</v>
      </c>
      <c r="E1145" s="6" t="s">
        <v>5147</v>
      </c>
      <c r="F1145" s="6" t="s">
        <v>4508</v>
      </c>
      <c r="G1145" s="6" t="s">
        <v>25</v>
      </c>
      <c r="H1145" s="8"/>
      <c r="I1145" s="8">
        <v>7339</v>
      </c>
      <c r="J1145" s="6" t="s">
        <v>5105</v>
      </c>
      <c r="K1145" s="6" t="s">
        <v>2107</v>
      </c>
      <c r="L1145" s="6" t="s">
        <v>4516</v>
      </c>
      <c r="M1145" s="6" t="s">
        <v>5082</v>
      </c>
      <c r="N1145" s="6" t="s">
        <v>2107</v>
      </c>
      <c r="O1145" s="29">
        <f t="shared" si="21"/>
        <v>7339</v>
      </c>
      <c r="Q1145" s="30" t="s">
        <v>2107</v>
      </c>
      <c r="R1145" s="31">
        <v>7705.95</v>
      </c>
    </row>
    <row r="1146" s="1" customFormat="1" ht="16.35" hidden="1" customHeight="1" spans="1:18">
      <c r="A1146" s="6" t="s">
        <v>4506</v>
      </c>
      <c r="B1146" s="6">
        <v>2019</v>
      </c>
      <c r="C1146" s="6">
        <v>3</v>
      </c>
      <c r="D1146" s="7">
        <v>76</v>
      </c>
      <c r="E1146" s="6" t="s">
        <v>5361</v>
      </c>
      <c r="F1146" s="6" t="s">
        <v>4508</v>
      </c>
      <c r="G1146" s="6" t="s">
        <v>25</v>
      </c>
      <c r="H1146" s="8"/>
      <c r="I1146" s="8">
        <v>66667</v>
      </c>
      <c r="J1146" s="6" t="s">
        <v>5181</v>
      </c>
      <c r="K1146" s="6" t="s">
        <v>672</v>
      </c>
      <c r="L1146" s="6" t="s">
        <v>4510</v>
      </c>
      <c r="M1146" s="6" t="s">
        <v>4511</v>
      </c>
      <c r="N1146" s="6" t="s">
        <v>672</v>
      </c>
      <c r="O1146" s="29">
        <f>I1146*1.05</f>
        <v>70000.35</v>
      </c>
      <c r="Q1146" s="30" t="s">
        <v>672</v>
      </c>
      <c r="R1146" s="31">
        <v>70000</v>
      </c>
    </row>
    <row r="1147" s="1" customFormat="1" ht="16.35" hidden="1" customHeight="1" spans="1:18">
      <c r="A1147" s="6" t="s">
        <v>4506</v>
      </c>
      <c r="B1147" s="6">
        <v>2019</v>
      </c>
      <c r="C1147" s="6">
        <v>4</v>
      </c>
      <c r="D1147" s="7">
        <v>1</v>
      </c>
      <c r="E1147" s="6" t="s">
        <v>5209</v>
      </c>
      <c r="F1147" s="6" t="s">
        <v>4508</v>
      </c>
      <c r="G1147" s="6" t="s">
        <v>25</v>
      </c>
      <c r="H1147" s="8"/>
      <c r="I1147" s="8">
        <v>6422</v>
      </c>
      <c r="J1147" s="6" t="s">
        <v>5210</v>
      </c>
      <c r="K1147" s="6" t="s">
        <v>1990</v>
      </c>
      <c r="L1147" s="6" t="s">
        <v>4516</v>
      </c>
      <c r="M1147" s="6" t="s">
        <v>5082</v>
      </c>
      <c r="N1147" s="6" t="s">
        <v>1990</v>
      </c>
      <c r="O1147" s="29">
        <f t="shared" ref="O1147:O1170" si="22">I1147</f>
        <v>6422</v>
      </c>
      <c r="Q1147" s="30" t="s">
        <v>1990</v>
      </c>
      <c r="R1147" s="31">
        <v>6743.1</v>
      </c>
    </row>
    <row r="1148" s="1" customFormat="1" ht="16.35" hidden="1" customHeight="1" spans="1:18">
      <c r="A1148" s="6" t="s">
        <v>4506</v>
      </c>
      <c r="B1148" s="6">
        <v>2019</v>
      </c>
      <c r="C1148" s="6">
        <v>4</v>
      </c>
      <c r="D1148" s="7">
        <v>2</v>
      </c>
      <c r="E1148" s="6" t="s">
        <v>5362</v>
      </c>
      <c r="F1148" s="6" t="s">
        <v>4508</v>
      </c>
      <c r="G1148" s="6" t="s">
        <v>25</v>
      </c>
      <c r="H1148" s="8"/>
      <c r="I1148" s="8">
        <v>4587</v>
      </c>
      <c r="J1148" s="6" t="s">
        <v>5363</v>
      </c>
      <c r="K1148" s="6" t="s">
        <v>2053</v>
      </c>
      <c r="L1148" s="6" t="s">
        <v>4516</v>
      </c>
      <c r="M1148" s="6" t="s">
        <v>5082</v>
      </c>
      <c r="N1148" s="6" t="s">
        <v>2053</v>
      </c>
      <c r="O1148" s="29">
        <f t="shared" si="22"/>
        <v>4587</v>
      </c>
      <c r="Q1148" s="30" t="s">
        <v>2053</v>
      </c>
      <c r="R1148" s="31">
        <v>4816.35</v>
      </c>
    </row>
    <row r="1149" s="1" customFormat="1" ht="16.35" hidden="1" customHeight="1" spans="1:18">
      <c r="A1149" s="6" t="s">
        <v>4506</v>
      </c>
      <c r="B1149" s="6">
        <v>2019</v>
      </c>
      <c r="C1149" s="6">
        <v>4</v>
      </c>
      <c r="D1149" s="7">
        <v>3</v>
      </c>
      <c r="E1149" s="6" t="s">
        <v>5364</v>
      </c>
      <c r="F1149" s="6" t="s">
        <v>4508</v>
      </c>
      <c r="G1149" s="6" t="s">
        <v>25</v>
      </c>
      <c r="H1149" s="8"/>
      <c r="I1149" s="8">
        <v>138532</v>
      </c>
      <c r="J1149" s="6" t="s">
        <v>5365</v>
      </c>
      <c r="K1149" s="6" t="s">
        <v>2077</v>
      </c>
      <c r="L1149" s="6" t="s">
        <v>4516</v>
      </c>
      <c r="M1149" s="6" t="s">
        <v>5082</v>
      </c>
      <c r="N1149" s="6" t="s">
        <v>2077</v>
      </c>
      <c r="O1149" s="29">
        <f t="shared" si="22"/>
        <v>138532</v>
      </c>
      <c r="Q1149" s="30" t="s">
        <v>2077</v>
      </c>
      <c r="R1149" s="31">
        <v>145458.6</v>
      </c>
    </row>
    <row r="1150" s="1" customFormat="1" ht="16.35" hidden="1" customHeight="1" spans="1:18">
      <c r="A1150" s="6" t="s">
        <v>4506</v>
      </c>
      <c r="B1150" s="6">
        <v>2019</v>
      </c>
      <c r="C1150" s="6">
        <v>4</v>
      </c>
      <c r="D1150" s="7">
        <v>4</v>
      </c>
      <c r="E1150" s="6" t="s">
        <v>5147</v>
      </c>
      <c r="F1150" s="6" t="s">
        <v>4508</v>
      </c>
      <c r="G1150" s="6" t="s">
        <v>25</v>
      </c>
      <c r="H1150" s="8"/>
      <c r="I1150" s="8">
        <v>4587</v>
      </c>
      <c r="J1150" s="6" t="s">
        <v>5105</v>
      </c>
      <c r="K1150" s="6" t="s">
        <v>2107</v>
      </c>
      <c r="L1150" s="6" t="s">
        <v>4516</v>
      </c>
      <c r="M1150" s="6" t="s">
        <v>5082</v>
      </c>
      <c r="N1150" s="6" t="s">
        <v>2107</v>
      </c>
      <c r="O1150" s="29">
        <f t="shared" si="22"/>
        <v>4587</v>
      </c>
      <c r="Q1150" s="30" t="s">
        <v>2107</v>
      </c>
      <c r="R1150" s="31">
        <v>4816.35</v>
      </c>
    </row>
    <row r="1151" s="1" customFormat="1" ht="16.35" hidden="1" customHeight="1" spans="1:18">
      <c r="A1151" s="6" t="s">
        <v>4506</v>
      </c>
      <c r="B1151" s="6">
        <v>2019</v>
      </c>
      <c r="C1151" s="6">
        <v>4</v>
      </c>
      <c r="D1151" s="7">
        <v>5</v>
      </c>
      <c r="E1151" s="6" t="s">
        <v>5174</v>
      </c>
      <c r="F1151" s="6" t="s">
        <v>4508</v>
      </c>
      <c r="G1151" s="6" t="s">
        <v>25</v>
      </c>
      <c r="H1151" s="8"/>
      <c r="I1151" s="8">
        <v>26581</v>
      </c>
      <c r="J1151" s="6" t="s">
        <v>4112</v>
      </c>
      <c r="K1151" s="6" t="s">
        <v>2101</v>
      </c>
      <c r="L1151" s="6" t="s">
        <v>4516</v>
      </c>
      <c r="M1151" s="6" t="s">
        <v>5082</v>
      </c>
      <c r="N1151" s="6" t="s">
        <v>2101</v>
      </c>
      <c r="O1151" s="29">
        <f t="shared" si="22"/>
        <v>26581</v>
      </c>
      <c r="Q1151" s="30" t="s">
        <v>2101</v>
      </c>
      <c r="R1151" s="31">
        <v>27910.05</v>
      </c>
    </row>
    <row r="1152" s="1" customFormat="1" ht="16.35" hidden="1" customHeight="1" spans="1:18">
      <c r="A1152" s="6" t="s">
        <v>4506</v>
      </c>
      <c r="B1152" s="6">
        <v>2019</v>
      </c>
      <c r="C1152" s="6">
        <v>4</v>
      </c>
      <c r="D1152" s="7">
        <v>6</v>
      </c>
      <c r="E1152" s="6" t="s">
        <v>5337</v>
      </c>
      <c r="F1152" s="6" t="s">
        <v>4508</v>
      </c>
      <c r="G1152" s="6" t="s">
        <v>25</v>
      </c>
      <c r="H1152" s="8"/>
      <c r="I1152" s="8">
        <v>77798</v>
      </c>
      <c r="J1152" s="6" t="s">
        <v>5338</v>
      </c>
      <c r="K1152" s="6" t="s">
        <v>2109</v>
      </c>
      <c r="L1152" s="6" t="s">
        <v>4516</v>
      </c>
      <c r="M1152" s="6" t="s">
        <v>5082</v>
      </c>
      <c r="N1152" s="6" t="s">
        <v>2109</v>
      </c>
      <c r="O1152" s="29">
        <f t="shared" si="22"/>
        <v>77798</v>
      </c>
      <c r="Q1152" s="30" t="s">
        <v>2109</v>
      </c>
      <c r="R1152" s="31">
        <v>81687.9</v>
      </c>
    </row>
    <row r="1153" s="1" customFormat="1" ht="16.35" hidden="1" customHeight="1" spans="1:18">
      <c r="A1153" s="6" t="s">
        <v>4506</v>
      </c>
      <c r="B1153" s="6">
        <v>2019</v>
      </c>
      <c r="C1153" s="6">
        <v>4</v>
      </c>
      <c r="D1153" s="7">
        <v>7</v>
      </c>
      <c r="E1153" s="6" t="s">
        <v>5153</v>
      </c>
      <c r="F1153" s="6" t="s">
        <v>4508</v>
      </c>
      <c r="G1153" s="6" t="s">
        <v>25</v>
      </c>
      <c r="H1153" s="8"/>
      <c r="I1153" s="8">
        <v>12844</v>
      </c>
      <c r="J1153" s="6" t="s">
        <v>4099</v>
      </c>
      <c r="K1153" s="6" t="s">
        <v>1953</v>
      </c>
      <c r="L1153" s="6" t="s">
        <v>4516</v>
      </c>
      <c r="M1153" s="6" t="s">
        <v>5082</v>
      </c>
      <c r="N1153" s="6" t="s">
        <v>1953</v>
      </c>
      <c r="O1153" s="29">
        <f t="shared" si="22"/>
        <v>12844</v>
      </c>
      <c r="Q1153" s="30" t="s">
        <v>1953</v>
      </c>
      <c r="R1153" s="31">
        <v>13486.2</v>
      </c>
    </row>
    <row r="1154" s="1" customFormat="1" ht="16.35" hidden="1" customHeight="1" spans="1:18">
      <c r="A1154" s="6" t="s">
        <v>4506</v>
      </c>
      <c r="B1154" s="6">
        <v>2019</v>
      </c>
      <c r="C1154" s="6">
        <v>4</v>
      </c>
      <c r="D1154" s="7">
        <v>8</v>
      </c>
      <c r="E1154" s="6" t="s">
        <v>5366</v>
      </c>
      <c r="F1154" s="6" t="s">
        <v>4508</v>
      </c>
      <c r="G1154" s="6" t="s">
        <v>25</v>
      </c>
      <c r="H1154" s="8"/>
      <c r="I1154" s="8">
        <v>81055</v>
      </c>
      <c r="J1154" s="6" t="s">
        <v>5367</v>
      </c>
      <c r="K1154" s="6" t="s">
        <v>2273</v>
      </c>
      <c r="L1154" s="6" t="s">
        <v>4516</v>
      </c>
      <c r="M1154" s="6" t="s">
        <v>5082</v>
      </c>
      <c r="N1154" s="6" t="s">
        <v>2273</v>
      </c>
      <c r="O1154" s="29">
        <f t="shared" si="22"/>
        <v>81055</v>
      </c>
      <c r="Q1154" s="30" t="s">
        <v>2273</v>
      </c>
      <c r="R1154" s="31">
        <v>85107.75</v>
      </c>
    </row>
    <row r="1155" s="1" customFormat="1" ht="16.35" hidden="1" customHeight="1" spans="1:18">
      <c r="A1155" s="6" t="s">
        <v>4506</v>
      </c>
      <c r="B1155" s="6">
        <v>2019</v>
      </c>
      <c r="C1155" s="6">
        <v>4</v>
      </c>
      <c r="D1155" s="7">
        <v>9</v>
      </c>
      <c r="E1155" s="6" t="s">
        <v>5368</v>
      </c>
      <c r="F1155" s="6" t="s">
        <v>4508</v>
      </c>
      <c r="G1155" s="6" t="s">
        <v>25</v>
      </c>
      <c r="H1155" s="8"/>
      <c r="I1155" s="8">
        <v>59633</v>
      </c>
      <c r="J1155" s="6" t="s">
        <v>5103</v>
      </c>
      <c r="K1155" s="6" t="s">
        <v>1972</v>
      </c>
      <c r="L1155" s="6" t="s">
        <v>4516</v>
      </c>
      <c r="M1155" s="6" t="s">
        <v>5082</v>
      </c>
      <c r="N1155" s="6" t="s">
        <v>1972</v>
      </c>
      <c r="O1155" s="29">
        <f t="shared" si="22"/>
        <v>59633</v>
      </c>
      <c r="Q1155" s="30" t="s">
        <v>1972</v>
      </c>
      <c r="R1155" s="31">
        <v>62614.65</v>
      </c>
    </row>
    <row r="1156" s="1" customFormat="1" ht="16.35" hidden="1" customHeight="1" spans="1:18">
      <c r="A1156" s="6" t="s">
        <v>4506</v>
      </c>
      <c r="B1156" s="6">
        <v>2019</v>
      </c>
      <c r="C1156" s="6">
        <v>4</v>
      </c>
      <c r="D1156" s="7">
        <v>10</v>
      </c>
      <c r="E1156" s="6" t="s">
        <v>5366</v>
      </c>
      <c r="F1156" s="6" t="s">
        <v>4508</v>
      </c>
      <c r="G1156" s="6" t="s">
        <v>25</v>
      </c>
      <c r="H1156" s="8"/>
      <c r="I1156" s="8">
        <v>917</v>
      </c>
      <c r="J1156" s="6" t="s">
        <v>5367</v>
      </c>
      <c r="K1156" s="6" t="s">
        <v>2273</v>
      </c>
      <c r="L1156" s="6" t="s">
        <v>4516</v>
      </c>
      <c r="M1156" s="6" t="s">
        <v>5082</v>
      </c>
      <c r="N1156" s="6" t="s">
        <v>2273</v>
      </c>
      <c r="O1156" s="29">
        <f t="shared" si="22"/>
        <v>917</v>
      </c>
      <c r="Q1156" s="30" t="s">
        <v>2273</v>
      </c>
      <c r="R1156" s="31">
        <v>962.85</v>
      </c>
    </row>
    <row r="1157" s="1" customFormat="1" ht="16.35" hidden="1" customHeight="1" spans="1:18">
      <c r="A1157" s="6" t="s">
        <v>4506</v>
      </c>
      <c r="B1157" s="6">
        <v>2019</v>
      </c>
      <c r="C1157" s="6">
        <v>4</v>
      </c>
      <c r="D1157" s="7">
        <v>11</v>
      </c>
      <c r="E1157" s="6" t="s">
        <v>5345</v>
      </c>
      <c r="F1157" s="6" t="s">
        <v>4508</v>
      </c>
      <c r="G1157" s="6" t="s">
        <v>25</v>
      </c>
      <c r="H1157" s="8"/>
      <c r="I1157" s="8">
        <v>5505</v>
      </c>
      <c r="J1157" s="6" t="s">
        <v>5346</v>
      </c>
      <c r="K1157" s="6" t="s">
        <v>2752</v>
      </c>
      <c r="L1157" s="6" t="s">
        <v>4516</v>
      </c>
      <c r="M1157" s="6" t="s">
        <v>5082</v>
      </c>
      <c r="N1157" s="6" t="s">
        <v>2752</v>
      </c>
      <c r="O1157" s="29">
        <f t="shared" si="22"/>
        <v>5505</v>
      </c>
      <c r="Q1157" s="30" t="s">
        <v>2752</v>
      </c>
      <c r="R1157" s="31">
        <v>5780.25</v>
      </c>
    </row>
    <row r="1158" s="1" customFormat="1" ht="16.35" hidden="1" customHeight="1" spans="1:18">
      <c r="A1158" s="6" t="s">
        <v>4506</v>
      </c>
      <c r="B1158" s="6">
        <v>2019</v>
      </c>
      <c r="C1158" s="6">
        <v>4</v>
      </c>
      <c r="D1158" s="7">
        <v>12</v>
      </c>
      <c r="E1158" s="6" t="s">
        <v>5345</v>
      </c>
      <c r="F1158" s="6" t="s">
        <v>4508</v>
      </c>
      <c r="G1158" s="6" t="s">
        <v>25</v>
      </c>
      <c r="H1158" s="8"/>
      <c r="I1158" s="8">
        <v>10550</v>
      </c>
      <c r="J1158" s="6" t="s">
        <v>5346</v>
      </c>
      <c r="K1158" s="6" t="s">
        <v>2752</v>
      </c>
      <c r="L1158" s="6" t="s">
        <v>4516</v>
      </c>
      <c r="M1158" s="6" t="s">
        <v>5082</v>
      </c>
      <c r="N1158" s="6" t="s">
        <v>2752</v>
      </c>
      <c r="O1158" s="29">
        <f t="shared" si="22"/>
        <v>10550</v>
      </c>
      <c r="Q1158" s="30" t="s">
        <v>2752</v>
      </c>
      <c r="R1158" s="31">
        <v>11077.5</v>
      </c>
    </row>
    <row r="1159" s="1" customFormat="1" ht="16.35" hidden="1" customHeight="1" spans="1:18">
      <c r="A1159" s="6" t="s">
        <v>4506</v>
      </c>
      <c r="B1159" s="6">
        <v>2019</v>
      </c>
      <c r="C1159" s="6">
        <v>4</v>
      </c>
      <c r="D1159" s="7">
        <v>14</v>
      </c>
      <c r="E1159" s="6" t="s">
        <v>5369</v>
      </c>
      <c r="F1159" s="6" t="s">
        <v>4508</v>
      </c>
      <c r="G1159" s="6" t="s">
        <v>25</v>
      </c>
      <c r="H1159" s="8"/>
      <c r="I1159" s="8">
        <v>917</v>
      </c>
      <c r="J1159" s="6" t="s">
        <v>5370</v>
      </c>
      <c r="K1159" s="6" t="s">
        <v>2043</v>
      </c>
      <c r="L1159" s="6" t="s">
        <v>4516</v>
      </c>
      <c r="M1159" s="6" t="s">
        <v>5082</v>
      </c>
      <c r="N1159" s="6" t="s">
        <v>2043</v>
      </c>
      <c r="O1159" s="29">
        <f t="shared" si="22"/>
        <v>917</v>
      </c>
      <c r="Q1159" s="30" t="s">
        <v>2043</v>
      </c>
      <c r="R1159" s="31">
        <v>962.85</v>
      </c>
    </row>
    <row r="1160" s="1" customFormat="1" ht="16.35" hidden="1" customHeight="1" spans="1:18">
      <c r="A1160" s="6" t="s">
        <v>4506</v>
      </c>
      <c r="B1160" s="6">
        <v>2019</v>
      </c>
      <c r="C1160" s="6">
        <v>4</v>
      </c>
      <c r="D1160" s="7">
        <v>15</v>
      </c>
      <c r="E1160" s="6" t="s">
        <v>5371</v>
      </c>
      <c r="F1160" s="6" t="s">
        <v>4508</v>
      </c>
      <c r="G1160" s="6" t="s">
        <v>25</v>
      </c>
      <c r="H1160" s="8"/>
      <c r="I1160" s="8">
        <v>1835</v>
      </c>
      <c r="J1160" s="6" t="s">
        <v>5372</v>
      </c>
      <c r="K1160" s="6" t="s">
        <v>2085</v>
      </c>
      <c r="L1160" s="6" t="s">
        <v>4516</v>
      </c>
      <c r="M1160" s="6" t="s">
        <v>5082</v>
      </c>
      <c r="N1160" s="6" t="s">
        <v>2085</v>
      </c>
      <c r="O1160" s="29">
        <f t="shared" si="22"/>
        <v>1835</v>
      </c>
      <c r="Q1160" s="30" t="s">
        <v>2085</v>
      </c>
      <c r="R1160" s="31">
        <v>1926.75</v>
      </c>
    </row>
    <row r="1161" s="1" customFormat="1" ht="16.35" hidden="1" customHeight="1" spans="1:18">
      <c r="A1161" s="6" t="s">
        <v>4506</v>
      </c>
      <c r="B1161" s="6">
        <v>2019</v>
      </c>
      <c r="C1161" s="6">
        <v>4</v>
      </c>
      <c r="D1161" s="7">
        <v>16</v>
      </c>
      <c r="E1161" s="6" t="s">
        <v>5373</v>
      </c>
      <c r="F1161" s="6" t="s">
        <v>4508</v>
      </c>
      <c r="G1161" s="6" t="s">
        <v>25</v>
      </c>
      <c r="H1161" s="8"/>
      <c r="I1161" s="8">
        <v>65870</v>
      </c>
      <c r="J1161" s="6" t="s">
        <v>5220</v>
      </c>
      <c r="K1161" s="6" t="s">
        <v>2780</v>
      </c>
      <c r="L1161" s="6" t="s">
        <v>4516</v>
      </c>
      <c r="M1161" s="6" t="s">
        <v>5082</v>
      </c>
      <c r="N1161" s="6" t="s">
        <v>2780</v>
      </c>
      <c r="O1161" s="29">
        <f t="shared" si="22"/>
        <v>65870</v>
      </c>
      <c r="Q1161" s="30" t="s">
        <v>2780</v>
      </c>
      <c r="R1161" s="31">
        <v>69163.5</v>
      </c>
    </row>
    <row r="1162" s="1" customFormat="1" ht="16.35" hidden="1" customHeight="1" spans="1:18">
      <c r="A1162" s="6" t="s">
        <v>4506</v>
      </c>
      <c r="B1162" s="6">
        <v>2019</v>
      </c>
      <c r="C1162" s="6">
        <v>4</v>
      </c>
      <c r="D1162" s="7">
        <v>17</v>
      </c>
      <c r="E1162" s="6" t="s">
        <v>5351</v>
      </c>
      <c r="F1162" s="6" t="s">
        <v>4508</v>
      </c>
      <c r="G1162" s="6" t="s">
        <v>25</v>
      </c>
      <c r="H1162" s="8"/>
      <c r="I1162" s="8">
        <v>212954</v>
      </c>
      <c r="J1162" s="6" t="s">
        <v>5352</v>
      </c>
      <c r="K1162" s="6" t="s">
        <v>2799</v>
      </c>
      <c r="L1162" s="6" t="s">
        <v>4516</v>
      </c>
      <c r="M1162" s="6" t="s">
        <v>5082</v>
      </c>
      <c r="N1162" s="6" t="s">
        <v>2799</v>
      </c>
      <c r="O1162" s="29">
        <f t="shared" si="22"/>
        <v>212954</v>
      </c>
      <c r="Q1162" s="30" t="s">
        <v>2799</v>
      </c>
      <c r="R1162" s="31">
        <v>223601.7</v>
      </c>
    </row>
    <row r="1163" s="1" customFormat="1" ht="16.35" hidden="1" customHeight="1" spans="1:18">
      <c r="A1163" s="6" t="s">
        <v>4506</v>
      </c>
      <c r="B1163" s="6">
        <v>2019</v>
      </c>
      <c r="C1163" s="6">
        <v>4</v>
      </c>
      <c r="D1163" s="7">
        <v>18</v>
      </c>
      <c r="E1163" s="6" t="s">
        <v>5374</v>
      </c>
      <c r="F1163" s="6" t="s">
        <v>4508</v>
      </c>
      <c r="G1163" s="6" t="s">
        <v>25</v>
      </c>
      <c r="H1163" s="8"/>
      <c r="I1163" s="8">
        <v>717</v>
      </c>
      <c r="J1163" s="6" t="s">
        <v>5375</v>
      </c>
      <c r="K1163" s="6" t="s">
        <v>2007</v>
      </c>
      <c r="L1163" s="6" t="s">
        <v>4516</v>
      </c>
      <c r="M1163" s="6" t="s">
        <v>5082</v>
      </c>
      <c r="N1163" s="6" t="s">
        <v>2007</v>
      </c>
      <c r="O1163" s="29">
        <f t="shared" si="22"/>
        <v>717</v>
      </c>
      <c r="Q1163" s="30" t="s">
        <v>2007</v>
      </c>
      <c r="R1163" s="31">
        <v>752.85</v>
      </c>
    </row>
    <row r="1164" s="1" customFormat="1" ht="16.35" hidden="1" customHeight="1" spans="1:18">
      <c r="A1164" s="6" t="s">
        <v>4506</v>
      </c>
      <c r="B1164" s="6">
        <v>2019</v>
      </c>
      <c r="C1164" s="6">
        <v>4</v>
      </c>
      <c r="D1164" s="7">
        <v>19</v>
      </c>
      <c r="E1164" s="6" t="s">
        <v>5376</v>
      </c>
      <c r="F1164" s="6" t="s">
        <v>4508</v>
      </c>
      <c r="G1164" s="6" t="s">
        <v>25</v>
      </c>
      <c r="H1164" s="8"/>
      <c r="I1164" s="8">
        <v>99119</v>
      </c>
      <c r="J1164" s="6" t="s">
        <v>5256</v>
      </c>
      <c r="K1164" s="6" t="s">
        <v>2754</v>
      </c>
      <c r="L1164" s="6" t="s">
        <v>4516</v>
      </c>
      <c r="M1164" s="6" t="s">
        <v>5082</v>
      </c>
      <c r="N1164" s="6" t="s">
        <v>2754</v>
      </c>
      <c r="O1164" s="29">
        <f t="shared" si="22"/>
        <v>99119</v>
      </c>
      <c r="Q1164" s="30" t="s">
        <v>2754</v>
      </c>
      <c r="R1164" s="31">
        <v>104074.95</v>
      </c>
    </row>
    <row r="1165" s="1" customFormat="1" ht="16.35" hidden="1" customHeight="1" spans="1:18">
      <c r="A1165" s="6" t="s">
        <v>4506</v>
      </c>
      <c r="B1165" s="6">
        <v>2019</v>
      </c>
      <c r="C1165" s="6">
        <v>4</v>
      </c>
      <c r="D1165" s="7">
        <v>20</v>
      </c>
      <c r="E1165" s="6" t="s">
        <v>5313</v>
      </c>
      <c r="F1165" s="6" t="s">
        <v>4508</v>
      </c>
      <c r="G1165" s="6" t="s">
        <v>25</v>
      </c>
      <c r="H1165" s="8"/>
      <c r="I1165" s="8">
        <v>1</v>
      </c>
      <c r="J1165" s="6" t="s">
        <v>5314</v>
      </c>
      <c r="K1165" s="6" t="s">
        <v>1992</v>
      </c>
      <c r="L1165" s="6" t="s">
        <v>4516</v>
      </c>
      <c r="M1165" s="6" t="s">
        <v>5082</v>
      </c>
      <c r="N1165" s="6" t="s">
        <v>1992</v>
      </c>
      <c r="O1165" s="29">
        <f t="shared" si="22"/>
        <v>1</v>
      </c>
      <c r="Q1165" s="30" t="s">
        <v>1992</v>
      </c>
      <c r="R1165" s="31">
        <v>1.05</v>
      </c>
    </row>
    <row r="1166" s="1" customFormat="1" ht="16.35" hidden="1" customHeight="1" spans="1:18">
      <c r="A1166" s="6" t="s">
        <v>4506</v>
      </c>
      <c r="B1166" s="6">
        <v>2019</v>
      </c>
      <c r="C1166" s="6">
        <v>4</v>
      </c>
      <c r="D1166" s="7">
        <v>21</v>
      </c>
      <c r="E1166" s="6" t="s">
        <v>5377</v>
      </c>
      <c r="F1166" s="6" t="s">
        <v>4508</v>
      </c>
      <c r="G1166" s="6" t="s">
        <v>25</v>
      </c>
      <c r="H1166" s="8"/>
      <c r="I1166" s="8">
        <v>8561</v>
      </c>
      <c r="J1166" s="6" t="s">
        <v>5246</v>
      </c>
      <c r="K1166" s="6" t="s">
        <v>2269</v>
      </c>
      <c r="L1166" s="6" t="s">
        <v>4516</v>
      </c>
      <c r="M1166" s="6" t="s">
        <v>5082</v>
      </c>
      <c r="N1166" s="6" t="s">
        <v>2269</v>
      </c>
      <c r="O1166" s="29">
        <f t="shared" si="22"/>
        <v>8561</v>
      </c>
      <c r="Q1166" s="30" t="s">
        <v>2269</v>
      </c>
      <c r="R1166" s="31">
        <v>8989.05</v>
      </c>
    </row>
    <row r="1167" s="1" customFormat="1" ht="16.35" hidden="1" customHeight="1" spans="1:18">
      <c r="A1167" s="6" t="s">
        <v>4506</v>
      </c>
      <c r="B1167" s="6">
        <v>2019</v>
      </c>
      <c r="C1167" s="6">
        <v>4</v>
      </c>
      <c r="D1167" s="7">
        <v>22</v>
      </c>
      <c r="E1167" s="6" t="s">
        <v>5378</v>
      </c>
      <c r="F1167" s="6" t="s">
        <v>4508</v>
      </c>
      <c r="G1167" s="6" t="s">
        <v>25</v>
      </c>
      <c r="H1167" s="8"/>
      <c r="I1167" s="8">
        <v>9174</v>
      </c>
      <c r="J1167" s="6" t="s">
        <v>5379</v>
      </c>
      <c r="K1167" s="6" t="s">
        <v>2801</v>
      </c>
      <c r="L1167" s="6" t="s">
        <v>4516</v>
      </c>
      <c r="M1167" s="6" t="s">
        <v>5082</v>
      </c>
      <c r="N1167" s="6" t="s">
        <v>2801</v>
      </c>
      <c r="O1167" s="29">
        <f t="shared" si="22"/>
        <v>9174</v>
      </c>
      <c r="Q1167" s="30" t="s">
        <v>2801</v>
      </c>
      <c r="R1167" s="31">
        <v>9632.7</v>
      </c>
    </row>
    <row r="1168" s="1" customFormat="1" ht="16.35" hidden="1" customHeight="1" spans="1:18">
      <c r="A1168" s="6" t="s">
        <v>4506</v>
      </c>
      <c r="B1168" s="6">
        <v>2019</v>
      </c>
      <c r="C1168" s="6">
        <v>4</v>
      </c>
      <c r="D1168" s="7">
        <v>23</v>
      </c>
      <c r="E1168" s="6" t="s">
        <v>5142</v>
      </c>
      <c r="F1168" s="6" t="s">
        <v>4508</v>
      </c>
      <c r="G1168" s="6" t="s">
        <v>25</v>
      </c>
      <c r="H1168" s="8"/>
      <c r="I1168" s="8">
        <v>77982</v>
      </c>
      <c r="J1168" s="6" t="s">
        <v>5143</v>
      </c>
      <c r="K1168" s="6" t="s">
        <v>2227</v>
      </c>
      <c r="L1168" s="6" t="s">
        <v>4516</v>
      </c>
      <c r="M1168" s="6" t="s">
        <v>5082</v>
      </c>
      <c r="N1168" s="6" t="s">
        <v>2227</v>
      </c>
      <c r="O1168" s="29">
        <f t="shared" si="22"/>
        <v>77982</v>
      </c>
      <c r="Q1168" s="30" t="s">
        <v>2227</v>
      </c>
      <c r="R1168" s="31">
        <v>81881.1</v>
      </c>
    </row>
    <row r="1169" s="1" customFormat="1" ht="16.35" hidden="1" customHeight="1" spans="1:18">
      <c r="A1169" s="6" t="s">
        <v>4506</v>
      </c>
      <c r="B1169" s="6">
        <v>2019</v>
      </c>
      <c r="C1169" s="6">
        <v>4</v>
      </c>
      <c r="D1169" s="7">
        <v>24</v>
      </c>
      <c r="E1169" s="6" t="s">
        <v>5380</v>
      </c>
      <c r="F1169" s="6" t="s">
        <v>4508</v>
      </c>
      <c r="G1169" s="6" t="s">
        <v>25</v>
      </c>
      <c r="H1169" s="8"/>
      <c r="I1169" s="8">
        <v>37142</v>
      </c>
      <c r="J1169" s="6" t="s">
        <v>5381</v>
      </c>
      <c r="K1169" s="6" t="s">
        <v>2174</v>
      </c>
      <c r="L1169" s="6" t="s">
        <v>4516</v>
      </c>
      <c r="M1169" s="6" t="s">
        <v>5082</v>
      </c>
      <c r="N1169" s="6" t="s">
        <v>2174</v>
      </c>
      <c r="O1169" s="29">
        <f t="shared" si="22"/>
        <v>37142</v>
      </c>
      <c r="Q1169" s="30" t="s">
        <v>2174</v>
      </c>
      <c r="R1169" s="31">
        <v>37142</v>
      </c>
    </row>
    <row r="1170" s="1" customFormat="1" ht="16.35" hidden="1" customHeight="1" spans="1:18">
      <c r="A1170" s="6" t="s">
        <v>4506</v>
      </c>
      <c r="B1170" s="6">
        <v>2019</v>
      </c>
      <c r="C1170" s="6">
        <v>4</v>
      </c>
      <c r="D1170" s="7">
        <v>25</v>
      </c>
      <c r="E1170" s="6" t="s">
        <v>5272</v>
      </c>
      <c r="F1170" s="6" t="s">
        <v>4508</v>
      </c>
      <c r="G1170" s="6" t="s">
        <v>25</v>
      </c>
      <c r="H1170" s="8"/>
      <c r="I1170" s="8">
        <v>27523</v>
      </c>
      <c r="J1170" s="6" t="s">
        <v>5208</v>
      </c>
      <c r="K1170" s="6" t="s">
        <v>2151</v>
      </c>
      <c r="L1170" s="6" t="s">
        <v>4516</v>
      </c>
      <c r="M1170" s="6" t="s">
        <v>5082</v>
      </c>
      <c r="N1170" s="6" t="s">
        <v>2151</v>
      </c>
      <c r="O1170" s="29">
        <f t="shared" si="22"/>
        <v>27523</v>
      </c>
      <c r="Q1170" s="30" t="s">
        <v>2151</v>
      </c>
      <c r="R1170" s="31">
        <v>28899.15</v>
      </c>
    </row>
    <row r="1171" s="1" customFormat="1" ht="16.35" hidden="1" customHeight="1" spans="1:18">
      <c r="A1171" s="6" t="s">
        <v>4506</v>
      </c>
      <c r="B1171" s="6">
        <v>2019</v>
      </c>
      <c r="C1171" s="6">
        <v>4</v>
      </c>
      <c r="D1171" s="7">
        <v>26</v>
      </c>
      <c r="E1171" s="6" t="s">
        <v>5382</v>
      </c>
      <c r="F1171" s="6" t="s">
        <v>4508</v>
      </c>
      <c r="G1171" s="6" t="s">
        <v>25</v>
      </c>
      <c r="H1171" s="8"/>
      <c r="I1171" s="8">
        <v>171429</v>
      </c>
      <c r="J1171" s="6" t="s">
        <v>3768</v>
      </c>
      <c r="K1171" s="6" t="s">
        <v>317</v>
      </c>
      <c r="L1171" s="6" t="s">
        <v>4510</v>
      </c>
      <c r="M1171" s="6" t="s">
        <v>4511</v>
      </c>
      <c r="N1171" s="6" t="s">
        <v>317</v>
      </c>
      <c r="O1171" s="29">
        <f>I1171*1.05</f>
        <v>180000.45</v>
      </c>
      <c r="Q1171" s="30" t="s">
        <v>317</v>
      </c>
      <c r="R1171" s="31">
        <v>180000.45</v>
      </c>
    </row>
    <row r="1172" s="1" customFormat="1" ht="16.35" hidden="1" customHeight="1" spans="1:18">
      <c r="A1172" s="6" t="s">
        <v>4506</v>
      </c>
      <c r="B1172" s="6">
        <v>2019</v>
      </c>
      <c r="C1172" s="6">
        <v>4</v>
      </c>
      <c r="D1172" s="7">
        <v>27</v>
      </c>
      <c r="E1172" s="6" t="s">
        <v>5371</v>
      </c>
      <c r="F1172" s="6" t="s">
        <v>4508</v>
      </c>
      <c r="G1172" s="6" t="s">
        <v>25</v>
      </c>
      <c r="H1172" s="8"/>
      <c r="I1172" s="8">
        <v>59630</v>
      </c>
      <c r="J1172" s="6" t="s">
        <v>5372</v>
      </c>
      <c r="K1172" s="6" t="s">
        <v>2085</v>
      </c>
      <c r="L1172" s="6" t="s">
        <v>4516</v>
      </c>
      <c r="M1172" s="6" t="s">
        <v>5082</v>
      </c>
      <c r="N1172" s="6" t="s">
        <v>2085</v>
      </c>
      <c r="O1172" s="29">
        <f t="shared" ref="O1172:O1185" si="23">I1172</f>
        <v>59630</v>
      </c>
      <c r="Q1172" s="30" t="s">
        <v>2085</v>
      </c>
      <c r="R1172" s="31">
        <v>62611.5</v>
      </c>
    </row>
    <row r="1173" s="1" customFormat="1" ht="16.35" hidden="1" customHeight="1" spans="1:18">
      <c r="A1173" s="6" t="s">
        <v>4506</v>
      </c>
      <c r="B1173" s="6">
        <v>2019</v>
      </c>
      <c r="C1173" s="6">
        <v>4</v>
      </c>
      <c r="D1173" s="7">
        <v>28</v>
      </c>
      <c r="E1173" s="6" t="s">
        <v>5383</v>
      </c>
      <c r="F1173" s="6" t="s">
        <v>4508</v>
      </c>
      <c r="G1173" s="6" t="s">
        <v>25</v>
      </c>
      <c r="H1173" s="8"/>
      <c r="I1173" s="8">
        <v>259633</v>
      </c>
      <c r="J1173" s="6" t="s">
        <v>5384</v>
      </c>
      <c r="K1173" s="6" t="s">
        <v>2069</v>
      </c>
      <c r="L1173" s="6" t="s">
        <v>4516</v>
      </c>
      <c r="M1173" s="6" t="s">
        <v>5082</v>
      </c>
      <c r="N1173" s="6" t="s">
        <v>2069</v>
      </c>
      <c r="O1173" s="29">
        <f t="shared" si="23"/>
        <v>259633</v>
      </c>
      <c r="Q1173" s="30" t="s">
        <v>2069</v>
      </c>
      <c r="R1173" s="31">
        <v>272614.65</v>
      </c>
    </row>
    <row r="1174" s="1" customFormat="1" ht="16.35" hidden="1" customHeight="1" spans="1:18">
      <c r="A1174" s="6" t="s">
        <v>4506</v>
      </c>
      <c r="B1174" s="6">
        <v>2019</v>
      </c>
      <c r="C1174" s="6">
        <v>4</v>
      </c>
      <c r="D1174" s="7">
        <v>29</v>
      </c>
      <c r="E1174" s="6" t="s">
        <v>5209</v>
      </c>
      <c r="F1174" s="6" t="s">
        <v>4508</v>
      </c>
      <c r="G1174" s="6" t="s">
        <v>25</v>
      </c>
      <c r="H1174" s="8"/>
      <c r="I1174" s="8">
        <v>7730</v>
      </c>
      <c r="J1174" s="6" t="s">
        <v>5210</v>
      </c>
      <c r="K1174" s="6" t="s">
        <v>1990</v>
      </c>
      <c r="L1174" s="6" t="s">
        <v>4516</v>
      </c>
      <c r="M1174" s="6" t="s">
        <v>5082</v>
      </c>
      <c r="N1174" s="6" t="s">
        <v>1990</v>
      </c>
      <c r="O1174" s="29">
        <f t="shared" si="23"/>
        <v>7730</v>
      </c>
      <c r="Q1174" s="30" t="s">
        <v>1990</v>
      </c>
      <c r="R1174" s="31">
        <v>8116.5</v>
      </c>
    </row>
    <row r="1175" s="1" customFormat="1" ht="16.35" hidden="1" customHeight="1" spans="1:18">
      <c r="A1175" s="6" t="s">
        <v>4506</v>
      </c>
      <c r="B1175" s="6">
        <v>2019</v>
      </c>
      <c r="C1175" s="6">
        <v>4</v>
      </c>
      <c r="D1175" s="7">
        <v>30</v>
      </c>
      <c r="E1175" s="6" t="s">
        <v>5385</v>
      </c>
      <c r="F1175" s="6" t="s">
        <v>4508</v>
      </c>
      <c r="G1175" s="6" t="s">
        <v>25</v>
      </c>
      <c r="H1175" s="8"/>
      <c r="I1175" s="8">
        <v>9174</v>
      </c>
      <c r="J1175" s="6" t="s">
        <v>5386</v>
      </c>
      <c r="K1175" s="6" t="s">
        <v>2039</v>
      </c>
      <c r="L1175" s="6" t="s">
        <v>4516</v>
      </c>
      <c r="M1175" s="6" t="s">
        <v>5082</v>
      </c>
      <c r="N1175" s="6" t="s">
        <v>2039</v>
      </c>
      <c r="O1175" s="29">
        <f t="shared" si="23"/>
        <v>9174</v>
      </c>
      <c r="Q1175" s="30" t="s">
        <v>2039</v>
      </c>
      <c r="R1175" s="31">
        <v>9632.7</v>
      </c>
    </row>
    <row r="1176" s="1" customFormat="1" ht="16.35" hidden="1" customHeight="1" spans="1:18">
      <c r="A1176" s="6" t="s">
        <v>4506</v>
      </c>
      <c r="B1176" s="6">
        <v>2019</v>
      </c>
      <c r="C1176" s="6">
        <v>4</v>
      </c>
      <c r="D1176" s="7">
        <v>31</v>
      </c>
      <c r="E1176" s="6" t="s">
        <v>5387</v>
      </c>
      <c r="F1176" s="6" t="s">
        <v>4508</v>
      </c>
      <c r="G1176" s="6" t="s">
        <v>25</v>
      </c>
      <c r="H1176" s="8"/>
      <c r="I1176" s="8">
        <v>50367</v>
      </c>
      <c r="J1176" s="6" t="s">
        <v>5218</v>
      </c>
      <c r="K1176" s="6" t="s">
        <v>1998</v>
      </c>
      <c r="L1176" s="6" t="s">
        <v>4516</v>
      </c>
      <c r="M1176" s="6" t="s">
        <v>5082</v>
      </c>
      <c r="N1176" s="6" t="s">
        <v>1998</v>
      </c>
      <c r="O1176" s="29">
        <f t="shared" si="23"/>
        <v>50367</v>
      </c>
      <c r="Q1176" s="30" t="s">
        <v>1998</v>
      </c>
      <c r="R1176" s="31">
        <v>52885.35</v>
      </c>
    </row>
    <row r="1177" s="1" customFormat="1" ht="16.35" hidden="1" customHeight="1" spans="1:18">
      <c r="A1177" s="6" t="s">
        <v>4506</v>
      </c>
      <c r="B1177" s="6">
        <v>2019</v>
      </c>
      <c r="C1177" s="6">
        <v>4</v>
      </c>
      <c r="D1177" s="7">
        <v>32</v>
      </c>
      <c r="E1177" s="6" t="s">
        <v>5388</v>
      </c>
      <c r="F1177" s="6" t="s">
        <v>4508</v>
      </c>
      <c r="G1177" s="6" t="s">
        <v>25</v>
      </c>
      <c r="H1177" s="8"/>
      <c r="I1177" s="8">
        <v>9174</v>
      </c>
      <c r="J1177" s="6" t="s">
        <v>5389</v>
      </c>
      <c r="K1177" s="6" t="s">
        <v>2881</v>
      </c>
      <c r="L1177" s="6" t="s">
        <v>4516</v>
      </c>
      <c r="M1177" s="6" t="s">
        <v>5082</v>
      </c>
      <c r="N1177" s="6" t="s">
        <v>2881</v>
      </c>
      <c r="O1177" s="29">
        <f t="shared" si="23"/>
        <v>9174</v>
      </c>
      <c r="Q1177" s="30" t="s">
        <v>2881</v>
      </c>
      <c r="R1177" s="31">
        <v>9632.7</v>
      </c>
    </row>
    <row r="1178" s="1" customFormat="1" ht="16.35" hidden="1" customHeight="1" spans="1:18">
      <c r="A1178" s="6" t="s">
        <v>4506</v>
      </c>
      <c r="B1178" s="6">
        <v>2019</v>
      </c>
      <c r="C1178" s="6">
        <v>4</v>
      </c>
      <c r="D1178" s="7">
        <v>33</v>
      </c>
      <c r="E1178" s="6" t="s">
        <v>5390</v>
      </c>
      <c r="F1178" s="6" t="s">
        <v>4508</v>
      </c>
      <c r="G1178" s="6" t="s">
        <v>25</v>
      </c>
      <c r="H1178" s="8"/>
      <c r="I1178" s="8">
        <v>366972</v>
      </c>
      <c r="J1178" s="6" t="s">
        <v>5391</v>
      </c>
      <c r="K1178" s="6" t="s">
        <v>2883</v>
      </c>
      <c r="L1178" s="6" t="s">
        <v>4516</v>
      </c>
      <c r="M1178" s="6" t="s">
        <v>5082</v>
      </c>
      <c r="N1178" s="6" t="s">
        <v>2883</v>
      </c>
      <c r="O1178" s="29">
        <f t="shared" si="23"/>
        <v>366972</v>
      </c>
      <c r="Q1178" s="30" t="s">
        <v>2883</v>
      </c>
      <c r="R1178" s="31">
        <v>385320.6</v>
      </c>
    </row>
    <row r="1179" s="1" customFormat="1" ht="16.35" hidden="1" customHeight="1" spans="1:18">
      <c r="A1179" s="6" t="s">
        <v>4506</v>
      </c>
      <c r="B1179" s="6">
        <v>2019</v>
      </c>
      <c r="C1179" s="6">
        <v>4</v>
      </c>
      <c r="D1179" s="7">
        <v>34</v>
      </c>
      <c r="E1179" s="6" t="s">
        <v>5392</v>
      </c>
      <c r="F1179" s="6" t="s">
        <v>4508</v>
      </c>
      <c r="G1179" s="6" t="s">
        <v>25</v>
      </c>
      <c r="H1179" s="8"/>
      <c r="I1179" s="8">
        <v>91743</v>
      </c>
      <c r="J1179" s="6" t="s">
        <v>5173</v>
      </c>
      <c r="K1179" s="6" t="s">
        <v>2023</v>
      </c>
      <c r="L1179" s="6" t="s">
        <v>4516</v>
      </c>
      <c r="M1179" s="6" t="s">
        <v>5082</v>
      </c>
      <c r="N1179" s="6" t="s">
        <v>2023</v>
      </c>
      <c r="O1179" s="29">
        <f t="shared" si="23"/>
        <v>91743</v>
      </c>
      <c r="Q1179" s="30" t="s">
        <v>2023</v>
      </c>
      <c r="R1179" s="31">
        <v>96330.15</v>
      </c>
    </row>
    <row r="1180" s="1" customFormat="1" ht="16.35" hidden="1" customHeight="1" spans="1:18">
      <c r="A1180" s="6" t="s">
        <v>4506</v>
      </c>
      <c r="B1180" s="6">
        <v>2019</v>
      </c>
      <c r="C1180" s="6">
        <v>4</v>
      </c>
      <c r="D1180" s="7">
        <v>35</v>
      </c>
      <c r="E1180" s="6" t="s">
        <v>5377</v>
      </c>
      <c r="F1180" s="6" t="s">
        <v>4508</v>
      </c>
      <c r="G1180" s="6" t="s">
        <v>25</v>
      </c>
      <c r="H1180" s="8"/>
      <c r="I1180" s="8">
        <v>917</v>
      </c>
      <c r="J1180" s="6" t="s">
        <v>5246</v>
      </c>
      <c r="K1180" s="6" t="s">
        <v>2269</v>
      </c>
      <c r="L1180" s="6" t="s">
        <v>4516</v>
      </c>
      <c r="M1180" s="6" t="s">
        <v>5082</v>
      </c>
      <c r="N1180" s="6" t="s">
        <v>2269</v>
      </c>
      <c r="O1180" s="29">
        <f t="shared" si="23"/>
        <v>917</v>
      </c>
      <c r="Q1180" s="30" t="s">
        <v>2269</v>
      </c>
      <c r="R1180" s="31">
        <v>962.85</v>
      </c>
    </row>
    <row r="1181" s="1" customFormat="1" ht="16.35" hidden="1" customHeight="1" spans="1:18">
      <c r="A1181" s="6" t="s">
        <v>4506</v>
      </c>
      <c r="B1181" s="6">
        <v>2019</v>
      </c>
      <c r="C1181" s="6">
        <v>4</v>
      </c>
      <c r="D1181" s="7">
        <v>36</v>
      </c>
      <c r="E1181" s="6" t="s">
        <v>5393</v>
      </c>
      <c r="F1181" s="6" t="s">
        <v>4508</v>
      </c>
      <c r="G1181" s="6" t="s">
        <v>25</v>
      </c>
      <c r="H1181" s="8"/>
      <c r="I1181" s="8">
        <v>36697</v>
      </c>
      <c r="J1181" s="6" t="s">
        <v>5260</v>
      </c>
      <c r="K1181" s="6" t="s">
        <v>1946</v>
      </c>
      <c r="L1181" s="6" t="s">
        <v>4516</v>
      </c>
      <c r="M1181" s="6" t="s">
        <v>5082</v>
      </c>
      <c r="N1181" s="6" t="s">
        <v>1946</v>
      </c>
      <c r="O1181" s="29">
        <f t="shared" si="23"/>
        <v>36697</v>
      </c>
      <c r="Q1181" s="30" t="s">
        <v>1946</v>
      </c>
      <c r="R1181" s="31">
        <v>38531.85</v>
      </c>
    </row>
    <row r="1182" s="1" customFormat="1" ht="16.35" hidden="1" customHeight="1" spans="1:18">
      <c r="A1182" s="6" t="s">
        <v>4506</v>
      </c>
      <c r="B1182" s="6">
        <v>2019</v>
      </c>
      <c r="C1182" s="6">
        <v>4</v>
      </c>
      <c r="D1182" s="7">
        <v>37</v>
      </c>
      <c r="E1182" s="6" t="s">
        <v>5394</v>
      </c>
      <c r="F1182" s="6" t="s">
        <v>4508</v>
      </c>
      <c r="G1182" s="6" t="s">
        <v>25</v>
      </c>
      <c r="H1182" s="8"/>
      <c r="I1182" s="8">
        <v>91743</v>
      </c>
      <c r="J1182" s="6" t="s">
        <v>5149</v>
      </c>
      <c r="K1182" s="6" t="s">
        <v>2083</v>
      </c>
      <c r="L1182" s="6" t="s">
        <v>4516</v>
      </c>
      <c r="M1182" s="6" t="s">
        <v>5082</v>
      </c>
      <c r="N1182" s="6" t="s">
        <v>2083</v>
      </c>
      <c r="O1182" s="29">
        <f t="shared" si="23"/>
        <v>91743</v>
      </c>
      <c r="Q1182" s="30" t="s">
        <v>2083</v>
      </c>
      <c r="R1182" s="31">
        <v>96330.15</v>
      </c>
    </row>
    <row r="1183" s="1" customFormat="1" ht="16.35" hidden="1" customHeight="1" spans="1:18">
      <c r="A1183" s="6" t="s">
        <v>4506</v>
      </c>
      <c r="B1183" s="6">
        <v>2019</v>
      </c>
      <c r="C1183" s="6">
        <v>4</v>
      </c>
      <c r="D1183" s="7">
        <v>38</v>
      </c>
      <c r="E1183" s="6" t="s">
        <v>5395</v>
      </c>
      <c r="F1183" s="6" t="s">
        <v>4508</v>
      </c>
      <c r="G1183" s="6" t="s">
        <v>25</v>
      </c>
      <c r="H1183" s="8"/>
      <c r="I1183" s="8">
        <v>91743</v>
      </c>
      <c r="J1183" s="6" t="s">
        <v>5161</v>
      </c>
      <c r="K1183" s="6" t="s">
        <v>1961</v>
      </c>
      <c r="L1183" s="6" t="s">
        <v>4516</v>
      </c>
      <c r="M1183" s="6" t="s">
        <v>5082</v>
      </c>
      <c r="N1183" s="6" t="s">
        <v>1961</v>
      </c>
      <c r="O1183" s="29">
        <f t="shared" si="23"/>
        <v>91743</v>
      </c>
      <c r="Q1183" s="30" t="s">
        <v>1961</v>
      </c>
      <c r="R1183" s="31">
        <v>96330.15</v>
      </c>
    </row>
    <row r="1184" s="1" customFormat="1" ht="16.35" hidden="1" customHeight="1" spans="1:18">
      <c r="A1184" s="6" t="s">
        <v>4506</v>
      </c>
      <c r="B1184" s="6">
        <v>2019</v>
      </c>
      <c r="C1184" s="6">
        <v>4</v>
      </c>
      <c r="D1184" s="7">
        <v>39</v>
      </c>
      <c r="E1184" s="6" t="s">
        <v>5396</v>
      </c>
      <c r="F1184" s="6" t="s">
        <v>4508</v>
      </c>
      <c r="G1184" s="6" t="s">
        <v>25</v>
      </c>
      <c r="H1184" s="8"/>
      <c r="I1184" s="8">
        <v>51376</v>
      </c>
      <c r="J1184" s="6" t="s">
        <v>5141</v>
      </c>
      <c r="K1184" s="6" t="s">
        <v>2029</v>
      </c>
      <c r="L1184" s="6" t="s">
        <v>4516</v>
      </c>
      <c r="M1184" s="6" t="s">
        <v>5082</v>
      </c>
      <c r="N1184" s="6" t="s">
        <v>2029</v>
      </c>
      <c r="O1184" s="29">
        <f t="shared" si="23"/>
        <v>51376</v>
      </c>
      <c r="Q1184" s="30" t="s">
        <v>2029</v>
      </c>
      <c r="R1184" s="31">
        <v>53944.8</v>
      </c>
    </row>
    <row r="1185" s="1" customFormat="1" ht="16.35" hidden="1" customHeight="1" spans="1:18">
      <c r="A1185" s="6" t="s">
        <v>4506</v>
      </c>
      <c r="B1185" s="6">
        <v>2019</v>
      </c>
      <c r="C1185" s="6">
        <v>4</v>
      </c>
      <c r="D1185" s="7">
        <v>40</v>
      </c>
      <c r="E1185" s="6" t="s">
        <v>5397</v>
      </c>
      <c r="F1185" s="6" t="s">
        <v>4508</v>
      </c>
      <c r="G1185" s="6" t="s">
        <v>25</v>
      </c>
      <c r="H1185" s="8"/>
      <c r="I1185" s="8">
        <v>122936</v>
      </c>
      <c r="J1185" s="6" t="s">
        <v>4099</v>
      </c>
      <c r="K1185" s="6" t="s">
        <v>1953</v>
      </c>
      <c r="L1185" s="6" t="s">
        <v>4516</v>
      </c>
      <c r="M1185" s="6" t="s">
        <v>5082</v>
      </c>
      <c r="N1185" s="6" t="s">
        <v>1953</v>
      </c>
      <c r="O1185" s="29">
        <f t="shared" si="23"/>
        <v>122936</v>
      </c>
      <c r="Q1185" s="30" t="s">
        <v>1953</v>
      </c>
      <c r="R1185" s="31">
        <v>129082.8</v>
      </c>
    </row>
    <row r="1186" s="1" customFormat="1" ht="16.35" hidden="1" customHeight="1" spans="1:18">
      <c r="A1186" s="6" t="s">
        <v>4506</v>
      </c>
      <c r="B1186" s="6">
        <v>2019</v>
      </c>
      <c r="C1186" s="6">
        <v>4</v>
      </c>
      <c r="D1186" s="7">
        <v>41</v>
      </c>
      <c r="E1186" s="6" t="s">
        <v>5398</v>
      </c>
      <c r="F1186" s="6" t="s">
        <v>4508</v>
      </c>
      <c r="G1186" s="6" t="s">
        <v>25</v>
      </c>
      <c r="H1186" s="8"/>
      <c r="I1186" s="8">
        <v>-444625</v>
      </c>
      <c r="J1186" s="6" t="s">
        <v>5185</v>
      </c>
      <c r="K1186" s="6" t="s">
        <v>5186</v>
      </c>
      <c r="L1186" s="6" t="s">
        <v>4510</v>
      </c>
      <c r="M1186" s="6" t="s">
        <v>4511</v>
      </c>
      <c r="N1186" s="6" t="s">
        <v>5186</v>
      </c>
      <c r="O1186" s="29">
        <f>I1186*1.05</f>
        <v>-466856.25</v>
      </c>
      <c r="Q1186" s="30" t="s">
        <v>5186</v>
      </c>
      <c r="R1186" s="31">
        <v>-466856.25</v>
      </c>
    </row>
    <row r="1187" s="1" customFormat="1" ht="16.35" hidden="1" customHeight="1" spans="1:18">
      <c r="A1187" s="6" t="s">
        <v>4506</v>
      </c>
      <c r="B1187" s="6">
        <v>2019</v>
      </c>
      <c r="C1187" s="6">
        <v>5</v>
      </c>
      <c r="D1187" s="7">
        <v>1</v>
      </c>
      <c r="E1187" s="6" t="s">
        <v>5399</v>
      </c>
      <c r="F1187" s="6" t="s">
        <v>4508</v>
      </c>
      <c r="G1187" s="6" t="s">
        <v>25</v>
      </c>
      <c r="H1187" s="8"/>
      <c r="I1187" s="8">
        <v>97936</v>
      </c>
      <c r="J1187" s="6" t="s">
        <v>5099</v>
      </c>
      <c r="K1187" s="6" t="s">
        <v>1938</v>
      </c>
      <c r="L1187" s="6" t="s">
        <v>4516</v>
      </c>
      <c r="M1187" s="6" t="s">
        <v>5082</v>
      </c>
      <c r="N1187" s="6" t="s">
        <v>1938</v>
      </c>
      <c r="O1187" s="29">
        <f t="shared" ref="O1187:O1192" si="24">I1187</f>
        <v>97936</v>
      </c>
      <c r="Q1187" s="30" t="s">
        <v>1938</v>
      </c>
      <c r="R1187" s="31">
        <v>97936</v>
      </c>
    </row>
    <row r="1188" s="1" customFormat="1" ht="16.35" hidden="1" customHeight="1" spans="1:18">
      <c r="A1188" s="6" t="s">
        <v>4506</v>
      </c>
      <c r="B1188" s="6">
        <v>2019</v>
      </c>
      <c r="C1188" s="6">
        <v>5</v>
      </c>
      <c r="D1188" s="7">
        <v>2</v>
      </c>
      <c r="E1188" s="6" t="s">
        <v>5190</v>
      </c>
      <c r="F1188" s="6" t="s">
        <v>4508</v>
      </c>
      <c r="G1188" s="6" t="s">
        <v>25</v>
      </c>
      <c r="H1188" s="8"/>
      <c r="I1188" s="8">
        <v>55046</v>
      </c>
      <c r="J1188" s="6" t="s">
        <v>5191</v>
      </c>
      <c r="K1188" s="6" t="s">
        <v>2041</v>
      </c>
      <c r="L1188" s="6" t="s">
        <v>4516</v>
      </c>
      <c r="M1188" s="6" t="s">
        <v>5082</v>
      </c>
      <c r="N1188" s="6" t="s">
        <v>2041</v>
      </c>
      <c r="O1188" s="29">
        <f t="shared" si="24"/>
        <v>55046</v>
      </c>
      <c r="Q1188" s="30" t="s">
        <v>2041</v>
      </c>
      <c r="R1188" s="31">
        <v>57798.3</v>
      </c>
    </row>
    <row r="1189" s="1" customFormat="1" ht="16.35" hidden="1" customHeight="1" spans="1:18">
      <c r="A1189" s="6" t="s">
        <v>4506</v>
      </c>
      <c r="B1189" s="6">
        <v>2019</v>
      </c>
      <c r="C1189" s="6">
        <v>5</v>
      </c>
      <c r="D1189" s="7">
        <v>3</v>
      </c>
      <c r="E1189" s="6" t="s">
        <v>5399</v>
      </c>
      <c r="F1189" s="6" t="s">
        <v>4508</v>
      </c>
      <c r="G1189" s="6" t="s">
        <v>25</v>
      </c>
      <c r="H1189" s="8"/>
      <c r="I1189" s="8">
        <v>55046</v>
      </c>
      <c r="J1189" s="6" t="s">
        <v>5099</v>
      </c>
      <c r="K1189" s="6" t="s">
        <v>1938</v>
      </c>
      <c r="L1189" s="6" t="s">
        <v>4516</v>
      </c>
      <c r="M1189" s="6" t="s">
        <v>5082</v>
      </c>
      <c r="N1189" s="6" t="s">
        <v>1938</v>
      </c>
      <c r="O1189" s="29">
        <f t="shared" si="24"/>
        <v>55046</v>
      </c>
      <c r="Q1189" s="30" t="s">
        <v>1938</v>
      </c>
      <c r="R1189" s="31">
        <v>55046</v>
      </c>
    </row>
    <row r="1190" s="1" customFormat="1" ht="16.35" hidden="1" customHeight="1" spans="1:18">
      <c r="A1190" s="6" t="s">
        <v>4506</v>
      </c>
      <c r="B1190" s="6">
        <v>2019</v>
      </c>
      <c r="C1190" s="6">
        <v>5</v>
      </c>
      <c r="D1190" s="7">
        <v>4</v>
      </c>
      <c r="E1190" s="6" t="s">
        <v>5385</v>
      </c>
      <c r="F1190" s="6" t="s">
        <v>4508</v>
      </c>
      <c r="G1190" s="6" t="s">
        <v>25</v>
      </c>
      <c r="H1190" s="8"/>
      <c r="I1190" s="8">
        <v>250459</v>
      </c>
      <c r="J1190" s="6" t="s">
        <v>5386</v>
      </c>
      <c r="K1190" s="6" t="s">
        <v>2039</v>
      </c>
      <c r="L1190" s="6" t="s">
        <v>4516</v>
      </c>
      <c r="M1190" s="6" t="s">
        <v>5082</v>
      </c>
      <c r="N1190" s="6" t="s">
        <v>2039</v>
      </c>
      <c r="O1190" s="29">
        <f t="shared" si="24"/>
        <v>250459</v>
      </c>
      <c r="Q1190" s="30" t="s">
        <v>2039</v>
      </c>
      <c r="R1190" s="31">
        <v>262981.95</v>
      </c>
    </row>
    <row r="1191" s="1" customFormat="1" ht="16.35" hidden="1" customHeight="1" spans="1:18">
      <c r="A1191" s="6" t="s">
        <v>4506</v>
      </c>
      <c r="B1191" s="6">
        <v>2019</v>
      </c>
      <c r="C1191" s="6">
        <v>5</v>
      </c>
      <c r="D1191" s="7">
        <v>5</v>
      </c>
      <c r="E1191" s="6" t="s">
        <v>5356</v>
      </c>
      <c r="F1191" s="6" t="s">
        <v>4508</v>
      </c>
      <c r="G1191" s="6" t="s">
        <v>25</v>
      </c>
      <c r="H1191" s="8"/>
      <c r="I1191" s="8">
        <v>229358</v>
      </c>
      <c r="J1191" s="6" t="s">
        <v>5357</v>
      </c>
      <c r="K1191" s="6" t="s">
        <v>2784</v>
      </c>
      <c r="L1191" s="6" t="s">
        <v>4516</v>
      </c>
      <c r="M1191" s="6" t="s">
        <v>5082</v>
      </c>
      <c r="N1191" s="6" t="s">
        <v>2784</v>
      </c>
      <c r="O1191" s="29">
        <f t="shared" si="24"/>
        <v>229358</v>
      </c>
      <c r="Q1191" s="30" t="s">
        <v>2784</v>
      </c>
      <c r="R1191" s="31">
        <v>240825.9</v>
      </c>
    </row>
    <row r="1192" s="1" customFormat="1" ht="16.35" hidden="1" customHeight="1" spans="1:18">
      <c r="A1192" s="6" t="s">
        <v>4506</v>
      </c>
      <c r="B1192" s="6">
        <v>2019</v>
      </c>
      <c r="C1192" s="6">
        <v>5</v>
      </c>
      <c r="D1192" s="7">
        <v>6</v>
      </c>
      <c r="E1192" s="6" t="s">
        <v>5399</v>
      </c>
      <c r="F1192" s="6" t="s">
        <v>4508</v>
      </c>
      <c r="G1192" s="6" t="s">
        <v>25</v>
      </c>
      <c r="H1192" s="8"/>
      <c r="I1192" s="8">
        <v>59633</v>
      </c>
      <c r="J1192" s="6" t="s">
        <v>5099</v>
      </c>
      <c r="K1192" s="6" t="s">
        <v>1938</v>
      </c>
      <c r="L1192" s="6" t="s">
        <v>4516</v>
      </c>
      <c r="M1192" s="6" t="s">
        <v>5082</v>
      </c>
      <c r="N1192" s="6" t="s">
        <v>1938</v>
      </c>
      <c r="O1192" s="29">
        <f t="shared" si="24"/>
        <v>59633</v>
      </c>
      <c r="Q1192" s="30" t="s">
        <v>1938</v>
      </c>
      <c r="R1192" s="31">
        <v>59633</v>
      </c>
    </row>
    <row r="1193" s="1" customFormat="1" ht="16.35" hidden="1" customHeight="1" spans="1:18">
      <c r="A1193" s="6" t="s">
        <v>4506</v>
      </c>
      <c r="B1193" s="6">
        <v>2019</v>
      </c>
      <c r="C1193" s="6">
        <v>5</v>
      </c>
      <c r="D1193" s="7">
        <v>7</v>
      </c>
      <c r="E1193" s="6" t="s">
        <v>5400</v>
      </c>
      <c r="F1193" s="6" t="s">
        <v>4508</v>
      </c>
      <c r="G1193" s="6" t="s">
        <v>25</v>
      </c>
      <c r="H1193" s="8"/>
      <c r="I1193" s="8">
        <v>180952</v>
      </c>
      <c r="J1193" s="6" t="s">
        <v>3977</v>
      </c>
      <c r="K1193" s="6" t="s">
        <v>362</v>
      </c>
      <c r="L1193" s="6" t="s">
        <v>4510</v>
      </c>
      <c r="M1193" s="6" t="s">
        <v>4511</v>
      </c>
      <c r="N1193" s="6" t="s">
        <v>362</v>
      </c>
      <c r="O1193" s="29">
        <f>I1193*1.05</f>
        <v>189999.6</v>
      </c>
      <c r="Q1193" s="30" t="s">
        <v>362</v>
      </c>
      <c r="R1193" s="31">
        <v>189999.6</v>
      </c>
    </row>
    <row r="1194" s="1" customFormat="1" ht="16.35" hidden="1" customHeight="1" spans="1:19">
      <c r="A1194" s="6" t="s">
        <v>4506</v>
      </c>
      <c r="B1194" s="6">
        <v>2019</v>
      </c>
      <c r="C1194" s="6">
        <v>5</v>
      </c>
      <c r="D1194" s="7">
        <v>8</v>
      </c>
      <c r="E1194" s="6" t="s">
        <v>5401</v>
      </c>
      <c r="F1194" s="6" t="s">
        <v>4508</v>
      </c>
      <c r="G1194" s="6" t="s">
        <v>25</v>
      </c>
      <c r="H1194" s="8"/>
      <c r="I1194" s="8">
        <v>185772</v>
      </c>
      <c r="J1194" s="6" t="s">
        <v>5402</v>
      </c>
      <c r="K1194" s="6" t="s">
        <v>1984</v>
      </c>
      <c r="L1194" s="6" t="s">
        <v>4516</v>
      </c>
      <c r="M1194" s="6" t="s">
        <v>5082</v>
      </c>
      <c r="N1194" s="6" t="s">
        <v>1984</v>
      </c>
      <c r="O1194" s="29">
        <f t="shared" ref="O1194:O1208" si="25">I1194</f>
        <v>185772</v>
      </c>
      <c r="Q1194" s="30" t="s">
        <v>1984</v>
      </c>
      <c r="R1194" s="31">
        <v>185772</v>
      </c>
      <c r="S1194" s="25">
        <v>202492</v>
      </c>
    </row>
    <row r="1195" s="1" customFormat="1" ht="16.35" hidden="1" customHeight="1" spans="1:19">
      <c r="A1195" s="6" t="s">
        <v>4506</v>
      </c>
      <c r="B1195" s="6">
        <v>2019</v>
      </c>
      <c r="C1195" s="6">
        <v>5</v>
      </c>
      <c r="D1195" s="7">
        <v>9</v>
      </c>
      <c r="E1195" s="6" t="s">
        <v>5401</v>
      </c>
      <c r="F1195" s="6" t="s">
        <v>4508</v>
      </c>
      <c r="G1195" s="6" t="s">
        <v>25</v>
      </c>
      <c r="H1195" s="8"/>
      <c r="I1195" s="8">
        <v>8257</v>
      </c>
      <c r="J1195" s="6" t="s">
        <v>5402</v>
      </c>
      <c r="K1195" s="6" t="s">
        <v>1984</v>
      </c>
      <c r="L1195" s="6" t="s">
        <v>4516</v>
      </c>
      <c r="M1195" s="6" t="s">
        <v>5082</v>
      </c>
      <c r="N1195" s="6" t="s">
        <v>1984</v>
      </c>
      <c r="O1195" s="29">
        <f t="shared" si="25"/>
        <v>8257</v>
      </c>
      <c r="Q1195" s="30" t="s">
        <v>1984</v>
      </c>
      <c r="R1195" s="31">
        <v>8257</v>
      </c>
      <c r="S1195" s="25">
        <v>9000</v>
      </c>
    </row>
    <row r="1196" s="1" customFormat="1" ht="16.35" hidden="1" customHeight="1" spans="1:18">
      <c r="A1196" s="6" t="s">
        <v>4506</v>
      </c>
      <c r="B1196" s="6">
        <v>2019</v>
      </c>
      <c r="C1196" s="6">
        <v>5</v>
      </c>
      <c r="D1196" s="7">
        <v>10</v>
      </c>
      <c r="E1196" s="6" t="s">
        <v>5403</v>
      </c>
      <c r="F1196" s="6" t="s">
        <v>4508</v>
      </c>
      <c r="G1196" s="6" t="s">
        <v>25</v>
      </c>
      <c r="H1196" s="8"/>
      <c r="I1196" s="8">
        <v>917</v>
      </c>
      <c r="J1196" s="6" t="s">
        <v>5404</v>
      </c>
      <c r="K1196" s="6" t="s">
        <v>2215</v>
      </c>
      <c r="L1196" s="6" t="s">
        <v>4516</v>
      </c>
      <c r="M1196" s="6" t="s">
        <v>5082</v>
      </c>
      <c r="N1196" s="6" t="s">
        <v>2215</v>
      </c>
      <c r="O1196" s="29">
        <f t="shared" si="25"/>
        <v>917</v>
      </c>
      <c r="Q1196" s="30" t="s">
        <v>2215</v>
      </c>
      <c r="R1196" s="31">
        <v>962.85</v>
      </c>
    </row>
    <row r="1197" s="1" customFormat="1" ht="16.35" hidden="1" customHeight="1" spans="1:18">
      <c r="A1197" s="6" t="s">
        <v>4506</v>
      </c>
      <c r="B1197" s="6">
        <v>2019</v>
      </c>
      <c r="C1197" s="6">
        <v>5</v>
      </c>
      <c r="D1197" s="7">
        <v>11</v>
      </c>
      <c r="E1197" s="6" t="s">
        <v>5358</v>
      </c>
      <c r="F1197" s="6" t="s">
        <v>4508</v>
      </c>
      <c r="G1197" s="6" t="s">
        <v>25</v>
      </c>
      <c r="H1197" s="8"/>
      <c r="I1197" s="8">
        <v>18349</v>
      </c>
      <c r="J1197" s="6" t="s">
        <v>5206</v>
      </c>
      <c r="K1197" s="6" t="s">
        <v>2746</v>
      </c>
      <c r="L1197" s="6" t="s">
        <v>4516</v>
      </c>
      <c r="M1197" s="6" t="s">
        <v>5082</v>
      </c>
      <c r="N1197" s="6" t="s">
        <v>2746</v>
      </c>
      <c r="O1197" s="29">
        <f t="shared" si="25"/>
        <v>18349</v>
      </c>
      <c r="Q1197" s="30" t="s">
        <v>2746</v>
      </c>
      <c r="R1197" s="31">
        <v>19266.45</v>
      </c>
    </row>
    <row r="1198" s="1" customFormat="1" ht="16.35" hidden="1" customHeight="1" spans="1:18">
      <c r="A1198" s="6" t="s">
        <v>4506</v>
      </c>
      <c r="B1198" s="6">
        <v>2019</v>
      </c>
      <c r="C1198" s="6">
        <v>5</v>
      </c>
      <c r="D1198" s="7">
        <v>12</v>
      </c>
      <c r="E1198" s="6" t="s">
        <v>5405</v>
      </c>
      <c r="F1198" s="6" t="s">
        <v>4508</v>
      </c>
      <c r="G1198" s="6" t="s">
        <v>25</v>
      </c>
      <c r="H1198" s="8"/>
      <c r="I1198" s="8">
        <v>112844</v>
      </c>
      <c r="J1198" s="6" t="s">
        <v>5406</v>
      </c>
      <c r="K1198" s="6" t="s">
        <v>2037</v>
      </c>
      <c r="L1198" s="6" t="s">
        <v>4516</v>
      </c>
      <c r="M1198" s="6" t="s">
        <v>5082</v>
      </c>
      <c r="N1198" s="6" t="s">
        <v>2037</v>
      </c>
      <c r="O1198" s="29">
        <f t="shared" si="25"/>
        <v>112844</v>
      </c>
      <c r="Q1198" s="30" t="s">
        <v>2037</v>
      </c>
      <c r="R1198" s="31">
        <v>118486.2</v>
      </c>
    </row>
    <row r="1199" s="1" customFormat="1" ht="16.35" hidden="1" customHeight="1" spans="1:18">
      <c r="A1199" s="6" t="s">
        <v>4506</v>
      </c>
      <c r="B1199" s="6">
        <v>2019</v>
      </c>
      <c r="C1199" s="6">
        <v>5</v>
      </c>
      <c r="D1199" s="7">
        <v>13</v>
      </c>
      <c r="E1199" s="6" t="s">
        <v>5317</v>
      </c>
      <c r="F1199" s="6" t="s">
        <v>4508</v>
      </c>
      <c r="G1199" s="6" t="s">
        <v>25</v>
      </c>
      <c r="H1199" s="8"/>
      <c r="I1199" s="8">
        <v>70642</v>
      </c>
      <c r="J1199" s="6" t="s">
        <v>5318</v>
      </c>
      <c r="K1199" s="6" t="s">
        <v>2231</v>
      </c>
      <c r="L1199" s="6" t="s">
        <v>4516</v>
      </c>
      <c r="M1199" s="6" t="s">
        <v>5082</v>
      </c>
      <c r="N1199" s="6" t="s">
        <v>2231</v>
      </c>
      <c r="O1199" s="29">
        <f t="shared" si="25"/>
        <v>70642</v>
      </c>
      <c r="Q1199" s="30" t="s">
        <v>2231</v>
      </c>
      <c r="R1199" s="31">
        <v>74174.1</v>
      </c>
    </row>
    <row r="1200" s="1" customFormat="1" ht="16.35" hidden="1" customHeight="1" spans="1:18">
      <c r="A1200" s="6" t="s">
        <v>4506</v>
      </c>
      <c r="B1200" s="6">
        <v>2019</v>
      </c>
      <c r="C1200" s="6">
        <v>5</v>
      </c>
      <c r="D1200" s="7">
        <v>14</v>
      </c>
      <c r="E1200" s="6" t="s">
        <v>5374</v>
      </c>
      <c r="F1200" s="6" t="s">
        <v>4508</v>
      </c>
      <c r="G1200" s="6" t="s">
        <v>25</v>
      </c>
      <c r="H1200" s="8"/>
      <c r="I1200" s="8">
        <v>9174</v>
      </c>
      <c r="J1200" s="6" t="s">
        <v>5375</v>
      </c>
      <c r="K1200" s="6" t="s">
        <v>2007</v>
      </c>
      <c r="L1200" s="6" t="s">
        <v>4516</v>
      </c>
      <c r="M1200" s="6" t="s">
        <v>5082</v>
      </c>
      <c r="N1200" s="6" t="s">
        <v>2007</v>
      </c>
      <c r="O1200" s="29">
        <f t="shared" si="25"/>
        <v>9174</v>
      </c>
      <c r="Q1200" s="30" t="s">
        <v>2007</v>
      </c>
      <c r="R1200" s="31">
        <v>9632.7</v>
      </c>
    </row>
    <row r="1201" s="1" customFormat="1" ht="16.35" hidden="1" customHeight="1" spans="1:18">
      <c r="A1201" s="6" t="s">
        <v>4506</v>
      </c>
      <c r="B1201" s="6">
        <v>2019</v>
      </c>
      <c r="C1201" s="6">
        <v>5</v>
      </c>
      <c r="D1201" s="7">
        <v>15</v>
      </c>
      <c r="E1201" s="6" t="s">
        <v>5345</v>
      </c>
      <c r="F1201" s="6" t="s">
        <v>4508</v>
      </c>
      <c r="G1201" s="6" t="s">
        <v>25</v>
      </c>
      <c r="H1201" s="8"/>
      <c r="I1201" s="8">
        <v>27523</v>
      </c>
      <c r="J1201" s="6" t="s">
        <v>5346</v>
      </c>
      <c r="K1201" s="6" t="s">
        <v>2752</v>
      </c>
      <c r="L1201" s="6" t="s">
        <v>4516</v>
      </c>
      <c r="M1201" s="6" t="s">
        <v>5082</v>
      </c>
      <c r="N1201" s="6" t="s">
        <v>2752</v>
      </c>
      <c r="O1201" s="29">
        <f t="shared" si="25"/>
        <v>27523</v>
      </c>
      <c r="Q1201" s="30" t="s">
        <v>2752</v>
      </c>
      <c r="R1201" s="31">
        <v>28899.15</v>
      </c>
    </row>
    <row r="1202" s="1" customFormat="1" ht="16.35" hidden="1" customHeight="1" spans="1:18">
      <c r="A1202" s="6" t="s">
        <v>4506</v>
      </c>
      <c r="B1202" s="6">
        <v>2019</v>
      </c>
      <c r="C1202" s="6">
        <v>5</v>
      </c>
      <c r="D1202" s="7">
        <v>16</v>
      </c>
      <c r="E1202" s="6" t="s">
        <v>5407</v>
      </c>
      <c r="F1202" s="6" t="s">
        <v>4508</v>
      </c>
      <c r="G1202" s="6" t="s">
        <v>25</v>
      </c>
      <c r="H1202" s="8"/>
      <c r="I1202" s="8">
        <v>64142</v>
      </c>
      <c r="J1202" s="6" t="s">
        <v>5408</v>
      </c>
      <c r="K1202" s="6" t="s">
        <v>2225</v>
      </c>
      <c r="L1202" s="6" t="s">
        <v>4516</v>
      </c>
      <c r="M1202" s="6" t="s">
        <v>5082</v>
      </c>
      <c r="N1202" s="6" t="s">
        <v>2225</v>
      </c>
      <c r="O1202" s="29">
        <f t="shared" si="25"/>
        <v>64142</v>
      </c>
      <c r="Q1202" s="30" t="s">
        <v>2225</v>
      </c>
      <c r="R1202" s="31">
        <v>67349.1</v>
      </c>
    </row>
    <row r="1203" s="1" customFormat="1" ht="16.35" hidden="1" customHeight="1" spans="1:18">
      <c r="A1203" s="6" t="s">
        <v>4506</v>
      </c>
      <c r="B1203" s="6">
        <v>2019</v>
      </c>
      <c r="C1203" s="6">
        <v>5</v>
      </c>
      <c r="D1203" s="7">
        <v>17</v>
      </c>
      <c r="E1203" s="6" t="s">
        <v>5409</v>
      </c>
      <c r="F1203" s="6" t="s">
        <v>4508</v>
      </c>
      <c r="G1203" s="6" t="s">
        <v>25</v>
      </c>
      <c r="H1203" s="8"/>
      <c r="I1203" s="8">
        <v>113165</v>
      </c>
      <c r="J1203" s="6" t="s">
        <v>5410</v>
      </c>
      <c r="K1203" s="6" t="s">
        <v>2033</v>
      </c>
      <c r="L1203" s="6" t="s">
        <v>4516</v>
      </c>
      <c r="M1203" s="6" t="s">
        <v>5082</v>
      </c>
      <c r="N1203" s="6" t="s">
        <v>2033</v>
      </c>
      <c r="O1203" s="29">
        <f t="shared" si="25"/>
        <v>113165</v>
      </c>
      <c r="Q1203" s="30" t="s">
        <v>2033</v>
      </c>
      <c r="R1203" s="31">
        <v>118823.25</v>
      </c>
    </row>
    <row r="1204" s="1" customFormat="1" ht="16.35" hidden="1" customHeight="1" spans="1:18">
      <c r="A1204" s="6" t="s">
        <v>4506</v>
      </c>
      <c r="B1204" s="6">
        <v>2019</v>
      </c>
      <c r="C1204" s="6">
        <v>5</v>
      </c>
      <c r="D1204" s="7">
        <v>18</v>
      </c>
      <c r="E1204" s="6" t="s">
        <v>5393</v>
      </c>
      <c r="F1204" s="6" t="s">
        <v>4508</v>
      </c>
      <c r="G1204" s="6" t="s">
        <v>25</v>
      </c>
      <c r="H1204" s="8"/>
      <c r="I1204" s="8">
        <v>24128</v>
      </c>
      <c r="J1204" s="6" t="s">
        <v>5260</v>
      </c>
      <c r="K1204" s="6" t="s">
        <v>1946</v>
      </c>
      <c r="L1204" s="6" t="s">
        <v>4516</v>
      </c>
      <c r="M1204" s="6" t="s">
        <v>5082</v>
      </c>
      <c r="N1204" s="6" t="s">
        <v>1946</v>
      </c>
      <c r="O1204" s="29">
        <f t="shared" si="25"/>
        <v>24128</v>
      </c>
      <c r="Q1204" s="30" t="s">
        <v>1946</v>
      </c>
      <c r="R1204" s="31">
        <v>25334.4</v>
      </c>
    </row>
    <row r="1205" s="1" customFormat="1" ht="16.35" hidden="1" customHeight="1" spans="1:18">
      <c r="A1205" s="6" t="s">
        <v>4506</v>
      </c>
      <c r="B1205" s="6">
        <v>2019</v>
      </c>
      <c r="C1205" s="6">
        <v>5</v>
      </c>
      <c r="D1205" s="7">
        <v>19</v>
      </c>
      <c r="E1205" s="6" t="s">
        <v>5411</v>
      </c>
      <c r="F1205" s="6" t="s">
        <v>4508</v>
      </c>
      <c r="G1205" s="6" t="s">
        <v>25</v>
      </c>
      <c r="H1205" s="8"/>
      <c r="I1205" s="8">
        <v>57339</v>
      </c>
      <c r="J1205" s="6" t="s">
        <v>5204</v>
      </c>
      <c r="K1205" s="6" t="s">
        <v>2744</v>
      </c>
      <c r="L1205" s="6" t="s">
        <v>4516</v>
      </c>
      <c r="M1205" s="6" t="s">
        <v>5082</v>
      </c>
      <c r="N1205" s="6" t="s">
        <v>2744</v>
      </c>
      <c r="O1205" s="29">
        <f t="shared" si="25"/>
        <v>57339</v>
      </c>
      <c r="Q1205" s="30" t="s">
        <v>2744</v>
      </c>
      <c r="R1205" s="31">
        <v>60205.95</v>
      </c>
    </row>
    <row r="1206" s="1" customFormat="1" ht="16.35" hidden="1" customHeight="1" spans="1:18">
      <c r="A1206" s="6" t="s">
        <v>4506</v>
      </c>
      <c r="B1206" s="6">
        <v>2019</v>
      </c>
      <c r="C1206" s="6">
        <v>5</v>
      </c>
      <c r="D1206" s="7">
        <v>20</v>
      </c>
      <c r="E1206" s="6" t="s">
        <v>5412</v>
      </c>
      <c r="F1206" s="6" t="s">
        <v>4508</v>
      </c>
      <c r="G1206" s="6" t="s">
        <v>25</v>
      </c>
      <c r="H1206" s="8"/>
      <c r="I1206" s="8">
        <v>862</v>
      </c>
      <c r="J1206" s="6" t="s">
        <v>5413</v>
      </c>
      <c r="K1206" s="6" t="s">
        <v>2131</v>
      </c>
      <c r="L1206" s="6" t="s">
        <v>4516</v>
      </c>
      <c r="M1206" s="6" t="s">
        <v>5082</v>
      </c>
      <c r="N1206" s="6" t="s">
        <v>2131</v>
      </c>
      <c r="O1206" s="29">
        <f t="shared" si="25"/>
        <v>862</v>
      </c>
      <c r="Q1206" s="30" t="s">
        <v>2131</v>
      </c>
      <c r="R1206" s="31">
        <v>905.1</v>
      </c>
    </row>
    <row r="1207" s="1" customFormat="1" ht="16.35" hidden="1" customHeight="1" spans="1:18">
      <c r="A1207" s="6" t="s">
        <v>4506</v>
      </c>
      <c r="B1207" s="6">
        <v>2019</v>
      </c>
      <c r="C1207" s="6">
        <v>5</v>
      </c>
      <c r="D1207" s="7">
        <v>21</v>
      </c>
      <c r="E1207" s="6" t="s">
        <v>5412</v>
      </c>
      <c r="F1207" s="6" t="s">
        <v>4508</v>
      </c>
      <c r="G1207" s="6" t="s">
        <v>25</v>
      </c>
      <c r="H1207" s="8"/>
      <c r="I1207" s="8">
        <v>9495</v>
      </c>
      <c r="J1207" s="6" t="s">
        <v>5413</v>
      </c>
      <c r="K1207" s="6" t="s">
        <v>2131</v>
      </c>
      <c r="L1207" s="6" t="s">
        <v>4516</v>
      </c>
      <c r="M1207" s="6" t="s">
        <v>5082</v>
      </c>
      <c r="N1207" s="6" t="s">
        <v>2131</v>
      </c>
      <c r="O1207" s="29">
        <f t="shared" si="25"/>
        <v>9495</v>
      </c>
      <c r="Q1207" s="30" t="s">
        <v>2131</v>
      </c>
      <c r="R1207" s="31">
        <v>9969.75</v>
      </c>
    </row>
    <row r="1208" s="1" customFormat="1" ht="16.35" hidden="1" customHeight="1" spans="1:18">
      <c r="A1208" s="6" t="s">
        <v>4506</v>
      </c>
      <c r="B1208" s="6">
        <v>2019</v>
      </c>
      <c r="C1208" s="6">
        <v>5</v>
      </c>
      <c r="D1208" s="7">
        <v>22</v>
      </c>
      <c r="E1208" s="6" t="s">
        <v>5414</v>
      </c>
      <c r="F1208" s="6" t="s">
        <v>4508</v>
      </c>
      <c r="G1208" s="6" t="s">
        <v>25</v>
      </c>
      <c r="H1208" s="8"/>
      <c r="I1208" s="8">
        <v>118183</v>
      </c>
      <c r="J1208" s="6" t="s">
        <v>5415</v>
      </c>
      <c r="K1208" s="6" t="s">
        <v>2206</v>
      </c>
      <c r="L1208" s="6" t="s">
        <v>4516</v>
      </c>
      <c r="M1208" s="6" t="s">
        <v>5082</v>
      </c>
      <c r="N1208" s="6" t="s">
        <v>2206</v>
      </c>
      <c r="O1208" s="29">
        <f t="shared" si="25"/>
        <v>118183</v>
      </c>
      <c r="Q1208" s="30" t="s">
        <v>2206</v>
      </c>
      <c r="R1208" s="31">
        <v>124092.15</v>
      </c>
    </row>
    <row r="1209" s="1" customFormat="1" ht="16.35" hidden="1" customHeight="1" spans="1:18">
      <c r="A1209" s="6" t="s">
        <v>4506</v>
      </c>
      <c r="B1209" s="6">
        <v>2019</v>
      </c>
      <c r="C1209" s="6">
        <v>5</v>
      </c>
      <c r="D1209" s="7">
        <v>23</v>
      </c>
      <c r="E1209" s="6" t="s">
        <v>5416</v>
      </c>
      <c r="F1209" s="6" t="s">
        <v>4508</v>
      </c>
      <c r="G1209" s="6" t="s">
        <v>25</v>
      </c>
      <c r="H1209" s="8"/>
      <c r="I1209" s="8">
        <v>276190</v>
      </c>
      <c r="J1209" s="6" t="s">
        <v>5417</v>
      </c>
      <c r="K1209" s="6" t="s">
        <v>676</v>
      </c>
      <c r="L1209" s="6" t="s">
        <v>4510</v>
      </c>
      <c r="M1209" s="6" t="s">
        <v>4511</v>
      </c>
      <c r="N1209" s="6" t="s">
        <v>676</v>
      </c>
      <c r="O1209" s="29">
        <f>I1209*1.05</f>
        <v>289999.5</v>
      </c>
      <c r="Q1209" s="30" t="s">
        <v>676</v>
      </c>
      <c r="R1209" s="31">
        <v>289999.5</v>
      </c>
    </row>
    <row r="1210" s="1" customFormat="1" ht="16.35" hidden="1" customHeight="1" spans="1:18">
      <c r="A1210" s="6" t="s">
        <v>4506</v>
      </c>
      <c r="B1210" s="6">
        <v>2019</v>
      </c>
      <c r="C1210" s="6">
        <v>5</v>
      </c>
      <c r="D1210" s="7">
        <v>24</v>
      </c>
      <c r="E1210" s="6" t="s">
        <v>5387</v>
      </c>
      <c r="F1210" s="6" t="s">
        <v>4508</v>
      </c>
      <c r="G1210" s="6" t="s">
        <v>25</v>
      </c>
      <c r="H1210" s="8"/>
      <c r="I1210" s="8">
        <v>1725</v>
      </c>
      <c r="J1210" s="6" t="s">
        <v>5218</v>
      </c>
      <c r="K1210" s="6" t="s">
        <v>1998</v>
      </c>
      <c r="L1210" s="6" t="s">
        <v>4516</v>
      </c>
      <c r="M1210" s="6" t="s">
        <v>5082</v>
      </c>
      <c r="N1210" s="6" t="s">
        <v>1998</v>
      </c>
      <c r="O1210" s="29">
        <f>I1210</f>
        <v>1725</v>
      </c>
      <c r="Q1210" s="30" t="s">
        <v>1998</v>
      </c>
      <c r="R1210" s="31">
        <v>1811.25</v>
      </c>
    </row>
    <row r="1211" s="1" customFormat="1" ht="16.35" hidden="1" customHeight="1" spans="1:18">
      <c r="A1211" s="6" t="s">
        <v>4506</v>
      </c>
      <c r="B1211" s="6">
        <v>2019</v>
      </c>
      <c r="C1211" s="6">
        <v>5</v>
      </c>
      <c r="D1211" s="7">
        <v>25</v>
      </c>
      <c r="E1211" s="6" t="s">
        <v>5368</v>
      </c>
      <c r="F1211" s="6" t="s">
        <v>4508</v>
      </c>
      <c r="G1211" s="6" t="s">
        <v>25</v>
      </c>
      <c r="H1211" s="8"/>
      <c r="I1211" s="8">
        <v>366</v>
      </c>
      <c r="J1211" s="6" t="s">
        <v>5103</v>
      </c>
      <c r="K1211" s="6" t="s">
        <v>1972</v>
      </c>
      <c r="L1211" s="6" t="s">
        <v>4516</v>
      </c>
      <c r="M1211" s="6" t="s">
        <v>5082</v>
      </c>
      <c r="N1211" s="6" t="s">
        <v>1972</v>
      </c>
      <c r="O1211" s="29">
        <f>I1211</f>
        <v>366</v>
      </c>
      <c r="Q1211" s="30" t="s">
        <v>1972</v>
      </c>
      <c r="R1211" s="31">
        <v>384.3</v>
      </c>
    </row>
    <row r="1212" s="1" customFormat="1" ht="16.35" hidden="1" customHeight="1" spans="1:18">
      <c r="A1212" s="6" t="s">
        <v>4506</v>
      </c>
      <c r="B1212" s="6">
        <v>2019</v>
      </c>
      <c r="C1212" s="6">
        <v>5</v>
      </c>
      <c r="D1212" s="7">
        <v>26</v>
      </c>
      <c r="E1212" s="6" t="s">
        <v>5341</v>
      </c>
      <c r="F1212" s="6" t="s">
        <v>4508</v>
      </c>
      <c r="G1212" s="6" t="s">
        <v>25</v>
      </c>
      <c r="H1212" s="8"/>
      <c r="I1212" s="8">
        <v>2588</v>
      </c>
      <c r="J1212" s="6" t="s">
        <v>5212</v>
      </c>
      <c r="K1212" s="6" t="s">
        <v>2229</v>
      </c>
      <c r="L1212" s="6" t="s">
        <v>4516</v>
      </c>
      <c r="M1212" s="6" t="s">
        <v>5082</v>
      </c>
      <c r="N1212" s="6" t="s">
        <v>2229</v>
      </c>
      <c r="O1212" s="29">
        <f>I1212</f>
        <v>2588</v>
      </c>
      <c r="Q1212" s="30" t="s">
        <v>2229</v>
      </c>
      <c r="R1212" s="31">
        <v>2717.4</v>
      </c>
    </row>
    <row r="1213" s="1" customFormat="1" ht="16.35" hidden="1" customHeight="1" spans="1:18">
      <c r="A1213" s="6" t="s">
        <v>4506</v>
      </c>
      <c r="B1213" s="6">
        <v>2019</v>
      </c>
      <c r="C1213" s="6">
        <v>5</v>
      </c>
      <c r="D1213" s="7">
        <v>27</v>
      </c>
      <c r="E1213" s="6" t="s">
        <v>5306</v>
      </c>
      <c r="F1213" s="6" t="s">
        <v>4508</v>
      </c>
      <c r="G1213" s="6" t="s">
        <v>25</v>
      </c>
      <c r="H1213" s="8"/>
      <c r="I1213" s="8">
        <v>13761</v>
      </c>
      <c r="J1213" s="6" t="s">
        <v>5307</v>
      </c>
      <c r="K1213" s="6" t="s">
        <v>2211</v>
      </c>
      <c r="L1213" s="6" t="s">
        <v>4516</v>
      </c>
      <c r="M1213" s="6" t="s">
        <v>5082</v>
      </c>
      <c r="N1213" s="6" t="s">
        <v>2211</v>
      </c>
      <c r="O1213" s="29">
        <f>I1213</f>
        <v>13761</v>
      </c>
      <c r="Q1213" s="30" t="s">
        <v>2211</v>
      </c>
      <c r="R1213" s="31">
        <v>14449.05</v>
      </c>
    </row>
    <row r="1214" s="1" customFormat="1" ht="16.35" hidden="1" customHeight="1" spans="1:18">
      <c r="A1214" s="6" t="s">
        <v>4506</v>
      </c>
      <c r="B1214" s="6">
        <v>2019</v>
      </c>
      <c r="C1214" s="6">
        <v>5</v>
      </c>
      <c r="D1214" s="7">
        <v>28</v>
      </c>
      <c r="E1214" s="6" t="s">
        <v>5418</v>
      </c>
      <c r="F1214" s="6" t="s">
        <v>4508</v>
      </c>
      <c r="G1214" s="6" t="s">
        <v>25</v>
      </c>
      <c r="H1214" s="8"/>
      <c r="I1214" s="8">
        <v>292741</v>
      </c>
      <c r="J1214" s="6" t="s">
        <v>5419</v>
      </c>
      <c r="K1214" s="6" t="s">
        <v>767</v>
      </c>
      <c r="L1214" s="6" t="s">
        <v>4510</v>
      </c>
      <c r="M1214" s="6" t="s">
        <v>4511</v>
      </c>
      <c r="N1214" s="6" t="s">
        <v>767</v>
      </c>
      <c r="O1214" s="29">
        <f>I1214*1.05</f>
        <v>307378.05</v>
      </c>
      <c r="Q1214" s="30" t="s">
        <v>767</v>
      </c>
      <c r="R1214" s="31">
        <v>307378.05</v>
      </c>
    </row>
    <row r="1215" s="1" customFormat="1" ht="16.35" hidden="1" customHeight="1" spans="1:18">
      <c r="A1215" s="6" t="s">
        <v>4506</v>
      </c>
      <c r="B1215" s="6">
        <v>2019</v>
      </c>
      <c r="C1215" s="6">
        <v>5</v>
      </c>
      <c r="D1215" s="7">
        <v>29</v>
      </c>
      <c r="E1215" s="6" t="s">
        <v>5420</v>
      </c>
      <c r="F1215" s="6" t="s">
        <v>4508</v>
      </c>
      <c r="G1215" s="6" t="s">
        <v>25</v>
      </c>
      <c r="H1215" s="8"/>
      <c r="I1215" s="8">
        <v>130275</v>
      </c>
      <c r="J1215" s="6" t="s">
        <v>5318</v>
      </c>
      <c r="K1215" s="6" t="s">
        <v>2231</v>
      </c>
      <c r="L1215" s="6" t="s">
        <v>4516</v>
      </c>
      <c r="M1215" s="6" t="s">
        <v>5082</v>
      </c>
      <c r="N1215" s="6" t="s">
        <v>2231</v>
      </c>
      <c r="O1215" s="29">
        <f t="shared" ref="O1215:O1253" si="26">I1215</f>
        <v>130275</v>
      </c>
      <c r="Q1215" s="30" t="s">
        <v>2231</v>
      </c>
      <c r="R1215" s="31">
        <v>136788.75</v>
      </c>
    </row>
    <row r="1216" s="1" customFormat="1" ht="16.35" hidden="1" customHeight="1" spans="1:18">
      <c r="A1216" s="6" t="s">
        <v>4506</v>
      </c>
      <c r="B1216" s="6">
        <v>2019</v>
      </c>
      <c r="C1216" s="6">
        <v>5</v>
      </c>
      <c r="D1216" s="7">
        <v>30</v>
      </c>
      <c r="E1216" s="6" t="s">
        <v>5421</v>
      </c>
      <c r="F1216" s="6" t="s">
        <v>4508</v>
      </c>
      <c r="G1216" s="6" t="s">
        <v>25</v>
      </c>
      <c r="H1216" s="8"/>
      <c r="I1216" s="8">
        <v>44037</v>
      </c>
      <c r="J1216" s="6" t="s">
        <v>5227</v>
      </c>
      <c r="K1216" s="6" t="s">
        <v>2119</v>
      </c>
      <c r="L1216" s="6" t="s">
        <v>4516</v>
      </c>
      <c r="M1216" s="6" t="s">
        <v>5082</v>
      </c>
      <c r="N1216" s="6" t="s">
        <v>2119</v>
      </c>
      <c r="O1216" s="29">
        <f t="shared" si="26"/>
        <v>44037</v>
      </c>
      <c r="Q1216" s="30" t="s">
        <v>2119</v>
      </c>
      <c r="R1216" s="31">
        <v>46238.85</v>
      </c>
    </row>
    <row r="1217" s="1" customFormat="1" ht="16.35" hidden="1" customHeight="1" spans="1:18">
      <c r="A1217" s="6" t="s">
        <v>4506</v>
      </c>
      <c r="B1217" s="6">
        <v>2019</v>
      </c>
      <c r="C1217" s="6">
        <v>5</v>
      </c>
      <c r="D1217" s="7">
        <v>31</v>
      </c>
      <c r="E1217" s="6" t="s">
        <v>5422</v>
      </c>
      <c r="F1217" s="6" t="s">
        <v>4508</v>
      </c>
      <c r="G1217" s="6" t="s">
        <v>25</v>
      </c>
      <c r="H1217" s="8"/>
      <c r="I1217" s="8">
        <v>137615</v>
      </c>
      <c r="J1217" s="6" t="s">
        <v>5165</v>
      </c>
      <c r="K1217" s="6" t="s">
        <v>1980</v>
      </c>
      <c r="L1217" s="6" t="s">
        <v>4516</v>
      </c>
      <c r="M1217" s="6" t="s">
        <v>5082</v>
      </c>
      <c r="N1217" s="6" t="s">
        <v>1980</v>
      </c>
      <c r="O1217" s="29">
        <f t="shared" si="26"/>
        <v>137615</v>
      </c>
      <c r="Q1217" s="30" t="s">
        <v>1980</v>
      </c>
      <c r="R1217" s="31">
        <v>144495.75</v>
      </c>
    </row>
    <row r="1218" s="1" customFormat="1" ht="16.35" hidden="1" customHeight="1" spans="1:18">
      <c r="A1218" s="6" t="s">
        <v>4506</v>
      </c>
      <c r="B1218" s="6">
        <v>2019</v>
      </c>
      <c r="C1218" s="6">
        <v>5</v>
      </c>
      <c r="D1218" s="7">
        <v>32</v>
      </c>
      <c r="E1218" s="6" t="s">
        <v>5423</v>
      </c>
      <c r="F1218" s="6" t="s">
        <v>4508</v>
      </c>
      <c r="G1218" s="6" t="s">
        <v>25</v>
      </c>
      <c r="H1218" s="8"/>
      <c r="I1218" s="8">
        <v>146789</v>
      </c>
      <c r="J1218" s="6" t="s">
        <v>5119</v>
      </c>
      <c r="K1218" s="6" t="s">
        <v>2287</v>
      </c>
      <c r="L1218" s="6" t="s">
        <v>4516</v>
      </c>
      <c r="M1218" s="6" t="s">
        <v>5082</v>
      </c>
      <c r="N1218" s="6" t="s">
        <v>2287</v>
      </c>
      <c r="O1218" s="29">
        <f t="shared" si="26"/>
        <v>146789</v>
      </c>
      <c r="Q1218" s="30" t="s">
        <v>2287</v>
      </c>
      <c r="R1218" s="31">
        <v>154128.45</v>
      </c>
    </row>
    <row r="1219" s="1" customFormat="1" ht="16.35" hidden="1" customHeight="1" spans="1:18">
      <c r="A1219" s="6" t="s">
        <v>4506</v>
      </c>
      <c r="B1219" s="6">
        <v>2019</v>
      </c>
      <c r="C1219" s="6">
        <v>5</v>
      </c>
      <c r="D1219" s="7">
        <v>33</v>
      </c>
      <c r="E1219" s="6" t="s">
        <v>5424</v>
      </c>
      <c r="F1219" s="6" t="s">
        <v>4508</v>
      </c>
      <c r="G1219" s="6" t="s">
        <v>25</v>
      </c>
      <c r="H1219" s="8"/>
      <c r="I1219" s="8">
        <v>146789</v>
      </c>
      <c r="J1219" s="6" t="s">
        <v>5155</v>
      </c>
      <c r="K1219" s="6" t="s">
        <v>2195</v>
      </c>
      <c r="L1219" s="6" t="s">
        <v>4516</v>
      </c>
      <c r="M1219" s="6" t="s">
        <v>5082</v>
      </c>
      <c r="N1219" s="6" t="s">
        <v>2195</v>
      </c>
      <c r="O1219" s="29">
        <f t="shared" si="26"/>
        <v>146789</v>
      </c>
      <c r="Q1219" s="30" t="s">
        <v>2195</v>
      </c>
      <c r="R1219" s="31">
        <v>154128.45</v>
      </c>
    </row>
    <row r="1220" s="1" customFormat="1" ht="16.35" hidden="1" customHeight="1" spans="1:18">
      <c r="A1220" s="6" t="s">
        <v>4506</v>
      </c>
      <c r="B1220" s="6">
        <v>2019</v>
      </c>
      <c r="C1220" s="6">
        <v>5</v>
      </c>
      <c r="D1220" s="7">
        <v>34</v>
      </c>
      <c r="E1220" s="6" t="s">
        <v>5425</v>
      </c>
      <c r="F1220" s="6" t="s">
        <v>4508</v>
      </c>
      <c r="G1220" s="6" t="s">
        <v>25</v>
      </c>
      <c r="H1220" s="8"/>
      <c r="I1220" s="8">
        <v>178899</v>
      </c>
      <c r="J1220" s="6" t="s">
        <v>5293</v>
      </c>
      <c r="K1220" s="6" t="s">
        <v>2093</v>
      </c>
      <c r="L1220" s="6" t="s">
        <v>4516</v>
      </c>
      <c r="M1220" s="6" t="s">
        <v>5082</v>
      </c>
      <c r="N1220" s="6" t="s">
        <v>2093</v>
      </c>
      <c r="O1220" s="29">
        <f t="shared" si="26"/>
        <v>178899</v>
      </c>
      <c r="Q1220" s="30" t="s">
        <v>2093</v>
      </c>
      <c r="R1220" s="31">
        <v>187843.95</v>
      </c>
    </row>
    <row r="1221" s="1" customFormat="1" ht="16.35" hidden="1" customHeight="1" spans="1:18">
      <c r="A1221" s="6" t="s">
        <v>4506</v>
      </c>
      <c r="B1221" s="6">
        <v>2019</v>
      </c>
      <c r="C1221" s="6">
        <v>5</v>
      </c>
      <c r="D1221" s="7">
        <v>35</v>
      </c>
      <c r="E1221" s="6" t="s">
        <v>5426</v>
      </c>
      <c r="F1221" s="6" t="s">
        <v>4508</v>
      </c>
      <c r="G1221" s="6" t="s">
        <v>25</v>
      </c>
      <c r="H1221" s="8"/>
      <c r="I1221" s="8">
        <v>125688</v>
      </c>
      <c r="J1221" s="6" t="s">
        <v>5171</v>
      </c>
      <c r="K1221" s="6" t="s">
        <v>1950</v>
      </c>
      <c r="L1221" s="6" t="s">
        <v>4516</v>
      </c>
      <c r="M1221" s="6" t="s">
        <v>5082</v>
      </c>
      <c r="N1221" s="6" t="s">
        <v>1950</v>
      </c>
      <c r="O1221" s="29">
        <f t="shared" si="26"/>
        <v>125688</v>
      </c>
      <c r="Q1221" s="30" t="s">
        <v>1950</v>
      </c>
      <c r="R1221" s="31">
        <v>131972.4</v>
      </c>
    </row>
    <row r="1222" s="1" customFormat="1" ht="16.35" hidden="1" customHeight="1" spans="1:18">
      <c r="A1222" s="6" t="s">
        <v>4506</v>
      </c>
      <c r="B1222" s="6">
        <v>2019</v>
      </c>
      <c r="C1222" s="6">
        <v>5</v>
      </c>
      <c r="D1222" s="7">
        <v>36</v>
      </c>
      <c r="E1222" s="6" t="s">
        <v>5427</v>
      </c>
      <c r="F1222" s="6" t="s">
        <v>4508</v>
      </c>
      <c r="G1222" s="6" t="s">
        <v>25</v>
      </c>
      <c r="H1222" s="8"/>
      <c r="I1222" s="8">
        <v>133028</v>
      </c>
      <c r="J1222" s="6" t="s">
        <v>5134</v>
      </c>
      <c r="K1222" s="6" t="s">
        <v>2301</v>
      </c>
      <c r="L1222" s="6" t="s">
        <v>4516</v>
      </c>
      <c r="M1222" s="6" t="s">
        <v>5082</v>
      </c>
      <c r="N1222" s="6" t="s">
        <v>2301</v>
      </c>
      <c r="O1222" s="29">
        <f t="shared" si="26"/>
        <v>133028</v>
      </c>
      <c r="Q1222" s="30" t="s">
        <v>2301</v>
      </c>
      <c r="R1222" s="31">
        <v>139679.4</v>
      </c>
    </row>
    <row r="1223" s="1" customFormat="1" ht="16.35" hidden="1" customHeight="1" spans="1:18">
      <c r="A1223" s="6" t="s">
        <v>4506</v>
      </c>
      <c r="B1223" s="6">
        <v>2019</v>
      </c>
      <c r="C1223" s="6">
        <v>5</v>
      </c>
      <c r="D1223" s="7">
        <v>37</v>
      </c>
      <c r="E1223" s="6" t="s">
        <v>5428</v>
      </c>
      <c r="F1223" s="6" t="s">
        <v>4508</v>
      </c>
      <c r="G1223" s="6" t="s">
        <v>25</v>
      </c>
      <c r="H1223" s="8"/>
      <c r="I1223" s="8">
        <v>137615</v>
      </c>
      <c r="J1223" s="6" t="s">
        <v>5222</v>
      </c>
      <c r="K1223" s="6" t="s">
        <v>1965</v>
      </c>
      <c r="L1223" s="6" t="s">
        <v>4516</v>
      </c>
      <c r="M1223" s="6" t="s">
        <v>5082</v>
      </c>
      <c r="N1223" s="6" t="s">
        <v>1965</v>
      </c>
      <c r="O1223" s="29">
        <f t="shared" si="26"/>
        <v>137615</v>
      </c>
      <c r="Q1223" s="30" t="s">
        <v>1965</v>
      </c>
      <c r="R1223" s="31">
        <v>144495.75</v>
      </c>
    </row>
    <row r="1224" s="1" customFormat="1" ht="25" hidden="1" customHeight="1" spans="1:18">
      <c r="A1224" s="6" t="s">
        <v>4506</v>
      </c>
      <c r="B1224" s="6">
        <v>2019</v>
      </c>
      <c r="C1224" s="6">
        <v>5</v>
      </c>
      <c r="D1224" s="7">
        <v>38</v>
      </c>
      <c r="E1224" s="6" t="s">
        <v>5429</v>
      </c>
      <c r="F1224" s="6" t="s">
        <v>4508</v>
      </c>
      <c r="G1224" s="6" t="s">
        <v>25</v>
      </c>
      <c r="H1224" s="8"/>
      <c r="I1224" s="8">
        <v>151376</v>
      </c>
      <c r="J1224" s="6" t="s">
        <v>5330</v>
      </c>
      <c r="K1224" s="6" t="s">
        <v>2251</v>
      </c>
      <c r="L1224" s="6" t="s">
        <v>4516</v>
      </c>
      <c r="M1224" s="6" t="s">
        <v>5082</v>
      </c>
      <c r="N1224" s="6" t="s">
        <v>2251</v>
      </c>
      <c r="O1224" s="29">
        <f t="shared" si="26"/>
        <v>151376</v>
      </c>
      <c r="Q1224" s="30" t="s">
        <v>2251</v>
      </c>
      <c r="R1224" s="31">
        <v>158944.8</v>
      </c>
    </row>
    <row r="1225" s="1" customFormat="1" ht="16.35" hidden="1" customHeight="1" spans="1:18">
      <c r="A1225" s="6" t="s">
        <v>4506</v>
      </c>
      <c r="B1225" s="6">
        <v>2019</v>
      </c>
      <c r="C1225" s="6">
        <v>5</v>
      </c>
      <c r="D1225" s="7">
        <v>39</v>
      </c>
      <c r="E1225" s="6" t="s">
        <v>5430</v>
      </c>
      <c r="F1225" s="6" t="s">
        <v>4508</v>
      </c>
      <c r="G1225" s="6" t="s">
        <v>25</v>
      </c>
      <c r="H1225" s="8"/>
      <c r="I1225" s="8">
        <v>120183</v>
      </c>
      <c r="J1225" s="6" t="s">
        <v>5224</v>
      </c>
      <c r="K1225" s="6" t="s">
        <v>1957</v>
      </c>
      <c r="L1225" s="6" t="s">
        <v>4516</v>
      </c>
      <c r="M1225" s="6" t="s">
        <v>5082</v>
      </c>
      <c r="N1225" s="6" t="s">
        <v>1957</v>
      </c>
      <c r="O1225" s="29">
        <f t="shared" si="26"/>
        <v>120183</v>
      </c>
      <c r="Q1225" s="30" t="s">
        <v>1957</v>
      </c>
      <c r="R1225" s="31">
        <v>126192.15</v>
      </c>
    </row>
    <row r="1226" s="1" customFormat="1" ht="16.35" hidden="1" customHeight="1" spans="1:18">
      <c r="A1226" s="6" t="s">
        <v>4506</v>
      </c>
      <c r="B1226" s="6">
        <v>2019</v>
      </c>
      <c r="C1226" s="6">
        <v>5</v>
      </c>
      <c r="D1226" s="7">
        <v>40</v>
      </c>
      <c r="E1226" s="6" t="s">
        <v>5324</v>
      </c>
      <c r="F1226" s="6" t="s">
        <v>4508</v>
      </c>
      <c r="G1226" s="6" t="s">
        <v>25</v>
      </c>
      <c r="H1226" s="8"/>
      <c r="I1226" s="8">
        <v>50495</v>
      </c>
      <c r="J1226" s="6" t="s">
        <v>5325</v>
      </c>
      <c r="K1226" s="6" t="s">
        <v>2774</v>
      </c>
      <c r="L1226" s="6" t="s">
        <v>4516</v>
      </c>
      <c r="M1226" s="6" t="s">
        <v>5082</v>
      </c>
      <c r="N1226" s="6" t="s">
        <v>2774</v>
      </c>
      <c r="O1226" s="29">
        <f t="shared" si="26"/>
        <v>50495</v>
      </c>
      <c r="Q1226" s="30" t="s">
        <v>2774</v>
      </c>
      <c r="R1226" s="31">
        <v>53019.75</v>
      </c>
    </row>
    <row r="1227" s="1" customFormat="1" ht="16.35" hidden="1" customHeight="1" spans="1:18">
      <c r="A1227" s="6" t="s">
        <v>4506</v>
      </c>
      <c r="B1227" s="6">
        <v>2019</v>
      </c>
      <c r="C1227" s="6">
        <v>5</v>
      </c>
      <c r="D1227" s="7">
        <v>41</v>
      </c>
      <c r="E1227" s="6" t="s">
        <v>5431</v>
      </c>
      <c r="F1227" s="6" t="s">
        <v>4508</v>
      </c>
      <c r="G1227" s="6" t="s">
        <v>25</v>
      </c>
      <c r="H1227" s="8"/>
      <c r="I1227" s="8">
        <v>36697</v>
      </c>
      <c r="J1227" s="6" t="s">
        <v>5432</v>
      </c>
      <c r="K1227" s="6" t="s">
        <v>2235</v>
      </c>
      <c r="L1227" s="6" t="s">
        <v>4516</v>
      </c>
      <c r="M1227" s="6" t="s">
        <v>5082</v>
      </c>
      <c r="N1227" s="6" t="s">
        <v>2235</v>
      </c>
      <c r="O1227" s="29">
        <f t="shared" si="26"/>
        <v>36697</v>
      </c>
      <c r="Q1227" s="30" t="s">
        <v>2235</v>
      </c>
      <c r="R1227" s="31">
        <v>38531.85</v>
      </c>
    </row>
    <row r="1228" s="1" customFormat="1" ht="16.35" hidden="1" customHeight="1" spans="1:18">
      <c r="A1228" s="6" t="s">
        <v>4506</v>
      </c>
      <c r="B1228" s="6">
        <v>2019</v>
      </c>
      <c r="C1228" s="6">
        <v>5</v>
      </c>
      <c r="D1228" s="7">
        <v>42</v>
      </c>
      <c r="E1228" s="6" t="s">
        <v>5175</v>
      </c>
      <c r="F1228" s="6" t="s">
        <v>4508</v>
      </c>
      <c r="G1228" s="6" t="s">
        <v>25</v>
      </c>
      <c r="H1228" s="8"/>
      <c r="I1228" s="8">
        <v>9174</v>
      </c>
      <c r="J1228" s="6" t="s">
        <v>5176</v>
      </c>
      <c r="K1228" s="6" t="s">
        <v>2145</v>
      </c>
      <c r="L1228" s="6" t="s">
        <v>4516</v>
      </c>
      <c r="M1228" s="6" t="s">
        <v>5082</v>
      </c>
      <c r="N1228" s="6" t="s">
        <v>2145</v>
      </c>
      <c r="O1228" s="29">
        <f t="shared" si="26"/>
        <v>9174</v>
      </c>
      <c r="Q1228" s="30" t="s">
        <v>2145</v>
      </c>
      <c r="R1228" s="31">
        <v>9632.7</v>
      </c>
    </row>
    <row r="1229" s="1" customFormat="1" ht="16.35" hidden="1" customHeight="1" spans="1:18">
      <c r="A1229" s="6" t="s">
        <v>4506</v>
      </c>
      <c r="B1229" s="6">
        <v>2019</v>
      </c>
      <c r="C1229" s="6">
        <v>5</v>
      </c>
      <c r="D1229" s="7">
        <v>93</v>
      </c>
      <c r="E1229" s="6" t="s">
        <v>5323</v>
      </c>
      <c r="F1229" s="6" t="s">
        <v>4508</v>
      </c>
      <c r="G1229" s="6" t="s">
        <v>25</v>
      </c>
      <c r="H1229" s="8"/>
      <c r="I1229" s="8">
        <v>91743</v>
      </c>
      <c r="J1229" s="6" t="s">
        <v>5178</v>
      </c>
      <c r="K1229" s="6" t="s">
        <v>2818</v>
      </c>
      <c r="L1229" s="6" t="s">
        <v>4516</v>
      </c>
      <c r="M1229" s="6" t="s">
        <v>5082</v>
      </c>
      <c r="N1229" s="6" t="s">
        <v>2818</v>
      </c>
      <c r="O1229" s="29">
        <f t="shared" si="26"/>
        <v>91743</v>
      </c>
      <c r="Q1229" s="30" t="s">
        <v>2818</v>
      </c>
      <c r="R1229" s="31">
        <v>96330.15</v>
      </c>
    </row>
    <row r="1230" s="1" customFormat="1" ht="16.35" hidden="1" customHeight="1" spans="1:18">
      <c r="A1230" s="6" t="s">
        <v>4506</v>
      </c>
      <c r="B1230" s="6">
        <v>2019</v>
      </c>
      <c r="C1230" s="6">
        <v>6</v>
      </c>
      <c r="D1230" s="7">
        <v>1</v>
      </c>
      <c r="E1230" s="6" t="s">
        <v>5249</v>
      </c>
      <c r="F1230" s="6" t="s">
        <v>4508</v>
      </c>
      <c r="G1230" s="6" t="s">
        <v>25</v>
      </c>
      <c r="H1230" s="8"/>
      <c r="I1230" s="8">
        <v>582</v>
      </c>
      <c r="J1230" s="6" t="s">
        <v>5250</v>
      </c>
      <c r="K1230" s="6" t="s">
        <v>2013</v>
      </c>
      <c r="L1230" s="6" t="s">
        <v>4516</v>
      </c>
      <c r="M1230" s="6" t="s">
        <v>5082</v>
      </c>
      <c r="N1230" s="6" t="s">
        <v>2013</v>
      </c>
      <c r="O1230" s="29">
        <f t="shared" si="26"/>
        <v>582</v>
      </c>
      <c r="Q1230" s="30" t="s">
        <v>2013</v>
      </c>
      <c r="R1230" s="31">
        <v>611.1</v>
      </c>
    </row>
    <row r="1231" s="1" customFormat="1" ht="16.35" hidden="1" customHeight="1" spans="1:18">
      <c r="A1231" s="6" t="s">
        <v>4506</v>
      </c>
      <c r="B1231" s="6">
        <v>2019</v>
      </c>
      <c r="C1231" s="6">
        <v>6</v>
      </c>
      <c r="D1231" s="7">
        <v>2</v>
      </c>
      <c r="E1231" s="6" t="s">
        <v>5433</v>
      </c>
      <c r="F1231" s="6" t="s">
        <v>4508</v>
      </c>
      <c r="G1231" s="6" t="s">
        <v>25</v>
      </c>
      <c r="H1231" s="8"/>
      <c r="I1231" s="8">
        <v>26606</v>
      </c>
      <c r="J1231" s="6" t="s">
        <v>5434</v>
      </c>
      <c r="K1231" s="6" t="s">
        <v>2125</v>
      </c>
      <c r="L1231" s="6" t="s">
        <v>4516</v>
      </c>
      <c r="M1231" s="6" t="s">
        <v>5082</v>
      </c>
      <c r="N1231" s="6" t="s">
        <v>2125</v>
      </c>
      <c r="O1231" s="29">
        <f t="shared" si="26"/>
        <v>26606</v>
      </c>
      <c r="Q1231" s="30" t="s">
        <v>2125</v>
      </c>
      <c r="R1231" s="31">
        <v>27936.3</v>
      </c>
    </row>
    <row r="1232" s="1" customFormat="1" ht="16.35" hidden="1" customHeight="1" spans="1:18">
      <c r="A1232" s="6" t="s">
        <v>4506</v>
      </c>
      <c r="B1232" s="6">
        <v>2019</v>
      </c>
      <c r="C1232" s="6">
        <v>6</v>
      </c>
      <c r="D1232" s="7">
        <v>3</v>
      </c>
      <c r="E1232" s="6" t="s">
        <v>5435</v>
      </c>
      <c r="F1232" s="6" t="s">
        <v>4508</v>
      </c>
      <c r="G1232" s="6" t="s">
        <v>25</v>
      </c>
      <c r="H1232" s="8"/>
      <c r="I1232" s="8">
        <v>9275</v>
      </c>
      <c r="J1232" s="6" t="s">
        <v>5436</v>
      </c>
      <c r="K1232" s="6" t="s">
        <v>1944</v>
      </c>
      <c r="L1232" s="6" t="s">
        <v>4516</v>
      </c>
      <c r="M1232" s="6" t="s">
        <v>5082</v>
      </c>
      <c r="N1232" s="6" t="s">
        <v>1944</v>
      </c>
      <c r="O1232" s="29">
        <f t="shared" si="26"/>
        <v>9275</v>
      </c>
      <c r="Q1232" s="30" t="s">
        <v>1944</v>
      </c>
      <c r="R1232" s="31">
        <v>9275</v>
      </c>
    </row>
    <row r="1233" s="1" customFormat="1" ht="16.35" hidden="1" customHeight="1" spans="1:18">
      <c r="A1233" s="6" t="s">
        <v>4506</v>
      </c>
      <c r="B1233" s="6">
        <v>2019</v>
      </c>
      <c r="C1233" s="6">
        <v>6</v>
      </c>
      <c r="D1233" s="7">
        <v>4</v>
      </c>
      <c r="E1233" s="6" t="s">
        <v>5238</v>
      </c>
      <c r="F1233" s="6" t="s">
        <v>4508</v>
      </c>
      <c r="G1233" s="6" t="s">
        <v>25</v>
      </c>
      <c r="H1233" s="8"/>
      <c r="I1233" s="8">
        <v>38532</v>
      </c>
      <c r="J1233" s="6" t="s">
        <v>5239</v>
      </c>
      <c r="K1233" s="6" t="s">
        <v>2233</v>
      </c>
      <c r="L1233" s="6" t="s">
        <v>4516</v>
      </c>
      <c r="M1233" s="6" t="s">
        <v>5082</v>
      </c>
      <c r="N1233" s="6" t="s">
        <v>2233</v>
      </c>
      <c r="O1233" s="29">
        <f t="shared" si="26"/>
        <v>38532</v>
      </c>
      <c r="Q1233" s="30" t="s">
        <v>2233</v>
      </c>
      <c r="R1233" s="31">
        <v>40458.6</v>
      </c>
    </row>
    <row r="1234" s="1" customFormat="1" ht="16.35" hidden="1" customHeight="1" spans="1:18">
      <c r="A1234" s="6" t="s">
        <v>4506</v>
      </c>
      <c r="B1234" s="6">
        <v>2019</v>
      </c>
      <c r="C1234" s="6">
        <v>6</v>
      </c>
      <c r="D1234" s="7">
        <v>5</v>
      </c>
      <c r="E1234" s="6" t="s">
        <v>5201</v>
      </c>
      <c r="F1234" s="6" t="s">
        <v>4508</v>
      </c>
      <c r="G1234" s="6" t="s">
        <v>25</v>
      </c>
      <c r="H1234" s="8"/>
      <c r="I1234" s="8">
        <v>45872</v>
      </c>
      <c r="J1234" s="6" t="s">
        <v>5202</v>
      </c>
      <c r="K1234" s="6" t="s">
        <v>2113</v>
      </c>
      <c r="L1234" s="6" t="s">
        <v>4516</v>
      </c>
      <c r="M1234" s="6" t="s">
        <v>5082</v>
      </c>
      <c r="N1234" s="6" t="s">
        <v>2113</v>
      </c>
      <c r="O1234" s="29">
        <f t="shared" si="26"/>
        <v>45872</v>
      </c>
      <c r="Q1234" s="30" t="s">
        <v>2113</v>
      </c>
      <c r="R1234" s="31">
        <v>48165.6</v>
      </c>
    </row>
    <row r="1235" s="1" customFormat="1" ht="16.35" hidden="1" customHeight="1" spans="1:18">
      <c r="A1235" s="6" t="s">
        <v>4506</v>
      </c>
      <c r="B1235" s="6">
        <v>2019</v>
      </c>
      <c r="C1235" s="6">
        <v>6</v>
      </c>
      <c r="D1235" s="7">
        <v>6</v>
      </c>
      <c r="E1235" s="6" t="s">
        <v>5388</v>
      </c>
      <c r="F1235" s="6" t="s">
        <v>4508</v>
      </c>
      <c r="G1235" s="6" t="s">
        <v>25</v>
      </c>
      <c r="H1235" s="8"/>
      <c r="I1235" s="8">
        <v>368640</v>
      </c>
      <c r="J1235" s="6" t="s">
        <v>5389</v>
      </c>
      <c r="K1235" s="6" t="s">
        <v>2881</v>
      </c>
      <c r="L1235" s="6" t="s">
        <v>4516</v>
      </c>
      <c r="M1235" s="6" t="s">
        <v>5082</v>
      </c>
      <c r="N1235" s="6" t="s">
        <v>2881</v>
      </c>
      <c r="O1235" s="29">
        <f t="shared" si="26"/>
        <v>368640</v>
      </c>
      <c r="Q1235" s="30" t="s">
        <v>2881</v>
      </c>
      <c r="R1235" s="31">
        <v>387072</v>
      </c>
    </row>
    <row r="1236" s="1" customFormat="1" ht="16.35" hidden="1" customHeight="1" spans="1:18">
      <c r="A1236" s="6" t="s">
        <v>4506</v>
      </c>
      <c r="B1236" s="6">
        <v>2019</v>
      </c>
      <c r="C1236" s="6">
        <v>6</v>
      </c>
      <c r="D1236" s="7">
        <v>8</v>
      </c>
      <c r="E1236" s="6" t="s">
        <v>5437</v>
      </c>
      <c r="F1236" s="6" t="s">
        <v>4508</v>
      </c>
      <c r="G1236" s="6" t="s">
        <v>25</v>
      </c>
      <c r="H1236" s="8"/>
      <c r="I1236" s="8">
        <v>45872</v>
      </c>
      <c r="J1236" s="6" t="s">
        <v>5438</v>
      </c>
      <c r="K1236" s="6" t="s">
        <v>2171</v>
      </c>
      <c r="L1236" s="6" t="s">
        <v>4516</v>
      </c>
      <c r="M1236" s="6" t="s">
        <v>5082</v>
      </c>
      <c r="N1236" s="6" t="s">
        <v>2171</v>
      </c>
      <c r="O1236" s="29">
        <f t="shared" si="26"/>
        <v>45872</v>
      </c>
      <c r="Q1236" s="30" t="s">
        <v>2171</v>
      </c>
      <c r="R1236" s="31">
        <v>48165.6</v>
      </c>
    </row>
    <row r="1237" s="1" customFormat="1" ht="16.35" hidden="1" customHeight="1" spans="1:18">
      <c r="A1237" s="6" t="s">
        <v>4506</v>
      </c>
      <c r="B1237" s="6">
        <v>2019</v>
      </c>
      <c r="C1237" s="6">
        <v>6</v>
      </c>
      <c r="D1237" s="7">
        <v>9</v>
      </c>
      <c r="E1237" s="6" t="s">
        <v>5362</v>
      </c>
      <c r="F1237" s="6" t="s">
        <v>4508</v>
      </c>
      <c r="G1237" s="6" t="s">
        <v>25</v>
      </c>
      <c r="H1237" s="8"/>
      <c r="I1237" s="8">
        <v>49606</v>
      </c>
      <c r="J1237" s="6" t="s">
        <v>5363</v>
      </c>
      <c r="K1237" s="6" t="s">
        <v>2053</v>
      </c>
      <c r="L1237" s="6" t="s">
        <v>4516</v>
      </c>
      <c r="M1237" s="6" t="s">
        <v>5082</v>
      </c>
      <c r="N1237" s="6" t="s">
        <v>2053</v>
      </c>
      <c r="O1237" s="29">
        <f t="shared" si="26"/>
        <v>49606</v>
      </c>
      <c r="Q1237" s="30" t="s">
        <v>2053</v>
      </c>
      <c r="R1237" s="31">
        <v>52086.3</v>
      </c>
    </row>
    <row r="1238" s="1" customFormat="1" ht="16.35" hidden="1" customHeight="1" spans="1:18">
      <c r="A1238" s="6" t="s">
        <v>4506</v>
      </c>
      <c r="B1238" s="6">
        <v>2019</v>
      </c>
      <c r="C1238" s="6">
        <v>6</v>
      </c>
      <c r="D1238" s="7">
        <v>10</v>
      </c>
      <c r="E1238" s="6" t="s">
        <v>5439</v>
      </c>
      <c r="F1238" s="6" t="s">
        <v>4508</v>
      </c>
      <c r="G1238" s="6" t="s">
        <v>25</v>
      </c>
      <c r="H1238" s="8"/>
      <c r="I1238" s="8">
        <v>40353</v>
      </c>
      <c r="J1238" s="6" t="s">
        <v>5440</v>
      </c>
      <c r="K1238" s="6" t="s">
        <v>2017</v>
      </c>
      <c r="L1238" s="6" t="s">
        <v>4516</v>
      </c>
      <c r="M1238" s="6" t="s">
        <v>5082</v>
      </c>
      <c r="N1238" s="6" t="s">
        <v>2017</v>
      </c>
      <c r="O1238" s="29">
        <f t="shared" si="26"/>
        <v>40353</v>
      </c>
      <c r="Q1238" s="30" t="s">
        <v>2017</v>
      </c>
      <c r="R1238" s="31">
        <v>42370.65</v>
      </c>
    </row>
    <row r="1239" s="1" customFormat="1" ht="16.35" hidden="1" customHeight="1" spans="1:18">
      <c r="A1239" s="6" t="s">
        <v>4506</v>
      </c>
      <c r="B1239" s="6">
        <v>2019</v>
      </c>
      <c r="C1239" s="6">
        <v>6</v>
      </c>
      <c r="D1239" s="7">
        <v>11</v>
      </c>
      <c r="E1239" s="6" t="s">
        <v>5441</v>
      </c>
      <c r="F1239" s="6" t="s">
        <v>4508</v>
      </c>
      <c r="G1239" s="6" t="s">
        <v>25</v>
      </c>
      <c r="H1239" s="8"/>
      <c r="I1239" s="8">
        <v>64088</v>
      </c>
      <c r="J1239" s="6" t="s">
        <v>5442</v>
      </c>
      <c r="K1239" s="6" t="s">
        <v>2019</v>
      </c>
      <c r="L1239" s="6" t="s">
        <v>4516</v>
      </c>
      <c r="M1239" s="6" t="s">
        <v>5082</v>
      </c>
      <c r="N1239" s="6" t="s">
        <v>2019</v>
      </c>
      <c r="O1239" s="29">
        <f t="shared" si="26"/>
        <v>64088</v>
      </c>
      <c r="Q1239" s="30" t="s">
        <v>2019</v>
      </c>
      <c r="R1239" s="31">
        <v>67292.4</v>
      </c>
    </row>
    <row r="1240" s="1" customFormat="1" ht="16.35" hidden="1" customHeight="1" spans="1:18">
      <c r="A1240" s="6" t="s">
        <v>4506</v>
      </c>
      <c r="B1240" s="6">
        <v>2019</v>
      </c>
      <c r="C1240" s="6">
        <v>6</v>
      </c>
      <c r="D1240" s="7">
        <v>12</v>
      </c>
      <c r="E1240" s="6" t="s">
        <v>5193</v>
      </c>
      <c r="F1240" s="6" t="s">
        <v>4508</v>
      </c>
      <c r="G1240" s="6" t="s">
        <v>25</v>
      </c>
      <c r="H1240" s="8"/>
      <c r="I1240" s="8">
        <v>48315</v>
      </c>
      <c r="J1240" s="6" t="s">
        <v>5101</v>
      </c>
      <c r="K1240" s="6" t="s">
        <v>1940</v>
      </c>
      <c r="L1240" s="6" t="s">
        <v>4516</v>
      </c>
      <c r="M1240" s="6" t="s">
        <v>5082</v>
      </c>
      <c r="N1240" s="6" t="s">
        <v>1940</v>
      </c>
      <c r="O1240" s="29">
        <f t="shared" si="26"/>
        <v>48315</v>
      </c>
      <c r="Q1240" s="30" t="s">
        <v>1940</v>
      </c>
      <c r="R1240" s="31">
        <v>48315</v>
      </c>
    </row>
    <row r="1241" s="1" customFormat="1" ht="16.35" hidden="1" customHeight="1" spans="1:18">
      <c r="A1241" s="6" t="s">
        <v>4506</v>
      </c>
      <c r="B1241" s="6">
        <v>2019</v>
      </c>
      <c r="C1241" s="6">
        <v>6</v>
      </c>
      <c r="D1241" s="7">
        <v>13</v>
      </c>
      <c r="E1241" s="6" t="s">
        <v>5343</v>
      </c>
      <c r="F1241" s="6" t="s">
        <v>4508</v>
      </c>
      <c r="G1241" s="6" t="s">
        <v>25</v>
      </c>
      <c r="H1241" s="8"/>
      <c r="I1241" s="8">
        <v>119372</v>
      </c>
      <c r="J1241" s="6" t="s">
        <v>5092</v>
      </c>
      <c r="K1241" s="6" t="s">
        <v>2095</v>
      </c>
      <c r="L1241" s="6" t="s">
        <v>4516</v>
      </c>
      <c r="M1241" s="6" t="s">
        <v>5082</v>
      </c>
      <c r="N1241" s="6" t="s">
        <v>2095</v>
      </c>
      <c r="O1241" s="29">
        <f t="shared" si="26"/>
        <v>119372</v>
      </c>
      <c r="Q1241" s="30" t="s">
        <v>2095</v>
      </c>
      <c r="R1241" s="31">
        <v>125340.6</v>
      </c>
    </row>
    <row r="1242" s="1" customFormat="1" ht="16.35" hidden="1" customHeight="1" spans="1:18">
      <c r="A1242" s="6" t="s">
        <v>4506</v>
      </c>
      <c r="B1242" s="6">
        <v>2019</v>
      </c>
      <c r="C1242" s="6">
        <v>6</v>
      </c>
      <c r="D1242" s="7">
        <v>14</v>
      </c>
      <c r="E1242" s="6" t="s">
        <v>5138</v>
      </c>
      <c r="F1242" s="6" t="s">
        <v>4508</v>
      </c>
      <c r="G1242" s="6" t="s">
        <v>25</v>
      </c>
      <c r="H1242" s="8"/>
      <c r="I1242" s="8">
        <v>105218</v>
      </c>
      <c r="J1242" s="6" t="s">
        <v>5139</v>
      </c>
      <c r="K1242" s="6" t="s">
        <v>2157</v>
      </c>
      <c r="L1242" s="6" t="s">
        <v>4516</v>
      </c>
      <c r="M1242" s="6" t="s">
        <v>5082</v>
      </c>
      <c r="N1242" s="6" t="s">
        <v>2157</v>
      </c>
      <c r="O1242" s="29">
        <f t="shared" si="26"/>
        <v>105218</v>
      </c>
      <c r="Q1242" s="30" t="s">
        <v>2157</v>
      </c>
      <c r="R1242" s="31">
        <v>110478.9</v>
      </c>
    </row>
    <row r="1243" s="1" customFormat="1" ht="16.35" hidden="1" customHeight="1" spans="1:18">
      <c r="A1243" s="6" t="s">
        <v>4506</v>
      </c>
      <c r="B1243" s="6">
        <v>2019</v>
      </c>
      <c r="C1243" s="6">
        <v>6</v>
      </c>
      <c r="D1243" s="7">
        <v>15</v>
      </c>
      <c r="E1243" s="6" t="s">
        <v>5345</v>
      </c>
      <c r="F1243" s="6" t="s">
        <v>4508</v>
      </c>
      <c r="G1243" s="6" t="s">
        <v>25</v>
      </c>
      <c r="H1243" s="8"/>
      <c r="I1243" s="8">
        <v>67372</v>
      </c>
      <c r="J1243" s="6" t="s">
        <v>5346</v>
      </c>
      <c r="K1243" s="6" t="s">
        <v>2752</v>
      </c>
      <c r="L1243" s="6" t="s">
        <v>4516</v>
      </c>
      <c r="M1243" s="6" t="s">
        <v>5082</v>
      </c>
      <c r="N1243" s="6" t="s">
        <v>2752</v>
      </c>
      <c r="O1243" s="29">
        <f t="shared" si="26"/>
        <v>67372</v>
      </c>
      <c r="Q1243" s="30" t="s">
        <v>2752</v>
      </c>
      <c r="R1243" s="31">
        <v>70740.6</v>
      </c>
    </row>
    <row r="1244" s="1" customFormat="1" ht="16.35" hidden="1" customHeight="1" spans="1:18">
      <c r="A1244" s="6" t="s">
        <v>4506</v>
      </c>
      <c r="B1244" s="6">
        <v>2019</v>
      </c>
      <c r="C1244" s="6">
        <v>6</v>
      </c>
      <c r="D1244" s="7">
        <v>16</v>
      </c>
      <c r="E1244" s="6" t="s">
        <v>5332</v>
      </c>
      <c r="F1244" s="6" t="s">
        <v>4508</v>
      </c>
      <c r="G1244" s="6" t="s">
        <v>25</v>
      </c>
      <c r="H1244" s="8"/>
      <c r="I1244" s="8">
        <v>9174</v>
      </c>
      <c r="J1244" s="6" t="s">
        <v>5235</v>
      </c>
      <c r="K1244" s="6" t="s">
        <v>2059</v>
      </c>
      <c r="L1244" s="6" t="s">
        <v>4516</v>
      </c>
      <c r="M1244" s="6" t="s">
        <v>5082</v>
      </c>
      <c r="N1244" s="6" t="s">
        <v>2059</v>
      </c>
      <c r="O1244" s="29">
        <f t="shared" si="26"/>
        <v>9174</v>
      </c>
      <c r="Q1244" s="30" t="s">
        <v>2059</v>
      </c>
      <c r="R1244" s="31">
        <v>9632.7</v>
      </c>
    </row>
    <row r="1245" s="1" customFormat="1" ht="16.35" hidden="1" customHeight="1" spans="1:18">
      <c r="A1245" s="6" t="s">
        <v>4506</v>
      </c>
      <c r="B1245" s="6">
        <v>2019</v>
      </c>
      <c r="C1245" s="6">
        <v>6</v>
      </c>
      <c r="D1245" s="7">
        <v>17</v>
      </c>
      <c r="E1245" s="6" t="s">
        <v>5377</v>
      </c>
      <c r="F1245" s="6" t="s">
        <v>4508</v>
      </c>
      <c r="G1245" s="6" t="s">
        <v>25</v>
      </c>
      <c r="H1245" s="8"/>
      <c r="I1245" s="8">
        <v>51376</v>
      </c>
      <c r="J1245" s="6" t="s">
        <v>5246</v>
      </c>
      <c r="K1245" s="6" t="s">
        <v>2269</v>
      </c>
      <c r="L1245" s="6" t="s">
        <v>4516</v>
      </c>
      <c r="M1245" s="6" t="s">
        <v>5082</v>
      </c>
      <c r="N1245" s="6" t="s">
        <v>2269</v>
      </c>
      <c r="O1245" s="29">
        <f t="shared" si="26"/>
        <v>51376</v>
      </c>
      <c r="Q1245" s="30" t="s">
        <v>2269</v>
      </c>
      <c r="R1245" s="31">
        <v>53944.8</v>
      </c>
    </row>
    <row r="1246" s="1" customFormat="1" ht="16.35" hidden="1" customHeight="1" spans="1:18">
      <c r="A1246" s="6" t="s">
        <v>4506</v>
      </c>
      <c r="B1246" s="6">
        <v>2019</v>
      </c>
      <c r="C1246" s="6">
        <v>6</v>
      </c>
      <c r="D1246" s="7">
        <v>18</v>
      </c>
      <c r="E1246" s="6" t="s">
        <v>5377</v>
      </c>
      <c r="F1246" s="6" t="s">
        <v>4508</v>
      </c>
      <c r="G1246" s="6" t="s">
        <v>25</v>
      </c>
      <c r="H1246" s="8"/>
      <c r="I1246" s="8">
        <v>9174</v>
      </c>
      <c r="J1246" s="6" t="s">
        <v>5246</v>
      </c>
      <c r="K1246" s="6" t="s">
        <v>2269</v>
      </c>
      <c r="L1246" s="6" t="s">
        <v>4516</v>
      </c>
      <c r="M1246" s="6" t="s">
        <v>5082</v>
      </c>
      <c r="N1246" s="6" t="s">
        <v>2269</v>
      </c>
      <c r="O1246" s="29">
        <f t="shared" si="26"/>
        <v>9174</v>
      </c>
      <c r="Q1246" s="30" t="s">
        <v>2269</v>
      </c>
      <c r="R1246" s="31">
        <v>9632.7</v>
      </c>
    </row>
    <row r="1247" s="1" customFormat="1" ht="16.35" hidden="1" customHeight="1" spans="1:18">
      <c r="A1247" s="6" t="s">
        <v>4506</v>
      </c>
      <c r="B1247" s="6">
        <v>2019</v>
      </c>
      <c r="C1247" s="6">
        <v>6</v>
      </c>
      <c r="D1247" s="7">
        <v>19</v>
      </c>
      <c r="E1247" s="6" t="s">
        <v>5437</v>
      </c>
      <c r="F1247" s="6" t="s">
        <v>4508</v>
      </c>
      <c r="G1247" s="6" t="s">
        <v>25</v>
      </c>
      <c r="H1247" s="8"/>
      <c r="I1247" s="8">
        <v>14492</v>
      </c>
      <c r="J1247" s="6" t="s">
        <v>5438</v>
      </c>
      <c r="K1247" s="6" t="s">
        <v>2171</v>
      </c>
      <c r="L1247" s="6" t="s">
        <v>4516</v>
      </c>
      <c r="M1247" s="6" t="s">
        <v>5082</v>
      </c>
      <c r="N1247" s="6" t="s">
        <v>2171</v>
      </c>
      <c r="O1247" s="29">
        <f t="shared" si="26"/>
        <v>14492</v>
      </c>
      <c r="Q1247" s="30" t="s">
        <v>2171</v>
      </c>
      <c r="R1247" s="31">
        <v>15216.6</v>
      </c>
    </row>
    <row r="1248" s="1" customFormat="1" ht="16.35" hidden="1" customHeight="1" spans="1:18">
      <c r="A1248" s="6" t="s">
        <v>4506</v>
      </c>
      <c r="B1248" s="6">
        <v>2019</v>
      </c>
      <c r="C1248" s="6">
        <v>6</v>
      </c>
      <c r="D1248" s="7">
        <v>20</v>
      </c>
      <c r="E1248" s="6" t="s">
        <v>5443</v>
      </c>
      <c r="F1248" s="6" t="s">
        <v>4508</v>
      </c>
      <c r="G1248" s="6" t="s">
        <v>25</v>
      </c>
      <c r="H1248" s="8"/>
      <c r="I1248" s="8">
        <v>4587</v>
      </c>
      <c r="J1248" s="6" t="s">
        <v>5444</v>
      </c>
      <c r="K1248" s="6" t="s">
        <v>2299</v>
      </c>
      <c r="L1248" s="6" t="s">
        <v>4516</v>
      </c>
      <c r="M1248" s="6" t="s">
        <v>5082</v>
      </c>
      <c r="N1248" s="6" t="s">
        <v>2299</v>
      </c>
      <c r="O1248" s="29">
        <f t="shared" si="26"/>
        <v>4587</v>
      </c>
      <c r="Q1248" s="30" t="s">
        <v>2299</v>
      </c>
      <c r="R1248" s="31">
        <v>4816.35</v>
      </c>
    </row>
    <row r="1249" s="1" customFormat="1" ht="16.35" hidden="1" customHeight="1" spans="1:18">
      <c r="A1249" s="6" t="s">
        <v>4506</v>
      </c>
      <c r="B1249" s="6">
        <v>2019</v>
      </c>
      <c r="C1249" s="6">
        <v>6</v>
      </c>
      <c r="D1249" s="7">
        <v>21</v>
      </c>
      <c r="E1249" s="6" t="s">
        <v>5445</v>
      </c>
      <c r="F1249" s="6" t="s">
        <v>4508</v>
      </c>
      <c r="G1249" s="6" t="s">
        <v>25</v>
      </c>
      <c r="H1249" s="8"/>
      <c r="I1249" s="8">
        <v>69297</v>
      </c>
      <c r="J1249" s="6" t="s">
        <v>5446</v>
      </c>
      <c r="K1249" s="6" t="s">
        <v>2141</v>
      </c>
      <c r="L1249" s="6" t="s">
        <v>4516</v>
      </c>
      <c r="M1249" s="6" t="s">
        <v>5082</v>
      </c>
      <c r="N1249" s="6" t="s">
        <v>2141</v>
      </c>
      <c r="O1249" s="29">
        <f t="shared" si="26"/>
        <v>69297</v>
      </c>
      <c r="Q1249" s="30" t="s">
        <v>2141</v>
      </c>
      <c r="R1249" s="31">
        <v>72761.85</v>
      </c>
    </row>
    <row r="1250" s="1" customFormat="1" ht="16.35" hidden="1" customHeight="1" spans="1:18">
      <c r="A1250" s="6" t="s">
        <v>4506</v>
      </c>
      <c r="B1250" s="6">
        <v>2019</v>
      </c>
      <c r="C1250" s="6">
        <v>6</v>
      </c>
      <c r="D1250" s="7">
        <v>22</v>
      </c>
      <c r="E1250" s="6" t="s">
        <v>5447</v>
      </c>
      <c r="F1250" s="6" t="s">
        <v>4508</v>
      </c>
      <c r="G1250" s="6" t="s">
        <v>25</v>
      </c>
      <c r="H1250" s="8"/>
      <c r="I1250" s="8">
        <v>121101</v>
      </c>
      <c r="J1250" s="6" t="s">
        <v>5448</v>
      </c>
      <c r="K1250" s="6" t="s">
        <v>2133</v>
      </c>
      <c r="L1250" s="6" t="s">
        <v>4516</v>
      </c>
      <c r="M1250" s="6" t="s">
        <v>5082</v>
      </c>
      <c r="N1250" s="6" t="s">
        <v>2133</v>
      </c>
      <c r="O1250" s="29">
        <f t="shared" si="26"/>
        <v>121101</v>
      </c>
      <c r="Q1250" s="30" t="s">
        <v>2133</v>
      </c>
      <c r="R1250" s="31">
        <v>127156.05</v>
      </c>
    </row>
    <row r="1251" s="1" customFormat="1" ht="16.35" hidden="1" customHeight="1" spans="1:18">
      <c r="A1251" s="6" t="s">
        <v>4506</v>
      </c>
      <c r="B1251" s="6">
        <v>2019</v>
      </c>
      <c r="C1251" s="6">
        <v>6</v>
      </c>
      <c r="D1251" s="7">
        <v>23</v>
      </c>
      <c r="E1251" s="6" t="s">
        <v>5449</v>
      </c>
      <c r="F1251" s="6" t="s">
        <v>4508</v>
      </c>
      <c r="G1251" s="6" t="s">
        <v>25</v>
      </c>
      <c r="H1251" s="8"/>
      <c r="I1251" s="8">
        <v>45872</v>
      </c>
      <c r="J1251" s="6" t="s">
        <v>5450</v>
      </c>
      <c r="K1251" s="6" t="s">
        <v>2887</v>
      </c>
      <c r="L1251" s="6" t="s">
        <v>4516</v>
      </c>
      <c r="M1251" s="6" t="s">
        <v>5082</v>
      </c>
      <c r="N1251" s="6" t="s">
        <v>2887</v>
      </c>
      <c r="O1251" s="29">
        <f t="shared" si="26"/>
        <v>45872</v>
      </c>
      <c r="Q1251" s="30" t="s">
        <v>2887</v>
      </c>
      <c r="R1251" s="31">
        <v>48165.6</v>
      </c>
    </row>
    <row r="1252" s="1" customFormat="1" ht="16.35" hidden="1" customHeight="1" spans="1:18">
      <c r="A1252" s="6" t="s">
        <v>4506</v>
      </c>
      <c r="B1252" s="6">
        <v>2019</v>
      </c>
      <c r="C1252" s="6">
        <v>6</v>
      </c>
      <c r="D1252" s="7">
        <v>24</v>
      </c>
      <c r="E1252" s="6" t="s">
        <v>5451</v>
      </c>
      <c r="F1252" s="6" t="s">
        <v>4508</v>
      </c>
      <c r="G1252" s="6" t="s">
        <v>25</v>
      </c>
      <c r="H1252" s="8"/>
      <c r="I1252" s="8">
        <v>91743</v>
      </c>
      <c r="J1252" s="6" t="s">
        <v>5452</v>
      </c>
      <c r="K1252" s="6" t="s">
        <v>1959</v>
      </c>
      <c r="L1252" s="6" t="s">
        <v>4516</v>
      </c>
      <c r="M1252" s="6" t="s">
        <v>5082</v>
      </c>
      <c r="N1252" s="6" t="s">
        <v>1959</v>
      </c>
      <c r="O1252" s="29">
        <f t="shared" si="26"/>
        <v>91743</v>
      </c>
      <c r="Q1252" s="30" t="s">
        <v>1959</v>
      </c>
      <c r="R1252" s="31">
        <v>96330.15</v>
      </c>
    </row>
    <row r="1253" s="1" customFormat="1" ht="16.35" hidden="1" customHeight="1" spans="1:18">
      <c r="A1253" s="6" t="s">
        <v>4506</v>
      </c>
      <c r="B1253" s="6">
        <v>2019</v>
      </c>
      <c r="C1253" s="6">
        <v>6</v>
      </c>
      <c r="D1253" s="7">
        <v>25</v>
      </c>
      <c r="E1253" s="6" t="s">
        <v>5453</v>
      </c>
      <c r="F1253" s="6" t="s">
        <v>4508</v>
      </c>
      <c r="G1253" s="6" t="s">
        <v>25</v>
      </c>
      <c r="H1253" s="8"/>
      <c r="I1253" s="8">
        <v>142202</v>
      </c>
      <c r="J1253" s="6" t="s">
        <v>5250</v>
      </c>
      <c r="K1253" s="6" t="s">
        <v>2013</v>
      </c>
      <c r="L1253" s="6" t="s">
        <v>4516</v>
      </c>
      <c r="M1253" s="6" t="s">
        <v>5082</v>
      </c>
      <c r="N1253" s="6" t="s">
        <v>2013</v>
      </c>
      <c r="O1253" s="29">
        <f t="shared" si="26"/>
        <v>142202</v>
      </c>
      <c r="Q1253" s="30" t="s">
        <v>2013</v>
      </c>
      <c r="R1253" s="31">
        <v>149312.1</v>
      </c>
    </row>
    <row r="1254" s="1" customFormat="1" ht="16.35" hidden="1" customHeight="1" spans="1:18">
      <c r="A1254" s="6" t="s">
        <v>4506</v>
      </c>
      <c r="B1254" s="6">
        <v>2019</v>
      </c>
      <c r="C1254" s="6">
        <v>6</v>
      </c>
      <c r="D1254" s="7">
        <v>26</v>
      </c>
      <c r="E1254" s="6" t="s">
        <v>5059</v>
      </c>
      <c r="F1254" s="6" t="s">
        <v>4508</v>
      </c>
      <c r="G1254" s="6" t="s">
        <v>25</v>
      </c>
      <c r="H1254" s="8"/>
      <c r="I1254" s="8">
        <v>31003</v>
      </c>
      <c r="J1254" s="6" t="s">
        <v>3983</v>
      </c>
      <c r="K1254" s="6" t="s">
        <v>928</v>
      </c>
      <c r="L1254" s="6" t="s">
        <v>4510</v>
      </c>
      <c r="M1254" s="6" t="s">
        <v>4511</v>
      </c>
      <c r="N1254" s="6" t="s">
        <v>928</v>
      </c>
      <c r="O1254" s="29">
        <f>I1254*1.05</f>
        <v>32553.15</v>
      </c>
      <c r="Q1254" s="30" t="s">
        <v>928</v>
      </c>
      <c r="R1254" s="31">
        <v>32553.15</v>
      </c>
    </row>
    <row r="1255" s="1" customFormat="1" ht="16.35" hidden="1" customHeight="1" spans="1:18">
      <c r="A1255" s="6" t="s">
        <v>4506</v>
      </c>
      <c r="B1255" s="6">
        <v>2019</v>
      </c>
      <c r="C1255" s="6">
        <v>6</v>
      </c>
      <c r="D1255" s="7">
        <v>27</v>
      </c>
      <c r="E1255" s="6" t="s">
        <v>5251</v>
      </c>
      <c r="F1255" s="6" t="s">
        <v>4508</v>
      </c>
      <c r="G1255" s="6" t="s">
        <v>25</v>
      </c>
      <c r="H1255" s="8"/>
      <c r="I1255" s="8">
        <v>146789</v>
      </c>
      <c r="J1255" s="6" t="s">
        <v>5252</v>
      </c>
      <c r="K1255" s="6" t="s">
        <v>2249</v>
      </c>
      <c r="L1255" s="6" t="s">
        <v>4516</v>
      </c>
      <c r="M1255" s="6" t="s">
        <v>5082</v>
      </c>
      <c r="N1255" s="6" t="s">
        <v>2249</v>
      </c>
      <c r="O1255" s="29">
        <f t="shared" ref="O1255:O1286" si="27">I1255</f>
        <v>146789</v>
      </c>
      <c r="Q1255" s="30" t="s">
        <v>2249</v>
      </c>
      <c r="R1255" s="31">
        <v>154128.45</v>
      </c>
    </row>
    <row r="1256" s="1" customFormat="1" ht="16.35" hidden="1" customHeight="1" spans="1:18">
      <c r="A1256" s="6" t="s">
        <v>4506</v>
      </c>
      <c r="B1256" s="6">
        <v>2019</v>
      </c>
      <c r="C1256" s="6">
        <v>6</v>
      </c>
      <c r="D1256" s="7">
        <v>28</v>
      </c>
      <c r="E1256" s="6" t="s">
        <v>5454</v>
      </c>
      <c r="F1256" s="6" t="s">
        <v>4508</v>
      </c>
      <c r="G1256" s="6" t="s">
        <v>25</v>
      </c>
      <c r="H1256" s="8"/>
      <c r="I1256" s="8">
        <v>195413</v>
      </c>
      <c r="J1256" s="6" t="s">
        <v>5455</v>
      </c>
      <c r="K1256" s="6" t="s">
        <v>2756</v>
      </c>
      <c r="L1256" s="6" t="s">
        <v>4516</v>
      </c>
      <c r="M1256" s="6" t="s">
        <v>5082</v>
      </c>
      <c r="N1256" s="6" t="s">
        <v>2756</v>
      </c>
      <c r="O1256" s="29">
        <f t="shared" si="27"/>
        <v>195413</v>
      </c>
      <c r="Q1256" s="30" t="s">
        <v>2756</v>
      </c>
      <c r="R1256" s="31">
        <v>205183.65</v>
      </c>
    </row>
    <row r="1257" s="1" customFormat="1" ht="16.35" hidden="1" customHeight="1" spans="1:18">
      <c r="A1257" s="6" t="s">
        <v>4506</v>
      </c>
      <c r="B1257" s="6">
        <v>2019</v>
      </c>
      <c r="C1257" s="6">
        <v>6</v>
      </c>
      <c r="D1257" s="7">
        <v>29</v>
      </c>
      <c r="E1257" s="6" t="s">
        <v>5454</v>
      </c>
      <c r="F1257" s="6" t="s">
        <v>4508</v>
      </c>
      <c r="G1257" s="6" t="s">
        <v>25</v>
      </c>
      <c r="H1257" s="8"/>
      <c r="I1257" s="8">
        <v>847</v>
      </c>
      <c r="J1257" s="6" t="s">
        <v>5455</v>
      </c>
      <c r="K1257" s="6" t="s">
        <v>2756</v>
      </c>
      <c r="L1257" s="6" t="s">
        <v>4516</v>
      </c>
      <c r="M1257" s="6" t="s">
        <v>5082</v>
      </c>
      <c r="N1257" s="6" t="s">
        <v>2756</v>
      </c>
      <c r="O1257" s="29">
        <f t="shared" si="27"/>
        <v>847</v>
      </c>
      <c r="Q1257" s="30" t="s">
        <v>2756</v>
      </c>
      <c r="R1257" s="31">
        <v>889.35</v>
      </c>
    </row>
    <row r="1258" s="1" customFormat="1" ht="16.35" hidden="1" customHeight="1" spans="1:18">
      <c r="A1258" s="6" t="s">
        <v>4506</v>
      </c>
      <c r="B1258" s="6">
        <v>2019</v>
      </c>
      <c r="C1258" s="6">
        <v>6</v>
      </c>
      <c r="D1258" s="7">
        <v>30</v>
      </c>
      <c r="E1258" s="6" t="s">
        <v>5190</v>
      </c>
      <c r="F1258" s="6" t="s">
        <v>4508</v>
      </c>
      <c r="G1258" s="6" t="s">
        <v>25</v>
      </c>
      <c r="H1258" s="8"/>
      <c r="I1258" s="8">
        <v>55046</v>
      </c>
      <c r="J1258" s="6" t="s">
        <v>5191</v>
      </c>
      <c r="K1258" s="6" t="s">
        <v>2041</v>
      </c>
      <c r="L1258" s="6" t="s">
        <v>4516</v>
      </c>
      <c r="M1258" s="6" t="s">
        <v>5082</v>
      </c>
      <c r="N1258" s="6" t="s">
        <v>2041</v>
      </c>
      <c r="O1258" s="29">
        <f t="shared" si="27"/>
        <v>55046</v>
      </c>
      <c r="Q1258" s="30" t="s">
        <v>2041</v>
      </c>
      <c r="R1258" s="31">
        <v>57798.3</v>
      </c>
    </row>
    <row r="1259" s="1" customFormat="1" ht="16.35" hidden="1" customHeight="1" spans="1:18">
      <c r="A1259" s="6" t="s">
        <v>4506</v>
      </c>
      <c r="B1259" s="6">
        <v>2019</v>
      </c>
      <c r="C1259" s="6">
        <v>6</v>
      </c>
      <c r="D1259" s="7">
        <v>31</v>
      </c>
      <c r="E1259" s="6" t="s">
        <v>5456</v>
      </c>
      <c r="F1259" s="6" t="s">
        <v>4508</v>
      </c>
      <c r="G1259" s="6" t="s">
        <v>25</v>
      </c>
      <c r="H1259" s="8"/>
      <c r="I1259" s="8">
        <v>1835</v>
      </c>
      <c r="J1259" s="6" t="s">
        <v>5457</v>
      </c>
      <c r="K1259" s="6" t="s">
        <v>2177</v>
      </c>
      <c r="L1259" s="6" t="s">
        <v>4516</v>
      </c>
      <c r="M1259" s="6" t="s">
        <v>5082</v>
      </c>
      <c r="N1259" s="6" t="s">
        <v>2177</v>
      </c>
      <c r="O1259" s="29">
        <f t="shared" si="27"/>
        <v>1835</v>
      </c>
      <c r="Q1259" s="30" t="s">
        <v>2177</v>
      </c>
      <c r="R1259" s="31">
        <v>1926.75</v>
      </c>
    </row>
    <row r="1260" s="1" customFormat="1" ht="16.35" hidden="1" customHeight="1" spans="1:18">
      <c r="A1260" s="6" t="s">
        <v>4506</v>
      </c>
      <c r="B1260" s="6">
        <v>2019</v>
      </c>
      <c r="C1260" s="6">
        <v>6</v>
      </c>
      <c r="D1260" s="7">
        <v>32</v>
      </c>
      <c r="E1260" s="6" t="s">
        <v>5458</v>
      </c>
      <c r="F1260" s="6" t="s">
        <v>4508</v>
      </c>
      <c r="G1260" s="6" t="s">
        <v>25</v>
      </c>
      <c r="H1260" s="8"/>
      <c r="I1260" s="8">
        <v>9174</v>
      </c>
      <c r="J1260" s="6" t="s">
        <v>5459</v>
      </c>
      <c r="K1260" s="6" t="s">
        <v>2267</v>
      </c>
      <c r="L1260" s="6" t="s">
        <v>4516</v>
      </c>
      <c r="M1260" s="6" t="s">
        <v>5082</v>
      </c>
      <c r="N1260" s="6" t="s">
        <v>2267</v>
      </c>
      <c r="O1260" s="29">
        <f t="shared" si="27"/>
        <v>9174</v>
      </c>
      <c r="Q1260" s="30" t="s">
        <v>2267</v>
      </c>
      <c r="R1260" s="31">
        <v>9632.7</v>
      </c>
    </row>
    <row r="1261" s="1" customFormat="1" ht="16.35" hidden="1" customHeight="1" spans="1:18">
      <c r="A1261" s="6" t="s">
        <v>4506</v>
      </c>
      <c r="B1261" s="6">
        <v>2019</v>
      </c>
      <c r="C1261" s="6">
        <v>6</v>
      </c>
      <c r="D1261" s="7">
        <v>33</v>
      </c>
      <c r="E1261" s="6" t="s">
        <v>5127</v>
      </c>
      <c r="F1261" s="6" t="s">
        <v>4508</v>
      </c>
      <c r="G1261" s="6" t="s">
        <v>25</v>
      </c>
      <c r="H1261" s="8"/>
      <c r="I1261" s="8">
        <v>25318</v>
      </c>
      <c r="J1261" s="6" t="s">
        <v>5128</v>
      </c>
      <c r="K1261" s="6" t="s">
        <v>2293</v>
      </c>
      <c r="L1261" s="6" t="s">
        <v>4516</v>
      </c>
      <c r="M1261" s="6" t="s">
        <v>5082</v>
      </c>
      <c r="N1261" s="6" t="s">
        <v>2293</v>
      </c>
      <c r="O1261" s="29">
        <f t="shared" si="27"/>
        <v>25318</v>
      </c>
      <c r="Q1261" s="30" t="s">
        <v>2293</v>
      </c>
      <c r="R1261" s="31">
        <v>26583.9</v>
      </c>
    </row>
    <row r="1262" s="1" customFormat="1" ht="16.35" hidden="1" customHeight="1" spans="1:18">
      <c r="A1262" s="6" t="s">
        <v>4506</v>
      </c>
      <c r="B1262" s="6">
        <v>2019</v>
      </c>
      <c r="C1262" s="6">
        <v>6</v>
      </c>
      <c r="D1262" s="7">
        <v>34</v>
      </c>
      <c r="E1262" s="6" t="s">
        <v>5374</v>
      </c>
      <c r="F1262" s="6" t="s">
        <v>4508</v>
      </c>
      <c r="G1262" s="6" t="s">
        <v>25</v>
      </c>
      <c r="H1262" s="8"/>
      <c r="I1262" s="8">
        <v>48624</v>
      </c>
      <c r="J1262" s="6" t="s">
        <v>5375</v>
      </c>
      <c r="K1262" s="6" t="s">
        <v>2007</v>
      </c>
      <c r="L1262" s="6" t="s">
        <v>4516</v>
      </c>
      <c r="M1262" s="6" t="s">
        <v>5082</v>
      </c>
      <c r="N1262" s="6" t="s">
        <v>2007</v>
      </c>
      <c r="O1262" s="29">
        <f t="shared" si="27"/>
        <v>48624</v>
      </c>
      <c r="Q1262" s="30" t="s">
        <v>2007</v>
      </c>
      <c r="R1262" s="31">
        <v>51055.2</v>
      </c>
    </row>
    <row r="1263" s="1" customFormat="1" ht="16.35" hidden="1" customHeight="1" spans="1:18">
      <c r="A1263" s="6" t="s">
        <v>4506</v>
      </c>
      <c r="B1263" s="6">
        <v>2019</v>
      </c>
      <c r="C1263" s="6">
        <v>6</v>
      </c>
      <c r="D1263" s="7">
        <v>35</v>
      </c>
      <c r="E1263" s="6" t="s">
        <v>5460</v>
      </c>
      <c r="F1263" s="6" t="s">
        <v>4508</v>
      </c>
      <c r="G1263" s="6" t="s">
        <v>25</v>
      </c>
      <c r="H1263" s="8"/>
      <c r="I1263" s="8">
        <v>59633</v>
      </c>
      <c r="J1263" s="6" t="s">
        <v>5461</v>
      </c>
      <c r="K1263" s="6" t="s">
        <v>2877</v>
      </c>
      <c r="L1263" s="6" t="s">
        <v>4516</v>
      </c>
      <c r="M1263" s="6" t="s">
        <v>5082</v>
      </c>
      <c r="N1263" s="6" t="s">
        <v>2877</v>
      </c>
      <c r="O1263" s="29">
        <f t="shared" si="27"/>
        <v>59633</v>
      </c>
      <c r="Q1263" s="30" t="s">
        <v>2877</v>
      </c>
      <c r="R1263" s="31">
        <v>62614.65</v>
      </c>
    </row>
    <row r="1264" s="1" customFormat="1" ht="16.35" hidden="1" customHeight="1" spans="1:18">
      <c r="A1264" s="6" t="s">
        <v>4506</v>
      </c>
      <c r="B1264" s="6">
        <v>2019</v>
      </c>
      <c r="C1264" s="6">
        <v>6</v>
      </c>
      <c r="D1264" s="7">
        <v>36</v>
      </c>
      <c r="E1264" s="6" t="s">
        <v>5462</v>
      </c>
      <c r="F1264" s="6" t="s">
        <v>4508</v>
      </c>
      <c r="G1264" s="6" t="s">
        <v>25</v>
      </c>
      <c r="H1264" s="8"/>
      <c r="I1264" s="8">
        <v>9174</v>
      </c>
      <c r="J1264" s="6" t="s">
        <v>5463</v>
      </c>
      <c r="K1264" s="6" t="s">
        <v>1968</v>
      </c>
      <c r="L1264" s="6" t="s">
        <v>4516</v>
      </c>
      <c r="M1264" s="6" t="s">
        <v>5082</v>
      </c>
      <c r="N1264" s="6" t="s">
        <v>1968</v>
      </c>
      <c r="O1264" s="29">
        <f t="shared" si="27"/>
        <v>9174</v>
      </c>
      <c r="Q1264" s="30" t="s">
        <v>1968</v>
      </c>
      <c r="R1264" s="31">
        <v>9632.7</v>
      </c>
    </row>
    <row r="1265" s="1" customFormat="1" ht="16.35" hidden="1" customHeight="1" spans="1:18">
      <c r="A1265" s="6" t="s">
        <v>4506</v>
      </c>
      <c r="B1265" s="6">
        <v>2019</v>
      </c>
      <c r="C1265" s="6">
        <v>6</v>
      </c>
      <c r="D1265" s="7">
        <v>37</v>
      </c>
      <c r="E1265" s="6" t="s">
        <v>5460</v>
      </c>
      <c r="F1265" s="6" t="s">
        <v>4508</v>
      </c>
      <c r="G1265" s="6" t="s">
        <v>25</v>
      </c>
      <c r="H1265" s="8"/>
      <c r="I1265" s="8">
        <v>91743</v>
      </c>
      <c r="J1265" s="6" t="s">
        <v>5461</v>
      </c>
      <c r="K1265" s="6" t="s">
        <v>2877</v>
      </c>
      <c r="L1265" s="6" t="s">
        <v>4516</v>
      </c>
      <c r="M1265" s="6" t="s">
        <v>5082</v>
      </c>
      <c r="N1265" s="6" t="s">
        <v>2877</v>
      </c>
      <c r="O1265" s="29">
        <f t="shared" si="27"/>
        <v>91743</v>
      </c>
      <c r="Q1265" s="30" t="s">
        <v>2877</v>
      </c>
      <c r="R1265" s="31">
        <v>96330.15</v>
      </c>
    </row>
    <row r="1266" s="1" customFormat="1" ht="16.35" hidden="1" customHeight="1" spans="1:18">
      <c r="A1266" s="6" t="s">
        <v>4506</v>
      </c>
      <c r="B1266" s="6">
        <v>2019</v>
      </c>
      <c r="C1266" s="6">
        <v>6</v>
      </c>
      <c r="D1266" s="7">
        <v>38</v>
      </c>
      <c r="E1266" s="6" t="s">
        <v>5334</v>
      </c>
      <c r="F1266" s="6" t="s">
        <v>4508</v>
      </c>
      <c r="G1266" s="6" t="s">
        <v>25</v>
      </c>
      <c r="H1266" s="8"/>
      <c r="I1266" s="12">
        <v>91743</v>
      </c>
      <c r="J1266" s="6" t="s">
        <v>5335</v>
      </c>
      <c r="K1266" s="6" t="s">
        <v>2181</v>
      </c>
      <c r="L1266" s="6" t="s">
        <v>4516</v>
      </c>
      <c r="M1266" s="6" t="s">
        <v>5082</v>
      </c>
      <c r="N1266" s="6" t="s">
        <v>2181</v>
      </c>
      <c r="O1266" s="29">
        <f t="shared" si="27"/>
        <v>91743</v>
      </c>
      <c r="Q1266" s="30" t="s">
        <v>2181</v>
      </c>
      <c r="R1266" s="31">
        <v>91743</v>
      </c>
    </row>
    <row r="1267" s="1" customFormat="1" ht="16.35" hidden="1" customHeight="1" spans="1:18">
      <c r="A1267" s="6" t="s">
        <v>4506</v>
      </c>
      <c r="B1267" s="6">
        <v>2019</v>
      </c>
      <c r="C1267" s="6">
        <v>6</v>
      </c>
      <c r="D1267" s="7">
        <v>39</v>
      </c>
      <c r="E1267" s="6" t="s">
        <v>5464</v>
      </c>
      <c r="F1267" s="6" t="s">
        <v>4508</v>
      </c>
      <c r="G1267" s="6" t="s">
        <v>25</v>
      </c>
      <c r="H1267" s="8"/>
      <c r="I1267" s="8">
        <v>154128</v>
      </c>
      <c r="J1267" s="6" t="s">
        <v>5214</v>
      </c>
      <c r="K1267" s="6" t="s">
        <v>2289</v>
      </c>
      <c r="L1267" s="6" t="s">
        <v>4516</v>
      </c>
      <c r="M1267" s="6" t="s">
        <v>5082</v>
      </c>
      <c r="N1267" s="6" t="s">
        <v>2289</v>
      </c>
      <c r="O1267" s="29">
        <f t="shared" si="27"/>
        <v>154128</v>
      </c>
      <c r="Q1267" s="30" t="s">
        <v>2289</v>
      </c>
      <c r="R1267" s="31">
        <v>161834.4</v>
      </c>
    </row>
    <row r="1268" s="1" customFormat="1" ht="16.35" hidden="1" customHeight="1" spans="1:18">
      <c r="A1268" s="6" t="s">
        <v>4506</v>
      </c>
      <c r="B1268" s="6">
        <v>2019</v>
      </c>
      <c r="C1268" s="6">
        <v>6</v>
      </c>
      <c r="D1268" s="7">
        <v>40</v>
      </c>
      <c r="E1268" s="6" t="s">
        <v>5465</v>
      </c>
      <c r="F1268" s="6" t="s">
        <v>4508</v>
      </c>
      <c r="G1268" s="6" t="s">
        <v>25</v>
      </c>
      <c r="H1268" s="8"/>
      <c r="I1268" s="8">
        <v>87156</v>
      </c>
      <c r="J1268" s="6" t="s">
        <v>5105</v>
      </c>
      <c r="K1268" s="6" t="s">
        <v>2107</v>
      </c>
      <c r="L1268" s="6" t="s">
        <v>4516</v>
      </c>
      <c r="M1268" s="6" t="s">
        <v>5082</v>
      </c>
      <c r="N1268" s="6" t="s">
        <v>2107</v>
      </c>
      <c r="O1268" s="29">
        <f t="shared" si="27"/>
        <v>87156</v>
      </c>
      <c r="Q1268" s="30" t="s">
        <v>2107</v>
      </c>
      <c r="R1268" s="31">
        <v>91513.8</v>
      </c>
    </row>
    <row r="1269" s="1" customFormat="1" ht="16.35" hidden="1" customHeight="1" spans="1:18">
      <c r="A1269" s="6" t="s">
        <v>4506</v>
      </c>
      <c r="B1269" s="6">
        <v>2019</v>
      </c>
      <c r="C1269" s="6">
        <v>6</v>
      </c>
      <c r="D1269" s="7">
        <v>41</v>
      </c>
      <c r="E1269" s="6" t="s">
        <v>5466</v>
      </c>
      <c r="F1269" s="6" t="s">
        <v>4508</v>
      </c>
      <c r="G1269" s="6" t="s">
        <v>25</v>
      </c>
      <c r="H1269" s="8"/>
      <c r="I1269" s="8">
        <v>110092</v>
      </c>
      <c r="J1269" s="6" t="s">
        <v>5103</v>
      </c>
      <c r="K1269" s="6" t="s">
        <v>1972</v>
      </c>
      <c r="L1269" s="6" t="s">
        <v>4516</v>
      </c>
      <c r="M1269" s="6" t="s">
        <v>5082</v>
      </c>
      <c r="N1269" s="6" t="s">
        <v>1972</v>
      </c>
      <c r="O1269" s="29">
        <f t="shared" si="27"/>
        <v>110092</v>
      </c>
      <c r="Q1269" s="30" t="s">
        <v>1972</v>
      </c>
      <c r="R1269" s="31">
        <v>115596.6</v>
      </c>
    </row>
    <row r="1270" s="1" customFormat="1" ht="16.35" hidden="1" customHeight="1" spans="1:18">
      <c r="A1270" s="6" t="s">
        <v>4506</v>
      </c>
      <c r="B1270" s="6">
        <v>2019</v>
      </c>
      <c r="C1270" s="6">
        <v>6</v>
      </c>
      <c r="D1270" s="7">
        <v>42</v>
      </c>
      <c r="E1270" s="6" t="s">
        <v>5467</v>
      </c>
      <c r="F1270" s="6" t="s">
        <v>4508</v>
      </c>
      <c r="G1270" s="6" t="s">
        <v>25</v>
      </c>
      <c r="H1270" s="8"/>
      <c r="I1270" s="8">
        <v>27523</v>
      </c>
      <c r="J1270" s="6" t="s">
        <v>5208</v>
      </c>
      <c r="K1270" s="6" t="s">
        <v>2151</v>
      </c>
      <c r="L1270" s="6" t="s">
        <v>4516</v>
      </c>
      <c r="M1270" s="6" t="s">
        <v>5082</v>
      </c>
      <c r="N1270" s="6" t="s">
        <v>2151</v>
      </c>
      <c r="O1270" s="29">
        <f t="shared" si="27"/>
        <v>27523</v>
      </c>
      <c r="Q1270" s="30" t="s">
        <v>2151</v>
      </c>
      <c r="R1270" s="31">
        <v>28899.15</v>
      </c>
    </row>
    <row r="1271" s="1" customFormat="1" ht="16.35" hidden="1" customHeight="1" spans="1:18">
      <c r="A1271" s="6" t="s">
        <v>4506</v>
      </c>
      <c r="B1271" s="6">
        <v>2019</v>
      </c>
      <c r="C1271" s="6">
        <v>6</v>
      </c>
      <c r="D1271" s="7">
        <v>43</v>
      </c>
      <c r="E1271" s="6" t="s">
        <v>5468</v>
      </c>
      <c r="F1271" s="6" t="s">
        <v>4508</v>
      </c>
      <c r="G1271" s="6" t="s">
        <v>25</v>
      </c>
      <c r="H1271" s="8"/>
      <c r="I1271" s="8">
        <v>102752</v>
      </c>
      <c r="J1271" s="6" t="s">
        <v>5167</v>
      </c>
      <c r="K1271" s="6" t="s">
        <v>2011</v>
      </c>
      <c r="L1271" s="6" t="s">
        <v>4516</v>
      </c>
      <c r="M1271" s="6" t="s">
        <v>5082</v>
      </c>
      <c r="N1271" s="6" t="s">
        <v>2011</v>
      </c>
      <c r="O1271" s="29">
        <f t="shared" si="27"/>
        <v>102752</v>
      </c>
      <c r="Q1271" s="30" t="s">
        <v>2011</v>
      </c>
      <c r="R1271" s="31">
        <v>107889.6</v>
      </c>
    </row>
    <row r="1272" s="1" customFormat="1" ht="16.35" hidden="1" customHeight="1" spans="1:18">
      <c r="A1272" s="6" t="s">
        <v>4506</v>
      </c>
      <c r="B1272" s="6">
        <v>2019</v>
      </c>
      <c r="C1272" s="6">
        <v>6</v>
      </c>
      <c r="D1272" s="7">
        <v>44</v>
      </c>
      <c r="E1272" s="6" t="s">
        <v>5469</v>
      </c>
      <c r="F1272" s="6" t="s">
        <v>4508</v>
      </c>
      <c r="G1272" s="6" t="s">
        <v>25</v>
      </c>
      <c r="H1272" s="8"/>
      <c r="I1272" s="8">
        <v>142202</v>
      </c>
      <c r="J1272" s="6" t="s">
        <v>5367</v>
      </c>
      <c r="K1272" s="6" t="s">
        <v>2273</v>
      </c>
      <c r="L1272" s="6" t="s">
        <v>4516</v>
      </c>
      <c r="M1272" s="6" t="s">
        <v>5082</v>
      </c>
      <c r="N1272" s="6" t="s">
        <v>2273</v>
      </c>
      <c r="O1272" s="29">
        <f t="shared" si="27"/>
        <v>142202</v>
      </c>
      <c r="Q1272" s="30" t="s">
        <v>2273</v>
      </c>
      <c r="R1272" s="31">
        <v>149312.1</v>
      </c>
    </row>
    <row r="1273" s="1" customFormat="1" ht="16.35" hidden="1" customHeight="1" spans="1:18">
      <c r="A1273" s="6" t="s">
        <v>4506</v>
      </c>
      <c r="B1273" s="6">
        <v>2019</v>
      </c>
      <c r="C1273" s="6">
        <v>6</v>
      </c>
      <c r="D1273" s="7">
        <v>45</v>
      </c>
      <c r="E1273" s="6" t="s">
        <v>5470</v>
      </c>
      <c r="F1273" s="6" t="s">
        <v>4508</v>
      </c>
      <c r="G1273" s="6" t="s">
        <v>25</v>
      </c>
      <c r="H1273" s="8"/>
      <c r="I1273" s="8">
        <v>100917</v>
      </c>
      <c r="J1273" s="6" t="s">
        <v>4112</v>
      </c>
      <c r="K1273" s="6" t="s">
        <v>2101</v>
      </c>
      <c r="L1273" s="6" t="s">
        <v>4516</v>
      </c>
      <c r="M1273" s="6" t="s">
        <v>5082</v>
      </c>
      <c r="N1273" s="6" t="s">
        <v>2101</v>
      </c>
      <c r="O1273" s="29">
        <f t="shared" si="27"/>
        <v>100917</v>
      </c>
      <c r="Q1273" s="30" t="s">
        <v>2101</v>
      </c>
      <c r="R1273" s="31">
        <v>105962.85</v>
      </c>
    </row>
    <row r="1274" s="1" customFormat="1" ht="16.35" hidden="1" customHeight="1" spans="1:18">
      <c r="A1274" s="6" t="s">
        <v>4506</v>
      </c>
      <c r="B1274" s="6">
        <v>2019</v>
      </c>
      <c r="C1274" s="6">
        <v>6</v>
      </c>
      <c r="D1274" s="7">
        <v>46</v>
      </c>
      <c r="E1274" s="6" t="s">
        <v>5471</v>
      </c>
      <c r="F1274" s="6" t="s">
        <v>4508</v>
      </c>
      <c r="G1274" s="6" t="s">
        <v>25</v>
      </c>
      <c r="H1274" s="8"/>
      <c r="I1274" s="8">
        <v>119266</v>
      </c>
      <c r="J1274" s="6" t="s">
        <v>5314</v>
      </c>
      <c r="K1274" s="6" t="s">
        <v>1992</v>
      </c>
      <c r="L1274" s="6" t="s">
        <v>4516</v>
      </c>
      <c r="M1274" s="6" t="s">
        <v>5082</v>
      </c>
      <c r="N1274" s="6" t="s">
        <v>1992</v>
      </c>
      <c r="O1274" s="29">
        <f t="shared" si="27"/>
        <v>119266</v>
      </c>
      <c r="Q1274" s="30" t="s">
        <v>1992</v>
      </c>
      <c r="R1274" s="31">
        <v>125229.3</v>
      </c>
    </row>
    <row r="1275" s="1" customFormat="1" ht="16.35" hidden="1" customHeight="1" spans="1:18">
      <c r="A1275" s="6" t="s">
        <v>4506</v>
      </c>
      <c r="B1275" s="6">
        <v>2019</v>
      </c>
      <c r="C1275" s="6">
        <v>6</v>
      </c>
      <c r="D1275" s="7">
        <v>47</v>
      </c>
      <c r="E1275" s="6" t="s">
        <v>5472</v>
      </c>
      <c r="F1275" s="6" t="s">
        <v>4508</v>
      </c>
      <c r="G1275" s="6" t="s">
        <v>25</v>
      </c>
      <c r="H1275" s="8"/>
      <c r="I1275" s="8">
        <v>133028</v>
      </c>
      <c r="J1275" s="6" t="s">
        <v>5210</v>
      </c>
      <c r="K1275" s="6" t="s">
        <v>1990</v>
      </c>
      <c r="L1275" s="6" t="s">
        <v>4516</v>
      </c>
      <c r="M1275" s="6" t="s">
        <v>5082</v>
      </c>
      <c r="N1275" s="6" t="s">
        <v>1990</v>
      </c>
      <c r="O1275" s="29">
        <f t="shared" si="27"/>
        <v>133028</v>
      </c>
      <c r="Q1275" s="30" t="s">
        <v>1990</v>
      </c>
      <c r="R1275" s="31">
        <v>139679.4</v>
      </c>
    </row>
    <row r="1276" s="1" customFormat="1" ht="16.35" hidden="1" customHeight="1" spans="1:18">
      <c r="A1276" s="6" t="s">
        <v>4506</v>
      </c>
      <c r="B1276" s="6">
        <v>2019</v>
      </c>
      <c r="C1276" s="6">
        <v>6</v>
      </c>
      <c r="D1276" s="7">
        <v>48</v>
      </c>
      <c r="E1276" s="6" t="s">
        <v>5473</v>
      </c>
      <c r="F1276" s="6" t="s">
        <v>4508</v>
      </c>
      <c r="G1276" s="6" t="s">
        <v>25</v>
      </c>
      <c r="H1276" s="8"/>
      <c r="I1276" s="8">
        <v>133028</v>
      </c>
      <c r="J1276" s="6" t="s">
        <v>5372</v>
      </c>
      <c r="K1276" s="6" t="s">
        <v>2085</v>
      </c>
      <c r="L1276" s="6" t="s">
        <v>4516</v>
      </c>
      <c r="M1276" s="6" t="s">
        <v>5082</v>
      </c>
      <c r="N1276" s="6" t="s">
        <v>2085</v>
      </c>
      <c r="O1276" s="29">
        <f t="shared" si="27"/>
        <v>133028</v>
      </c>
      <c r="Q1276" s="30" t="s">
        <v>2085</v>
      </c>
      <c r="R1276" s="31">
        <v>139679.4</v>
      </c>
    </row>
    <row r="1277" s="1" customFormat="1" ht="16.35" hidden="1" customHeight="1" spans="1:18">
      <c r="A1277" s="6" t="s">
        <v>4506</v>
      </c>
      <c r="B1277" s="6">
        <v>2019</v>
      </c>
      <c r="C1277" s="6">
        <v>6</v>
      </c>
      <c r="D1277" s="7">
        <v>49</v>
      </c>
      <c r="E1277" s="6" t="s">
        <v>5474</v>
      </c>
      <c r="F1277" s="6" t="s">
        <v>4508</v>
      </c>
      <c r="G1277" s="6" t="s">
        <v>25</v>
      </c>
      <c r="H1277" s="8"/>
      <c r="I1277" s="8">
        <v>146789</v>
      </c>
      <c r="J1277" s="6" t="s">
        <v>5169</v>
      </c>
      <c r="K1277" s="6" t="s">
        <v>2188</v>
      </c>
      <c r="L1277" s="6" t="s">
        <v>4516</v>
      </c>
      <c r="M1277" s="6" t="s">
        <v>5082</v>
      </c>
      <c r="N1277" s="6" t="s">
        <v>2188</v>
      </c>
      <c r="O1277" s="29">
        <f t="shared" si="27"/>
        <v>146789</v>
      </c>
      <c r="Q1277" s="30" t="s">
        <v>2188</v>
      </c>
      <c r="R1277" s="31">
        <v>154128.45</v>
      </c>
    </row>
    <row r="1278" s="1" customFormat="1" ht="16.35" hidden="1" customHeight="1" spans="1:18">
      <c r="A1278" s="6" t="s">
        <v>4506</v>
      </c>
      <c r="B1278" s="6">
        <v>2019</v>
      </c>
      <c r="C1278" s="6">
        <v>7</v>
      </c>
      <c r="D1278" s="7">
        <v>1</v>
      </c>
      <c r="E1278" s="6" t="s">
        <v>5475</v>
      </c>
      <c r="F1278" s="6" t="s">
        <v>4508</v>
      </c>
      <c r="G1278" s="6" t="s">
        <v>25</v>
      </c>
      <c r="H1278" s="8"/>
      <c r="I1278" s="8">
        <v>-13761</v>
      </c>
      <c r="J1278" s="6" t="s">
        <v>5307</v>
      </c>
      <c r="K1278" s="6" t="s">
        <v>2211</v>
      </c>
      <c r="L1278" s="6" t="s">
        <v>4516</v>
      </c>
      <c r="M1278" s="6" t="s">
        <v>5082</v>
      </c>
      <c r="N1278" s="6" t="s">
        <v>2211</v>
      </c>
      <c r="O1278" s="29">
        <f t="shared" si="27"/>
        <v>-13761</v>
      </c>
      <c r="Q1278" s="30" t="s">
        <v>2211</v>
      </c>
      <c r="R1278" s="31">
        <v>-14449.05</v>
      </c>
    </row>
    <row r="1279" s="1" customFormat="1" ht="25" hidden="1" customHeight="1" spans="1:18">
      <c r="A1279" s="6" t="s">
        <v>4506</v>
      </c>
      <c r="B1279" s="6">
        <v>2019</v>
      </c>
      <c r="C1279" s="6">
        <v>7</v>
      </c>
      <c r="D1279" s="7">
        <v>2</v>
      </c>
      <c r="E1279" s="6" t="s">
        <v>5476</v>
      </c>
      <c r="F1279" s="6" t="s">
        <v>4508</v>
      </c>
      <c r="G1279" s="6" t="s">
        <v>25</v>
      </c>
      <c r="H1279" s="8"/>
      <c r="I1279" s="8">
        <v>-4587</v>
      </c>
      <c r="J1279" s="6" t="s">
        <v>5101</v>
      </c>
      <c r="K1279" s="6" t="s">
        <v>1940</v>
      </c>
      <c r="L1279" s="6" t="s">
        <v>4516</v>
      </c>
      <c r="M1279" s="6" t="s">
        <v>5082</v>
      </c>
      <c r="N1279" s="6" t="s">
        <v>1940</v>
      </c>
      <c r="O1279" s="29">
        <f t="shared" si="27"/>
        <v>-4587</v>
      </c>
      <c r="Q1279" s="30" t="s">
        <v>1940</v>
      </c>
      <c r="R1279" s="31">
        <v>-4587</v>
      </c>
    </row>
    <row r="1280" s="1" customFormat="1" ht="16.35" hidden="1" customHeight="1" spans="1:18">
      <c r="A1280" s="6" t="s">
        <v>4506</v>
      </c>
      <c r="B1280" s="6">
        <v>2019</v>
      </c>
      <c r="C1280" s="6">
        <v>7</v>
      </c>
      <c r="D1280" s="7">
        <v>3</v>
      </c>
      <c r="E1280" s="6" t="s">
        <v>5328</v>
      </c>
      <c r="F1280" s="6" t="s">
        <v>4508</v>
      </c>
      <c r="G1280" s="6" t="s">
        <v>25</v>
      </c>
      <c r="H1280" s="8"/>
      <c r="I1280" s="8">
        <v>125711</v>
      </c>
      <c r="J1280" s="6" t="s">
        <v>5276</v>
      </c>
      <c r="K1280" s="6" t="s">
        <v>2807</v>
      </c>
      <c r="L1280" s="6" t="s">
        <v>4516</v>
      </c>
      <c r="M1280" s="6" t="s">
        <v>5082</v>
      </c>
      <c r="N1280" s="6" t="s">
        <v>2807</v>
      </c>
      <c r="O1280" s="29">
        <f t="shared" si="27"/>
        <v>125711</v>
      </c>
      <c r="Q1280" s="30" t="s">
        <v>2807</v>
      </c>
      <c r="R1280" s="31">
        <v>131996.55</v>
      </c>
    </row>
    <row r="1281" s="1" customFormat="1" ht="16.35" hidden="1" customHeight="1" spans="1:18">
      <c r="A1281" s="6" t="s">
        <v>4506</v>
      </c>
      <c r="B1281" s="6">
        <v>2019</v>
      </c>
      <c r="C1281" s="6">
        <v>7</v>
      </c>
      <c r="D1281" s="7">
        <v>4</v>
      </c>
      <c r="E1281" s="6" t="s">
        <v>5477</v>
      </c>
      <c r="F1281" s="6" t="s">
        <v>4508</v>
      </c>
      <c r="G1281" s="6" t="s">
        <v>25</v>
      </c>
      <c r="H1281" s="8"/>
      <c r="I1281" s="8">
        <v>9174</v>
      </c>
      <c r="J1281" s="6" t="s">
        <v>5478</v>
      </c>
      <c r="K1281" s="6" t="s">
        <v>1996</v>
      </c>
      <c r="L1281" s="6" t="s">
        <v>4516</v>
      </c>
      <c r="M1281" s="6" t="s">
        <v>5082</v>
      </c>
      <c r="N1281" s="6" t="s">
        <v>1996</v>
      </c>
      <c r="O1281" s="29">
        <f t="shared" si="27"/>
        <v>9174</v>
      </c>
      <c r="Q1281" s="30" t="s">
        <v>1996</v>
      </c>
      <c r="R1281" s="31">
        <v>9632.7</v>
      </c>
    </row>
    <row r="1282" s="1" customFormat="1" ht="16.35" hidden="1" customHeight="1" spans="1:18">
      <c r="A1282" s="6" t="s">
        <v>4506</v>
      </c>
      <c r="B1282" s="6">
        <v>2019</v>
      </c>
      <c r="C1282" s="6">
        <v>7</v>
      </c>
      <c r="D1282" s="7">
        <v>5</v>
      </c>
      <c r="E1282" s="6" t="s">
        <v>5479</v>
      </c>
      <c r="F1282" s="6" t="s">
        <v>4508</v>
      </c>
      <c r="G1282" s="6" t="s">
        <v>25</v>
      </c>
      <c r="H1282" s="8"/>
      <c r="I1282" s="8">
        <v>93578</v>
      </c>
      <c r="J1282" s="6" t="s">
        <v>5480</v>
      </c>
      <c r="K1282" s="6" t="s">
        <v>2208</v>
      </c>
      <c r="L1282" s="6" t="s">
        <v>4516</v>
      </c>
      <c r="M1282" s="6" t="s">
        <v>5082</v>
      </c>
      <c r="N1282" s="6" t="s">
        <v>2208</v>
      </c>
      <c r="O1282" s="29">
        <f t="shared" si="27"/>
        <v>93578</v>
      </c>
      <c r="Q1282" s="30" t="s">
        <v>2208</v>
      </c>
      <c r="R1282" s="31">
        <v>98256.9</v>
      </c>
    </row>
    <row r="1283" s="1" customFormat="1" ht="16.35" hidden="1" customHeight="1" spans="1:18">
      <c r="A1283" s="6" t="s">
        <v>4506</v>
      </c>
      <c r="B1283" s="6">
        <v>2019</v>
      </c>
      <c r="C1283" s="6">
        <v>7</v>
      </c>
      <c r="D1283" s="7">
        <v>6</v>
      </c>
      <c r="E1283" s="6" t="s">
        <v>5481</v>
      </c>
      <c r="F1283" s="6" t="s">
        <v>4508</v>
      </c>
      <c r="G1283" s="6" t="s">
        <v>25</v>
      </c>
      <c r="H1283" s="8"/>
      <c r="I1283" s="8">
        <v>100917</v>
      </c>
      <c r="J1283" s="6" t="s">
        <v>5461</v>
      </c>
      <c r="K1283" s="6" t="s">
        <v>2877</v>
      </c>
      <c r="L1283" s="6" t="s">
        <v>4516</v>
      </c>
      <c r="M1283" s="6" t="s">
        <v>5082</v>
      </c>
      <c r="N1283" s="6" t="s">
        <v>2877</v>
      </c>
      <c r="O1283" s="29">
        <f t="shared" si="27"/>
        <v>100917</v>
      </c>
      <c r="Q1283" s="30" t="s">
        <v>2877</v>
      </c>
      <c r="R1283" s="31">
        <v>105962.85</v>
      </c>
    </row>
    <row r="1284" s="1" customFormat="1" ht="16.35" hidden="1" customHeight="1" spans="1:18">
      <c r="A1284" s="6" t="s">
        <v>4506</v>
      </c>
      <c r="B1284" s="6">
        <v>2019</v>
      </c>
      <c r="C1284" s="6">
        <v>7</v>
      </c>
      <c r="D1284" s="7">
        <v>7</v>
      </c>
      <c r="E1284" s="6" t="s">
        <v>5482</v>
      </c>
      <c r="F1284" s="6" t="s">
        <v>4508</v>
      </c>
      <c r="G1284" s="6" t="s">
        <v>25</v>
      </c>
      <c r="H1284" s="8"/>
      <c r="I1284" s="8">
        <v>9174</v>
      </c>
      <c r="J1284" s="6" t="s">
        <v>5483</v>
      </c>
      <c r="K1284" s="6" t="s">
        <v>2071</v>
      </c>
      <c r="L1284" s="6" t="s">
        <v>4516</v>
      </c>
      <c r="M1284" s="6" t="s">
        <v>5082</v>
      </c>
      <c r="N1284" s="6" t="s">
        <v>2071</v>
      </c>
      <c r="O1284" s="29">
        <f t="shared" si="27"/>
        <v>9174</v>
      </c>
      <c r="Q1284" s="30" t="s">
        <v>2071</v>
      </c>
      <c r="R1284" s="31">
        <v>9632.7</v>
      </c>
    </row>
    <row r="1285" s="1" customFormat="1" ht="16.35" hidden="1" customHeight="1" spans="1:18">
      <c r="A1285" s="6" t="s">
        <v>4506</v>
      </c>
      <c r="B1285" s="6">
        <v>2019</v>
      </c>
      <c r="C1285" s="6">
        <v>7</v>
      </c>
      <c r="D1285" s="7">
        <v>8</v>
      </c>
      <c r="E1285" s="6" t="s">
        <v>5313</v>
      </c>
      <c r="F1285" s="6" t="s">
        <v>4508</v>
      </c>
      <c r="G1285" s="6" t="s">
        <v>25</v>
      </c>
      <c r="H1285" s="8"/>
      <c r="I1285" s="8">
        <v>9174</v>
      </c>
      <c r="J1285" s="6" t="s">
        <v>5314</v>
      </c>
      <c r="K1285" s="6" t="s">
        <v>1992</v>
      </c>
      <c r="L1285" s="6" t="s">
        <v>4516</v>
      </c>
      <c r="M1285" s="6" t="s">
        <v>5082</v>
      </c>
      <c r="N1285" s="6" t="s">
        <v>1992</v>
      </c>
      <c r="O1285" s="29">
        <f t="shared" si="27"/>
        <v>9174</v>
      </c>
      <c r="Q1285" s="30" t="s">
        <v>1992</v>
      </c>
      <c r="R1285" s="31">
        <v>9632.7</v>
      </c>
    </row>
    <row r="1286" s="1" customFormat="1" ht="16.35" hidden="1" customHeight="1" spans="1:18">
      <c r="A1286" s="6" t="s">
        <v>4506</v>
      </c>
      <c r="B1286" s="6">
        <v>2019</v>
      </c>
      <c r="C1286" s="6">
        <v>7</v>
      </c>
      <c r="D1286" s="7">
        <v>9</v>
      </c>
      <c r="E1286" s="6" t="s">
        <v>5484</v>
      </c>
      <c r="F1286" s="6" t="s">
        <v>4508</v>
      </c>
      <c r="G1286" s="6" t="s">
        <v>25</v>
      </c>
      <c r="H1286" s="8"/>
      <c r="I1286" s="8">
        <v>204266</v>
      </c>
      <c r="J1286" s="6" t="s">
        <v>5264</v>
      </c>
      <c r="K1286" s="6" t="s">
        <v>2103</v>
      </c>
      <c r="L1286" s="6" t="s">
        <v>4516</v>
      </c>
      <c r="M1286" s="6" t="s">
        <v>5082</v>
      </c>
      <c r="N1286" s="6" t="s">
        <v>2103</v>
      </c>
      <c r="O1286" s="29">
        <f t="shared" si="27"/>
        <v>204266</v>
      </c>
      <c r="Q1286" s="30" t="s">
        <v>2103</v>
      </c>
      <c r="R1286" s="31">
        <v>214479.3</v>
      </c>
    </row>
    <row r="1287" s="1" customFormat="1" ht="16.35" hidden="1" customHeight="1" spans="1:18">
      <c r="A1287" s="6" t="s">
        <v>4506</v>
      </c>
      <c r="B1287" s="6">
        <v>2019</v>
      </c>
      <c r="C1287" s="6">
        <v>7</v>
      </c>
      <c r="D1287" s="7">
        <v>10</v>
      </c>
      <c r="E1287" s="6" t="s">
        <v>5485</v>
      </c>
      <c r="F1287" s="6" t="s">
        <v>4508</v>
      </c>
      <c r="G1287" s="6" t="s">
        <v>25</v>
      </c>
      <c r="H1287" s="8"/>
      <c r="I1287" s="8">
        <v>7339</v>
      </c>
      <c r="J1287" s="6" t="s">
        <v>5486</v>
      </c>
      <c r="K1287" s="6" t="s">
        <v>2063</v>
      </c>
      <c r="L1287" s="6" t="s">
        <v>4516</v>
      </c>
      <c r="M1287" s="6" t="s">
        <v>5082</v>
      </c>
      <c r="N1287" s="6" t="s">
        <v>2063</v>
      </c>
      <c r="O1287" s="29">
        <f t="shared" ref="O1287:O1332" si="28">I1287</f>
        <v>7339</v>
      </c>
      <c r="Q1287" s="30" t="s">
        <v>2063</v>
      </c>
      <c r="R1287" s="31">
        <v>7705.95</v>
      </c>
    </row>
    <row r="1288" s="1" customFormat="1" ht="16.35" hidden="1" customHeight="1" spans="1:18">
      <c r="A1288" s="6" t="s">
        <v>4506</v>
      </c>
      <c r="B1288" s="6">
        <v>2019</v>
      </c>
      <c r="C1288" s="6">
        <v>7</v>
      </c>
      <c r="D1288" s="7">
        <v>11</v>
      </c>
      <c r="E1288" s="6" t="s">
        <v>5288</v>
      </c>
      <c r="F1288" s="6" t="s">
        <v>4508</v>
      </c>
      <c r="G1288" s="6" t="s">
        <v>25</v>
      </c>
      <c r="H1288" s="8"/>
      <c r="I1288" s="8">
        <v>56064</v>
      </c>
      <c r="J1288" s="6" t="s">
        <v>5289</v>
      </c>
      <c r="K1288" s="6" t="s">
        <v>1963</v>
      </c>
      <c r="L1288" s="6" t="s">
        <v>4516</v>
      </c>
      <c r="M1288" s="6" t="s">
        <v>5082</v>
      </c>
      <c r="N1288" s="6" t="s">
        <v>1963</v>
      </c>
      <c r="O1288" s="29">
        <f t="shared" si="28"/>
        <v>56064</v>
      </c>
      <c r="Q1288" s="30" t="s">
        <v>1963</v>
      </c>
      <c r="R1288" s="31">
        <v>58867.2</v>
      </c>
    </row>
    <row r="1289" s="1" customFormat="1" ht="16.35" hidden="1" customHeight="1" spans="1:18">
      <c r="A1289" s="6" t="s">
        <v>4506</v>
      </c>
      <c r="B1289" s="6">
        <v>2019</v>
      </c>
      <c r="C1289" s="6">
        <v>7</v>
      </c>
      <c r="D1289" s="7">
        <v>12</v>
      </c>
      <c r="E1289" s="6" t="s">
        <v>5356</v>
      </c>
      <c r="F1289" s="6" t="s">
        <v>4508</v>
      </c>
      <c r="G1289" s="6" t="s">
        <v>25</v>
      </c>
      <c r="H1289" s="8"/>
      <c r="I1289" s="8">
        <v>21138</v>
      </c>
      <c r="J1289" s="6" t="s">
        <v>5357</v>
      </c>
      <c r="K1289" s="6" t="s">
        <v>2784</v>
      </c>
      <c r="L1289" s="6" t="s">
        <v>4516</v>
      </c>
      <c r="M1289" s="6" t="s">
        <v>5082</v>
      </c>
      <c r="N1289" s="6" t="s">
        <v>2784</v>
      </c>
      <c r="O1289" s="29">
        <f t="shared" si="28"/>
        <v>21138</v>
      </c>
      <c r="Q1289" s="30" t="s">
        <v>2784</v>
      </c>
      <c r="R1289" s="31">
        <v>22194.9</v>
      </c>
    </row>
    <row r="1290" s="1" customFormat="1" ht="16.35" hidden="1" customHeight="1" spans="1:18">
      <c r="A1290" s="6" t="s">
        <v>4506</v>
      </c>
      <c r="B1290" s="6">
        <v>2019</v>
      </c>
      <c r="C1290" s="6">
        <v>7</v>
      </c>
      <c r="D1290" s="7">
        <v>13</v>
      </c>
      <c r="E1290" s="6" t="s">
        <v>5412</v>
      </c>
      <c r="F1290" s="6" t="s">
        <v>4508</v>
      </c>
      <c r="G1290" s="6" t="s">
        <v>25</v>
      </c>
      <c r="H1290" s="8"/>
      <c r="I1290" s="8">
        <v>108257</v>
      </c>
      <c r="J1290" s="6" t="s">
        <v>5413</v>
      </c>
      <c r="K1290" s="6" t="s">
        <v>2131</v>
      </c>
      <c r="L1290" s="6" t="s">
        <v>4516</v>
      </c>
      <c r="M1290" s="6" t="s">
        <v>5082</v>
      </c>
      <c r="N1290" s="6" t="s">
        <v>2131</v>
      </c>
      <c r="O1290" s="29">
        <f t="shared" si="28"/>
        <v>108257</v>
      </c>
      <c r="Q1290" s="30" t="s">
        <v>2131</v>
      </c>
      <c r="R1290" s="31">
        <v>113669.85</v>
      </c>
    </row>
    <row r="1291" s="1" customFormat="1" ht="16.35" hidden="1" customHeight="1" spans="1:18">
      <c r="A1291" s="6" t="s">
        <v>4506</v>
      </c>
      <c r="B1291" s="6">
        <v>2019</v>
      </c>
      <c r="C1291" s="6">
        <v>7</v>
      </c>
      <c r="D1291" s="7">
        <v>14</v>
      </c>
      <c r="E1291" s="6" t="s">
        <v>5487</v>
      </c>
      <c r="F1291" s="6" t="s">
        <v>4508</v>
      </c>
      <c r="G1291" s="6" t="s">
        <v>25</v>
      </c>
      <c r="H1291" s="8"/>
      <c r="I1291" s="8">
        <v>165138</v>
      </c>
      <c r="J1291" s="6" t="s">
        <v>5233</v>
      </c>
      <c r="K1291" s="6" t="s">
        <v>2758</v>
      </c>
      <c r="L1291" s="6" t="s">
        <v>4516</v>
      </c>
      <c r="M1291" s="6" t="s">
        <v>5082</v>
      </c>
      <c r="N1291" s="6" t="s">
        <v>2758</v>
      </c>
      <c r="O1291" s="29">
        <f t="shared" si="28"/>
        <v>165138</v>
      </c>
      <c r="Q1291" s="30" t="s">
        <v>2758</v>
      </c>
      <c r="R1291" s="31">
        <v>173394.9</v>
      </c>
    </row>
    <row r="1292" s="1" customFormat="1" ht="16.35" hidden="1" customHeight="1" spans="1:18">
      <c r="A1292" s="6" t="s">
        <v>4506</v>
      </c>
      <c r="B1292" s="6">
        <v>2019</v>
      </c>
      <c r="C1292" s="6">
        <v>7</v>
      </c>
      <c r="D1292" s="7">
        <v>15</v>
      </c>
      <c r="E1292" s="6" t="s">
        <v>5488</v>
      </c>
      <c r="F1292" s="6" t="s">
        <v>4508</v>
      </c>
      <c r="G1292" s="6" t="s">
        <v>25</v>
      </c>
      <c r="H1292" s="8"/>
      <c r="I1292" s="8">
        <v>47214</v>
      </c>
      <c r="J1292" s="6" t="s">
        <v>4102</v>
      </c>
      <c r="K1292" s="6" t="s">
        <v>2005</v>
      </c>
      <c r="L1292" s="6" t="s">
        <v>4516</v>
      </c>
      <c r="M1292" s="6" t="s">
        <v>5082</v>
      </c>
      <c r="N1292" s="6" t="s">
        <v>2005</v>
      </c>
      <c r="O1292" s="29">
        <f t="shared" si="28"/>
        <v>47214</v>
      </c>
      <c r="Q1292" s="30" t="s">
        <v>2005</v>
      </c>
      <c r="R1292" s="31">
        <v>49574.7</v>
      </c>
    </row>
    <row r="1293" s="1" customFormat="1" ht="16.35" hidden="1" customHeight="1" spans="1:18">
      <c r="A1293" s="6" t="s">
        <v>4506</v>
      </c>
      <c r="B1293" s="6">
        <v>2019</v>
      </c>
      <c r="C1293" s="6">
        <v>7</v>
      </c>
      <c r="D1293" s="7">
        <v>16</v>
      </c>
      <c r="E1293" s="6" t="s">
        <v>5445</v>
      </c>
      <c r="F1293" s="6" t="s">
        <v>4508</v>
      </c>
      <c r="G1293" s="6" t="s">
        <v>25</v>
      </c>
      <c r="H1293" s="8"/>
      <c r="I1293" s="8">
        <v>917</v>
      </c>
      <c r="J1293" s="6" t="s">
        <v>5446</v>
      </c>
      <c r="K1293" s="6" t="s">
        <v>2141</v>
      </c>
      <c r="L1293" s="6" t="s">
        <v>4516</v>
      </c>
      <c r="M1293" s="6" t="s">
        <v>5082</v>
      </c>
      <c r="N1293" s="6" t="s">
        <v>2141</v>
      </c>
      <c r="O1293" s="29">
        <f t="shared" si="28"/>
        <v>917</v>
      </c>
      <c r="Q1293" s="30" t="s">
        <v>2141</v>
      </c>
      <c r="R1293" s="31">
        <v>962.85</v>
      </c>
    </row>
    <row r="1294" s="1" customFormat="1" ht="16.35" hidden="1" customHeight="1" spans="1:18">
      <c r="A1294" s="6" t="s">
        <v>4506</v>
      </c>
      <c r="B1294" s="6">
        <v>2019</v>
      </c>
      <c r="C1294" s="6">
        <v>7</v>
      </c>
      <c r="D1294" s="7">
        <v>17</v>
      </c>
      <c r="E1294" s="6" t="s">
        <v>5489</v>
      </c>
      <c r="F1294" s="6" t="s">
        <v>4508</v>
      </c>
      <c r="G1294" s="6" t="s">
        <v>25</v>
      </c>
      <c r="H1294" s="8"/>
      <c r="I1294" s="8">
        <v>9174</v>
      </c>
      <c r="J1294" s="6" t="s">
        <v>5490</v>
      </c>
      <c r="K1294" s="6" t="s">
        <v>2219</v>
      </c>
      <c r="L1294" s="6" t="s">
        <v>4516</v>
      </c>
      <c r="M1294" s="6" t="s">
        <v>5082</v>
      </c>
      <c r="N1294" s="6" t="s">
        <v>2219</v>
      </c>
      <c r="O1294" s="29">
        <f t="shared" si="28"/>
        <v>9174</v>
      </c>
      <c r="Q1294" s="30" t="s">
        <v>2219</v>
      </c>
      <c r="R1294" s="31">
        <v>9632.7</v>
      </c>
    </row>
    <row r="1295" s="1" customFormat="1" ht="16.35" hidden="1" customHeight="1" spans="1:18">
      <c r="A1295" s="6" t="s">
        <v>4506</v>
      </c>
      <c r="B1295" s="6">
        <v>2019</v>
      </c>
      <c r="C1295" s="6">
        <v>7</v>
      </c>
      <c r="D1295" s="7">
        <v>18</v>
      </c>
      <c r="E1295" s="6" t="s">
        <v>5456</v>
      </c>
      <c r="F1295" s="6" t="s">
        <v>4508</v>
      </c>
      <c r="G1295" s="6" t="s">
        <v>25</v>
      </c>
      <c r="H1295" s="8"/>
      <c r="I1295" s="8">
        <v>65219</v>
      </c>
      <c r="J1295" s="6" t="s">
        <v>5457</v>
      </c>
      <c r="K1295" s="6" t="s">
        <v>2177</v>
      </c>
      <c r="L1295" s="6" t="s">
        <v>4516</v>
      </c>
      <c r="M1295" s="6" t="s">
        <v>5082</v>
      </c>
      <c r="N1295" s="6" t="s">
        <v>2177</v>
      </c>
      <c r="O1295" s="29">
        <f t="shared" si="28"/>
        <v>65219</v>
      </c>
      <c r="Q1295" s="30" t="s">
        <v>2177</v>
      </c>
      <c r="R1295" s="31">
        <v>68479.95</v>
      </c>
    </row>
    <row r="1296" s="1" customFormat="1" ht="16.35" hidden="1" customHeight="1" spans="1:18">
      <c r="A1296" s="6" t="s">
        <v>4506</v>
      </c>
      <c r="B1296" s="6">
        <v>2019</v>
      </c>
      <c r="C1296" s="6">
        <v>7</v>
      </c>
      <c r="D1296" s="7">
        <v>19</v>
      </c>
      <c r="E1296" s="6" t="s">
        <v>5431</v>
      </c>
      <c r="F1296" s="6" t="s">
        <v>4508</v>
      </c>
      <c r="G1296" s="6" t="s">
        <v>25</v>
      </c>
      <c r="H1296" s="8"/>
      <c r="I1296" s="8">
        <v>27523</v>
      </c>
      <c r="J1296" s="6" t="s">
        <v>5432</v>
      </c>
      <c r="K1296" s="6" t="s">
        <v>2235</v>
      </c>
      <c r="L1296" s="6" t="s">
        <v>4516</v>
      </c>
      <c r="M1296" s="6" t="s">
        <v>5082</v>
      </c>
      <c r="N1296" s="6" t="s">
        <v>2235</v>
      </c>
      <c r="O1296" s="29">
        <f t="shared" si="28"/>
        <v>27523</v>
      </c>
      <c r="Q1296" s="30" t="s">
        <v>2235</v>
      </c>
      <c r="R1296" s="31">
        <v>28899.15</v>
      </c>
    </row>
    <row r="1297" s="1" customFormat="1" ht="16.35" hidden="1" customHeight="1" spans="1:18">
      <c r="A1297" s="6" t="s">
        <v>4506</v>
      </c>
      <c r="B1297" s="6">
        <v>2019</v>
      </c>
      <c r="C1297" s="6">
        <v>7</v>
      </c>
      <c r="D1297" s="7">
        <v>20</v>
      </c>
      <c r="E1297" s="6" t="s">
        <v>5491</v>
      </c>
      <c r="F1297" s="6" t="s">
        <v>4508</v>
      </c>
      <c r="G1297" s="6" t="s">
        <v>25</v>
      </c>
      <c r="H1297" s="8"/>
      <c r="I1297" s="8">
        <v>9174</v>
      </c>
      <c r="J1297" s="6" t="s">
        <v>5492</v>
      </c>
      <c r="K1297" s="6" t="s">
        <v>2873</v>
      </c>
      <c r="L1297" s="6" t="s">
        <v>4516</v>
      </c>
      <c r="M1297" s="6" t="s">
        <v>5082</v>
      </c>
      <c r="N1297" s="6" t="s">
        <v>2873</v>
      </c>
      <c r="O1297" s="29">
        <f t="shared" si="28"/>
        <v>9174</v>
      </c>
      <c r="Q1297" s="30" t="s">
        <v>2873</v>
      </c>
      <c r="R1297" s="31">
        <v>9632.7</v>
      </c>
    </row>
    <row r="1298" s="1" customFormat="1" ht="16.35" hidden="1" customHeight="1" spans="1:18">
      <c r="A1298" s="6" t="s">
        <v>4506</v>
      </c>
      <c r="B1298" s="6">
        <v>2019</v>
      </c>
      <c r="C1298" s="6">
        <v>7</v>
      </c>
      <c r="D1298" s="7">
        <v>21</v>
      </c>
      <c r="E1298" s="6" t="s">
        <v>5493</v>
      </c>
      <c r="F1298" s="6" t="s">
        <v>4508</v>
      </c>
      <c r="G1298" s="6" t="s">
        <v>25</v>
      </c>
      <c r="H1298" s="8"/>
      <c r="I1298" s="8">
        <v>9174</v>
      </c>
      <c r="J1298" s="6" t="s">
        <v>5494</v>
      </c>
      <c r="K1298" s="6" t="s">
        <v>2889</v>
      </c>
      <c r="L1298" s="6" t="s">
        <v>4516</v>
      </c>
      <c r="M1298" s="6" t="s">
        <v>5082</v>
      </c>
      <c r="N1298" s="6" t="s">
        <v>2889</v>
      </c>
      <c r="O1298" s="29">
        <f t="shared" si="28"/>
        <v>9174</v>
      </c>
      <c r="Q1298" s="30" t="s">
        <v>2889</v>
      </c>
      <c r="R1298" s="31">
        <v>9632.7</v>
      </c>
    </row>
    <row r="1299" s="1" customFormat="1" ht="16.35" hidden="1" customHeight="1" spans="1:18">
      <c r="A1299" s="6" t="s">
        <v>4506</v>
      </c>
      <c r="B1299" s="6">
        <v>2019</v>
      </c>
      <c r="C1299" s="6">
        <v>7</v>
      </c>
      <c r="D1299" s="7">
        <v>22</v>
      </c>
      <c r="E1299" s="6" t="s">
        <v>5495</v>
      </c>
      <c r="F1299" s="6" t="s">
        <v>4508</v>
      </c>
      <c r="G1299" s="6" t="s">
        <v>25</v>
      </c>
      <c r="H1299" s="8"/>
      <c r="I1299" s="8">
        <v>22961</v>
      </c>
      <c r="J1299" s="6" t="s">
        <v>5496</v>
      </c>
      <c r="K1299" s="6" t="s">
        <v>2809</v>
      </c>
      <c r="L1299" s="6" t="s">
        <v>4516</v>
      </c>
      <c r="M1299" s="6" t="s">
        <v>5082</v>
      </c>
      <c r="N1299" s="6" t="s">
        <v>2809</v>
      </c>
      <c r="O1299" s="29">
        <f t="shared" si="28"/>
        <v>22961</v>
      </c>
      <c r="Q1299" s="30" t="s">
        <v>2809</v>
      </c>
      <c r="R1299" s="31">
        <v>24109.05</v>
      </c>
    </row>
    <row r="1300" s="1" customFormat="1" ht="16.35" hidden="1" customHeight="1" spans="1:18">
      <c r="A1300" s="6" t="s">
        <v>4506</v>
      </c>
      <c r="B1300" s="6">
        <v>2019</v>
      </c>
      <c r="C1300" s="6">
        <v>7</v>
      </c>
      <c r="D1300" s="7">
        <v>23</v>
      </c>
      <c r="E1300" s="6" t="s">
        <v>5495</v>
      </c>
      <c r="F1300" s="6" t="s">
        <v>4508</v>
      </c>
      <c r="G1300" s="6" t="s">
        <v>25</v>
      </c>
      <c r="H1300" s="8"/>
      <c r="I1300" s="8">
        <v>4587</v>
      </c>
      <c r="J1300" s="6" t="s">
        <v>5496</v>
      </c>
      <c r="K1300" s="6" t="s">
        <v>2809</v>
      </c>
      <c r="L1300" s="6" t="s">
        <v>4516</v>
      </c>
      <c r="M1300" s="6" t="s">
        <v>5082</v>
      </c>
      <c r="N1300" s="6" t="s">
        <v>2809</v>
      </c>
      <c r="O1300" s="29">
        <f t="shared" si="28"/>
        <v>4587</v>
      </c>
      <c r="Q1300" s="30" t="s">
        <v>2809</v>
      </c>
      <c r="R1300" s="31">
        <v>4816.35</v>
      </c>
    </row>
    <row r="1301" s="1" customFormat="1" ht="16.35" hidden="1" customHeight="1" spans="1:18">
      <c r="A1301" s="6" t="s">
        <v>4506</v>
      </c>
      <c r="B1301" s="6">
        <v>2019</v>
      </c>
      <c r="C1301" s="6">
        <v>7</v>
      </c>
      <c r="D1301" s="7">
        <v>24</v>
      </c>
      <c r="E1301" s="6" t="s">
        <v>5290</v>
      </c>
      <c r="F1301" s="6" t="s">
        <v>4508</v>
      </c>
      <c r="G1301" s="6" t="s">
        <v>25</v>
      </c>
      <c r="H1301" s="8"/>
      <c r="I1301" s="8">
        <v>80734</v>
      </c>
      <c r="J1301" s="6" t="s">
        <v>5291</v>
      </c>
      <c r="K1301" s="6" t="s">
        <v>2186</v>
      </c>
      <c r="L1301" s="6" t="s">
        <v>4516</v>
      </c>
      <c r="M1301" s="6" t="s">
        <v>5082</v>
      </c>
      <c r="N1301" s="6" t="s">
        <v>2186</v>
      </c>
      <c r="O1301" s="29">
        <f t="shared" si="28"/>
        <v>80734</v>
      </c>
      <c r="Q1301" s="30" t="s">
        <v>2186</v>
      </c>
      <c r="R1301" s="31">
        <v>84770.7</v>
      </c>
    </row>
    <row r="1302" s="1" customFormat="1" ht="16.35" hidden="1" customHeight="1" spans="1:18">
      <c r="A1302" s="6" t="s">
        <v>4506</v>
      </c>
      <c r="B1302" s="6">
        <v>2019</v>
      </c>
      <c r="C1302" s="6">
        <v>7</v>
      </c>
      <c r="D1302" s="7">
        <v>25</v>
      </c>
      <c r="E1302" s="6" t="s">
        <v>5443</v>
      </c>
      <c r="F1302" s="6" t="s">
        <v>4508</v>
      </c>
      <c r="G1302" s="6" t="s">
        <v>25</v>
      </c>
      <c r="H1302" s="8"/>
      <c r="I1302" s="8">
        <v>13761</v>
      </c>
      <c r="J1302" s="6" t="s">
        <v>5444</v>
      </c>
      <c r="K1302" s="6" t="s">
        <v>2299</v>
      </c>
      <c r="L1302" s="6" t="s">
        <v>4516</v>
      </c>
      <c r="M1302" s="6" t="s">
        <v>5082</v>
      </c>
      <c r="N1302" s="6" t="s">
        <v>2299</v>
      </c>
      <c r="O1302" s="29">
        <f t="shared" si="28"/>
        <v>13761</v>
      </c>
      <c r="Q1302" s="30" t="s">
        <v>2299</v>
      </c>
      <c r="R1302" s="31">
        <v>14449.05</v>
      </c>
    </row>
    <row r="1303" s="1" customFormat="1" ht="16.35" hidden="1" customHeight="1" spans="1:18">
      <c r="A1303" s="6" t="s">
        <v>4506</v>
      </c>
      <c r="B1303" s="6">
        <v>2019</v>
      </c>
      <c r="C1303" s="6">
        <v>7</v>
      </c>
      <c r="D1303" s="7">
        <v>26</v>
      </c>
      <c r="E1303" s="6" t="s">
        <v>5497</v>
      </c>
      <c r="F1303" s="6" t="s">
        <v>4508</v>
      </c>
      <c r="G1303" s="6" t="s">
        <v>25</v>
      </c>
      <c r="H1303" s="8"/>
      <c r="I1303" s="8">
        <v>40367</v>
      </c>
      <c r="J1303" s="6" t="s">
        <v>5498</v>
      </c>
      <c r="K1303" s="6" t="s">
        <v>2740</v>
      </c>
      <c r="L1303" s="6" t="s">
        <v>4516</v>
      </c>
      <c r="M1303" s="6" t="s">
        <v>5082</v>
      </c>
      <c r="N1303" s="6" t="s">
        <v>2740</v>
      </c>
      <c r="O1303" s="29">
        <f t="shared" si="28"/>
        <v>40367</v>
      </c>
      <c r="Q1303" s="30" t="s">
        <v>2740</v>
      </c>
      <c r="R1303" s="31">
        <v>42385.35</v>
      </c>
    </row>
    <row r="1304" s="1" customFormat="1" ht="16.35" hidden="1" customHeight="1" spans="1:18">
      <c r="A1304" s="6" t="s">
        <v>4506</v>
      </c>
      <c r="B1304" s="6">
        <v>2019</v>
      </c>
      <c r="C1304" s="6">
        <v>7</v>
      </c>
      <c r="D1304" s="7">
        <v>27</v>
      </c>
      <c r="E1304" s="6" t="s">
        <v>5489</v>
      </c>
      <c r="F1304" s="6" t="s">
        <v>4508</v>
      </c>
      <c r="G1304" s="6" t="s">
        <v>25</v>
      </c>
      <c r="H1304" s="8"/>
      <c r="I1304" s="8">
        <v>53424</v>
      </c>
      <c r="J1304" s="6" t="s">
        <v>5490</v>
      </c>
      <c r="K1304" s="6" t="s">
        <v>2219</v>
      </c>
      <c r="L1304" s="6" t="s">
        <v>4516</v>
      </c>
      <c r="M1304" s="6" t="s">
        <v>5082</v>
      </c>
      <c r="N1304" s="6" t="s">
        <v>2219</v>
      </c>
      <c r="O1304" s="29">
        <f t="shared" si="28"/>
        <v>53424</v>
      </c>
      <c r="Q1304" s="30" t="s">
        <v>2219</v>
      </c>
      <c r="R1304" s="31">
        <v>56095.2</v>
      </c>
    </row>
    <row r="1305" s="1" customFormat="1" ht="16.35" hidden="1" customHeight="1" spans="1:18">
      <c r="A1305" s="6" t="s">
        <v>4506</v>
      </c>
      <c r="B1305" s="6">
        <v>2019</v>
      </c>
      <c r="C1305" s="6">
        <v>7</v>
      </c>
      <c r="D1305" s="7">
        <v>28</v>
      </c>
      <c r="E1305" s="6" t="s">
        <v>5499</v>
      </c>
      <c r="F1305" s="6" t="s">
        <v>4508</v>
      </c>
      <c r="G1305" s="6" t="s">
        <v>25</v>
      </c>
      <c r="H1305" s="8"/>
      <c r="I1305" s="8">
        <v>9174</v>
      </c>
      <c r="J1305" s="6" t="s">
        <v>5500</v>
      </c>
      <c r="K1305" s="6" t="s">
        <v>1976</v>
      </c>
      <c r="L1305" s="6" t="s">
        <v>4516</v>
      </c>
      <c r="M1305" s="6" t="s">
        <v>5082</v>
      </c>
      <c r="N1305" s="6" t="s">
        <v>1976</v>
      </c>
      <c r="O1305" s="29">
        <f t="shared" si="28"/>
        <v>9174</v>
      </c>
      <c r="Q1305" s="30" t="s">
        <v>1976</v>
      </c>
      <c r="R1305" s="31">
        <v>9632.7</v>
      </c>
    </row>
    <row r="1306" s="1" customFormat="1" ht="16.35" hidden="1" customHeight="1" spans="1:18">
      <c r="A1306" s="6" t="s">
        <v>4506</v>
      </c>
      <c r="B1306" s="6">
        <v>2019</v>
      </c>
      <c r="C1306" s="6">
        <v>7</v>
      </c>
      <c r="D1306" s="7">
        <v>29</v>
      </c>
      <c r="E1306" s="6" t="s">
        <v>5281</v>
      </c>
      <c r="F1306" s="6" t="s">
        <v>4508</v>
      </c>
      <c r="G1306" s="6" t="s">
        <v>25</v>
      </c>
      <c r="H1306" s="8"/>
      <c r="I1306" s="8">
        <v>174312</v>
      </c>
      <c r="J1306" s="6" t="s">
        <v>5282</v>
      </c>
      <c r="K1306" s="6" t="s">
        <v>2127</v>
      </c>
      <c r="L1306" s="6" t="s">
        <v>4516</v>
      </c>
      <c r="M1306" s="6" t="s">
        <v>5082</v>
      </c>
      <c r="N1306" s="6" t="s">
        <v>2127</v>
      </c>
      <c r="O1306" s="29">
        <f t="shared" si="28"/>
        <v>174312</v>
      </c>
      <c r="Q1306" s="30" t="s">
        <v>2127</v>
      </c>
      <c r="R1306" s="31">
        <v>183027.6</v>
      </c>
    </row>
    <row r="1307" s="1" customFormat="1" ht="16.35" hidden="1" customHeight="1" spans="1:18">
      <c r="A1307" s="6" t="s">
        <v>4506</v>
      </c>
      <c r="B1307" s="6">
        <v>2019</v>
      </c>
      <c r="C1307" s="6">
        <v>7</v>
      </c>
      <c r="D1307" s="7">
        <v>30</v>
      </c>
      <c r="E1307" s="6" t="s">
        <v>5150</v>
      </c>
      <c r="F1307" s="6" t="s">
        <v>4508</v>
      </c>
      <c r="G1307" s="6" t="s">
        <v>25</v>
      </c>
      <c r="H1307" s="8"/>
      <c r="I1307" s="8">
        <v>50459</v>
      </c>
      <c r="J1307" s="6" t="s">
        <v>5108</v>
      </c>
      <c r="K1307" s="6" t="s">
        <v>2169</v>
      </c>
      <c r="L1307" s="6" t="s">
        <v>4516</v>
      </c>
      <c r="M1307" s="6" t="s">
        <v>5082</v>
      </c>
      <c r="N1307" s="6" t="s">
        <v>2169</v>
      </c>
      <c r="O1307" s="29">
        <f t="shared" si="28"/>
        <v>50459</v>
      </c>
      <c r="Q1307" s="30" t="s">
        <v>2169</v>
      </c>
      <c r="R1307" s="31">
        <v>52981.95</v>
      </c>
    </row>
    <row r="1308" s="1" customFormat="1" ht="16.35" hidden="1" customHeight="1" spans="1:18">
      <c r="A1308" s="6" t="s">
        <v>4506</v>
      </c>
      <c r="B1308" s="6">
        <v>2019</v>
      </c>
      <c r="C1308" s="6">
        <v>7</v>
      </c>
      <c r="D1308" s="7">
        <v>31</v>
      </c>
      <c r="E1308" s="6" t="s">
        <v>5501</v>
      </c>
      <c r="F1308" s="6" t="s">
        <v>4508</v>
      </c>
      <c r="G1308" s="6" t="s">
        <v>25</v>
      </c>
      <c r="H1308" s="8"/>
      <c r="I1308" s="8">
        <v>91743</v>
      </c>
      <c r="J1308" s="6" t="s">
        <v>5381</v>
      </c>
      <c r="K1308" s="6" t="s">
        <v>2174</v>
      </c>
      <c r="L1308" s="6" t="s">
        <v>4516</v>
      </c>
      <c r="M1308" s="6" t="s">
        <v>5082</v>
      </c>
      <c r="N1308" s="6" t="s">
        <v>2174</v>
      </c>
      <c r="O1308" s="29">
        <f t="shared" si="28"/>
        <v>91743</v>
      </c>
      <c r="Q1308" s="30" t="s">
        <v>2174</v>
      </c>
      <c r="R1308" s="31">
        <v>91743</v>
      </c>
    </row>
    <row r="1309" s="1" customFormat="1" ht="16.35" hidden="1" customHeight="1" spans="1:18">
      <c r="A1309" s="6" t="s">
        <v>4506</v>
      </c>
      <c r="B1309" s="6">
        <v>2019</v>
      </c>
      <c r="C1309" s="6">
        <v>7</v>
      </c>
      <c r="D1309" s="7">
        <v>32</v>
      </c>
      <c r="E1309" s="6" t="s">
        <v>5337</v>
      </c>
      <c r="F1309" s="6" t="s">
        <v>4508</v>
      </c>
      <c r="G1309" s="6" t="s">
        <v>25</v>
      </c>
      <c r="H1309" s="8"/>
      <c r="I1309" s="8">
        <v>119266</v>
      </c>
      <c r="J1309" s="6" t="s">
        <v>5338</v>
      </c>
      <c r="K1309" s="6" t="s">
        <v>2109</v>
      </c>
      <c r="L1309" s="6" t="s">
        <v>4516</v>
      </c>
      <c r="M1309" s="6" t="s">
        <v>5082</v>
      </c>
      <c r="N1309" s="6" t="s">
        <v>2109</v>
      </c>
      <c r="O1309" s="29">
        <f t="shared" si="28"/>
        <v>119266</v>
      </c>
      <c r="Q1309" s="30" t="s">
        <v>2109</v>
      </c>
      <c r="R1309" s="31">
        <v>125229.3</v>
      </c>
    </row>
    <row r="1310" s="1" customFormat="1" ht="16.35" hidden="1" customHeight="1" spans="1:18">
      <c r="A1310" s="6" t="s">
        <v>4506</v>
      </c>
      <c r="B1310" s="6">
        <v>2019</v>
      </c>
      <c r="C1310" s="6">
        <v>7</v>
      </c>
      <c r="D1310" s="7">
        <v>33</v>
      </c>
      <c r="E1310" s="6" t="s">
        <v>5409</v>
      </c>
      <c r="F1310" s="6" t="s">
        <v>4508</v>
      </c>
      <c r="G1310" s="6" t="s">
        <v>25</v>
      </c>
      <c r="H1310" s="8"/>
      <c r="I1310" s="8">
        <v>146789</v>
      </c>
      <c r="J1310" s="6" t="s">
        <v>5410</v>
      </c>
      <c r="K1310" s="6" t="s">
        <v>2033</v>
      </c>
      <c r="L1310" s="6" t="s">
        <v>4516</v>
      </c>
      <c r="M1310" s="6" t="s">
        <v>5082</v>
      </c>
      <c r="N1310" s="6" t="s">
        <v>2033</v>
      </c>
      <c r="O1310" s="29">
        <f t="shared" si="28"/>
        <v>146789</v>
      </c>
      <c r="Q1310" s="30" t="s">
        <v>2033</v>
      </c>
      <c r="R1310" s="31">
        <v>154128.45</v>
      </c>
    </row>
    <row r="1311" s="1" customFormat="1" ht="16.35" hidden="1" customHeight="1" spans="1:18">
      <c r="A1311" s="6" t="s">
        <v>4506</v>
      </c>
      <c r="B1311" s="6">
        <v>2019</v>
      </c>
      <c r="C1311" s="6">
        <v>7</v>
      </c>
      <c r="D1311" s="7">
        <v>34</v>
      </c>
      <c r="E1311" s="6" t="s">
        <v>5236</v>
      </c>
      <c r="F1311" s="6" t="s">
        <v>4508</v>
      </c>
      <c r="G1311" s="6" t="s">
        <v>25</v>
      </c>
      <c r="H1311" s="8"/>
      <c r="I1311" s="8">
        <v>132110</v>
      </c>
      <c r="J1311" s="6" t="s">
        <v>5237</v>
      </c>
      <c r="K1311" s="6" t="s">
        <v>1948</v>
      </c>
      <c r="L1311" s="6" t="s">
        <v>4516</v>
      </c>
      <c r="M1311" s="6" t="s">
        <v>5082</v>
      </c>
      <c r="N1311" s="6" t="s">
        <v>1948</v>
      </c>
      <c r="O1311" s="29">
        <f t="shared" si="28"/>
        <v>132110</v>
      </c>
      <c r="Q1311" s="30" t="s">
        <v>1948</v>
      </c>
      <c r="R1311" s="31">
        <v>138715.5</v>
      </c>
    </row>
    <row r="1312" s="1" customFormat="1" ht="16.35" hidden="1" customHeight="1" spans="1:18">
      <c r="A1312" s="6" t="s">
        <v>4506</v>
      </c>
      <c r="B1312" s="6">
        <v>2019</v>
      </c>
      <c r="C1312" s="6">
        <v>7</v>
      </c>
      <c r="D1312" s="7">
        <v>35</v>
      </c>
      <c r="E1312" s="6" t="s">
        <v>5407</v>
      </c>
      <c r="F1312" s="6" t="s">
        <v>4508</v>
      </c>
      <c r="G1312" s="6" t="s">
        <v>25</v>
      </c>
      <c r="H1312" s="8"/>
      <c r="I1312" s="8">
        <v>137615</v>
      </c>
      <c r="J1312" s="6" t="s">
        <v>5408</v>
      </c>
      <c r="K1312" s="6" t="s">
        <v>2225</v>
      </c>
      <c r="L1312" s="6" t="s">
        <v>4516</v>
      </c>
      <c r="M1312" s="6" t="s">
        <v>5082</v>
      </c>
      <c r="N1312" s="6" t="s">
        <v>2225</v>
      </c>
      <c r="O1312" s="29">
        <f t="shared" si="28"/>
        <v>137615</v>
      </c>
      <c r="Q1312" s="30" t="s">
        <v>2225</v>
      </c>
      <c r="R1312" s="31">
        <v>144495.75</v>
      </c>
    </row>
    <row r="1313" s="1" customFormat="1" ht="16.35" hidden="1" customHeight="1" spans="1:18">
      <c r="A1313" s="6" t="s">
        <v>4506</v>
      </c>
      <c r="B1313" s="6">
        <v>2019</v>
      </c>
      <c r="C1313" s="6">
        <v>7</v>
      </c>
      <c r="D1313" s="7">
        <v>36</v>
      </c>
      <c r="E1313" s="6" t="s">
        <v>5125</v>
      </c>
      <c r="F1313" s="6" t="s">
        <v>4508</v>
      </c>
      <c r="G1313" s="6" t="s">
        <v>25</v>
      </c>
      <c r="H1313" s="8"/>
      <c r="I1313" s="8">
        <v>131193</v>
      </c>
      <c r="J1313" s="6" t="s">
        <v>5126</v>
      </c>
      <c r="K1313" s="6" t="s">
        <v>1970</v>
      </c>
      <c r="L1313" s="6" t="s">
        <v>4516</v>
      </c>
      <c r="M1313" s="6" t="s">
        <v>5082</v>
      </c>
      <c r="N1313" s="6" t="s">
        <v>1970</v>
      </c>
      <c r="O1313" s="29">
        <f t="shared" si="28"/>
        <v>131193</v>
      </c>
      <c r="Q1313" s="30" t="s">
        <v>1970</v>
      </c>
      <c r="R1313" s="31">
        <v>137752.65</v>
      </c>
    </row>
    <row r="1314" s="1" customFormat="1" ht="16.35" hidden="1" customHeight="1" spans="1:18">
      <c r="A1314" s="6" t="s">
        <v>4506</v>
      </c>
      <c r="B1314" s="6">
        <v>2019</v>
      </c>
      <c r="C1314" s="6">
        <v>7</v>
      </c>
      <c r="D1314" s="7">
        <v>37</v>
      </c>
      <c r="E1314" s="6" t="s">
        <v>5443</v>
      </c>
      <c r="F1314" s="6" t="s">
        <v>4508</v>
      </c>
      <c r="G1314" s="6" t="s">
        <v>25</v>
      </c>
      <c r="H1314" s="8"/>
      <c r="I1314" s="8">
        <v>18349</v>
      </c>
      <c r="J1314" s="6" t="s">
        <v>5444</v>
      </c>
      <c r="K1314" s="6" t="s">
        <v>2299</v>
      </c>
      <c r="L1314" s="6" t="s">
        <v>4516</v>
      </c>
      <c r="M1314" s="6" t="s">
        <v>5082</v>
      </c>
      <c r="N1314" s="6" t="s">
        <v>2299</v>
      </c>
      <c r="O1314" s="29">
        <f t="shared" si="28"/>
        <v>18349</v>
      </c>
      <c r="Q1314" s="30" t="s">
        <v>2299</v>
      </c>
      <c r="R1314" s="31">
        <v>19266.45</v>
      </c>
    </row>
    <row r="1315" s="1" customFormat="1" ht="16.35" hidden="1" customHeight="1" spans="1:18">
      <c r="A1315" s="6" t="s">
        <v>4506</v>
      </c>
      <c r="B1315" s="6">
        <v>2019</v>
      </c>
      <c r="C1315" s="6">
        <v>7</v>
      </c>
      <c r="D1315" s="7">
        <v>38</v>
      </c>
      <c r="E1315" s="6" t="s">
        <v>5449</v>
      </c>
      <c r="F1315" s="6" t="s">
        <v>4508</v>
      </c>
      <c r="G1315" s="6" t="s">
        <v>25</v>
      </c>
      <c r="H1315" s="8"/>
      <c r="I1315" s="8">
        <v>458716</v>
      </c>
      <c r="J1315" s="6" t="s">
        <v>5450</v>
      </c>
      <c r="K1315" s="6" t="s">
        <v>2887</v>
      </c>
      <c r="L1315" s="6" t="s">
        <v>4516</v>
      </c>
      <c r="M1315" s="6" t="s">
        <v>5082</v>
      </c>
      <c r="N1315" s="6" t="s">
        <v>2887</v>
      </c>
      <c r="O1315" s="29">
        <f t="shared" si="28"/>
        <v>458716</v>
      </c>
      <c r="Q1315" s="30" t="s">
        <v>2887</v>
      </c>
      <c r="R1315" s="31">
        <v>481651.8</v>
      </c>
    </row>
    <row r="1316" s="1" customFormat="1" ht="16.35" hidden="1" customHeight="1" spans="1:18">
      <c r="A1316" s="6" t="s">
        <v>4506</v>
      </c>
      <c r="B1316" s="6">
        <v>2019</v>
      </c>
      <c r="C1316" s="6">
        <v>7</v>
      </c>
      <c r="D1316" s="7">
        <v>48</v>
      </c>
      <c r="E1316" s="6" t="s">
        <v>5502</v>
      </c>
      <c r="F1316" s="6" t="s">
        <v>4508</v>
      </c>
      <c r="G1316" s="6" t="s">
        <v>25</v>
      </c>
      <c r="H1316" s="8"/>
      <c r="I1316" s="8">
        <v>-4587</v>
      </c>
      <c r="J1316" s="6" t="s">
        <v>5099</v>
      </c>
      <c r="K1316" s="6" t="s">
        <v>1938</v>
      </c>
      <c r="L1316" s="6" t="s">
        <v>4516</v>
      </c>
      <c r="M1316" s="6" t="s">
        <v>5082</v>
      </c>
      <c r="N1316" s="6" t="s">
        <v>1938</v>
      </c>
      <c r="O1316" s="29">
        <f t="shared" si="28"/>
        <v>-4587</v>
      </c>
      <c r="Q1316" s="30" t="s">
        <v>1938</v>
      </c>
      <c r="R1316" s="31">
        <v>-4587</v>
      </c>
    </row>
    <row r="1317" s="1" customFormat="1" ht="16.35" hidden="1" customHeight="1" spans="1:18">
      <c r="A1317" s="6" t="s">
        <v>4506</v>
      </c>
      <c r="B1317" s="6">
        <v>2019</v>
      </c>
      <c r="C1317" s="6">
        <v>7</v>
      </c>
      <c r="D1317" s="7">
        <v>68</v>
      </c>
      <c r="E1317" s="6" t="s">
        <v>5238</v>
      </c>
      <c r="F1317" s="6" t="s">
        <v>4508</v>
      </c>
      <c r="G1317" s="6" t="s">
        <v>25</v>
      </c>
      <c r="H1317" s="8"/>
      <c r="I1317" s="8">
        <v>18399</v>
      </c>
      <c r="J1317" s="6" t="s">
        <v>5239</v>
      </c>
      <c r="K1317" s="6" t="s">
        <v>2233</v>
      </c>
      <c r="L1317" s="6" t="s">
        <v>4516</v>
      </c>
      <c r="M1317" s="6" t="s">
        <v>5082</v>
      </c>
      <c r="N1317" s="6" t="s">
        <v>2233</v>
      </c>
      <c r="O1317" s="29">
        <f t="shared" si="28"/>
        <v>18399</v>
      </c>
      <c r="Q1317" s="30" t="s">
        <v>2233</v>
      </c>
      <c r="R1317" s="31">
        <v>19318.95</v>
      </c>
    </row>
    <row r="1318" s="1" customFormat="1" ht="16.35" hidden="1" customHeight="1" spans="1:18">
      <c r="A1318" s="6" t="s">
        <v>4506</v>
      </c>
      <c r="B1318" s="6">
        <v>2019</v>
      </c>
      <c r="C1318" s="6">
        <v>7</v>
      </c>
      <c r="D1318" s="7">
        <v>69</v>
      </c>
      <c r="E1318" s="6" t="s">
        <v>5477</v>
      </c>
      <c r="F1318" s="6" t="s">
        <v>4508</v>
      </c>
      <c r="G1318" s="6" t="s">
        <v>25</v>
      </c>
      <c r="H1318" s="8"/>
      <c r="I1318" s="8">
        <v>27523</v>
      </c>
      <c r="J1318" s="6" t="s">
        <v>5478</v>
      </c>
      <c r="K1318" s="6" t="s">
        <v>1996</v>
      </c>
      <c r="L1318" s="6" t="s">
        <v>4516</v>
      </c>
      <c r="M1318" s="6" t="s">
        <v>5082</v>
      </c>
      <c r="N1318" s="6" t="s">
        <v>1996</v>
      </c>
      <c r="O1318" s="29">
        <f t="shared" si="28"/>
        <v>27523</v>
      </c>
      <c r="Q1318" s="30" t="s">
        <v>1996</v>
      </c>
      <c r="R1318" s="31">
        <v>28899.15</v>
      </c>
    </row>
    <row r="1319" s="1" customFormat="1" ht="16.35" hidden="1" customHeight="1" spans="1:18">
      <c r="A1319" s="6" t="s">
        <v>4506</v>
      </c>
      <c r="B1319" s="6">
        <v>2019</v>
      </c>
      <c r="C1319" s="6">
        <v>7</v>
      </c>
      <c r="D1319" s="7">
        <v>70</v>
      </c>
      <c r="E1319" s="6" t="s">
        <v>5503</v>
      </c>
      <c r="F1319" s="6" t="s">
        <v>4508</v>
      </c>
      <c r="G1319" s="6" t="s">
        <v>25</v>
      </c>
      <c r="H1319" s="8"/>
      <c r="I1319" s="8">
        <v>60453</v>
      </c>
      <c r="J1319" s="6" t="s">
        <v>5504</v>
      </c>
      <c r="K1319" s="6" t="s">
        <v>2261</v>
      </c>
      <c r="L1319" s="6" t="s">
        <v>4516</v>
      </c>
      <c r="M1319" s="6" t="s">
        <v>5082</v>
      </c>
      <c r="N1319" s="6" t="s">
        <v>2261</v>
      </c>
      <c r="O1319" s="29">
        <f t="shared" si="28"/>
        <v>60453</v>
      </c>
      <c r="Q1319" s="30" t="s">
        <v>2261</v>
      </c>
      <c r="R1319" s="31">
        <v>63475.65</v>
      </c>
    </row>
    <row r="1320" s="1" customFormat="1" ht="16.35" hidden="1" customHeight="1" spans="1:18">
      <c r="A1320" s="6" t="s">
        <v>4506</v>
      </c>
      <c r="B1320" s="6">
        <v>2019</v>
      </c>
      <c r="C1320" s="6">
        <v>8</v>
      </c>
      <c r="D1320" s="7">
        <v>1</v>
      </c>
      <c r="E1320" s="6" t="s">
        <v>5443</v>
      </c>
      <c r="F1320" s="6" t="s">
        <v>4508</v>
      </c>
      <c r="G1320" s="6" t="s">
        <v>25</v>
      </c>
      <c r="H1320" s="8"/>
      <c r="I1320" s="8">
        <v>9545</v>
      </c>
      <c r="J1320" s="6" t="s">
        <v>5444</v>
      </c>
      <c r="K1320" s="6" t="s">
        <v>2299</v>
      </c>
      <c r="L1320" s="6" t="s">
        <v>4516</v>
      </c>
      <c r="M1320" s="6" t="s">
        <v>5082</v>
      </c>
      <c r="N1320" s="6" t="s">
        <v>2299</v>
      </c>
      <c r="O1320" s="29">
        <f t="shared" si="28"/>
        <v>9545</v>
      </c>
      <c r="Q1320" s="30" t="s">
        <v>2299</v>
      </c>
      <c r="R1320" s="31">
        <v>10022.25</v>
      </c>
    </row>
    <row r="1321" s="1" customFormat="1" ht="16.35" hidden="1" customHeight="1" spans="1:18">
      <c r="A1321" s="6" t="s">
        <v>4506</v>
      </c>
      <c r="B1321" s="6">
        <v>2019</v>
      </c>
      <c r="C1321" s="6">
        <v>8</v>
      </c>
      <c r="D1321" s="7">
        <v>2</v>
      </c>
      <c r="E1321" s="6" t="s">
        <v>5505</v>
      </c>
      <c r="F1321" s="6" t="s">
        <v>4508</v>
      </c>
      <c r="G1321" s="6" t="s">
        <v>25</v>
      </c>
      <c r="H1321" s="8"/>
      <c r="I1321" s="8">
        <v>59279</v>
      </c>
      <c r="J1321" s="6" t="s">
        <v>5506</v>
      </c>
      <c r="K1321" s="6" t="s">
        <v>2253</v>
      </c>
      <c r="L1321" s="6" t="s">
        <v>4516</v>
      </c>
      <c r="M1321" s="6" t="s">
        <v>5082</v>
      </c>
      <c r="N1321" s="6" t="s">
        <v>2253</v>
      </c>
      <c r="O1321" s="29">
        <f t="shared" si="28"/>
        <v>59279</v>
      </c>
      <c r="Q1321" s="30" t="s">
        <v>2253</v>
      </c>
      <c r="R1321" s="31">
        <v>62242.95</v>
      </c>
    </row>
    <row r="1322" s="1" customFormat="1" ht="16.35" hidden="1" customHeight="1" spans="1:18">
      <c r="A1322" s="6" t="s">
        <v>4506</v>
      </c>
      <c r="B1322" s="6">
        <v>2019</v>
      </c>
      <c r="C1322" s="6">
        <v>8</v>
      </c>
      <c r="D1322" s="7">
        <v>3</v>
      </c>
      <c r="E1322" s="6" t="s">
        <v>5507</v>
      </c>
      <c r="F1322" s="6" t="s">
        <v>4508</v>
      </c>
      <c r="G1322" s="6" t="s">
        <v>25</v>
      </c>
      <c r="H1322" s="8"/>
      <c r="I1322" s="8">
        <v>21101</v>
      </c>
      <c r="J1322" s="6" t="s">
        <v>5101</v>
      </c>
      <c r="K1322" s="6" t="s">
        <v>1940</v>
      </c>
      <c r="L1322" s="6" t="s">
        <v>4516</v>
      </c>
      <c r="M1322" s="6" t="s">
        <v>5082</v>
      </c>
      <c r="N1322" s="6" t="s">
        <v>1940</v>
      </c>
      <c r="O1322" s="29">
        <f t="shared" si="28"/>
        <v>21101</v>
      </c>
      <c r="Q1322" s="30" t="s">
        <v>1940</v>
      </c>
      <c r="R1322" s="31">
        <v>21101</v>
      </c>
    </row>
    <row r="1323" s="1" customFormat="1" ht="16.35" hidden="1" customHeight="1" spans="1:18">
      <c r="A1323" s="6" t="s">
        <v>4506</v>
      </c>
      <c r="B1323" s="6">
        <v>2019</v>
      </c>
      <c r="C1323" s="6">
        <v>8</v>
      </c>
      <c r="D1323" s="7">
        <v>4</v>
      </c>
      <c r="E1323" s="6" t="s">
        <v>5508</v>
      </c>
      <c r="F1323" s="6" t="s">
        <v>4508</v>
      </c>
      <c r="G1323" s="6" t="s">
        <v>25</v>
      </c>
      <c r="H1323" s="8"/>
      <c r="I1323" s="8">
        <v>141284</v>
      </c>
      <c r="J1323" s="6" t="s">
        <v>5413</v>
      </c>
      <c r="K1323" s="6" t="s">
        <v>2131</v>
      </c>
      <c r="L1323" s="6" t="s">
        <v>4516</v>
      </c>
      <c r="M1323" s="6" t="s">
        <v>5082</v>
      </c>
      <c r="N1323" s="6" t="s">
        <v>2131</v>
      </c>
      <c r="O1323" s="29">
        <f t="shared" si="28"/>
        <v>141284</v>
      </c>
      <c r="Q1323" s="30" t="s">
        <v>2131</v>
      </c>
      <c r="R1323" s="31">
        <v>148348.2</v>
      </c>
    </row>
    <row r="1324" s="1" customFormat="1" ht="16.35" hidden="1" customHeight="1" spans="1:18">
      <c r="A1324" s="6" t="s">
        <v>4506</v>
      </c>
      <c r="B1324" s="6">
        <v>2019</v>
      </c>
      <c r="C1324" s="6">
        <v>8</v>
      </c>
      <c r="D1324" s="7">
        <v>5</v>
      </c>
      <c r="E1324" s="6" t="s">
        <v>5505</v>
      </c>
      <c r="F1324" s="6" t="s">
        <v>4508</v>
      </c>
      <c r="G1324" s="6" t="s">
        <v>25</v>
      </c>
      <c r="H1324" s="8"/>
      <c r="I1324" s="8">
        <v>1835</v>
      </c>
      <c r="J1324" s="6" t="s">
        <v>5506</v>
      </c>
      <c r="K1324" s="6" t="s">
        <v>2253</v>
      </c>
      <c r="L1324" s="6" t="s">
        <v>4516</v>
      </c>
      <c r="M1324" s="6" t="s">
        <v>5082</v>
      </c>
      <c r="N1324" s="6" t="s">
        <v>2253</v>
      </c>
      <c r="O1324" s="29">
        <f t="shared" si="28"/>
        <v>1835</v>
      </c>
      <c r="Q1324" s="30" t="s">
        <v>2253</v>
      </c>
      <c r="R1324" s="31">
        <v>1926.75</v>
      </c>
    </row>
    <row r="1325" s="1" customFormat="1" ht="16.35" hidden="1" customHeight="1" spans="1:18">
      <c r="A1325" s="6" t="s">
        <v>4506</v>
      </c>
      <c r="B1325" s="6">
        <v>2019</v>
      </c>
      <c r="C1325" s="6">
        <v>8</v>
      </c>
      <c r="D1325" s="7">
        <v>6</v>
      </c>
      <c r="E1325" s="6" t="s">
        <v>5477</v>
      </c>
      <c r="F1325" s="6" t="s">
        <v>4508</v>
      </c>
      <c r="G1325" s="6" t="s">
        <v>25</v>
      </c>
      <c r="H1325" s="8"/>
      <c r="I1325" s="8">
        <v>2362</v>
      </c>
      <c r="J1325" s="6" t="s">
        <v>5478</v>
      </c>
      <c r="K1325" s="6" t="s">
        <v>1996</v>
      </c>
      <c r="L1325" s="6" t="s">
        <v>4516</v>
      </c>
      <c r="M1325" s="6" t="s">
        <v>5082</v>
      </c>
      <c r="N1325" s="6" t="s">
        <v>1996</v>
      </c>
      <c r="O1325" s="29">
        <f t="shared" si="28"/>
        <v>2362</v>
      </c>
      <c r="Q1325" s="30" t="s">
        <v>1996</v>
      </c>
      <c r="R1325" s="31">
        <v>2480.1</v>
      </c>
    </row>
    <row r="1326" s="1" customFormat="1" ht="16.35" hidden="1" customHeight="1" spans="1:18">
      <c r="A1326" s="6" t="s">
        <v>4506</v>
      </c>
      <c r="B1326" s="6">
        <v>2019</v>
      </c>
      <c r="C1326" s="6">
        <v>8</v>
      </c>
      <c r="D1326" s="7">
        <v>7</v>
      </c>
      <c r="E1326" s="6" t="s">
        <v>5509</v>
      </c>
      <c r="F1326" s="6" t="s">
        <v>4508</v>
      </c>
      <c r="G1326" s="6" t="s">
        <v>25</v>
      </c>
      <c r="H1326" s="8"/>
      <c r="I1326" s="8">
        <v>63577</v>
      </c>
      <c r="J1326" s="6" t="s">
        <v>5510</v>
      </c>
      <c r="K1326" s="6" t="s">
        <v>1982</v>
      </c>
      <c r="L1326" s="6" t="s">
        <v>4516</v>
      </c>
      <c r="M1326" s="6" t="s">
        <v>5082</v>
      </c>
      <c r="N1326" s="6" t="s">
        <v>1982</v>
      </c>
      <c r="O1326" s="29">
        <f t="shared" si="28"/>
        <v>63577</v>
      </c>
      <c r="Q1326" s="30" t="s">
        <v>1982</v>
      </c>
      <c r="R1326" s="31">
        <v>66755.85</v>
      </c>
    </row>
    <row r="1327" s="1" customFormat="1" ht="16.35" hidden="1" customHeight="1" spans="1:18">
      <c r="A1327" s="6" t="s">
        <v>4506</v>
      </c>
      <c r="B1327" s="6">
        <v>2019</v>
      </c>
      <c r="C1327" s="6">
        <v>8</v>
      </c>
      <c r="D1327" s="7">
        <v>8</v>
      </c>
      <c r="E1327" s="6" t="s">
        <v>5458</v>
      </c>
      <c r="F1327" s="6" t="s">
        <v>4508</v>
      </c>
      <c r="G1327" s="6" t="s">
        <v>25</v>
      </c>
      <c r="H1327" s="8"/>
      <c r="I1327" s="8">
        <v>56881</v>
      </c>
      <c r="J1327" s="6" t="s">
        <v>5459</v>
      </c>
      <c r="K1327" s="6" t="s">
        <v>2267</v>
      </c>
      <c r="L1327" s="6" t="s">
        <v>4516</v>
      </c>
      <c r="M1327" s="6" t="s">
        <v>5082</v>
      </c>
      <c r="N1327" s="6" t="s">
        <v>2267</v>
      </c>
      <c r="O1327" s="29">
        <f t="shared" si="28"/>
        <v>56881</v>
      </c>
      <c r="Q1327" s="30" t="s">
        <v>2267</v>
      </c>
      <c r="R1327" s="31">
        <v>59725.05</v>
      </c>
    </row>
    <row r="1328" s="1" customFormat="1" ht="16.35" hidden="1" customHeight="1" spans="1:18">
      <c r="A1328" s="6" t="s">
        <v>4506</v>
      </c>
      <c r="B1328" s="6">
        <v>2019</v>
      </c>
      <c r="C1328" s="6">
        <v>8</v>
      </c>
      <c r="D1328" s="7">
        <v>9</v>
      </c>
      <c r="E1328" s="6" t="s">
        <v>5499</v>
      </c>
      <c r="F1328" s="6" t="s">
        <v>4508</v>
      </c>
      <c r="G1328" s="6" t="s">
        <v>25</v>
      </c>
      <c r="H1328" s="8"/>
      <c r="I1328" s="8">
        <v>44910</v>
      </c>
      <c r="J1328" s="6" t="s">
        <v>5500</v>
      </c>
      <c r="K1328" s="6" t="s">
        <v>1976</v>
      </c>
      <c r="L1328" s="6" t="s">
        <v>4516</v>
      </c>
      <c r="M1328" s="6" t="s">
        <v>5082</v>
      </c>
      <c r="N1328" s="6" t="s">
        <v>1976</v>
      </c>
      <c r="O1328" s="29">
        <f t="shared" si="28"/>
        <v>44910</v>
      </c>
      <c r="Q1328" s="30" t="s">
        <v>1976</v>
      </c>
      <c r="R1328" s="31">
        <v>47155.5</v>
      </c>
    </row>
    <row r="1329" s="1" customFormat="1" ht="16.35" hidden="1" customHeight="1" spans="1:18">
      <c r="A1329" s="6" t="s">
        <v>4506</v>
      </c>
      <c r="B1329" s="6">
        <v>2019</v>
      </c>
      <c r="C1329" s="6">
        <v>8</v>
      </c>
      <c r="D1329" s="7">
        <v>10</v>
      </c>
      <c r="E1329" s="6" t="s">
        <v>5341</v>
      </c>
      <c r="F1329" s="6" t="s">
        <v>4508</v>
      </c>
      <c r="G1329" s="6" t="s">
        <v>25</v>
      </c>
      <c r="H1329" s="8"/>
      <c r="I1329" s="8">
        <v>19266</v>
      </c>
      <c r="J1329" s="6" t="s">
        <v>5212</v>
      </c>
      <c r="K1329" s="6" t="s">
        <v>2229</v>
      </c>
      <c r="L1329" s="6" t="s">
        <v>4516</v>
      </c>
      <c r="M1329" s="6" t="s">
        <v>5082</v>
      </c>
      <c r="N1329" s="6" t="s">
        <v>2229</v>
      </c>
      <c r="O1329" s="29">
        <f t="shared" si="28"/>
        <v>19266</v>
      </c>
      <c r="Q1329" s="30" t="s">
        <v>2229</v>
      </c>
      <c r="R1329" s="31">
        <v>20229.3</v>
      </c>
    </row>
    <row r="1330" s="1" customFormat="1" ht="16.35" hidden="1" customHeight="1" spans="1:18">
      <c r="A1330" s="6" t="s">
        <v>4506</v>
      </c>
      <c r="B1330" s="6">
        <v>2019</v>
      </c>
      <c r="C1330" s="6">
        <v>8</v>
      </c>
      <c r="D1330" s="7">
        <v>11</v>
      </c>
      <c r="E1330" s="6" t="s">
        <v>5482</v>
      </c>
      <c r="F1330" s="6" t="s">
        <v>4508</v>
      </c>
      <c r="G1330" s="6" t="s">
        <v>25</v>
      </c>
      <c r="H1330" s="8"/>
      <c r="I1330" s="8">
        <v>138505</v>
      </c>
      <c r="J1330" s="6" t="s">
        <v>5483</v>
      </c>
      <c r="K1330" s="6" t="s">
        <v>2071</v>
      </c>
      <c r="L1330" s="6" t="s">
        <v>4516</v>
      </c>
      <c r="M1330" s="6" t="s">
        <v>5082</v>
      </c>
      <c r="N1330" s="6" t="s">
        <v>2071</v>
      </c>
      <c r="O1330" s="29">
        <f t="shared" si="28"/>
        <v>138505</v>
      </c>
      <c r="Q1330" s="30" t="s">
        <v>2071</v>
      </c>
      <c r="R1330" s="31">
        <v>145430.25</v>
      </c>
    </row>
    <row r="1331" s="1" customFormat="1" ht="16.35" hidden="1" customHeight="1" spans="1:18">
      <c r="A1331" s="6" t="s">
        <v>4506</v>
      </c>
      <c r="B1331" s="6">
        <v>2019</v>
      </c>
      <c r="C1331" s="6">
        <v>8</v>
      </c>
      <c r="D1331" s="7">
        <v>12</v>
      </c>
      <c r="E1331" s="6" t="s">
        <v>5127</v>
      </c>
      <c r="F1331" s="6" t="s">
        <v>4508</v>
      </c>
      <c r="G1331" s="6" t="s">
        <v>25</v>
      </c>
      <c r="H1331" s="8"/>
      <c r="I1331" s="8">
        <v>91743</v>
      </c>
      <c r="J1331" s="6" t="s">
        <v>5128</v>
      </c>
      <c r="K1331" s="6" t="s">
        <v>2293</v>
      </c>
      <c r="L1331" s="6" t="s">
        <v>4516</v>
      </c>
      <c r="M1331" s="6" t="s">
        <v>5082</v>
      </c>
      <c r="N1331" s="6" t="s">
        <v>2293</v>
      </c>
      <c r="O1331" s="29">
        <f t="shared" si="28"/>
        <v>91743</v>
      </c>
      <c r="Q1331" s="30" t="s">
        <v>2293</v>
      </c>
      <c r="R1331" s="31">
        <v>96330.15</v>
      </c>
    </row>
    <row r="1332" s="1" customFormat="1" ht="16.35" hidden="1" customHeight="1" spans="1:18">
      <c r="A1332" s="6" t="s">
        <v>4506</v>
      </c>
      <c r="B1332" s="6">
        <v>2019</v>
      </c>
      <c r="C1332" s="6">
        <v>8</v>
      </c>
      <c r="D1332" s="7">
        <v>13</v>
      </c>
      <c r="E1332" s="6" t="s">
        <v>5511</v>
      </c>
      <c r="F1332" s="6" t="s">
        <v>4508</v>
      </c>
      <c r="G1332" s="6" t="s">
        <v>25</v>
      </c>
      <c r="H1332" s="8"/>
      <c r="I1332" s="8">
        <v>209174</v>
      </c>
      <c r="J1332" s="6" t="s">
        <v>5486</v>
      </c>
      <c r="K1332" s="6" t="s">
        <v>2063</v>
      </c>
      <c r="L1332" s="6" t="s">
        <v>4516</v>
      </c>
      <c r="M1332" s="6" t="s">
        <v>5082</v>
      </c>
      <c r="N1332" s="6" t="s">
        <v>2063</v>
      </c>
      <c r="O1332" s="29">
        <f t="shared" si="28"/>
        <v>209174</v>
      </c>
      <c r="Q1332" s="30" t="s">
        <v>2063</v>
      </c>
      <c r="R1332" s="31">
        <v>219632.7</v>
      </c>
    </row>
    <row r="1333" s="1" customFormat="1" ht="16.35" hidden="1" customHeight="1" spans="1:18">
      <c r="A1333" s="6" t="s">
        <v>4506</v>
      </c>
      <c r="B1333" s="6">
        <v>2019</v>
      </c>
      <c r="C1333" s="6">
        <v>8</v>
      </c>
      <c r="D1333" s="7">
        <v>25</v>
      </c>
      <c r="E1333" s="6" t="s">
        <v>5512</v>
      </c>
      <c r="F1333" s="6" t="s">
        <v>4508</v>
      </c>
      <c r="G1333" s="6" t="s">
        <v>25</v>
      </c>
      <c r="H1333" s="8"/>
      <c r="I1333" s="8">
        <v>-384</v>
      </c>
      <c r="J1333" s="6" t="s">
        <v>3146</v>
      </c>
      <c r="K1333" s="6" t="s">
        <v>479</v>
      </c>
      <c r="L1333" s="6" t="s">
        <v>4510</v>
      </c>
      <c r="M1333" s="6" t="s">
        <v>4511</v>
      </c>
      <c r="N1333" s="6" t="s">
        <v>479</v>
      </c>
      <c r="O1333" s="29">
        <v>-403</v>
      </c>
      <c r="Q1333" s="30" t="s">
        <v>479</v>
      </c>
      <c r="R1333" s="31">
        <v>-403</v>
      </c>
    </row>
    <row r="1334" s="1" customFormat="1" ht="16.35" hidden="1" customHeight="1" spans="1:27">
      <c r="A1334" s="6" t="s">
        <v>4506</v>
      </c>
      <c r="B1334" s="6">
        <v>2019</v>
      </c>
      <c r="C1334" s="6">
        <v>8</v>
      </c>
      <c r="D1334" s="7">
        <v>41</v>
      </c>
      <c r="E1334" s="6" t="s">
        <v>5513</v>
      </c>
      <c r="F1334" s="6" t="s">
        <v>4508</v>
      </c>
      <c r="G1334" s="6" t="s">
        <v>25</v>
      </c>
      <c r="H1334" s="8"/>
      <c r="I1334" s="8">
        <v>203638</v>
      </c>
      <c r="J1334" s="6" t="s">
        <v>4094</v>
      </c>
      <c r="K1334" s="6" t="s">
        <v>5079</v>
      </c>
      <c r="L1334" s="6" t="s">
        <v>4510</v>
      </c>
      <c r="M1334" s="6" t="s">
        <v>4511</v>
      </c>
      <c r="N1334" s="6" t="s">
        <v>5079</v>
      </c>
      <c r="O1334" s="29">
        <f>I1334*1.05</f>
        <v>213819.9</v>
      </c>
      <c r="Q1334" s="30" t="s">
        <v>5079</v>
      </c>
      <c r="R1334" s="31">
        <v>213819.9</v>
      </c>
      <c r="S1334" s="25">
        <v>10182</v>
      </c>
      <c r="T1334"/>
      <c r="U1334"/>
      <c r="V1334"/>
      <c r="W1334"/>
      <c r="X1334"/>
      <c r="Y1334"/>
      <c r="Z1334"/>
      <c r="AA1334"/>
    </row>
    <row r="1335" s="1" customFormat="1" ht="16.35" hidden="1" customHeight="1" spans="1:27">
      <c r="A1335" s="6" t="s">
        <v>4506</v>
      </c>
      <c r="B1335" s="6">
        <v>2019</v>
      </c>
      <c r="C1335" s="6">
        <v>8</v>
      </c>
      <c r="D1335" s="7">
        <v>42</v>
      </c>
      <c r="E1335" s="6" t="s">
        <v>5514</v>
      </c>
      <c r="F1335" s="6" t="s">
        <v>4508</v>
      </c>
      <c r="G1335" s="6" t="s">
        <v>25</v>
      </c>
      <c r="H1335" s="8"/>
      <c r="I1335" s="8">
        <v>41004</v>
      </c>
      <c r="J1335" s="6" t="s">
        <v>5297</v>
      </c>
      <c r="K1335" s="6" t="s">
        <v>2247</v>
      </c>
      <c r="L1335" s="6" t="s">
        <v>4516</v>
      </c>
      <c r="M1335" s="6" t="s">
        <v>5082</v>
      </c>
      <c r="N1335" s="6" t="s">
        <v>2247</v>
      </c>
      <c r="O1335" s="29">
        <f t="shared" ref="O1335:O1366" si="29">I1335</f>
        <v>41004</v>
      </c>
      <c r="Q1335" s="30" t="s">
        <v>2247</v>
      </c>
      <c r="R1335" s="31">
        <v>43054.2</v>
      </c>
      <c r="S1335" s="25">
        <v>10182</v>
      </c>
      <c r="T1335" s="36"/>
      <c r="U1335" s="36"/>
      <c r="V1335" s="37"/>
      <c r="W1335"/>
      <c r="X1335"/>
      <c r="Y1335"/>
      <c r="Z1335"/>
      <c r="AA1335"/>
    </row>
    <row r="1336" s="1" customFormat="1" ht="16.35" hidden="1" customHeight="1" spans="1:27">
      <c r="A1336" s="6" t="s">
        <v>4506</v>
      </c>
      <c r="B1336" s="6">
        <v>2019</v>
      </c>
      <c r="C1336" s="6">
        <v>8</v>
      </c>
      <c r="D1336" s="7">
        <v>43</v>
      </c>
      <c r="E1336" s="6" t="s">
        <v>5515</v>
      </c>
      <c r="F1336" s="6" t="s">
        <v>4508</v>
      </c>
      <c r="G1336" s="6" t="s">
        <v>25</v>
      </c>
      <c r="H1336" s="8"/>
      <c r="I1336" s="8">
        <v>16514</v>
      </c>
      <c r="J1336" s="6" t="s">
        <v>5496</v>
      </c>
      <c r="K1336" s="6" t="s">
        <v>2809</v>
      </c>
      <c r="L1336" s="6" t="s">
        <v>4516</v>
      </c>
      <c r="M1336" s="6" t="s">
        <v>5082</v>
      </c>
      <c r="N1336" s="6" t="s">
        <v>2809</v>
      </c>
      <c r="O1336" s="29">
        <f t="shared" si="29"/>
        <v>16514</v>
      </c>
      <c r="Q1336" s="30" t="s">
        <v>2809</v>
      </c>
      <c r="R1336" s="31">
        <v>17339.7</v>
      </c>
      <c r="S1336" s="37"/>
      <c r="T1336" s="37"/>
      <c r="U1336" s="37"/>
      <c r="V1336" s="37"/>
      <c r="W1336" s="37"/>
      <c r="X1336" s="37"/>
      <c r="Y1336" s="37"/>
      <c r="Z1336" s="37"/>
      <c r="AA1336" s="37"/>
    </row>
    <row r="1337" s="1" customFormat="1" ht="16.35" hidden="1" customHeight="1" spans="1:18">
      <c r="A1337" s="6" t="s">
        <v>4506</v>
      </c>
      <c r="B1337" s="6">
        <v>2019</v>
      </c>
      <c r="C1337" s="6">
        <v>8</v>
      </c>
      <c r="D1337" s="7">
        <v>44</v>
      </c>
      <c r="E1337" s="6" t="s">
        <v>5514</v>
      </c>
      <c r="F1337" s="6" t="s">
        <v>4508</v>
      </c>
      <c r="G1337" s="6" t="s">
        <v>25</v>
      </c>
      <c r="H1337" s="8"/>
      <c r="I1337" s="8">
        <v>9174</v>
      </c>
      <c r="J1337" s="6" t="s">
        <v>5297</v>
      </c>
      <c r="K1337" s="6" t="s">
        <v>2247</v>
      </c>
      <c r="L1337" s="6" t="s">
        <v>4516</v>
      </c>
      <c r="M1337" s="6" t="s">
        <v>5082</v>
      </c>
      <c r="N1337" s="6" t="s">
        <v>2247</v>
      </c>
      <c r="O1337" s="29">
        <f t="shared" si="29"/>
        <v>9174</v>
      </c>
      <c r="Q1337" s="30" t="s">
        <v>2247</v>
      </c>
      <c r="R1337" s="31">
        <v>9632.7</v>
      </c>
    </row>
    <row r="1338" s="1" customFormat="1" ht="16.35" hidden="1" customHeight="1" spans="1:18">
      <c r="A1338" s="6" t="s">
        <v>4506</v>
      </c>
      <c r="B1338" s="6">
        <v>2019</v>
      </c>
      <c r="C1338" s="6">
        <v>8</v>
      </c>
      <c r="D1338" s="7">
        <v>45</v>
      </c>
      <c r="E1338" s="6" t="s">
        <v>5362</v>
      </c>
      <c r="F1338" s="6" t="s">
        <v>4508</v>
      </c>
      <c r="G1338" s="6" t="s">
        <v>25</v>
      </c>
      <c r="H1338" s="8"/>
      <c r="I1338" s="8">
        <v>9174</v>
      </c>
      <c r="J1338" s="6" t="s">
        <v>5363</v>
      </c>
      <c r="K1338" s="6" t="s">
        <v>2053</v>
      </c>
      <c r="L1338" s="6" t="s">
        <v>4516</v>
      </c>
      <c r="M1338" s="6" t="s">
        <v>5082</v>
      </c>
      <c r="N1338" s="6" t="s">
        <v>2053</v>
      </c>
      <c r="O1338" s="29">
        <f t="shared" si="29"/>
        <v>9174</v>
      </c>
      <c r="Q1338" s="30" t="s">
        <v>2053</v>
      </c>
      <c r="R1338" s="31">
        <v>9632.7</v>
      </c>
    </row>
    <row r="1339" s="1" customFormat="1" ht="16.35" hidden="1" customHeight="1" spans="1:18">
      <c r="A1339" s="6" t="s">
        <v>4506</v>
      </c>
      <c r="B1339" s="6">
        <v>2019</v>
      </c>
      <c r="C1339" s="6">
        <v>8</v>
      </c>
      <c r="D1339" s="7">
        <v>46</v>
      </c>
      <c r="E1339" s="6" t="s">
        <v>5516</v>
      </c>
      <c r="F1339" s="6" t="s">
        <v>4508</v>
      </c>
      <c r="G1339" s="6" t="s">
        <v>25</v>
      </c>
      <c r="H1339" s="8"/>
      <c r="I1339" s="8">
        <v>1229</v>
      </c>
      <c r="J1339" s="6" t="s">
        <v>5235</v>
      </c>
      <c r="K1339" s="6" t="s">
        <v>2059</v>
      </c>
      <c r="L1339" s="6" t="s">
        <v>4516</v>
      </c>
      <c r="M1339" s="6" t="s">
        <v>5082</v>
      </c>
      <c r="N1339" s="6" t="s">
        <v>2059</v>
      </c>
      <c r="O1339" s="29">
        <f t="shared" si="29"/>
        <v>1229</v>
      </c>
      <c r="Q1339" s="30" t="s">
        <v>2059</v>
      </c>
      <c r="R1339" s="31">
        <v>1290.45</v>
      </c>
    </row>
    <row r="1340" s="1" customFormat="1" ht="16.35" hidden="1" customHeight="1" spans="1:18">
      <c r="A1340" s="6" t="s">
        <v>4506</v>
      </c>
      <c r="B1340" s="6">
        <v>2019</v>
      </c>
      <c r="C1340" s="6">
        <v>8</v>
      </c>
      <c r="D1340" s="7">
        <v>47</v>
      </c>
      <c r="E1340" s="6" t="s">
        <v>5175</v>
      </c>
      <c r="F1340" s="6" t="s">
        <v>4508</v>
      </c>
      <c r="G1340" s="6" t="s">
        <v>25</v>
      </c>
      <c r="H1340" s="8"/>
      <c r="I1340" s="8">
        <v>15852</v>
      </c>
      <c r="J1340" s="6" t="s">
        <v>5176</v>
      </c>
      <c r="K1340" s="6" t="s">
        <v>2145</v>
      </c>
      <c r="L1340" s="6" t="s">
        <v>4516</v>
      </c>
      <c r="M1340" s="6" t="s">
        <v>5082</v>
      </c>
      <c r="N1340" s="6" t="s">
        <v>2145</v>
      </c>
      <c r="O1340" s="29">
        <f t="shared" si="29"/>
        <v>15852</v>
      </c>
      <c r="Q1340" s="30" t="s">
        <v>2145</v>
      </c>
      <c r="R1340" s="31">
        <v>16644.6</v>
      </c>
    </row>
    <row r="1341" s="1" customFormat="1" ht="16.35" hidden="1" customHeight="1" spans="1:18">
      <c r="A1341" s="6" t="s">
        <v>4506</v>
      </c>
      <c r="B1341" s="6">
        <v>2019</v>
      </c>
      <c r="C1341" s="6">
        <v>8</v>
      </c>
      <c r="D1341" s="7">
        <v>48</v>
      </c>
      <c r="E1341" s="6" t="s">
        <v>5517</v>
      </c>
      <c r="F1341" s="6" t="s">
        <v>4508</v>
      </c>
      <c r="G1341" s="6" t="s">
        <v>25</v>
      </c>
      <c r="H1341" s="8"/>
      <c r="I1341" s="8">
        <v>4587</v>
      </c>
      <c r="J1341" s="6" t="s">
        <v>5518</v>
      </c>
      <c r="K1341" s="6" t="s">
        <v>2275</v>
      </c>
      <c r="L1341" s="6" t="s">
        <v>4516</v>
      </c>
      <c r="M1341" s="6" t="s">
        <v>5082</v>
      </c>
      <c r="N1341" s="6" t="s">
        <v>2275</v>
      </c>
      <c r="O1341" s="29">
        <f t="shared" si="29"/>
        <v>4587</v>
      </c>
      <c r="Q1341" s="30" t="s">
        <v>2275</v>
      </c>
      <c r="R1341" s="31">
        <v>4816.35</v>
      </c>
    </row>
    <row r="1342" s="1" customFormat="1" ht="16.35" hidden="1" customHeight="1" spans="1:18">
      <c r="A1342" s="6" t="s">
        <v>4506</v>
      </c>
      <c r="B1342" s="6">
        <v>2019</v>
      </c>
      <c r="C1342" s="6">
        <v>8</v>
      </c>
      <c r="D1342" s="7">
        <v>49</v>
      </c>
      <c r="E1342" s="6" t="s">
        <v>5150</v>
      </c>
      <c r="F1342" s="6" t="s">
        <v>4508</v>
      </c>
      <c r="G1342" s="6" t="s">
        <v>25</v>
      </c>
      <c r="H1342" s="8"/>
      <c r="I1342" s="8">
        <v>20599</v>
      </c>
      <c r="J1342" s="6" t="s">
        <v>5108</v>
      </c>
      <c r="K1342" s="6" t="s">
        <v>2169</v>
      </c>
      <c r="L1342" s="6" t="s">
        <v>4516</v>
      </c>
      <c r="M1342" s="6" t="s">
        <v>5082</v>
      </c>
      <c r="N1342" s="6" t="s">
        <v>2169</v>
      </c>
      <c r="O1342" s="29">
        <f t="shared" si="29"/>
        <v>20599</v>
      </c>
      <c r="Q1342" s="30" t="s">
        <v>2169</v>
      </c>
      <c r="R1342" s="31">
        <v>21628.95</v>
      </c>
    </row>
    <row r="1343" s="1" customFormat="1" ht="16.35" hidden="1" customHeight="1" spans="1:18">
      <c r="A1343" s="6" t="s">
        <v>4506</v>
      </c>
      <c r="B1343" s="6">
        <v>2019</v>
      </c>
      <c r="C1343" s="6">
        <v>8</v>
      </c>
      <c r="D1343" s="7">
        <v>50</v>
      </c>
      <c r="E1343" s="6" t="s">
        <v>5306</v>
      </c>
      <c r="F1343" s="6" t="s">
        <v>4508</v>
      </c>
      <c r="G1343" s="6" t="s">
        <v>25</v>
      </c>
      <c r="H1343" s="8"/>
      <c r="I1343" s="8">
        <v>9174</v>
      </c>
      <c r="J1343" s="6" t="s">
        <v>5307</v>
      </c>
      <c r="K1343" s="6" t="s">
        <v>2211</v>
      </c>
      <c r="L1343" s="6" t="s">
        <v>4516</v>
      </c>
      <c r="M1343" s="6" t="s">
        <v>5082</v>
      </c>
      <c r="N1343" s="6" t="s">
        <v>2211</v>
      </c>
      <c r="O1343" s="29">
        <f t="shared" si="29"/>
        <v>9174</v>
      </c>
      <c r="Q1343" s="30" t="s">
        <v>2211</v>
      </c>
      <c r="R1343" s="31">
        <v>9632.7</v>
      </c>
    </row>
    <row r="1344" s="1" customFormat="1" ht="16.35" hidden="1" customHeight="1" spans="1:18">
      <c r="A1344" s="6" t="s">
        <v>4506</v>
      </c>
      <c r="B1344" s="6">
        <v>2019</v>
      </c>
      <c r="C1344" s="6">
        <v>8</v>
      </c>
      <c r="D1344" s="7">
        <v>51</v>
      </c>
      <c r="E1344" s="6" t="s">
        <v>5519</v>
      </c>
      <c r="F1344" s="6" t="s">
        <v>4508</v>
      </c>
      <c r="G1344" s="6" t="s">
        <v>25</v>
      </c>
      <c r="H1344" s="8"/>
      <c r="I1344" s="8">
        <v>61927</v>
      </c>
      <c r="J1344" s="6" t="s">
        <v>5204</v>
      </c>
      <c r="K1344" s="6" t="s">
        <v>2744</v>
      </c>
      <c r="L1344" s="6" t="s">
        <v>4516</v>
      </c>
      <c r="M1344" s="6" t="s">
        <v>5082</v>
      </c>
      <c r="N1344" s="6" t="s">
        <v>2744</v>
      </c>
      <c r="O1344" s="29">
        <f t="shared" si="29"/>
        <v>61927</v>
      </c>
      <c r="Q1344" s="30" t="s">
        <v>2744</v>
      </c>
      <c r="R1344" s="31">
        <v>65023.35</v>
      </c>
    </row>
    <row r="1345" s="1" customFormat="1" ht="16.35" hidden="1" customHeight="1" spans="1:18">
      <c r="A1345" s="6" t="s">
        <v>4506</v>
      </c>
      <c r="B1345" s="6">
        <v>2019</v>
      </c>
      <c r="C1345" s="6">
        <v>8</v>
      </c>
      <c r="D1345" s="7">
        <v>52</v>
      </c>
      <c r="E1345" s="6" t="s">
        <v>5520</v>
      </c>
      <c r="F1345" s="6" t="s">
        <v>4508</v>
      </c>
      <c r="G1345" s="6" t="s">
        <v>25</v>
      </c>
      <c r="H1345" s="8"/>
      <c r="I1345" s="8">
        <v>77982</v>
      </c>
      <c r="J1345" s="6" t="s">
        <v>5132</v>
      </c>
      <c r="K1345" s="6" t="s">
        <v>2139</v>
      </c>
      <c r="L1345" s="6" t="s">
        <v>4516</v>
      </c>
      <c r="M1345" s="6" t="s">
        <v>5082</v>
      </c>
      <c r="N1345" s="6" t="s">
        <v>2139</v>
      </c>
      <c r="O1345" s="29">
        <f t="shared" si="29"/>
        <v>77982</v>
      </c>
      <c r="Q1345" s="30" t="s">
        <v>2139</v>
      </c>
      <c r="R1345" s="31">
        <v>81881.1</v>
      </c>
    </row>
    <row r="1346" s="1" customFormat="1" ht="16.35" hidden="1" customHeight="1" spans="1:18">
      <c r="A1346" s="6" t="s">
        <v>4506</v>
      </c>
      <c r="B1346" s="6">
        <v>2019</v>
      </c>
      <c r="C1346" s="6">
        <v>8</v>
      </c>
      <c r="D1346" s="7">
        <v>53</v>
      </c>
      <c r="E1346" s="6" t="s">
        <v>5521</v>
      </c>
      <c r="F1346" s="6" t="s">
        <v>4508</v>
      </c>
      <c r="G1346" s="6" t="s">
        <v>25</v>
      </c>
      <c r="H1346" s="8"/>
      <c r="I1346" s="8">
        <v>91743</v>
      </c>
      <c r="J1346" s="6" t="s">
        <v>4102</v>
      </c>
      <c r="K1346" s="6" t="s">
        <v>2005</v>
      </c>
      <c r="L1346" s="6" t="s">
        <v>4516</v>
      </c>
      <c r="M1346" s="6" t="s">
        <v>5082</v>
      </c>
      <c r="N1346" s="6" t="s">
        <v>2005</v>
      </c>
      <c r="O1346" s="29">
        <f t="shared" si="29"/>
        <v>91743</v>
      </c>
      <c r="Q1346" s="30" t="s">
        <v>2005</v>
      </c>
      <c r="R1346" s="31">
        <v>96330.15</v>
      </c>
    </row>
    <row r="1347" s="1" customFormat="1" ht="16.35" hidden="1" customHeight="1" spans="1:18">
      <c r="A1347" s="6" t="s">
        <v>4506</v>
      </c>
      <c r="B1347" s="6">
        <v>2019</v>
      </c>
      <c r="C1347" s="6">
        <v>8</v>
      </c>
      <c r="D1347" s="7">
        <v>54</v>
      </c>
      <c r="E1347" s="6" t="s">
        <v>5522</v>
      </c>
      <c r="F1347" s="6" t="s">
        <v>4508</v>
      </c>
      <c r="G1347" s="6" t="s">
        <v>25</v>
      </c>
      <c r="H1347" s="8"/>
      <c r="I1347" s="8">
        <v>137615</v>
      </c>
      <c r="J1347" s="6" t="s">
        <v>5442</v>
      </c>
      <c r="K1347" s="6" t="s">
        <v>2019</v>
      </c>
      <c r="L1347" s="6" t="s">
        <v>4516</v>
      </c>
      <c r="M1347" s="6" t="s">
        <v>5082</v>
      </c>
      <c r="N1347" s="6" t="s">
        <v>2019</v>
      </c>
      <c r="O1347" s="29">
        <f t="shared" si="29"/>
        <v>137615</v>
      </c>
      <c r="Q1347" s="30" t="s">
        <v>2019</v>
      </c>
      <c r="R1347" s="31">
        <v>144495.75</v>
      </c>
    </row>
    <row r="1348" s="1" customFormat="1" ht="16.35" hidden="1" customHeight="1" spans="1:18">
      <c r="A1348" s="6" t="s">
        <v>4506</v>
      </c>
      <c r="B1348" s="6">
        <v>2019</v>
      </c>
      <c r="C1348" s="6">
        <v>8</v>
      </c>
      <c r="D1348" s="7">
        <v>55</v>
      </c>
      <c r="E1348" s="6" t="s">
        <v>5523</v>
      </c>
      <c r="F1348" s="6" t="s">
        <v>4508</v>
      </c>
      <c r="G1348" s="6" t="s">
        <v>25</v>
      </c>
      <c r="H1348" s="8"/>
      <c r="I1348" s="8">
        <v>119266</v>
      </c>
      <c r="J1348" s="6" t="s">
        <v>5218</v>
      </c>
      <c r="K1348" s="6" t="s">
        <v>1998</v>
      </c>
      <c r="L1348" s="6" t="s">
        <v>4516</v>
      </c>
      <c r="M1348" s="6" t="s">
        <v>5082</v>
      </c>
      <c r="N1348" s="6" t="s">
        <v>1998</v>
      </c>
      <c r="O1348" s="29">
        <f t="shared" si="29"/>
        <v>119266</v>
      </c>
      <c r="Q1348" s="30" t="s">
        <v>1998</v>
      </c>
      <c r="R1348" s="31">
        <v>125229.3</v>
      </c>
    </row>
    <row r="1349" s="1" customFormat="1" ht="16.35" hidden="1" customHeight="1" spans="1:18">
      <c r="A1349" s="6" t="s">
        <v>4506</v>
      </c>
      <c r="B1349" s="6">
        <v>2019</v>
      </c>
      <c r="C1349" s="6">
        <v>8</v>
      </c>
      <c r="D1349" s="7">
        <v>58</v>
      </c>
      <c r="E1349" s="6" t="s">
        <v>5524</v>
      </c>
      <c r="F1349" s="6" t="s">
        <v>4508</v>
      </c>
      <c r="G1349" s="6" t="s">
        <v>25</v>
      </c>
      <c r="H1349" s="8"/>
      <c r="I1349" s="8">
        <v>91743</v>
      </c>
      <c r="J1349" s="6" t="s">
        <v>5415</v>
      </c>
      <c r="K1349" s="6" t="s">
        <v>2206</v>
      </c>
      <c r="L1349" s="6" t="s">
        <v>4516</v>
      </c>
      <c r="M1349" s="6" t="s">
        <v>5082</v>
      </c>
      <c r="N1349" s="6" t="s">
        <v>2206</v>
      </c>
      <c r="O1349" s="29">
        <f t="shared" si="29"/>
        <v>91743</v>
      </c>
      <c r="Q1349" s="30" t="s">
        <v>2206</v>
      </c>
      <c r="R1349" s="31">
        <v>96330.15</v>
      </c>
    </row>
    <row r="1350" s="1" customFormat="1" ht="16.35" hidden="1" customHeight="1" spans="1:18">
      <c r="A1350" s="6" t="s">
        <v>4506</v>
      </c>
      <c r="B1350" s="6">
        <v>2019</v>
      </c>
      <c r="C1350" s="6">
        <v>8</v>
      </c>
      <c r="D1350" s="7">
        <v>59</v>
      </c>
      <c r="E1350" s="6" t="s">
        <v>5525</v>
      </c>
      <c r="F1350" s="6" t="s">
        <v>4508</v>
      </c>
      <c r="G1350" s="6" t="s">
        <v>25</v>
      </c>
      <c r="H1350" s="8"/>
      <c r="I1350" s="8">
        <v>148624</v>
      </c>
      <c r="J1350" s="6" t="s">
        <v>5307</v>
      </c>
      <c r="K1350" s="6" t="s">
        <v>2211</v>
      </c>
      <c r="L1350" s="6" t="s">
        <v>4516</v>
      </c>
      <c r="M1350" s="6" t="s">
        <v>5082</v>
      </c>
      <c r="N1350" s="6" t="s">
        <v>2211</v>
      </c>
      <c r="O1350" s="29">
        <f t="shared" si="29"/>
        <v>148624</v>
      </c>
      <c r="Q1350" s="30" t="s">
        <v>2211</v>
      </c>
      <c r="R1350" s="31">
        <v>156055.2</v>
      </c>
    </row>
    <row r="1351" s="1" customFormat="1" ht="16.35" hidden="1" customHeight="1" spans="1:18">
      <c r="A1351" s="6" t="s">
        <v>4506</v>
      </c>
      <c r="B1351" s="6">
        <v>2019</v>
      </c>
      <c r="C1351" s="6">
        <v>8</v>
      </c>
      <c r="D1351" s="7">
        <v>60</v>
      </c>
      <c r="E1351" s="6" t="s">
        <v>5526</v>
      </c>
      <c r="F1351" s="6" t="s">
        <v>4508</v>
      </c>
      <c r="G1351" s="6" t="s">
        <v>25</v>
      </c>
      <c r="H1351" s="8"/>
      <c r="I1351" s="8">
        <v>128440</v>
      </c>
      <c r="J1351" s="6" t="s">
        <v>5143</v>
      </c>
      <c r="K1351" s="6" t="s">
        <v>2227</v>
      </c>
      <c r="L1351" s="6" t="s">
        <v>4516</v>
      </c>
      <c r="M1351" s="6" t="s">
        <v>5082</v>
      </c>
      <c r="N1351" s="6" t="s">
        <v>2227</v>
      </c>
      <c r="O1351" s="29">
        <f t="shared" si="29"/>
        <v>128440</v>
      </c>
      <c r="Q1351" s="30" t="s">
        <v>2227</v>
      </c>
      <c r="R1351" s="31">
        <v>134862</v>
      </c>
    </row>
    <row r="1352" s="1" customFormat="1" ht="16.35" hidden="1" customHeight="1" spans="1:18">
      <c r="A1352" s="6" t="s">
        <v>4506</v>
      </c>
      <c r="B1352" s="6">
        <v>2019</v>
      </c>
      <c r="C1352" s="6">
        <v>8</v>
      </c>
      <c r="D1352" s="7">
        <v>61</v>
      </c>
      <c r="E1352" s="6" t="s">
        <v>5527</v>
      </c>
      <c r="F1352" s="6" t="s">
        <v>4508</v>
      </c>
      <c r="G1352" s="6" t="s">
        <v>25</v>
      </c>
      <c r="H1352" s="8"/>
      <c r="I1352" s="8">
        <v>137615</v>
      </c>
      <c r="J1352" s="6" t="s">
        <v>5260</v>
      </c>
      <c r="K1352" s="6" t="s">
        <v>1946</v>
      </c>
      <c r="L1352" s="6" t="s">
        <v>4516</v>
      </c>
      <c r="M1352" s="6" t="s">
        <v>5082</v>
      </c>
      <c r="N1352" s="6" t="s">
        <v>1946</v>
      </c>
      <c r="O1352" s="29">
        <f t="shared" si="29"/>
        <v>137615</v>
      </c>
      <c r="Q1352" s="30" t="s">
        <v>1946</v>
      </c>
      <c r="R1352" s="31">
        <v>144495.75</v>
      </c>
    </row>
    <row r="1353" s="1" customFormat="1" ht="16.35" hidden="1" customHeight="1" spans="1:18">
      <c r="A1353" s="6" t="s">
        <v>4506</v>
      </c>
      <c r="B1353" s="6">
        <v>2019</v>
      </c>
      <c r="C1353" s="6">
        <v>9</v>
      </c>
      <c r="D1353" s="7">
        <v>1</v>
      </c>
      <c r="E1353" s="6" t="s">
        <v>5495</v>
      </c>
      <c r="F1353" s="6" t="s">
        <v>4508</v>
      </c>
      <c r="G1353" s="6" t="s">
        <v>25</v>
      </c>
      <c r="H1353" s="8"/>
      <c r="I1353" s="8">
        <v>6147</v>
      </c>
      <c r="J1353" s="6" t="s">
        <v>5496</v>
      </c>
      <c r="K1353" s="6" t="s">
        <v>2809</v>
      </c>
      <c r="L1353" s="6" t="s">
        <v>4516</v>
      </c>
      <c r="M1353" s="6" t="s">
        <v>5082</v>
      </c>
      <c r="N1353" s="6" t="s">
        <v>2809</v>
      </c>
      <c r="O1353" s="29">
        <f t="shared" si="29"/>
        <v>6147</v>
      </c>
      <c r="Q1353" s="30" t="s">
        <v>2809</v>
      </c>
      <c r="R1353" s="31">
        <v>6454.35</v>
      </c>
    </row>
    <row r="1354" s="1" customFormat="1" ht="16.35" hidden="1" customHeight="1" spans="1:18">
      <c r="A1354" s="6" t="s">
        <v>4506</v>
      </c>
      <c r="B1354" s="6">
        <v>2019</v>
      </c>
      <c r="C1354" s="6">
        <v>9</v>
      </c>
      <c r="D1354" s="7">
        <v>2</v>
      </c>
      <c r="E1354" s="6" t="s">
        <v>5495</v>
      </c>
      <c r="F1354" s="6" t="s">
        <v>4508</v>
      </c>
      <c r="G1354" s="6" t="s">
        <v>25</v>
      </c>
      <c r="H1354" s="8"/>
      <c r="I1354" s="8">
        <v>15596</v>
      </c>
      <c r="J1354" s="6" t="s">
        <v>5496</v>
      </c>
      <c r="K1354" s="6" t="s">
        <v>2809</v>
      </c>
      <c r="L1354" s="6" t="s">
        <v>4516</v>
      </c>
      <c r="M1354" s="6" t="s">
        <v>5082</v>
      </c>
      <c r="N1354" s="6" t="s">
        <v>2809</v>
      </c>
      <c r="O1354" s="29">
        <f t="shared" si="29"/>
        <v>15596</v>
      </c>
      <c r="Q1354" s="30" t="s">
        <v>2809</v>
      </c>
      <c r="R1354" s="31">
        <v>16375.8</v>
      </c>
    </row>
    <row r="1355" s="1" customFormat="1" ht="16.35" hidden="1" customHeight="1" spans="1:18">
      <c r="A1355" s="6" t="s">
        <v>4506</v>
      </c>
      <c r="B1355" s="6">
        <v>2019</v>
      </c>
      <c r="C1355" s="6">
        <v>9</v>
      </c>
      <c r="D1355" s="7">
        <v>3</v>
      </c>
      <c r="E1355" s="6" t="s">
        <v>5201</v>
      </c>
      <c r="F1355" s="6" t="s">
        <v>4508</v>
      </c>
      <c r="G1355" s="6" t="s">
        <v>25</v>
      </c>
      <c r="H1355" s="8"/>
      <c r="I1355" s="8">
        <v>45847</v>
      </c>
      <c r="J1355" s="6" t="s">
        <v>5202</v>
      </c>
      <c r="K1355" s="6" t="s">
        <v>2113</v>
      </c>
      <c r="L1355" s="6" t="s">
        <v>4516</v>
      </c>
      <c r="M1355" s="6" t="s">
        <v>5082</v>
      </c>
      <c r="N1355" s="6" t="s">
        <v>2113</v>
      </c>
      <c r="O1355" s="29">
        <f t="shared" si="29"/>
        <v>45847</v>
      </c>
      <c r="Q1355" s="30" t="s">
        <v>2113</v>
      </c>
      <c r="R1355" s="31">
        <v>48139.35</v>
      </c>
    </row>
    <row r="1356" s="1" customFormat="1" ht="16.35" hidden="1" customHeight="1" spans="1:18">
      <c r="A1356" s="6" t="s">
        <v>4506</v>
      </c>
      <c r="B1356" s="6">
        <v>2019</v>
      </c>
      <c r="C1356" s="6">
        <v>9</v>
      </c>
      <c r="D1356" s="7">
        <v>4</v>
      </c>
      <c r="E1356" s="6" t="s">
        <v>5270</v>
      </c>
      <c r="F1356" s="6" t="s">
        <v>4508</v>
      </c>
      <c r="G1356" s="6" t="s">
        <v>25</v>
      </c>
      <c r="H1356" s="8"/>
      <c r="I1356" s="8">
        <v>91743</v>
      </c>
      <c r="J1356" s="6" t="s">
        <v>5271</v>
      </c>
      <c r="K1356" s="6" t="s">
        <v>2778</v>
      </c>
      <c r="L1356" s="6" t="s">
        <v>4516</v>
      </c>
      <c r="M1356" s="6" t="s">
        <v>5082</v>
      </c>
      <c r="N1356" s="6" t="s">
        <v>2778</v>
      </c>
      <c r="O1356" s="29">
        <f t="shared" si="29"/>
        <v>91743</v>
      </c>
      <c r="Q1356" s="30" t="s">
        <v>2778</v>
      </c>
      <c r="R1356" s="31">
        <v>96330.15</v>
      </c>
    </row>
    <row r="1357" s="1" customFormat="1" ht="16.35" hidden="1" customHeight="1" spans="1:18">
      <c r="A1357" s="6" t="s">
        <v>4506</v>
      </c>
      <c r="B1357" s="6">
        <v>2019</v>
      </c>
      <c r="C1357" s="6">
        <v>9</v>
      </c>
      <c r="D1357" s="7">
        <v>5</v>
      </c>
      <c r="E1357" s="6" t="s">
        <v>5343</v>
      </c>
      <c r="F1357" s="6" t="s">
        <v>4508</v>
      </c>
      <c r="G1357" s="6" t="s">
        <v>25</v>
      </c>
      <c r="H1357" s="8"/>
      <c r="I1357" s="8">
        <v>3670</v>
      </c>
      <c r="J1357" s="6" t="s">
        <v>5092</v>
      </c>
      <c r="K1357" s="6" t="s">
        <v>2095</v>
      </c>
      <c r="L1357" s="6" t="s">
        <v>4516</v>
      </c>
      <c r="M1357" s="6" t="s">
        <v>5082</v>
      </c>
      <c r="N1357" s="6" t="s">
        <v>2095</v>
      </c>
      <c r="O1357" s="29">
        <f t="shared" si="29"/>
        <v>3670</v>
      </c>
      <c r="Q1357" s="30" t="s">
        <v>2095</v>
      </c>
      <c r="R1357" s="31">
        <v>3853.5</v>
      </c>
    </row>
    <row r="1358" s="1" customFormat="1" ht="16.35" hidden="1" customHeight="1" spans="1:18">
      <c r="A1358" s="6" t="s">
        <v>4506</v>
      </c>
      <c r="B1358" s="6">
        <v>2019</v>
      </c>
      <c r="C1358" s="6">
        <v>9</v>
      </c>
      <c r="D1358" s="7">
        <v>6</v>
      </c>
      <c r="E1358" s="6" t="s">
        <v>5242</v>
      </c>
      <c r="F1358" s="6" t="s">
        <v>4508</v>
      </c>
      <c r="G1358" s="6" t="s">
        <v>25</v>
      </c>
      <c r="H1358" s="8"/>
      <c r="I1358" s="8">
        <v>31193</v>
      </c>
      <c r="J1358" s="6" t="s">
        <v>5243</v>
      </c>
      <c r="K1358" s="6" t="s">
        <v>2787</v>
      </c>
      <c r="L1358" s="6" t="s">
        <v>4516</v>
      </c>
      <c r="M1358" s="6" t="s">
        <v>5082</v>
      </c>
      <c r="N1358" s="6" t="s">
        <v>2787</v>
      </c>
      <c r="O1358" s="29">
        <f t="shared" si="29"/>
        <v>31193</v>
      </c>
      <c r="Q1358" s="30" t="s">
        <v>2787</v>
      </c>
      <c r="R1358" s="31">
        <v>32752.65</v>
      </c>
    </row>
    <row r="1359" s="1" customFormat="1" ht="16.35" hidden="1" customHeight="1" spans="1:18">
      <c r="A1359" s="6" t="s">
        <v>4506</v>
      </c>
      <c r="B1359" s="6">
        <v>2019</v>
      </c>
      <c r="C1359" s="6">
        <v>9</v>
      </c>
      <c r="D1359" s="7">
        <v>7</v>
      </c>
      <c r="E1359" s="6" t="s">
        <v>5528</v>
      </c>
      <c r="F1359" s="6" t="s">
        <v>4508</v>
      </c>
      <c r="G1359" s="6" t="s">
        <v>25</v>
      </c>
      <c r="H1359" s="8"/>
      <c r="I1359" s="8">
        <v>66618</v>
      </c>
      <c r="J1359" s="6" t="s">
        <v>5529</v>
      </c>
      <c r="K1359" s="6" t="s">
        <v>2291</v>
      </c>
      <c r="L1359" s="6" t="s">
        <v>4516</v>
      </c>
      <c r="M1359" s="6" t="s">
        <v>5082</v>
      </c>
      <c r="N1359" s="6" t="s">
        <v>2291</v>
      </c>
      <c r="O1359" s="29">
        <f t="shared" si="29"/>
        <v>66618</v>
      </c>
      <c r="Q1359" s="30" t="s">
        <v>2291</v>
      </c>
      <c r="R1359" s="31">
        <v>69948.9</v>
      </c>
    </row>
    <row r="1360" s="1" customFormat="1" ht="16.35" hidden="1" customHeight="1" spans="1:18">
      <c r="A1360" s="6" t="s">
        <v>4506</v>
      </c>
      <c r="B1360" s="6">
        <v>2019</v>
      </c>
      <c r="C1360" s="6">
        <v>9</v>
      </c>
      <c r="D1360" s="7">
        <v>8</v>
      </c>
      <c r="E1360" s="6" t="s">
        <v>5530</v>
      </c>
      <c r="F1360" s="6" t="s">
        <v>4508</v>
      </c>
      <c r="G1360" s="6" t="s">
        <v>25</v>
      </c>
      <c r="H1360" s="8"/>
      <c r="I1360" s="8">
        <v>110092</v>
      </c>
      <c r="J1360" s="6" t="s">
        <v>5301</v>
      </c>
      <c r="K1360" s="6" t="s">
        <v>2803</v>
      </c>
      <c r="L1360" s="6" t="s">
        <v>4516</v>
      </c>
      <c r="M1360" s="6" t="s">
        <v>5082</v>
      </c>
      <c r="N1360" s="6" t="s">
        <v>2803</v>
      </c>
      <c r="O1360" s="29">
        <f t="shared" si="29"/>
        <v>110092</v>
      </c>
      <c r="Q1360" s="30" t="s">
        <v>2803</v>
      </c>
      <c r="R1360" s="31">
        <v>115596.6</v>
      </c>
    </row>
    <row r="1361" s="1" customFormat="1" ht="16.35" hidden="1" customHeight="1" spans="1:18">
      <c r="A1361" s="6" t="s">
        <v>4506</v>
      </c>
      <c r="B1361" s="6">
        <v>2019</v>
      </c>
      <c r="C1361" s="6">
        <v>9</v>
      </c>
      <c r="D1361" s="7">
        <v>9</v>
      </c>
      <c r="E1361" s="6" t="s">
        <v>5531</v>
      </c>
      <c r="F1361" s="6" t="s">
        <v>4508</v>
      </c>
      <c r="G1361" s="6" t="s">
        <v>25</v>
      </c>
      <c r="H1361" s="8"/>
      <c r="I1361" s="8">
        <v>64945</v>
      </c>
      <c r="J1361" s="6" t="s">
        <v>5532</v>
      </c>
      <c r="K1361" s="6" t="s">
        <v>2237</v>
      </c>
      <c r="L1361" s="6" t="s">
        <v>4516</v>
      </c>
      <c r="M1361" s="6" t="s">
        <v>5082</v>
      </c>
      <c r="N1361" s="6" t="s">
        <v>2237</v>
      </c>
      <c r="O1361" s="29">
        <f t="shared" si="29"/>
        <v>64945</v>
      </c>
      <c r="Q1361" s="30" t="s">
        <v>2237</v>
      </c>
      <c r="R1361" s="31">
        <v>68192.25</v>
      </c>
    </row>
    <row r="1362" s="1" customFormat="1" ht="16.35" hidden="1" customHeight="1" spans="1:18">
      <c r="A1362" s="6" t="s">
        <v>4506</v>
      </c>
      <c r="B1362" s="6">
        <v>2019</v>
      </c>
      <c r="C1362" s="6">
        <v>9</v>
      </c>
      <c r="D1362" s="7">
        <v>10</v>
      </c>
      <c r="E1362" s="6" t="s">
        <v>5533</v>
      </c>
      <c r="F1362" s="6" t="s">
        <v>4508</v>
      </c>
      <c r="G1362" s="6" t="s">
        <v>25</v>
      </c>
      <c r="H1362" s="8"/>
      <c r="I1362" s="8">
        <v>114637</v>
      </c>
      <c r="J1362" s="6" t="s">
        <v>5534</v>
      </c>
      <c r="K1362" s="6" t="s">
        <v>2759</v>
      </c>
      <c r="L1362" s="6" t="s">
        <v>4516</v>
      </c>
      <c r="M1362" s="6" t="s">
        <v>5082</v>
      </c>
      <c r="N1362" s="6" t="s">
        <v>2759</v>
      </c>
      <c r="O1362" s="29">
        <f t="shared" si="29"/>
        <v>114637</v>
      </c>
      <c r="Q1362" s="30" t="s">
        <v>2759</v>
      </c>
      <c r="R1362" s="31">
        <v>120368.85</v>
      </c>
    </row>
    <row r="1363" s="1" customFormat="1" ht="16.35" hidden="1" customHeight="1" spans="1:18">
      <c r="A1363" s="6" t="s">
        <v>4506</v>
      </c>
      <c r="B1363" s="6">
        <v>2019</v>
      </c>
      <c r="C1363" s="6">
        <v>9</v>
      </c>
      <c r="D1363" s="7">
        <v>11</v>
      </c>
      <c r="E1363" s="6" t="s">
        <v>5535</v>
      </c>
      <c r="F1363" s="6" t="s">
        <v>4508</v>
      </c>
      <c r="G1363" s="6" t="s">
        <v>25</v>
      </c>
      <c r="H1363" s="8"/>
      <c r="I1363" s="8">
        <v>118149</v>
      </c>
      <c r="J1363" s="6" t="s">
        <v>5536</v>
      </c>
      <c r="K1363" s="6" t="s">
        <v>2761</v>
      </c>
      <c r="L1363" s="6" t="s">
        <v>4516</v>
      </c>
      <c r="M1363" s="6" t="s">
        <v>5082</v>
      </c>
      <c r="N1363" s="6" t="s">
        <v>2761</v>
      </c>
      <c r="O1363" s="29">
        <f t="shared" si="29"/>
        <v>118149</v>
      </c>
      <c r="Q1363" s="30" t="s">
        <v>2761</v>
      </c>
      <c r="R1363" s="31">
        <v>124056.45</v>
      </c>
    </row>
    <row r="1364" s="1" customFormat="1" ht="16.35" hidden="1" customHeight="1" spans="1:18">
      <c r="A1364" s="6" t="s">
        <v>4506</v>
      </c>
      <c r="B1364" s="6">
        <v>2019</v>
      </c>
      <c r="C1364" s="6">
        <v>9</v>
      </c>
      <c r="D1364" s="7">
        <v>12</v>
      </c>
      <c r="E1364" s="6" t="s">
        <v>5487</v>
      </c>
      <c r="F1364" s="6" t="s">
        <v>4508</v>
      </c>
      <c r="G1364" s="6" t="s">
        <v>25</v>
      </c>
      <c r="H1364" s="8"/>
      <c r="I1364" s="8">
        <v>35538</v>
      </c>
      <c r="J1364" s="6" t="s">
        <v>5233</v>
      </c>
      <c r="K1364" s="6" t="s">
        <v>2758</v>
      </c>
      <c r="L1364" s="6" t="s">
        <v>4516</v>
      </c>
      <c r="M1364" s="6" t="s">
        <v>5082</v>
      </c>
      <c r="N1364" s="6" t="s">
        <v>2758</v>
      </c>
      <c r="O1364" s="29">
        <f t="shared" si="29"/>
        <v>35538</v>
      </c>
      <c r="Q1364" s="30" t="s">
        <v>2758</v>
      </c>
      <c r="R1364" s="31">
        <v>37314.9</v>
      </c>
    </row>
    <row r="1365" s="1" customFormat="1" ht="16.35" hidden="1" customHeight="1" spans="1:18">
      <c r="A1365" s="6" t="s">
        <v>4506</v>
      </c>
      <c r="B1365" s="6">
        <v>2019</v>
      </c>
      <c r="C1365" s="6">
        <v>9</v>
      </c>
      <c r="D1365" s="7">
        <v>13</v>
      </c>
      <c r="E1365" s="6" t="s">
        <v>5531</v>
      </c>
      <c r="F1365" s="6" t="s">
        <v>4508</v>
      </c>
      <c r="G1365" s="6" t="s">
        <v>25</v>
      </c>
      <c r="H1365" s="8"/>
      <c r="I1365" s="8">
        <v>4587</v>
      </c>
      <c r="J1365" s="6" t="s">
        <v>5532</v>
      </c>
      <c r="K1365" s="6" t="s">
        <v>2237</v>
      </c>
      <c r="L1365" s="6" t="s">
        <v>4516</v>
      </c>
      <c r="M1365" s="6" t="s">
        <v>5082</v>
      </c>
      <c r="N1365" s="6" t="s">
        <v>2237</v>
      </c>
      <c r="O1365" s="29">
        <f t="shared" si="29"/>
        <v>4587</v>
      </c>
      <c r="Q1365" s="30" t="s">
        <v>2237</v>
      </c>
      <c r="R1365" s="31">
        <v>4816.35</v>
      </c>
    </row>
    <row r="1366" s="1" customFormat="1" ht="16.35" hidden="1" customHeight="1" spans="1:18">
      <c r="A1366" s="6" t="s">
        <v>4506</v>
      </c>
      <c r="B1366" s="6">
        <v>2019</v>
      </c>
      <c r="C1366" s="6">
        <v>9</v>
      </c>
      <c r="D1366" s="7">
        <v>14</v>
      </c>
      <c r="E1366" s="6" t="s">
        <v>5451</v>
      </c>
      <c r="F1366" s="6" t="s">
        <v>4508</v>
      </c>
      <c r="G1366" s="6" t="s">
        <v>25</v>
      </c>
      <c r="H1366" s="8"/>
      <c r="I1366" s="8">
        <v>65069</v>
      </c>
      <c r="J1366" s="6" t="s">
        <v>5452</v>
      </c>
      <c r="K1366" s="6" t="s">
        <v>1959</v>
      </c>
      <c r="L1366" s="6" t="s">
        <v>4516</v>
      </c>
      <c r="M1366" s="6" t="s">
        <v>5082</v>
      </c>
      <c r="N1366" s="6" t="s">
        <v>1959</v>
      </c>
      <c r="O1366" s="29">
        <f t="shared" si="29"/>
        <v>65069</v>
      </c>
      <c r="Q1366" s="30" t="s">
        <v>1959</v>
      </c>
      <c r="R1366" s="31">
        <v>68322.45</v>
      </c>
    </row>
    <row r="1367" s="1" customFormat="1" ht="16.35" hidden="1" customHeight="1" spans="1:18">
      <c r="A1367" s="6" t="s">
        <v>4506</v>
      </c>
      <c r="B1367" s="6">
        <v>2019</v>
      </c>
      <c r="C1367" s="6">
        <v>9</v>
      </c>
      <c r="D1367" s="7">
        <v>15</v>
      </c>
      <c r="E1367" s="6" t="s">
        <v>5537</v>
      </c>
      <c r="F1367" s="6" t="s">
        <v>4508</v>
      </c>
      <c r="G1367" s="6" t="s">
        <v>25</v>
      </c>
      <c r="H1367" s="8"/>
      <c r="I1367" s="8">
        <v>533333</v>
      </c>
      <c r="J1367" s="6" t="s">
        <v>5417</v>
      </c>
      <c r="K1367" s="6" t="s">
        <v>676</v>
      </c>
      <c r="L1367" s="6" t="s">
        <v>4510</v>
      </c>
      <c r="M1367" s="6" t="s">
        <v>4511</v>
      </c>
      <c r="N1367" s="6" t="s">
        <v>676</v>
      </c>
      <c r="O1367" s="29">
        <f>I1367*1.05</f>
        <v>559999.65</v>
      </c>
      <c r="Q1367" s="30" t="s">
        <v>676</v>
      </c>
      <c r="R1367" s="31">
        <v>559999.65</v>
      </c>
    </row>
    <row r="1368" s="1" customFormat="1" ht="16.35" hidden="1" customHeight="1" spans="1:18">
      <c r="A1368" s="6" t="s">
        <v>4506</v>
      </c>
      <c r="B1368" s="6">
        <v>2019</v>
      </c>
      <c r="C1368" s="6">
        <v>9</v>
      </c>
      <c r="D1368" s="7">
        <v>16</v>
      </c>
      <c r="E1368" s="6" t="s">
        <v>5313</v>
      </c>
      <c r="F1368" s="6" t="s">
        <v>4508</v>
      </c>
      <c r="G1368" s="6" t="s">
        <v>25</v>
      </c>
      <c r="H1368" s="8"/>
      <c r="I1368" s="8">
        <v>9174</v>
      </c>
      <c r="J1368" s="6" t="s">
        <v>5314</v>
      </c>
      <c r="K1368" s="6" t="s">
        <v>1992</v>
      </c>
      <c r="L1368" s="6" t="s">
        <v>4516</v>
      </c>
      <c r="M1368" s="6" t="s">
        <v>5082</v>
      </c>
      <c r="N1368" s="6" t="s">
        <v>1992</v>
      </c>
      <c r="O1368" s="29">
        <f t="shared" ref="O1368:O1387" si="30">I1368</f>
        <v>9174</v>
      </c>
      <c r="Q1368" s="30" t="s">
        <v>1992</v>
      </c>
      <c r="R1368" s="31">
        <v>9632.7</v>
      </c>
    </row>
    <row r="1369" s="1" customFormat="1" ht="16.35" hidden="1" customHeight="1" spans="1:18">
      <c r="A1369" s="6" t="s">
        <v>4506</v>
      </c>
      <c r="B1369" s="6">
        <v>2019</v>
      </c>
      <c r="C1369" s="6">
        <v>9</v>
      </c>
      <c r="D1369" s="7">
        <v>17</v>
      </c>
      <c r="E1369" s="6" t="s">
        <v>5435</v>
      </c>
      <c r="F1369" s="6" t="s">
        <v>4508</v>
      </c>
      <c r="G1369" s="6" t="s">
        <v>25</v>
      </c>
      <c r="H1369" s="8"/>
      <c r="I1369" s="8">
        <v>64220</v>
      </c>
      <c r="J1369" s="6" t="s">
        <v>5436</v>
      </c>
      <c r="K1369" s="6" t="s">
        <v>1944</v>
      </c>
      <c r="L1369" s="6" t="s">
        <v>4516</v>
      </c>
      <c r="M1369" s="6" t="s">
        <v>5082</v>
      </c>
      <c r="N1369" s="6" t="s">
        <v>1944</v>
      </c>
      <c r="O1369" s="29">
        <f t="shared" si="30"/>
        <v>64220</v>
      </c>
      <c r="Q1369" s="30" t="s">
        <v>1944</v>
      </c>
      <c r="R1369" s="31">
        <v>64220</v>
      </c>
    </row>
    <row r="1370" s="1" customFormat="1" ht="16.35" hidden="1" customHeight="1" spans="1:18">
      <c r="A1370" s="6" t="s">
        <v>4506</v>
      </c>
      <c r="B1370" s="6">
        <v>2019</v>
      </c>
      <c r="C1370" s="6">
        <v>9</v>
      </c>
      <c r="D1370" s="7">
        <v>18</v>
      </c>
      <c r="E1370" s="6" t="s">
        <v>5517</v>
      </c>
      <c r="F1370" s="6" t="s">
        <v>4508</v>
      </c>
      <c r="G1370" s="6" t="s">
        <v>25</v>
      </c>
      <c r="H1370" s="8"/>
      <c r="I1370" s="8">
        <v>41284</v>
      </c>
      <c r="J1370" s="6" t="s">
        <v>5518</v>
      </c>
      <c r="K1370" s="6" t="s">
        <v>2275</v>
      </c>
      <c r="L1370" s="6" t="s">
        <v>4516</v>
      </c>
      <c r="M1370" s="6" t="s">
        <v>5082</v>
      </c>
      <c r="N1370" s="6" t="s">
        <v>2275</v>
      </c>
      <c r="O1370" s="29">
        <f t="shared" si="30"/>
        <v>41284</v>
      </c>
      <c r="Q1370" s="30" t="s">
        <v>2275</v>
      </c>
      <c r="R1370" s="31">
        <v>43348.2</v>
      </c>
    </row>
    <row r="1371" s="1" customFormat="1" ht="16.35" hidden="1" customHeight="1" spans="1:18">
      <c r="A1371" s="6" t="s">
        <v>4506</v>
      </c>
      <c r="B1371" s="6">
        <v>2019</v>
      </c>
      <c r="C1371" s="6">
        <v>9</v>
      </c>
      <c r="D1371" s="7">
        <v>19</v>
      </c>
      <c r="E1371" s="6" t="s">
        <v>5538</v>
      </c>
      <c r="F1371" s="6" t="s">
        <v>4508</v>
      </c>
      <c r="G1371" s="6" t="s">
        <v>25</v>
      </c>
      <c r="H1371" s="8"/>
      <c r="I1371" s="8">
        <v>51376</v>
      </c>
      <c r="J1371" s="6" t="s">
        <v>5486</v>
      </c>
      <c r="K1371" s="6" t="s">
        <v>2063</v>
      </c>
      <c r="L1371" s="6" t="s">
        <v>4516</v>
      </c>
      <c r="M1371" s="6" t="s">
        <v>5082</v>
      </c>
      <c r="N1371" s="6" t="s">
        <v>2063</v>
      </c>
      <c r="O1371" s="29">
        <f t="shared" si="30"/>
        <v>51376</v>
      </c>
      <c r="Q1371" s="30" t="s">
        <v>2063</v>
      </c>
      <c r="R1371" s="31">
        <v>53944.8</v>
      </c>
    </row>
    <row r="1372" s="1" customFormat="1" ht="16.35" hidden="1" customHeight="1" spans="1:18">
      <c r="A1372" s="6" t="s">
        <v>4506</v>
      </c>
      <c r="B1372" s="6">
        <v>2019</v>
      </c>
      <c r="C1372" s="6">
        <v>9</v>
      </c>
      <c r="D1372" s="7">
        <v>20</v>
      </c>
      <c r="E1372" s="6" t="s">
        <v>5539</v>
      </c>
      <c r="F1372" s="6" t="s">
        <v>4508</v>
      </c>
      <c r="G1372" s="6" t="s">
        <v>25</v>
      </c>
      <c r="H1372" s="8"/>
      <c r="I1372" s="8">
        <v>4587</v>
      </c>
      <c r="J1372" s="6" t="s">
        <v>5274</v>
      </c>
      <c r="K1372" s="6" t="s">
        <v>1978</v>
      </c>
      <c r="L1372" s="6" t="s">
        <v>4516</v>
      </c>
      <c r="M1372" s="6" t="s">
        <v>5082</v>
      </c>
      <c r="N1372" s="6" t="s">
        <v>1978</v>
      </c>
      <c r="O1372" s="29">
        <f t="shared" si="30"/>
        <v>4587</v>
      </c>
      <c r="Q1372" s="30" t="s">
        <v>1978</v>
      </c>
      <c r="R1372" s="31">
        <v>4816.35</v>
      </c>
    </row>
    <row r="1373" s="1" customFormat="1" ht="16.35" hidden="1" customHeight="1" spans="1:18">
      <c r="A1373" s="6" t="s">
        <v>4506</v>
      </c>
      <c r="B1373" s="6">
        <v>2019</v>
      </c>
      <c r="C1373" s="6">
        <v>9</v>
      </c>
      <c r="D1373" s="7">
        <v>21</v>
      </c>
      <c r="E1373" s="6" t="s">
        <v>5540</v>
      </c>
      <c r="F1373" s="6" t="s">
        <v>4508</v>
      </c>
      <c r="G1373" s="6" t="s">
        <v>25</v>
      </c>
      <c r="H1373" s="8"/>
      <c r="I1373" s="8">
        <v>161009</v>
      </c>
      <c r="J1373" s="6" t="s">
        <v>5541</v>
      </c>
      <c r="K1373" s="6" t="s">
        <v>2750</v>
      </c>
      <c r="L1373" s="6" t="s">
        <v>4516</v>
      </c>
      <c r="M1373" s="6" t="s">
        <v>5082</v>
      </c>
      <c r="N1373" s="6" t="s">
        <v>2750</v>
      </c>
      <c r="O1373" s="29">
        <f t="shared" si="30"/>
        <v>161009</v>
      </c>
      <c r="Q1373" s="30" t="s">
        <v>2750</v>
      </c>
      <c r="R1373" s="31">
        <v>169059.45</v>
      </c>
    </row>
    <row r="1374" s="1" customFormat="1" ht="16.35" hidden="1" customHeight="1" spans="1:18">
      <c r="A1374" s="6" t="s">
        <v>4506</v>
      </c>
      <c r="B1374" s="6">
        <v>2019</v>
      </c>
      <c r="C1374" s="6">
        <v>9</v>
      </c>
      <c r="D1374" s="7">
        <v>22</v>
      </c>
      <c r="E1374" s="6" t="s">
        <v>5242</v>
      </c>
      <c r="F1374" s="6" t="s">
        <v>4508</v>
      </c>
      <c r="G1374" s="6" t="s">
        <v>25</v>
      </c>
      <c r="H1374" s="8"/>
      <c r="I1374" s="8">
        <v>11009</v>
      </c>
      <c r="J1374" s="6" t="s">
        <v>5243</v>
      </c>
      <c r="K1374" s="6" t="s">
        <v>2787</v>
      </c>
      <c r="L1374" s="6" t="s">
        <v>4516</v>
      </c>
      <c r="M1374" s="6" t="s">
        <v>5082</v>
      </c>
      <c r="N1374" s="6" t="s">
        <v>2787</v>
      </c>
      <c r="O1374" s="29">
        <f t="shared" si="30"/>
        <v>11009</v>
      </c>
      <c r="Q1374" s="30" t="s">
        <v>2787</v>
      </c>
      <c r="R1374" s="31">
        <v>11559.45</v>
      </c>
    </row>
    <row r="1375" s="1" customFormat="1" ht="16.35" hidden="1" customHeight="1" spans="1:18">
      <c r="A1375" s="6" t="s">
        <v>4506</v>
      </c>
      <c r="B1375" s="6">
        <v>2019</v>
      </c>
      <c r="C1375" s="6">
        <v>9</v>
      </c>
      <c r="D1375" s="7">
        <v>23</v>
      </c>
      <c r="E1375" s="6" t="s">
        <v>5267</v>
      </c>
      <c r="F1375" s="6" t="s">
        <v>4508</v>
      </c>
      <c r="G1375" s="6" t="s">
        <v>25</v>
      </c>
      <c r="H1375" s="8"/>
      <c r="I1375" s="8">
        <v>36697</v>
      </c>
      <c r="J1375" s="6" t="s">
        <v>5268</v>
      </c>
      <c r="K1375" s="6" t="s">
        <v>2875</v>
      </c>
      <c r="L1375" s="6" t="s">
        <v>4516</v>
      </c>
      <c r="M1375" s="6" t="s">
        <v>5082</v>
      </c>
      <c r="N1375" s="6" t="s">
        <v>2875</v>
      </c>
      <c r="O1375" s="29">
        <f t="shared" si="30"/>
        <v>36697</v>
      </c>
      <c r="Q1375" s="30" t="s">
        <v>2875</v>
      </c>
      <c r="R1375" s="31">
        <v>38531.85</v>
      </c>
    </row>
    <row r="1376" s="1" customFormat="1" ht="16.35" hidden="1" customHeight="1" spans="1:18">
      <c r="A1376" s="6" t="s">
        <v>4506</v>
      </c>
      <c r="B1376" s="6">
        <v>2019</v>
      </c>
      <c r="C1376" s="6">
        <v>9</v>
      </c>
      <c r="D1376" s="7">
        <v>24</v>
      </c>
      <c r="E1376" s="6" t="s">
        <v>5542</v>
      </c>
      <c r="F1376" s="6" t="s">
        <v>4508</v>
      </c>
      <c r="G1376" s="6" t="s">
        <v>25</v>
      </c>
      <c r="H1376" s="8"/>
      <c r="I1376" s="8">
        <v>8257</v>
      </c>
      <c r="J1376" s="6" t="s">
        <v>5543</v>
      </c>
      <c r="K1376" s="6" t="s">
        <v>2200</v>
      </c>
      <c r="L1376" s="6" t="s">
        <v>4516</v>
      </c>
      <c r="M1376" s="6" t="s">
        <v>5082</v>
      </c>
      <c r="N1376" s="6" t="s">
        <v>2200</v>
      </c>
      <c r="O1376" s="29">
        <f t="shared" si="30"/>
        <v>8257</v>
      </c>
      <c r="Q1376" s="30" t="s">
        <v>2200</v>
      </c>
      <c r="R1376" s="31">
        <v>8669.85</v>
      </c>
    </row>
    <row r="1377" s="1" customFormat="1" ht="16.35" hidden="1" customHeight="1" spans="1:18">
      <c r="A1377" s="6" t="s">
        <v>4506</v>
      </c>
      <c r="B1377" s="6">
        <v>2019</v>
      </c>
      <c r="C1377" s="6">
        <v>9</v>
      </c>
      <c r="D1377" s="7">
        <v>25</v>
      </c>
      <c r="E1377" s="6" t="s">
        <v>5542</v>
      </c>
      <c r="F1377" s="6" t="s">
        <v>4508</v>
      </c>
      <c r="G1377" s="6" t="s">
        <v>25</v>
      </c>
      <c r="H1377" s="8"/>
      <c r="I1377" s="8">
        <v>32110</v>
      </c>
      <c r="J1377" s="6" t="s">
        <v>5543</v>
      </c>
      <c r="K1377" s="6" t="s">
        <v>2200</v>
      </c>
      <c r="L1377" s="6" t="s">
        <v>4516</v>
      </c>
      <c r="M1377" s="6" t="s">
        <v>5082</v>
      </c>
      <c r="N1377" s="6" t="s">
        <v>2200</v>
      </c>
      <c r="O1377" s="29">
        <f t="shared" si="30"/>
        <v>32110</v>
      </c>
      <c r="Q1377" s="30" t="s">
        <v>2200</v>
      </c>
      <c r="R1377" s="31">
        <v>33715.5</v>
      </c>
    </row>
    <row r="1378" s="1" customFormat="1" ht="16.35" hidden="1" customHeight="1" spans="1:18">
      <c r="A1378" s="6" t="s">
        <v>4506</v>
      </c>
      <c r="B1378" s="6">
        <v>2019</v>
      </c>
      <c r="C1378" s="6">
        <v>9</v>
      </c>
      <c r="D1378" s="7">
        <v>26</v>
      </c>
      <c r="E1378" s="6" t="s">
        <v>5267</v>
      </c>
      <c r="F1378" s="6" t="s">
        <v>4508</v>
      </c>
      <c r="G1378" s="6" t="s">
        <v>25</v>
      </c>
      <c r="H1378" s="8"/>
      <c r="I1378" s="8">
        <v>153706</v>
      </c>
      <c r="J1378" s="6" t="s">
        <v>5268</v>
      </c>
      <c r="K1378" s="6" t="s">
        <v>2875</v>
      </c>
      <c r="L1378" s="6" t="s">
        <v>4516</v>
      </c>
      <c r="M1378" s="6" t="s">
        <v>5082</v>
      </c>
      <c r="N1378" s="6" t="s">
        <v>2875</v>
      </c>
      <c r="O1378" s="29">
        <f t="shared" si="30"/>
        <v>153706</v>
      </c>
      <c r="Q1378" s="30" t="s">
        <v>2875</v>
      </c>
      <c r="R1378" s="31">
        <v>161391.3</v>
      </c>
    </row>
    <row r="1379" s="1" customFormat="1" ht="16.35" hidden="1" customHeight="1" spans="1:18">
      <c r="A1379" s="6" t="s">
        <v>4506</v>
      </c>
      <c r="B1379" s="6">
        <v>2019</v>
      </c>
      <c r="C1379" s="6">
        <v>9</v>
      </c>
      <c r="D1379" s="7">
        <v>27</v>
      </c>
      <c r="E1379" s="6" t="s">
        <v>5540</v>
      </c>
      <c r="F1379" s="6" t="s">
        <v>4508</v>
      </c>
      <c r="G1379" s="6" t="s">
        <v>25</v>
      </c>
      <c r="H1379" s="8"/>
      <c r="I1379" s="8">
        <v>22477</v>
      </c>
      <c r="J1379" s="6" t="s">
        <v>5541</v>
      </c>
      <c r="K1379" s="6" t="s">
        <v>2750</v>
      </c>
      <c r="L1379" s="6" t="s">
        <v>4516</v>
      </c>
      <c r="M1379" s="6" t="s">
        <v>5082</v>
      </c>
      <c r="N1379" s="6" t="s">
        <v>2750</v>
      </c>
      <c r="O1379" s="29">
        <f t="shared" si="30"/>
        <v>22477</v>
      </c>
      <c r="Q1379" s="30" t="s">
        <v>2750</v>
      </c>
      <c r="R1379" s="31">
        <v>23600.85</v>
      </c>
    </row>
    <row r="1380" s="1" customFormat="1" ht="16.35" hidden="1" customHeight="1" spans="1:18">
      <c r="A1380" s="6" t="s">
        <v>4506</v>
      </c>
      <c r="B1380" s="6">
        <v>2019</v>
      </c>
      <c r="C1380" s="6">
        <v>9</v>
      </c>
      <c r="D1380" s="7">
        <v>28</v>
      </c>
      <c r="E1380" s="6" t="s">
        <v>5542</v>
      </c>
      <c r="F1380" s="6" t="s">
        <v>4508</v>
      </c>
      <c r="G1380" s="6" t="s">
        <v>25</v>
      </c>
      <c r="H1380" s="8"/>
      <c r="I1380" s="8">
        <v>5717</v>
      </c>
      <c r="J1380" s="6" t="s">
        <v>5543</v>
      </c>
      <c r="K1380" s="6" t="s">
        <v>2200</v>
      </c>
      <c r="L1380" s="6" t="s">
        <v>4516</v>
      </c>
      <c r="M1380" s="6" t="s">
        <v>5082</v>
      </c>
      <c r="N1380" s="6" t="s">
        <v>2200</v>
      </c>
      <c r="O1380" s="29">
        <f t="shared" si="30"/>
        <v>5717</v>
      </c>
      <c r="Q1380" s="30" t="s">
        <v>2200</v>
      </c>
      <c r="R1380" s="31">
        <v>6002.85</v>
      </c>
    </row>
    <row r="1381" s="1" customFormat="1" ht="16.35" hidden="1" customHeight="1" spans="1:18">
      <c r="A1381" s="6" t="s">
        <v>4506</v>
      </c>
      <c r="B1381" s="6">
        <v>2019</v>
      </c>
      <c r="C1381" s="6">
        <v>9</v>
      </c>
      <c r="D1381" s="7">
        <v>29</v>
      </c>
      <c r="E1381" s="6" t="s">
        <v>5544</v>
      </c>
      <c r="F1381" s="6" t="s">
        <v>4508</v>
      </c>
      <c r="G1381" s="6" t="s">
        <v>25</v>
      </c>
      <c r="H1381" s="8"/>
      <c r="I1381" s="8">
        <v>119266</v>
      </c>
      <c r="J1381" s="6" t="s">
        <v>5101</v>
      </c>
      <c r="K1381" s="6" t="s">
        <v>1940</v>
      </c>
      <c r="L1381" s="6" t="s">
        <v>4516</v>
      </c>
      <c r="M1381" s="6" t="s">
        <v>5082</v>
      </c>
      <c r="N1381" s="6" t="s">
        <v>1940</v>
      </c>
      <c r="O1381" s="29">
        <f t="shared" si="30"/>
        <v>119266</v>
      </c>
      <c r="Q1381" s="30" t="s">
        <v>1940</v>
      </c>
      <c r="R1381" s="31">
        <v>119266</v>
      </c>
    </row>
    <row r="1382" s="1" customFormat="1" ht="16.35" hidden="1" customHeight="1" spans="1:18">
      <c r="A1382" s="6" t="s">
        <v>4506</v>
      </c>
      <c r="B1382" s="6">
        <v>2019</v>
      </c>
      <c r="C1382" s="6">
        <v>9</v>
      </c>
      <c r="D1382" s="7">
        <v>30</v>
      </c>
      <c r="E1382" s="6" t="s">
        <v>5545</v>
      </c>
      <c r="F1382" s="6" t="s">
        <v>4508</v>
      </c>
      <c r="G1382" s="6" t="s">
        <v>25</v>
      </c>
      <c r="H1382" s="8"/>
      <c r="I1382" s="8">
        <v>123853</v>
      </c>
      <c r="J1382" s="6" t="s">
        <v>5457</v>
      </c>
      <c r="K1382" s="6" t="s">
        <v>2177</v>
      </c>
      <c r="L1382" s="6" t="s">
        <v>4516</v>
      </c>
      <c r="M1382" s="6" t="s">
        <v>5082</v>
      </c>
      <c r="N1382" s="6" t="s">
        <v>2177</v>
      </c>
      <c r="O1382" s="29">
        <f t="shared" si="30"/>
        <v>123853</v>
      </c>
      <c r="Q1382" s="30" t="s">
        <v>2177</v>
      </c>
      <c r="R1382" s="31">
        <v>130045.65</v>
      </c>
    </row>
    <row r="1383" s="1" customFormat="1" ht="16.35" hidden="1" customHeight="1" spans="1:18">
      <c r="A1383" s="6" t="s">
        <v>4506</v>
      </c>
      <c r="B1383" s="6">
        <v>2019</v>
      </c>
      <c r="C1383" s="6">
        <v>9</v>
      </c>
      <c r="D1383" s="7">
        <v>31</v>
      </c>
      <c r="E1383" s="6" t="s">
        <v>5546</v>
      </c>
      <c r="F1383" s="6" t="s">
        <v>4508</v>
      </c>
      <c r="G1383" s="6" t="s">
        <v>25</v>
      </c>
      <c r="H1383" s="8"/>
      <c r="I1383" s="8">
        <v>155963</v>
      </c>
      <c r="J1383" s="6" t="s">
        <v>5212</v>
      </c>
      <c r="K1383" s="6" t="s">
        <v>2229</v>
      </c>
      <c r="L1383" s="6" t="s">
        <v>4516</v>
      </c>
      <c r="M1383" s="6" t="s">
        <v>5082</v>
      </c>
      <c r="N1383" s="6" t="s">
        <v>2229</v>
      </c>
      <c r="O1383" s="29">
        <f t="shared" si="30"/>
        <v>155963</v>
      </c>
      <c r="Q1383" s="30" t="s">
        <v>2229</v>
      </c>
      <c r="R1383" s="31">
        <v>163761.15</v>
      </c>
    </row>
    <row r="1384" s="1" customFormat="1" ht="16.35" hidden="1" customHeight="1" spans="1:18">
      <c r="A1384" s="6" t="s">
        <v>4506</v>
      </c>
      <c r="B1384" s="6">
        <v>2019</v>
      </c>
      <c r="C1384" s="6">
        <v>9</v>
      </c>
      <c r="D1384" s="7">
        <v>32</v>
      </c>
      <c r="E1384" s="6" t="s">
        <v>5547</v>
      </c>
      <c r="F1384" s="6" t="s">
        <v>4508</v>
      </c>
      <c r="G1384" s="6" t="s">
        <v>25</v>
      </c>
      <c r="H1384" s="8"/>
      <c r="I1384" s="8">
        <v>103670</v>
      </c>
      <c r="J1384" s="6" t="s">
        <v>5440</v>
      </c>
      <c r="K1384" s="6" t="s">
        <v>2017</v>
      </c>
      <c r="L1384" s="6" t="s">
        <v>4516</v>
      </c>
      <c r="M1384" s="6" t="s">
        <v>5082</v>
      </c>
      <c r="N1384" s="6" t="s">
        <v>2017</v>
      </c>
      <c r="O1384" s="29">
        <f t="shared" si="30"/>
        <v>103670</v>
      </c>
      <c r="Q1384" s="30" t="s">
        <v>2017</v>
      </c>
      <c r="R1384" s="31">
        <v>108853.5</v>
      </c>
    </row>
    <row r="1385" s="1" customFormat="1" ht="16.35" hidden="1" customHeight="1" spans="1:18">
      <c r="A1385" s="6" t="s">
        <v>4506</v>
      </c>
      <c r="B1385" s="6">
        <v>2019</v>
      </c>
      <c r="C1385" s="6">
        <v>9</v>
      </c>
      <c r="D1385" s="7">
        <v>33</v>
      </c>
      <c r="E1385" s="6" t="s">
        <v>5548</v>
      </c>
      <c r="F1385" s="6" t="s">
        <v>4508</v>
      </c>
      <c r="G1385" s="6" t="s">
        <v>25</v>
      </c>
      <c r="H1385" s="8"/>
      <c r="I1385" s="8">
        <v>154128</v>
      </c>
      <c r="J1385" s="6" t="s">
        <v>5239</v>
      </c>
      <c r="K1385" s="6" t="s">
        <v>2233</v>
      </c>
      <c r="L1385" s="6" t="s">
        <v>4516</v>
      </c>
      <c r="M1385" s="6" t="s">
        <v>5082</v>
      </c>
      <c r="N1385" s="6" t="s">
        <v>2233</v>
      </c>
      <c r="O1385" s="29">
        <f t="shared" si="30"/>
        <v>154128</v>
      </c>
      <c r="Q1385" s="30" t="s">
        <v>2233</v>
      </c>
      <c r="R1385" s="31">
        <v>161834.4</v>
      </c>
    </row>
    <row r="1386" s="1" customFormat="1" ht="16.35" hidden="1" customHeight="1" spans="1:18">
      <c r="A1386" s="6" t="s">
        <v>4506</v>
      </c>
      <c r="B1386" s="6">
        <v>2019</v>
      </c>
      <c r="C1386" s="6">
        <v>9</v>
      </c>
      <c r="D1386" s="7">
        <v>34</v>
      </c>
      <c r="E1386" s="6" t="s">
        <v>5549</v>
      </c>
      <c r="F1386" s="6" t="s">
        <v>4508</v>
      </c>
      <c r="G1386" s="6" t="s">
        <v>25</v>
      </c>
      <c r="H1386" s="8"/>
      <c r="I1386" s="8">
        <v>137615</v>
      </c>
      <c r="J1386" s="6" t="s">
        <v>5438</v>
      </c>
      <c r="K1386" s="6" t="s">
        <v>2171</v>
      </c>
      <c r="L1386" s="6" t="s">
        <v>4516</v>
      </c>
      <c r="M1386" s="6" t="s">
        <v>5082</v>
      </c>
      <c r="N1386" s="6" t="s">
        <v>2171</v>
      </c>
      <c r="O1386" s="29">
        <f t="shared" si="30"/>
        <v>137615</v>
      </c>
      <c r="Q1386" s="30" t="s">
        <v>2171</v>
      </c>
      <c r="R1386" s="31">
        <v>144495.75</v>
      </c>
    </row>
    <row r="1387" s="1" customFormat="1" ht="16.35" hidden="1" customHeight="1" spans="1:18">
      <c r="A1387" s="6" t="s">
        <v>4506</v>
      </c>
      <c r="B1387" s="6">
        <v>2019</v>
      </c>
      <c r="C1387" s="6">
        <v>9</v>
      </c>
      <c r="D1387" s="7">
        <v>35</v>
      </c>
      <c r="E1387" s="6" t="s">
        <v>5550</v>
      </c>
      <c r="F1387" s="6" t="s">
        <v>4508</v>
      </c>
      <c r="G1387" s="6" t="s">
        <v>25</v>
      </c>
      <c r="H1387" s="8"/>
      <c r="I1387" s="8">
        <v>163303</v>
      </c>
      <c r="J1387" s="6" t="s">
        <v>5446</v>
      </c>
      <c r="K1387" s="6" t="s">
        <v>2141</v>
      </c>
      <c r="L1387" s="6" t="s">
        <v>4516</v>
      </c>
      <c r="M1387" s="6" t="s">
        <v>5082</v>
      </c>
      <c r="N1387" s="6" t="s">
        <v>2141</v>
      </c>
      <c r="O1387" s="29">
        <f t="shared" si="30"/>
        <v>163303</v>
      </c>
      <c r="Q1387" s="30" t="s">
        <v>2141</v>
      </c>
      <c r="R1387" s="31">
        <v>171468.15</v>
      </c>
    </row>
    <row r="1388" s="1" customFormat="1" ht="16.35" hidden="1" customHeight="1" spans="1:18">
      <c r="A1388" s="6" t="s">
        <v>4506</v>
      </c>
      <c r="B1388" s="6">
        <v>2019</v>
      </c>
      <c r="C1388" s="6">
        <v>10</v>
      </c>
      <c r="D1388" s="7">
        <v>1</v>
      </c>
      <c r="E1388" s="6" t="s">
        <v>5551</v>
      </c>
      <c r="F1388" s="6" t="s">
        <v>4508</v>
      </c>
      <c r="G1388" s="6" t="s">
        <v>25</v>
      </c>
      <c r="H1388" s="8"/>
      <c r="I1388" s="8">
        <v>120000</v>
      </c>
      <c r="J1388" s="6" t="s">
        <v>4846</v>
      </c>
      <c r="K1388" s="6" t="s">
        <v>742</v>
      </c>
      <c r="L1388" s="6" t="s">
        <v>4510</v>
      </c>
      <c r="M1388" s="6" t="s">
        <v>4511</v>
      </c>
      <c r="N1388" s="6" t="s">
        <v>742</v>
      </c>
      <c r="O1388" s="29">
        <f>I1388*1.05</f>
        <v>126000</v>
      </c>
      <c r="Q1388" s="30" t="s">
        <v>742</v>
      </c>
      <c r="R1388" s="31">
        <v>126000</v>
      </c>
    </row>
    <row r="1389" s="1" customFormat="1" ht="16.35" hidden="1" customHeight="1" spans="1:18">
      <c r="A1389" s="6" t="s">
        <v>4506</v>
      </c>
      <c r="B1389" s="6">
        <v>2019</v>
      </c>
      <c r="C1389" s="6">
        <v>10</v>
      </c>
      <c r="D1389" s="7">
        <v>2</v>
      </c>
      <c r="E1389" s="6" t="s">
        <v>5552</v>
      </c>
      <c r="F1389" s="6" t="s">
        <v>4508</v>
      </c>
      <c r="G1389" s="6" t="s">
        <v>25</v>
      </c>
      <c r="H1389" s="8"/>
      <c r="I1389" s="8">
        <v>190476</v>
      </c>
      <c r="J1389" s="6" t="s">
        <v>5181</v>
      </c>
      <c r="K1389" s="6" t="s">
        <v>672</v>
      </c>
      <c r="L1389" s="6" t="s">
        <v>4510</v>
      </c>
      <c r="M1389" s="6" t="s">
        <v>4511</v>
      </c>
      <c r="N1389" s="6" t="s">
        <v>672</v>
      </c>
      <c r="O1389" s="29">
        <f>I1389*1.05</f>
        <v>199999.8</v>
      </c>
      <c r="Q1389" s="30" t="s">
        <v>672</v>
      </c>
      <c r="R1389" s="31">
        <v>200000</v>
      </c>
    </row>
    <row r="1390" s="1" customFormat="1" ht="16.35" hidden="1" customHeight="1" spans="1:18">
      <c r="A1390" s="6" t="s">
        <v>4506</v>
      </c>
      <c r="B1390" s="6">
        <v>2019</v>
      </c>
      <c r="C1390" s="6">
        <v>10</v>
      </c>
      <c r="D1390" s="7">
        <v>3</v>
      </c>
      <c r="E1390" s="6" t="s">
        <v>5517</v>
      </c>
      <c r="F1390" s="6" t="s">
        <v>4508</v>
      </c>
      <c r="G1390" s="6" t="s">
        <v>25</v>
      </c>
      <c r="H1390" s="8"/>
      <c r="I1390" s="8">
        <v>3505</v>
      </c>
      <c r="J1390" s="6" t="s">
        <v>5518</v>
      </c>
      <c r="K1390" s="6" t="s">
        <v>2275</v>
      </c>
      <c r="L1390" s="6" t="s">
        <v>4516</v>
      </c>
      <c r="M1390" s="6" t="s">
        <v>5082</v>
      </c>
      <c r="N1390" s="6" t="s">
        <v>2275</v>
      </c>
      <c r="O1390" s="29">
        <f t="shared" ref="O1390:O1421" si="31">I1390</f>
        <v>3505</v>
      </c>
      <c r="Q1390" s="30" t="s">
        <v>2275</v>
      </c>
      <c r="R1390" s="31">
        <v>3680.25</v>
      </c>
    </row>
    <row r="1391" s="1" customFormat="1" ht="16.35" hidden="1" customHeight="1" spans="1:18">
      <c r="A1391" s="6" t="s">
        <v>4506</v>
      </c>
      <c r="B1391" s="6">
        <v>2019</v>
      </c>
      <c r="C1391" s="6">
        <v>10</v>
      </c>
      <c r="D1391" s="7">
        <v>4</v>
      </c>
      <c r="E1391" s="6" t="s">
        <v>5433</v>
      </c>
      <c r="F1391" s="6" t="s">
        <v>4508</v>
      </c>
      <c r="G1391" s="6" t="s">
        <v>25</v>
      </c>
      <c r="H1391" s="8"/>
      <c r="I1391" s="8">
        <v>20834</v>
      </c>
      <c r="J1391" s="6" t="s">
        <v>5434</v>
      </c>
      <c r="K1391" s="6" t="s">
        <v>2125</v>
      </c>
      <c r="L1391" s="6" t="s">
        <v>4516</v>
      </c>
      <c r="M1391" s="6" t="s">
        <v>5082</v>
      </c>
      <c r="N1391" s="6" t="s">
        <v>2125</v>
      </c>
      <c r="O1391" s="29">
        <f t="shared" si="31"/>
        <v>20834</v>
      </c>
      <c r="Q1391" s="30" t="s">
        <v>2125</v>
      </c>
      <c r="R1391" s="31">
        <v>21875.7</v>
      </c>
    </row>
    <row r="1392" s="1" customFormat="1" ht="16.35" hidden="1" customHeight="1" spans="1:18">
      <c r="A1392" s="6" t="s">
        <v>4506</v>
      </c>
      <c r="B1392" s="6">
        <v>2019</v>
      </c>
      <c r="C1392" s="6">
        <v>10</v>
      </c>
      <c r="D1392" s="7">
        <v>5</v>
      </c>
      <c r="E1392" s="6" t="s">
        <v>5539</v>
      </c>
      <c r="F1392" s="6" t="s">
        <v>4508</v>
      </c>
      <c r="G1392" s="6" t="s">
        <v>25</v>
      </c>
      <c r="H1392" s="8"/>
      <c r="I1392" s="8">
        <v>10459</v>
      </c>
      <c r="J1392" s="6" t="s">
        <v>5274</v>
      </c>
      <c r="K1392" s="6" t="s">
        <v>1978</v>
      </c>
      <c r="L1392" s="6" t="s">
        <v>4516</v>
      </c>
      <c r="M1392" s="6" t="s">
        <v>5082</v>
      </c>
      <c r="N1392" s="6" t="s">
        <v>1978</v>
      </c>
      <c r="O1392" s="29">
        <f t="shared" si="31"/>
        <v>10459</v>
      </c>
      <c r="Q1392" s="30" t="s">
        <v>1978</v>
      </c>
      <c r="R1392" s="31">
        <v>10981.95</v>
      </c>
    </row>
    <row r="1393" s="1" customFormat="1" ht="16.35" hidden="1" customHeight="1" spans="1:18">
      <c r="A1393" s="6" t="s">
        <v>4506</v>
      </c>
      <c r="B1393" s="6">
        <v>2019</v>
      </c>
      <c r="C1393" s="6">
        <v>10</v>
      </c>
      <c r="D1393" s="7">
        <v>6</v>
      </c>
      <c r="E1393" s="6" t="s">
        <v>5539</v>
      </c>
      <c r="F1393" s="6" t="s">
        <v>4508</v>
      </c>
      <c r="G1393" s="6" t="s">
        <v>25</v>
      </c>
      <c r="H1393" s="8"/>
      <c r="I1393" s="8">
        <v>39450</v>
      </c>
      <c r="J1393" s="6" t="s">
        <v>5274</v>
      </c>
      <c r="K1393" s="6" t="s">
        <v>1978</v>
      </c>
      <c r="L1393" s="6" t="s">
        <v>4516</v>
      </c>
      <c r="M1393" s="6" t="s">
        <v>5082</v>
      </c>
      <c r="N1393" s="6" t="s">
        <v>1978</v>
      </c>
      <c r="O1393" s="29">
        <f t="shared" si="31"/>
        <v>39450</v>
      </c>
      <c r="Q1393" s="30" t="s">
        <v>1978</v>
      </c>
      <c r="R1393" s="31">
        <v>41422.5</v>
      </c>
    </row>
    <row r="1394" s="1" customFormat="1" ht="16.35" hidden="1" customHeight="1" spans="1:18">
      <c r="A1394" s="6" t="s">
        <v>4506</v>
      </c>
      <c r="B1394" s="6">
        <v>2019</v>
      </c>
      <c r="C1394" s="6">
        <v>10</v>
      </c>
      <c r="D1394" s="7">
        <v>7</v>
      </c>
      <c r="E1394" s="6" t="s">
        <v>5348</v>
      </c>
      <c r="F1394" s="6" t="s">
        <v>4508</v>
      </c>
      <c r="G1394" s="6" t="s">
        <v>25</v>
      </c>
      <c r="H1394" s="8"/>
      <c r="I1394" s="8">
        <v>3670</v>
      </c>
      <c r="J1394" s="6" t="s">
        <v>5349</v>
      </c>
      <c r="K1394" s="6" t="s">
        <v>2879</v>
      </c>
      <c r="L1394" s="6" t="s">
        <v>4516</v>
      </c>
      <c r="M1394" s="6" t="s">
        <v>5082</v>
      </c>
      <c r="N1394" s="6" t="s">
        <v>2879</v>
      </c>
      <c r="O1394" s="29">
        <f t="shared" si="31"/>
        <v>3670</v>
      </c>
      <c r="Q1394" s="30" t="s">
        <v>2879</v>
      </c>
      <c r="R1394" s="31">
        <v>3853.5</v>
      </c>
    </row>
    <row r="1395" s="1" customFormat="1" ht="16.35" hidden="1" customHeight="1" spans="1:18">
      <c r="A1395" s="6" t="s">
        <v>4506</v>
      </c>
      <c r="B1395" s="6">
        <v>2019</v>
      </c>
      <c r="C1395" s="6">
        <v>10</v>
      </c>
      <c r="D1395" s="7">
        <v>8</v>
      </c>
      <c r="E1395" s="6" t="s">
        <v>5553</v>
      </c>
      <c r="F1395" s="6" t="s">
        <v>4508</v>
      </c>
      <c r="G1395" s="6" t="s">
        <v>25</v>
      </c>
      <c r="H1395" s="8"/>
      <c r="I1395" s="8">
        <v>50459</v>
      </c>
      <c r="J1395" s="6" t="s">
        <v>5340</v>
      </c>
      <c r="K1395" s="6" t="s">
        <v>2770</v>
      </c>
      <c r="L1395" s="6" t="s">
        <v>4516</v>
      </c>
      <c r="M1395" s="6" t="s">
        <v>5082</v>
      </c>
      <c r="N1395" s="6" t="s">
        <v>2770</v>
      </c>
      <c r="O1395" s="29">
        <f t="shared" si="31"/>
        <v>50459</v>
      </c>
      <c r="Q1395" s="30" t="s">
        <v>2770</v>
      </c>
      <c r="R1395" s="31">
        <v>52981.95</v>
      </c>
    </row>
    <row r="1396" s="1" customFormat="1" ht="16.35" hidden="1" customHeight="1" spans="1:18">
      <c r="A1396" s="6" t="s">
        <v>4506</v>
      </c>
      <c r="B1396" s="6">
        <v>2019</v>
      </c>
      <c r="C1396" s="6">
        <v>10</v>
      </c>
      <c r="D1396" s="7">
        <v>9</v>
      </c>
      <c r="E1396" s="6" t="s">
        <v>5554</v>
      </c>
      <c r="F1396" s="6" t="s">
        <v>4508</v>
      </c>
      <c r="G1396" s="6" t="s">
        <v>25</v>
      </c>
      <c r="H1396" s="8"/>
      <c r="I1396" s="8">
        <v>144954</v>
      </c>
      <c r="J1396" s="6" t="s">
        <v>5216</v>
      </c>
      <c r="K1396" s="6" t="s">
        <v>2742</v>
      </c>
      <c r="L1396" s="6" t="s">
        <v>4516</v>
      </c>
      <c r="M1396" s="6" t="s">
        <v>5082</v>
      </c>
      <c r="N1396" s="6" t="s">
        <v>2742</v>
      </c>
      <c r="O1396" s="29">
        <f t="shared" si="31"/>
        <v>144954</v>
      </c>
      <c r="Q1396" s="30" t="s">
        <v>2742</v>
      </c>
      <c r="R1396" s="31">
        <v>152201.7</v>
      </c>
    </row>
    <row r="1397" s="1" customFormat="1" ht="16.35" hidden="1" customHeight="1" spans="1:18">
      <c r="A1397" s="6" t="s">
        <v>4506</v>
      </c>
      <c r="B1397" s="6">
        <v>2019</v>
      </c>
      <c r="C1397" s="6">
        <v>10</v>
      </c>
      <c r="D1397" s="7">
        <v>10</v>
      </c>
      <c r="E1397" s="6" t="s">
        <v>5302</v>
      </c>
      <c r="F1397" s="6" t="s">
        <v>4508</v>
      </c>
      <c r="G1397" s="6" t="s">
        <v>25</v>
      </c>
      <c r="H1397" s="8"/>
      <c r="I1397" s="8">
        <v>46569</v>
      </c>
      <c r="J1397" s="6" t="s">
        <v>5303</v>
      </c>
      <c r="K1397" s="6" t="s">
        <v>2795</v>
      </c>
      <c r="L1397" s="6" t="s">
        <v>4516</v>
      </c>
      <c r="M1397" s="6" t="s">
        <v>5082</v>
      </c>
      <c r="N1397" s="6" t="s">
        <v>2795</v>
      </c>
      <c r="O1397" s="29">
        <f t="shared" si="31"/>
        <v>46569</v>
      </c>
      <c r="Q1397" s="30" t="s">
        <v>2795</v>
      </c>
      <c r="R1397" s="31">
        <v>48897.45</v>
      </c>
    </row>
    <row r="1398" s="1" customFormat="1" ht="16.35" hidden="1" customHeight="1" spans="1:18">
      <c r="A1398" s="6" t="s">
        <v>4506</v>
      </c>
      <c r="B1398" s="6">
        <v>2019</v>
      </c>
      <c r="C1398" s="6">
        <v>10</v>
      </c>
      <c r="D1398" s="7">
        <v>11</v>
      </c>
      <c r="E1398" s="6" t="s">
        <v>5433</v>
      </c>
      <c r="F1398" s="6" t="s">
        <v>4508</v>
      </c>
      <c r="G1398" s="6" t="s">
        <v>25</v>
      </c>
      <c r="H1398" s="8"/>
      <c r="I1398" s="8">
        <v>11927</v>
      </c>
      <c r="J1398" s="6" t="s">
        <v>5434</v>
      </c>
      <c r="K1398" s="6" t="s">
        <v>2125</v>
      </c>
      <c r="L1398" s="6" t="s">
        <v>4516</v>
      </c>
      <c r="M1398" s="6" t="s">
        <v>5082</v>
      </c>
      <c r="N1398" s="6" t="s">
        <v>2125</v>
      </c>
      <c r="O1398" s="29">
        <f t="shared" si="31"/>
        <v>11927</v>
      </c>
      <c r="Q1398" s="30" t="s">
        <v>2125</v>
      </c>
      <c r="R1398" s="31">
        <v>12523.35</v>
      </c>
    </row>
    <row r="1399" s="1" customFormat="1" ht="16.35" hidden="1" customHeight="1" spans="1:18">
      <c r="A1399" s="6" t="s">
        <v>4506</v>
      </c>
      <c r="B1399" s="6">
        <v>2019</v>
      </c>
      <c r="C1399" s="6">
        <v>10</v>
      </c>
      <c r="D1399" s="7">
        <v>12</v>
      </c>
      <c r="E1399" s="6" t="s">
        <v>5290</v>
      </c>
      <c r="F1399" s="6" t="s">
        <v>4508</v>
      </c>
      <c r="G1399" s="6" t="s">
        <v>25</v>
      </c>
      <c r="H1399" s="8"/>
      <c r="I1399" s="8">
        <v>139450</v>
      </c>
      <c r="J1399" s="6" t="s">
        <v>5291</v>
      </c>
      <c r="K1399" s="6" t="s">
        <v>2186</v>
      </c>
      <c r="L1399" s="6" t="s">
        <v>4516</v>
      </c>
      <c r="M1399" s="6" t="s">
        <v>5082</v>
      </c>
      <c r="N1399" s="6" t="s">
        <v>2186</v>
      </c>
      <c r="O1399" s="29">
        <f t="shared" si="31"/>
        <v>139450</v>
      </c>
      <c r="Q1399" s="30" t="s">
        <v>2186</v>
      </c>
      <c r="R1399" s="31">
        <v>146422.5</v>
      </c>
    </row>
    <row r="1400" s="1" customFormat="1" ht="16.35" hidden="1" customHeight="1" spans="1:18">
      <c r="A1400" s="6" t="s">
        <v>4506</v>
      </c>
      <c r="B1400" s="6">
        <v>2019</v>
      </c>
      <c r="C1400" s="6">
        <v>10</v>
      </c>
      <c r="D1400" s="7">
        <v>13</v>
      </c>
      <c r="E1400" s="6" t="s">
        <v>5555</v>
      </c>
      <c r="F1400" s="6" t="s">
        <v>4508</v>
      </c>
      <c r="G1400" s="6" t="s">
        <v>25</v>
      </c>
      <c r="H1400" s="8"/>
      <c r="I1400" s="8">
        <v>9174</v>
      </c>
      <c r="J1400" s="6" t="s">
        <v>5556</v>
      </c>
      <c r="K1400" s="6" t="s">
        <v>2358</v>
      </c>
      <c r="L1400" s="6" t="s">
        <v>4516</v>
      </c>
      <c r="M1400" s="6" t="s">
        <v>5082</v>
      </c>
      <c r="N1400" s="6" t="s">
        <v>2358</v>
      </c>
      <c r="O1400" s="29">
        <f t="shared" si="31"/>
        <v>9174</v>
      </c>
      <c r="Q1400" s="30" t="s">
        <v>2358</v>
      </c>
      <c r="R1400" s="31">
        <v>9632.7</v>
      </c>
    </row>
    <row r="1401" s="1" customFormat="1" ht="16.35" hidden="1" customHeight="1" spans="1:18">
      <c r="A1401" s="6" t="s">
        <v>4506</v>
      </c>
      <c r="B1401" s="6">
        <v>2019</v>
      </c>
      <c r="C1401" s="6">
        <v>10</v>
      </c>
      <c r="D1401" s="7">
        <v>14</v>
      </c>
      <c r="E1401" s="6" t="s">
        <v>5458</v>
      </c>
      <c r="F1401" s="6" t="s">
        <v>4508</v>
      </c>
      <c r="G1401" s="6" t="s">
        <v>25</v>
      </c>
      <c r="H1401" s="8"/>
      <c r="I1401" s="8">
        <v>154128</v>
      </c>
      <c r="J1401" s="6" t="s">
        <v>5459</v>
      </c>
      <c r="K1401" s="6" t="s">
        <v>2267</v>
      </c>
      <c r="L1401" s="6" t="s">
        <v>4516</v>
      </c>
      <c r="M1401" s="6" t="s">
        <v>5082</v>
      </c>
      <c r="N1401" s="6" t="s">
        <v>2267</v>
      </c>
      <c r="O1401" s="29">
        <f t="shared" si="31"/>
        <v>154128</v>
      </c>
      <c r="Q1401" s="30" t="s">
        <v>2267</v>
      </c>
      <c r="R1401" s="31">
        <v>161834.4</v>
      </c>
    </row>
    <row r="1402" s="1" customFormat="1" ht="16.35" hidden="1" customHeight="1" spans="1:18">
      <c r="A1402" s="6" t="s">
        <v>4506</v>
      </c>
      <c r="B1402" s="6">
        <v>2019</v>
      </c>
      <c r="C1402" s="6">
        <v>10</v>
      </c>
      <c r="D1402" s="7">
        <v>15</v>
      </c>
      <c r="E1402" s="6" t="s">
        <v>5557</v>
      </c>
      <c r="F1402" s="6" t="s">
        <v>4508</v>
      </c>
      <c r="G1402" s="6" t="s">
        <v>25</v>
      </c>
      <c r="H1402" s="8"/>
      <c r="I1402" s="8">
        <v>4587</v>
      </c>
      <c r="J1402" s="6" t="s">
        <v>5558</v>
      </c>
      <c r="K1402" s="6" t="s">
        <v>2243</v>
      </c>
      <c r="L1402" s="6" t="s">
        <v>4516</v>
      </c>
      <c r="M1402" s="6" t="s">
        <v>5082</v>
      </c>
      <c r="N1402" s="6" t="s">
        <v>2243</v>
      </c>
      <c r="O1402" s="29">
        <f t="shared" si="31"/>
        <v>4587</v>
      </c>
      <c r="Q1402" s="30" t="s">
        <v>2243</v>
      </c>
      <c r="R1402" s="31">
        <v>4816.35</v>
      </c>
    </row>
    <row r="1403" s="1" customFormat="1" ht="16.35" hidden="1" customHeight="1" spans="1:18">
      <c r="A1403" s="6" t="s">
        <v>4506</v>
      </c>
      <c r="B1403" s="6">
        <v>2019</v>
      </c>
      <c r="C1403" s="6">
        <v>10</v>
      </c>
      <c r="D1403" s="7">
        <v>16</v>
      </c>
      <c r="E1403" s="6" t="s">
        <v>5559</v>
      </c>
      <c r="F1403" s="6" t="s">
        <v>4508</v>
      </c>
      <c r="G1403" s="6" t="s">
        <v>25</v>
      </c>
      <c r="H1403" s="8"/>
      <c r="I1403" s="8">
        <v>9174</v>
      </c>
      <c r="J1403" s="6" t="s">
        <v>5560</v>
      </c>
      <c r="K1403" s="6" t="s">
        <v>2305</v>
      </c>
      <c r="L1403" s="6" t="s">
        <v>4516</v>
      </c>
      <c r="M1403" s="6" t="s">
        <v>5082</v>
      </c>
      <c r="N1403" s="6" t="s">
        <v>2305</v>
      </c>
      <c r="O1403" s="29">
        <f t="shared" si="31"/>
        <v>9174</v>
      </c>
      <c r="Q1403" s="30" t="s">
        <v>2305</v>
      </c>
      <c r="R1403" s="31">
        <v>9632.7</v>
      </c>
    </row>
    <row r="1404" s="1" customFormat="1" ht="16.35" hidden="1" customHeight="1" spans="1:18">
      <c r="A1404" s="6" t="s">
        <v>4506</v>
      </c>
      <c r="B1404" s="6">
        <v>2019</v>
      </c>
      <c r="C1404" s="6">
        <v>10</v>
      </c>
      <c r="D1404" s="7">
        <v>17</v>
      </c>
      <c r="E1404" s="6" t="s">
        <v>5433</v>
      </c>
      <c r="F1404" s="6" t="s">
        <v>4508</v>
      </c>
      <c r="G1404" s="6" t="s">
        <v>25</v>
      </c>
      <c r="H1404" s="8"/>
      <c r="I1404" s="8">
        <v>3028</v>
      </c>
      <c r="J1404" s="6" t="s">
        <v>5434</v>
      </c>
      <c r="K1404" s="6" t="s">
        <v>2125</v>
      </c>
      <c r="L1404" s="6" t="s">
        <v>4516</v>
      </c>
      <c r="M1404" s="6" t="s">
        <v>5082</v>
      </c>
      <c r="N1404" s="6" t="s">
        <v>2125</v>
      </c>
      <c r="O1404" s="29">
        <f t="shared" si="31"/>
        <v>3028</v>
      </c>
      <c r="Q1404" s="30" t="s">
        <v>2125</v>
      </c>
      <c r="R1404" s="31">
        <v>3179.4</v>
      </c>
    </row>
    <row r="1405" s="1" customFormat="1" ht="16.35" hidden="1" customHeight="1" spans="1:18">
      <c r="A1405" s="6" t="s">
        <v>4506</v>
      </c>
      <c r="B1405" s="6">
        <v>2019</v>
      </c>
      <c r="C1405" s="6">
        <v>10</v>
      </c>
      <c r="D1405" s="7">
        <v>18</v>
      </c>
      <c r="E1405" s="6" t="s">
        <v>5376</v>
      </c>
      <c r="F1405" s="6" t="s">
        <v>4508</v>
      </c>
      <c r="G1405" s="6" t="s">
        <v>25</v>
      </c>
      <c r="H1405" s="8"/>
      <c r="I1405" s="8">
        <v>9174</v>
      </c>
      <c r="J1405" s="6" t="s">
        <v>5256</v>
      </c>
      <c r="K1405" s="6" t="s">
        <v>2754</v>
      </c>
      <c r="L1405" s="6" t="s">
        <v>4516</v>
      </c>
      <c r="M1405" s="6" t="s">
        <v>5082</v>
      </c>
      <c r="N1405" s="6" t="s">
        <v>2754</v>
      </c>
      <c r="O1405" s="29">
        <f t="shared" si="31"/>
        <v>9174</v>
      </c>
      <c r="Q1405" s="30" t="s">
        <v>2754</v>
      </c>
      <c r="R1405" s="31">
        <v>9632.7</v>
      </c>
    </row>
    <row r="1406" s="1" customFormat="1" ht="16.35" hidden="1" customHeight="1" spans="1:18">
      <c r="A1406" s="6" t="s">
        <v>4506</v>
      </c>
      <c r="B1406" s="6">
        <v>2019</v>
      </c>
      <c r="C1406" s="6">
        <v>10</v>
      </c>
      <c r="D1406" s="7">
        <v>19</v>
      </c>
      <c r="E1406" s="6" t="s">
        <v>5514</v>
      </c>
      <c r="F1406" s="6" t="s">
        <v>4508</v>
      </c>
      <c r="G1406" s="6" t="s">
        <v>25</v>
      </c>
      <c r="H1406" s="8"/>
      <c r="I1406" s="8">
        <v>52294</v>
      </c>
      <c r="J1406" s="6" t="s">
        <v>5297</v>
      </c>
      <c r="K1406" s="6" t="s">
        <v>2247</v>
      </c>
      <c r="L1406" s="6" t="s">
        <v>4516</v>
      </c>
      <c r="M1406" s="6" t="s">
        <v>5082</v>
      </c>
      <c r="N1406" s="6" t="s">
        <v>2247</v>
      </c>
      <c r="O1406" s="29">
        <f t="shared" si="31"/>
        <v>52294</v>
      </c>
      <c r="Q1406" s="30" t="s">
        <v>2247</v>
      </c>
      <c r="R1406" s="31">
        <v>54908.7</v>
      </c>
    </row>
    <row r="1407" s="1" customFormat="1" ht="16.35" hidden="1" customHeight="1" spans="1:18">
      <c r="A1407" s="6" t="s">
        <v>4506</v>
      </c>
      <c r="B1407" s="6">
        <v>2019</v>
      </c>
      <c r="C1407" s="6">
        <v>10</v>
      </c>
      <c r="D1407" s="7">
        <v>20</v>
      </c>
      <c r="E1407" s="6" t="s">
        <v>5557</v>
      </c>
      <c r="F1407" s="6" t="s">
        <v>4508</v>
      </c>
      <c r="G1407" s="6" t="s">
        <v>25</v>
      </c>
      <c r="H1407" s="8"/>
      <c r="I1407" s="8">
        <v>58605</v>
      </c>
      <c r="J1407" s="6" t="s">
        <v>5558</v>
      </c>
      <c r="K1407" s="6" t="s">
        <v>2243</v>
      </c>
      <c r="L1407" s="6" t="s">
        <v>4516</v>
      </c>
      <c r="M1407" s="6" t="s">
        <v>5082</v>
      </c>
      <c r="N1407" s="6" t="s">
        <v>2243</v>
      </c>
      <c r="O1407" s="29">
        <f t="shared" si="31"/>
        <v>58605</v>
      </c>
      <c r="Q1407" s="30" t="s">
        <v>2243</v>
      </c>
      <c r="R1407" s="31">
        <v>61535.25</v>
      </c>
    </row>
    <row r="1408" s="1" customFormat="1" ht="16.35" hidden="1" customHeight="1" spans="1:18">
      <c r="A1408" s="6" t="s">
        <v>4506</v>
      </c>
      <c r="B1408" s="6">
        <v>2019</v>
      </c>
      <c r="C1408" s="6">
        <v>10</v>
      </c>
      <c r="D1408" s="7">
        <v>21</v>
      </c>
      <c r="E1408" s="6" t="s">
        <v>5561</v>
      </c>
      <c r="F1408" s="6" t="s">
        <v>4508</v>
      </c>
      <c r="G1408" s="6" t="s">
        <v>25</v>
      </c>
      <c r="H1408" s="8"/>
      <c r="I1408" s="8">
        <v>23853</v>
      </c>
      <c r="J1408" s="6" t="s">
        <v>5206</v>
      </c>
      <c r="K1408" s="6" t="s">
        <v>2746</v>
      </c>
      <c r="L1408" s="6" t="s">
        <v>4516</v>
      </c>
      <c r="M1408" s="6" t="s">
        <v>5082</v>
      </c>
      <c r="N1408" s="6" t="s">
        <v>2746</v>
      </c>
      <c r="O1408" s="29">
        <f t="shared" si="31"/>
        <v>23853</v>
      </c>
      <c r="Q1408" s="30" t="s">
        <v>2746</v>
      </c>
      <c r="R1408" s="31">
        <v>25045.65</v>
      </c>
    </row>
    <row r="1409" s="1" customFormat="1" ht="16.35" hidden="1" customHeight="1" spans="1:18">
      <c r="A1409" s="6" t="s">
        <v>4506</v>
      </c>
      <c r="B1409" s="6">
        <v>2019</v>
      </c>
      <c r="C1409" s="6">
        <v>10</v>
      </c>
      <c r="D1409" s="7">
        <v>22</v>
      </c>
      <c r="E1409" s="6" t="s">
        <v>5151</v>
      </c>
      <c r="F1409" s="6" t="s">
        <v>4508</v>
      </c>
      <c r="G1409" s="6" t="s">
        <v>25</v>
      </c>
      <c r="H1409" s="8"/>
      <c r="I1409" s="8">
        <v>17454</v>
      </c>
      <c r="J1409" s="6" t="s">
        <v>5152</v>
      </c>
      <c r="K1409" s="6" t="s">
        <v>1942</v>
      </c>
      <c r="L1409" s="6" t="s">
        <v>4516</v>
      </c>
      <c r="M1409" s="6" t="s">
        <v>5082</v>
      </c>
      <c r="N1409" s="6" t="s">
        <v>1942</v>
      </c>
      <c r="O1409" s="29">
        <f t="shared" si="31"/>
        <v>17454</v>
      </c>
      <c r="Q1409" s="30" t="s">
        <v>1942</v>
      </c>
      <c r="R1409" s="31">
        <v>17454</v>
      </c>
    </row>
    <row r="1410" s="1" customFormat="1" ht="16.35" hidden="1" customHeight="1" spans="1:18">
      <c r="A1410" s="6" t="s">
        <v>4506</v>
      </c>
      <c r="B1410" s="6">
        <v>2019</v>
      </c>
      <c r="C1410" s="6">
        <v>10</v>
      </c>
      <c r="D1410" s="7">
        <v>23</v>
      </c>
      <c r="E1410" s="6" t="s">
        <v>5555</v>
      </c>
      <c r="F1410" s="6" t="s">
        <v>4508</v>
      </c>
      <c r="G1410" s="6" t="s">
        <v>25</v>
      </c>
      <c r="H1410" s="8"/>
      <c r="I1410" s="8">
        <v>67171</v>
      </c>
      <c r="J1410" s="6" t="s">
        <v>5556</v>
      </c>
      <c r="K1410" s="6" t="s">
        <v>2358</v>
      </c>
      <c r="L1410" s="6" t="s">
        <v>4516</v>
      </c>
      <c r="M1410" s="6" t="s">
        <v>5082</v>
      </c>
      <c r="N1410" s="6" t="s">
        <v>2358</v>
      </c>
      <c r="O1410" s="29">
        <f t="shared" si="31"/>
        <v>67171</v>
      </c>
      <c r="Q1410" s="30" t="s">
        <v>2358</v>
      </c>
      <c r="R1410" s="31">
        <v>70529.55</v>
      </c>
    </row>
    <row r="1411" s="1" customFormat="1" ht="16.35" hidden="1" customHeight="1" spans="1:18">
      <c r="A1411" s="6" t="s">
        <v>4506</v>
      </c>
      <c r="B1411" s="6">
        <v>2019</v>
      </c>
      <c r="C1411" s="6">
        <v>10</v>
      </c>
      <c r="D1411" s="7">
        <v>24</v>
      </c>
      <c r="E1411" s="6" t="s">
        <v>5477</v>
      </c>
      <c r="F1411" s="6" t="s">
        <v>4508</v>
      </c>
      <c r="G1411" s="6" t="s">
        <v>25</v>
      </c>
      <c r="H1411" s="8"/>
      <c r="I1411" s="8">
        <v>15596</v>
      </c>
      <c r="J1411" s="6" t="s">
        <v>5478</v>
      </c>
      <c r="K1411" s="6" t="s">
        <v>1996</v>
      </c>
      <c r="L1411" s="6" t="s">
        <v>4516</v>
      </c>
      <c r="M1411" s="6" t="s">
        <v>5082</v>
      </c>
      <c r="N1411" s="6" t="s">
        <v>1996</v>
      </c>
      <c r="O1411" s="29">
        <f t="shared" si="31"/>
        <v>15596</v>
      </c>
      <c r="Q1411" s="30" t="s">
        <v>1996</v>
      </c>
      <c r="R1411" s="31">
        <v>16375.8</v>
      </c>
    </row>
    <row r="1412" s="1" customFormat="1" ht="16.35" hidden="1" customHeight="1" spans="1:18">
      <c r="A1412" s="6" t="s">
        <v>4506</v>
      </c>
      <c r="B1412" s="6">
        <v>2019</v>
      </c>
      <c r="C1412" s="6">
        <v>10</v>
      </c>
      <c r="D1412" s="7">
        <v>25</v>
      </c>
      <c r="E1412" s="6" t="s">
        <v>5188</v>
      </c>
      <c r="F1412" s="6" t="s">
        <v>4508</v>
      </c>
      <c r="G1412" s="6" t="s">
        <v>25</v>
      </c>
      <c r="H1412" s="8"/>
      <c r="I1412" s="8">
        <v>32018</v>
      </c>
      <c r="J1412" s="6" t="s">
        <v>5189</v>
      </c>
      <c r="K1412" s="6" t="s">
        <v>2097</v>
      </c>
      <c r="L1412" s="6" t="s">
        <v>4516</v>
      </c>
      <c r="M1412" s="6" t="s">
        <v>5082</v>
      </c>
      <c r="N1412" s="6" t="s">
        <v>2097</v>
      </c>
      <c r="O1412" s="29">
        <f t="shared" si="31"/>
        <v>32018</v>
      </c>
      <c r="Q1412" s="30" t="s">
        <v>2097</v>
      </c>
      <c r="R1412" s="31">
        <v>33618.9</v>
      </c>
    </row>
    <row r="1413" s="1" customFormat="1" ht="16.35" hidden="1" customHeight="1" spans="1:18">
      <c r="A1413" s="6" t="s">
        <v>4506</v>
      </c>
      <c r="B1413" s="6">
        <v>2019</v>
      </c>
      <c r="C1413" s="6">
        <v>10</v>
      </c>
      <c r="D1413" s="7">
        <v>26</v>
      </c>
      <c r="E1413" s="6" t="s">
        <v>5562</v>
      </c>
      <c r="F1413" s="6" t="s">
        <v>4508</v>
      </c>
      <c r="G1413" s="6" t="s">
        <v>25</v>
      </c>
      <c r="H1413" s="8"/>
      <c r="I1413" s="8">
        <v>63925</v>
      </c>
      <c r="J1413" s="6" t="s">
        <v>5563</v>
      </c>
      <c r="K1413" s="6" t="s">
        <v>2309</v>
      </c>
      <c r="L1413" s="6" t="s">
        <v>4516</v>
      </c>
      <c r="M1413" s="6" t="s">
        <v>5082</v>
      </c>
      <c r="N1413" s="6" t="s">
        <v>2309</v>
      </c>
      <c r="O1413" s="29">
        <f t="shared" si="31"/>
        <v>63925</v>
      </c>
      <c r="Q1413" s="30" t="s">
        <v>2309</v>
      </c>
      <c r="R1413" s="31">
        <v>67121.25</v>
      </c>
    </row>
    <row r="1414" s="1" customFormat="1" ht="16.35" hidden="1" customHeight="1" spans="1:18">
      <c r="A1414" s="6" t="s">
        <v>4506</v>
      </c>
      <c r="B1414" s="6">
        <v>2019</v>
      </c>
      <c r="C1414" s="6">
        <v>10</v>
      </c>
      <c r="D1414" s="7">
        <v>27</v>
      </c>
      <c r="E1414" s="6" t="s">
        <v>5362</v>
      </c>
      <c r="F1414" s="6" t="s">
        <v>4508</v>
      </c>
      <c r="G1414" s="6" t="s">
        <v>25</v>
      </c>
      <c r="H1414" s="8"/>
      <c r="I1414" s="8">
        <v>45872</v>
      </c>
      <c r="J1414" s="6" t="s">
        <v>5363</v>
      </c>
      <c r="K1414" s="6" t="s">
        <v>2053</v>
      </c>
      <c r="L1414" s="6" t="s">
        <v>4516</v>
      </c>
      <c r="M1414" s="6" t="s">
        <v>5082</v>
      </c>
      <c r="N1414" s="6" t="s">
        <v>2053</v>
      </c>
      <c r="O1414" s="29">
        <f t="shared" si="31"/>
        <v>45872</v>
      </c>
      <c r="Q1414" s="30" t="s">
        <v>2053</v>
      </c>
      <c r="R1414" s="31">
        <v>48165.6</v>
      </c>
    </row>
    <row r="1415" s="1" customFormat="1" ht="16.35" hidden="1" customHeight="1" spans="1:18">
      <c r="A1415" s="6" t="s">
        <v>4506</v>
      </c>
      <c r="B1415" s="6">
        <v>2019</v>
      </c>
      <c r="C1415" s="6">
        <v>10</v>
      </c>
      <c r="D1415" s="7">
        <v>28</v>
      </c>
      <c r="E1415" s="6" t="s">
        <v>5479</v>
      </c>
      <c r="F1415" s="6" t="s">
        <v>4508</v>
      </c>
      <c r="G1415" s="6" t="s">
        <v>25</v>
      </c>
      <c r="H1415" s="8"/>
      <c r="I1415" s="8">
        <v>137615</v>
      </c>
      <c r="J1415" s="6" t="s">
        <v>5480</v>
      </c>
      <c r="K1415" s="6" t="s">
        <v>2208</v>
      </c>
      <c r="L1415" s="6" t="s">
        <v>4516</v>
      </c>
      <c r="M1415" s="6" t="s">
        <v>5082</v>
      </c>
      <c r="N1415" s="6" t="s">
        <v>2208</v>
      </c>
      <c r="O1415" s="29">
        <f t="shared" si="31"/>
        <v>137615</v>
      </c>
      <c r="Q1415" s="30" t="s">
        <v>2208</v>
      </c>
      <c r="R1415" s="31">
        <v>144495.75</v>
      </c>
    </row>
    <row r="1416" s="1" customFormat="1" ht="16.35" hidden="1" customHeight="1" spans="1:18">
      <c r="A1416" s="6" t="s">
        <v>4506</v>
      </c>
      <c r="B1416" s="6">
        <v>2019</v>
      </c>
      <c r="C1416" s="6">
        <v>10</v>
      </c>
      <c r="D1416" s="7">
        <v>29</v>
      </c>
      <c r="E1416" s="6" t="s">
        <v>5443</v>
      </c>
      <c r="F1416" s="6" t="s">
        <v>4508</v>
      </c>
      <c r="G1416" s="6" t="s">
        <v>25</v>
      </c>
      <c r="H1416" s="8"/>
      <c r="I1416" s="8">
        <v>146789</v>
      </c>
      <c r="J1416" s="6" t="s">
        <v>5444</v>
      </c>
      <c r="K1416" s="6" t="s">
        <v>2299</v>
      </c>
      <c r="L1416" s="6" t="s">
        <v>4516</v>
      </c>
      <c r="M1416" s="6" t="s">
        <v>5082</v>
      </c>
      <c r="N1416" s="6" t="s">
        <v>2299</v>
      </c>
      <c r="O1416" s="29">
        <f t="shared" si="31"/>
        <v>146789</v>
      </c>
      <c r="Q1416" s="30" t="s">
        <v>2299</v>
      </c>
      <c r="R1416" s="31">
        <v>154128.45</v>
      </c>
    </row>
    <row r="1417" s="1" customFormat="1" ht="16.35" hidden="1" customHeight="1" spans="1:18">
      <c r="A1417" s="6" t="s">
        <v>4506</v>
      </c>
      <c r="B1417" s="6">
        <v>2019</v>
      </c>
      <c r="C1417" s="6">
        <v>10</v>
      </c>
      <c r="D1417" s="7">
        <v>30</v>
      </c>
      <c r="E1417" s="6" t="s">
        <v>5269</v>
      </c>
      <c r="F1417" s="6" t="s">
        <v>4508</v>
      </c>
      <c r="G1417" s="6" t="s">
        <v>25</v>
      </c>
      <c r="H1417" s="8"/>
      <c r="I1417" s="8">
        <v>91743</v>
      </c>
      <c r="J1417" s="6" t="s">
        <v>5136</v>
      </c>
      <c r="K1417" s="6" t="s">
        <v>2089</v>
      </c>
      <c r="L1417" s="6" t="s">
        <v>4516</v>
      </c>
      <c r="M1417" s="6" t="s">
        <v>5082</v>
      </c>
      <c r="N1417" s="6" t="s">
        <v>2089</v>
      </c>
      <c r="O1417" s="29">
        <f t="shared" si="31"/>
        <v>91743</v>
      </c>
      <c r="Q1417" s="30" t="s">
        <v>2089</v>
      </c>
      <c r="R1417" s="31">
        <v>96330.15</v>
      </c>
    </row>
    <row r="1418" s="1" customFormat="1" ht="16.35" hidden="1" customHeight="1" spans="1:18">
      <c r="A1418" s="6" t="s">
        <v>4506</v>
      </c>
      <c r="B1418" s="6">
        <v>2019</v>
      </c>
      <c r="C1418" s="6">
        <v>10</v>
      </c>
      <c r="D1418" s="7">
        <v>31</v>
      </c>
      <c r="E1418" s="6" t="s">
        <v>5477</v>
      </c>
      <c r="F1418" s="6" t="s">
        <v>4508</v>
      </c>
      <c r="G1418" s="6" t="s">
        <v>25</v>
      </c>
      <c r="H1418" s="8"/>
      <c r="I1418" s="8">
        <v>133945</v>
      </c>
      <c r="J1418" s="6" t="s">
        <v>5478</v>
      </c>
      <c r="K1418" s="6" t="s">
        <v>1996</v>
      </c>
      <c r="L1418" s="6" t="s">
        <v>4516</v>
      </c>
      <c r="M1418" s="6" t="s">
        <v>5082</v>
      </c>
      <c r="N1418" s="6" t="s">
        <v>1996</v>
      </c>
      <c r="O1418" s="29">
        <f t="shared" si="31"/>
        <v>133945</v>
      </c>
      <c r="Q1418" s="30" t="s">
        <v>1996</v>
      </c>
      <c r="R1418" s="31">
        <v>140642.25</v>
      </c>
    </row>
    <row r="1419" s="1" customFormat="1" ht="16.35" hidden="1" customHeight="1" spans="1:18">
      <c r="A1419" s="6" t="s">
        <v>4506</v>
      </c>
      <c r="B1419" s="6">
        <v>2019</v>
      </c>
      <c r="C1419" s="6">
        <v>10</v>
      </c>
      <c r="D1419" s="7">
        <v>32</v>
      </c>
      <c r="E1419" s="6" t="s">
        <v>5503</v>
      </c>
      <c r="F1419" s="6" t="s">
        <v>4508</v>
      </c>
      <c r="G1419" s="6" t="s">
        <v>25</v>
      </c>
      <c r="H1419" s="8"/>
      <c r="I1419" s="8">
        <v>137615</v>
      </c>
      <c r="J1419" s="6" t="s">
        <v>5504</v>
      </c>
      <c r="K1419" s="6" t="s">
        <v>2261</v>
      </c>
      <c r="L1419" s="6" t="s">
        <v>4516</v>
      </c>
      <c r="M1419" s="6" t="s">
        <v>5082</v>
      </c>
      <c r="N1419" s="6" t="s">
        <v>2261</v>
      </c>
      <c r="O1419" s="29">
        <f t="shared" si="31"/>
        <v>137615</v>
      </c>
      <c r="Q1419" s="30" t="s">
        <v>2261</v>
      </c>
      <c r="R1419" s="31">
        <v>144495.75</v>
      </c>
    </row>
    <row r="1420" s="1" customFormat="1" ht="16.35" hidden="1" customHeight="1" spans="1:18">
      <c r="A1420" s="6" t="s">
        <v>4506</v>
      </c>
      <c r="B1420" s="6">
        <v>2019</v>
      </c>
      <c r="C1420" s="6">
        <v>10</v>
      </c>
      <c r="D1420" s="7">
        <v>33</v>
      </c>
      <c r="E1420" s="6" t="s">
        <v>5564</v>
      </c>
      <c r="F1420" s="6" t="s">
        <v>4508</v>
      </c>
      <c r="G1420" s="6" t="s">
        <v>25</v>
      </c>
      <c r="H1420" s="8"/>
      <c r="I1420" s="8">
        <v>67890</v>
      </c>
      <c r="J1420" s="6" t="s">
        <v>5325</v>
      </c>
      <c r="K1420" s="6" t="s">
        <v>2774</v>
      </c>
      <c r="L1420" s="6" t="s">
        <v>4516</v>
      </c>
      <c r="M1420" s="6" t="s">
        <v>5082</v>
      </c>
      <c r="N1420" s="6" t="s">
        <v>2774</v>
      </c>
      <c r="O1420" s="29">
        <f t="shared" si="31"/>
        <v>67890</v>
      </c>
      <c r="Q1420" s="30" t="s">
        <v>2774</v>
      </c>
      <c r="R1420" s="31">
        <v>71284.5</v>
      </c>
    </row>
    <row r="1421" s="1" customFormat="1" ht="16.35" hidden="1" customHeight="1" spans="1:18">
      <c r="A1421" s="6" t="s">
        <v>4506</v>
      </c>
      <c r="B1421" s="6">
        <v>2019</v>
      </c>
      <c r="C1421" s="6">
        <v>10</v>
      </c>
      <c r="D1421" s="7">
        <v>54</v>
      </c>
      <c r="E1421" s="6" t="s">
        <v>5565</v>
      </c>
      <c r="F1421" s="6" t="s">
        <v>4508</v>
      </c>
      <c r="G1421" s="6" t="s">
        <v>25</v>
      </c>
      <c r="H1421" s="8"/>
      <c r="I1421" s="8">
        <v>-198440</v>
      </c>
      <c r="J1421" s="6" t="s">
        <v>5260</v>
      </c>
      <c r="K1421" s="6" t="s">
        <v>1946</v>
      </c>
      <c r="L1421" s="6" t="s">
        <v>4516</v>
      </c>
      <c r="M1421" s="6" t="s">
        <v>5082</v>
      </c>
      <c r="N1421" s="6" t="s">
        <v>1946</v>
      </c>
      <c r="O1421" s="29">
        <f t="shared" si="31"/>
        <v>-198440</v>
      </c>
      <c r="Q1421" s="30" t="s">
        <v>1946</v>
      </c>
      <c r="R1421" s="31">
        <v>-208362</v>
      </c>
    </row>
    <row r="1422" s="1" customFormat="1" ht="16.35" hidden="1" customHeight="1" spans="1:18">
      <c r="A1422" s="6" t="s">
        <v>4506</v>
      </c>
      <c r="B1422" s="6">
        <v>2019</v>
      </c>
      <c r="C1422" s="6">
        <v>11</v>
      </c>
      <c r="D1422" s="7">
        <v>1</v>
      </c>
      <c r="E1422" s="6" t="s">
        <v>5345</v>
      </c>
      <c r="F1422" s="6" t="s">
        <v>4508</v>
      </c>
      <c r="G1422" s="6" t="s">
        <v>25</v>
      </c>
      <c r="H1422" s="8"/>
      <c r="I1422" s="8">
        <v>9174</v>
      </c>
      <c r="J1422" s="6" t="s">
        <v>5346</v>
      </c>
      <c r="K1422" s="6" t="s">
        <v>2752</v>
      </c>
      <c r="L1422" s="6" t="s">
        <v>4516</v>
      </c>
      <c r="M1422" s="6" t="s">
        <v>5082</v>
      </c>
      <c r="N1422" s="6" t="s">
        <v>2752</v>
      </c>
      <c r="O1422" s="29">
        <f t="shared" ref="O1422:O1441" si="32">I1422</f>
        <v>9174</v>
      </c>
      <c r="Q1422" s="30" t="s">
        <v>2752</v>
      </c>
      <c r="R1422" s="31">
        <v>9632.7</v>
      </c>
    </row>
    <row r="1423" s="1" customFormat="1" ht="16.35" hidden="1" customHeight="1" spans="1:18">
      <c r="A1423" s="6" t="s">
        <v>4506</v>
      </c>
      <c r="B1423" s="6">
        <v>2019</v>
      </c>
      <c r="C1423" s="6">
        <v>11</v>
      </c>
      <c r="D1423" s="7">
        <v>2</v>
      </c>
      <c r="E1423" s="6" t="s">
        <v>5566</v>
      </c>
      <c r="F1423" s="6" t="s">
        <v>4508</v>
      </c>
      <c r="G1423" s="6" t="s">
        <v>25</v>
      </c>
      <c r="H1423" s="8"/>
      <c r="I1423" s="8">
        <v>4587</v>
      </c>
      <c r="J1423" s="6" t="s">
        <v>5567</v>
      </c>
      <c r="K1423" s="6" t="s">
        <v>2295</v>
      </c>
      <c r="L1423" s="6" t="s">
        <v>4516</v>
      </c>
      <c r="M1423" s="6" t="s">
        <v>5082</v>
      </c>
      <c r="N1423" s="6" t="s">
        <v>2295</v>
      </c>
      <c r="O1423" s="29">
        <f t="shared" si="32"/>
        <v>4587</v>
      </c>
      <c r="Q1423" s="30" t="s">
        <v>2295</v>
      </c>
      <c r="R1423" s="31">
        <v>4816.35</v>
      </c>
    </row>
    <row r="1424" s="1" customFormat="1" ht="16.35" hidden="1" customHeight="1" spans="1:18">
      <c r="A1424" s="6" t="s">
        <v>4506</v>
      </c>
      <c r="B1424" s="6">
        <v>2019</v>
      </c>
      <c r="C1424" s="6">
        <v>11</v>
      </c>
      <c r="D1424" s="7">
        <v>3</v>
      </c>
      <c r="E1424" s="6" t="s">
        <v>5188</v>
      </c>
      <c r="F1424" s="6" t="s">
        <v>4508</v>
      </c>
      <c r="G1424" s="6" t="s">
        <v>25</v>
      </c>
      <c r="H1424" s="8"/>
      <c r="I1424" s="8">
        <v>16972</v>
      </c>
      <c r="J1424" s="6" t="s">
        <v>5189</v>
      </c>
      <c r="K1424" s="6" t="s">
        <v>2097</v>
      </c>
      <c r="L1424" s="6" t="s">
        <v>4516</v>
      </c>
      <c r="M1424" s="6" t="s">
        <v>5082</v>
      </c>
      <c r="N1424" s="6" t="s">
        <v>2097</v>
      </c>
      <c r="O1424" s="29">
        <f t="shared" si="32"/>
        <v>16972</v>
      </c>
      <c r="Q1424" s="30" t="s">
        <v>2097</v>
      </c>
      <c r="R1424" s="31">
        <v>17820.6</v>
      </c>
    </row>
    <row r="1425" s="1" customFormat="1" ht="16.35" hidden="1" customHeight="1" spans="1:18">
      <c r="A1425" s="6" t="s">
        <v>4506</v>
      </c>
      <c r="B1425" s="6">
        <v>2019</v>
      </c>
      <c r="C1425" s="6">
        <v>11</v>
      </c>
      <c r="D1425" s="7">
        <v>4</v>
      </c>
      <c r="E1425" s="6" t="s">
        <v>5568</v>
      </c>
      <c r="F1425" s="6" t="s">
        <v>4508</v>
      </c>
      <c r="G1425" s="6" t="s">
        <v>25</v>
      </c>
      <c r="H1425" s="8"/>
      <c r="I1425" s="8">
        <v>54494</v>
      </c>
      <c r="J1425" s="6" t="s">
        <v>5569</v>
      </c>
      <c r="K1425" s="6" t="s">
        <v>1994</v>
      </c>
      <c r="L1425" s="6" t="s">
        <v>4516</v>
      </c>
      <c r="M1425" s="6" t="s">
        <v>5082</v>
      </c>
      <c r="N1425" s="6" t="s">
        <v>1994</v>
      </c>
      <c r="O1425" s="29">
        <f t="shared" si="32"/>
        <v>54494</v>
      </c>
      <c r="Q1425" s="30" t="s">
        <v>1994</v>
      </c>
      <c r="R1425" s="31">
        <v>57218.7</v>
      </c>
    </row>
    <row r="1426" s="1" customFormat="1" ht="16.35" hidden="1" customHeight="1" spans="1:18">
      <c r="A1426" s="6" t="s">
        <v>4506</v>
      </c>
      <c r="B1426" s="6">
        <v>2019</v>
      </c>
      <c r="C1426" s="6">
        <v>11</v>
      </c>
      <c r="D1426" s="7">
        <v>5</v>
      </c>
      <c r="E1426" s="6" t="s">
        <v>5435</v>
      </c>
      <c r="F1426" s="6" t="s">
        <v>4508</v>
      </c>
      <c r="G1426" s="6" t="s">
        <v>25</v>
      </c>
      <c r="H1426" s="8"/>
      <c r="I1426" s="8">
        <v>125688</v>
      </c>
      <c r="J1426" s="6" t="s">
        <v>5436</v>
      </c>
      <c r="K1426" s="6" t="s">
        <v>1944</v>
      </c>
      <c r="L1426" s="6" t="s">
        <v>4516</v>
      </c>
      <c r="M1426" s="6" t="s">
        <v>5082</v>
      </c>
      <c r="N1426" s="6" t="s">
        <v>1944</v>
      </c>
      <c r="O1426" s="29">
        <f t="shared" si="32"/>
        <v>125688</v>
      </c>
      <c r="Q1426" s="30" t="s">
        <v>1944</v>
      </c>
      <c r="R1426" s="31">
        <v>125688</v>
      </c>
    </row>
    <row r="1427" s="1" customFormat="1" ht="16.35" hidden="1" customHeight="1" spans="1:18">
      <c r="A1427" s="6" t="s">
        <v>4506</v>
      </c>
      <c r="B1427" s="6">
        <v>2019</v>
      </c>
      <c r="C1427" s="6">
        <v>11</v>
      </c>
      <c r="D1427" s="7">
        <v>6</v>
      </c>
      <c r="E1427" s="6" t="s">
        <v>5454</v>
      </c>
      <c r="F1427" s="6" t="s">
        <v>4508</v>
      </c>
      <c r="G1427" s="6" t="s">
        <v>25</v>
      </c>
      <c r="H1427" s="8"/>
      <c r="I1427" s="8">
        <v>183486</v>
      </c>
      <c r="J1427" s="6" t="s">
        <v>5455</v>
      </c>
      <c r="K1427" s="6" t="s">
        <v>2756</v>
      </c>
      <c r="L1427" s="6" t="s">
        <v>4516</v>
      </c>
      <c r="M1427" s="6" t="s">
        <v>5082</v>
      </c>
      <c r="N1427" s="6" t="s">
        <v>2756</v>
      </c>
      <c r="O1427" s="29">
        <f t="shared" si="32"/>
        <v>183486</v>
      </c>
      <c r="Q1427" s="30" t="s">
        <v>2756</v>
      </c>
      <c r="R1427" s="31">
        <v>192660.3</v>
      </c>
    </row>
    <row r="1428" s="1" customFormat="1" ht="16.35" hidden="1" customHeight="1" spans="1:18">
      <c r="A1428" s="6" t="s">
        <v>4506</v>
      </c>
      <c r="B1428" s="6">
        <v>2019</v>
      </c>
      <c r="C1428" s="6">
        <v>11</v>
      </c>
      <c r="D1428" s="7">
        <v>7</v>
      </c>
      <c r="E1428" s="6" t="s">
        <v>5188</v>
      </c>
      <c r="F1428" s="6" t="s">
        <v>4508</v>
      </c>
      <c r="G1428" s="6" t="s">
        <v>25</v>
      </c>
      <c r="H1428" s="8"/>
      <c r="I1428" s="8">
        <v>2356</v>
      </c>
      <c r="J1428" s="6" t="s">
        <v>5189</v>
      </c>
      <c r="K1428" s="6" t="s">
        <v>2097</v>
      </c>
      <c r="L1428" s="6" t="s">
        <v>4516</v>
      </c>
      <c r="M1428" s="6" t="s">
        <v>5082</v>
      </c>
      <c r="N1428" s="6" t="s">
        <v>2097</v>
      </c>
      <c r="O1428" s="29">
        <f t="shared" si="32"/>
        <v>2356</v>
      </c>
      <c r="Q1428" s="30" t="s">
        <v>2097</v>
      </c>
      <c r="R1428" s="31">
        <v>2473.8</v>
      </c>
    </row>
    <row r="1429" s="1" customFormat="1" ht="16.35" hidden="1" customHeight="1" spans="1:18">
      <c r="A1429" s="6" t="s">
        <v>4506</v>
      </c>
      <c r="B1429" s="6">
        <v>2019</v>
      </c>
      <c r="C1429" s="6">
        <v>11</v>
      </c>
      <c r="D1429" s="7">
        <v>8</v>
      </c>
      <c r="E1429" s="6" t="s">
        <v>5374</v>
      </c>
      <c r="F1429" s="6" t="s">
        <v>4508</v>
      </c>
      <c r="G1429" s="6" t="s">
        <v>25</v>
      </c>
      <c r="H1429" s="8"/>
      <c r="I1429" s="8">
        <v>142202</v>
      </c>
      <c r="J1429" s="6" t="s">
        <v>5375</v>
      </c>
      <c r="K1429" s="6" t="s">
        <v>2007</v>
      </c>
      <c r="L1429" s="6" t="s">
        <v>4516</v>
      </c>
      <c r="M1429" s="6" t="s">
        <v>5082</v>
      </c>
      <c r="N1429" s="6" t="s">
        <v>2007</v>
      </c>
      <c r="O1429" s="29">
        <f t="shared" si="32"/>
        <v>142202</v>
      </c>
      <c r="Q1429" s="30" t="s">
        <v>2007</v>
      </c>
      <c r="R1429" s="31">
        <v>149312.1</v>
      </c>
    </row>
    <row r="1430" s="1" customFormat="1" ht="16.35" hidden="1" customHeight="1" spans="1:18">
      <c r="A1430" s="6" t="s">
        <v>4506</v>
      </c>
      <c r="B1430" s="6">
        <v>2019</v>
      </c>
      <c r="C1430" s="6">
        <v>11</v>
      </c>
      <c r="D1430" s="7">
        <v>9</v>
      </c>
      <c r="E1430" s="6" t="s">
        <v>5570</v>
      </c>
      <c r="F1430" s="6" t="s">
        <v>4508</v>
      </c>
      <c r="G1430" s="6" t="s">
        <v>25</v>
      </c>
      <c r="H1430" s="8"/>
      <c r="I1430" s="8">
        <v>16160</v>
      </c>
      <c r="J1430" s="6" t="s">
        <v>5571</v>
      </c>
      <c r="K1430" s="6" t="s">
        <v>2192</v>
      </c>
      <c r="L1430" s="6" t="s">
        <v>4516</v>
      </c>
      <c r="M1430" s="6" t="s">
        <v>5082</v>
      </c>
      <c r="N1430" s="6" t="s">
        <v>2192</v>
      </c>
      <c r="O1430" s="29">
        <f t="shared" si="32"/>
        <v>16160</v>
      </c>
      <c r="Q1430" s="30" t="s">
        <v>2192</v>
      </c>
      <c r="R1430" s="31">
        <v>16160</v>
      </c>
    </row>
    <row r="1431" s="1" customFormat="1" ht="16.35" hidden="1" customHeight="1" spans="1:18">
      <c r="A1431" s="6" t="s">
        <v>4506</v>
      </c>
      <c r="B1431" s="6">
        <v>2019</v>
      </c>
      <c r="C1431" s="6">
        <v>11</v>
      </c>
      <c r="D1431" s="7">
        <v>10</v>
      </c>
      <c r="E1431" s="6" t="s">
        <v>5566</v>
      </c>
      <c r="F1431" s="6" t="s">
        <v>4508</v>
      </c>
      <c r="G1431" s="6" t="s">
        <v>25</v>
      </c>
      <c r="H1431" s="8"/>
      <c r="I1431" s="8">
        <v>59104</v>
      </c>
      <c r="J1431" s="6" t="s">
        <v>5567</v>
      </c>
      <c r="K1431" s="6" t="s">
        <v>2295</v>
      </c>
      <c r="L1431" s="6" t="s">
        <v>4516</v>
      </c>
      <c r="M1431" s="6" t="s">
        <v>5082</v>
      </c>
      <c r="N1431" s="6" t="s">
        <v>2295</v>
      </c>
      <c r="O1431" s="29">
        <f t="shared" si="32"/>
        <v>59104</v>
      </c>
      <c r="Q1431" s="30" t="s">
        <v>2295</v>
      </c>
      <c r="R1431" s="31">
        <v>62059.2</v>
      </c>
    </row>
    <row r="1432" s="1" customFormat="1" ht="16.35" hidden="1" customHeight="1" spans="1:18">
      <c r="A1432" s="6" t="s">
        <v>4506</v>
      </c>
      <c r="B1432" s="6">
        <v>2019</v>
      </c>
      <c r="C1432" s="6">
        <v>11</v>
      </c>
      <c r="D1432" s="7">
        <v>11</v>
      </c>
      <c r="E1432" s="6" t="s">
        <v>5244</v>
      </c>
      <c r="F1432" s="6" t="s">
        <v>4508</v>
      </c>
      <c r="G1432" s="6" t="s">
        <v>25</v>
      </c>
      <c r="H1432" s="8"/>
      <c r="I1432" s="8">
        <v>137615</v>
      </c>
      <c r="J1432" s="6" t="s">
        <v>5097</v>
      </c>
      <c r="K1432" s="6" t="s">
        <v>2163</v>
      </c>
      <c r="L1432" s="6" t="s">
        <v>4516</v>
      </c>
      <c r="M1432" s="6" t="s">
        <v>5082</v>
      </c>
      <c r="N1432" s="6" t="s">
        <v>2163</v>
      </c>
      <c r="O1432" s="29">
        <f t="shared" si="32"/>
        <v>137615</v>
      </c>
      <c r="Q1432" s="30" t="s">
        <v>2163</v>
      </c>
      <c r="R1432" s="31">
        <v>144495.75</v>
      </c>
    </row>
    <row r="1433" s="1" customFormat="1" ht="16.35" hidden="1" customHeight="1" spans="1:18">
      <c r="A1433" s="6" t="s">
        <v>4506</v>
      </c>
      <c r="B1433" s="6">
        <v>2019</v>
      </c>
      <c r="C1433" s="6">
        <v>11</v>
      </c>
      <c r="D1433" s="7">
        <v>12</v>
      </c>
      <c r="E1433" s="6" t="s">
        <v>5405</v>
      </c>
      <c r="F1433" s="6" t="s">
        <v>4508</v>
      </c>
      <c r="G1433" s="6" t="s">
        <v>25</v>
      </c>
      <c r="H1433" s="8"/>
      <c r="I1433" s="8">
        <v>64220</v>
      </c>
      <c r="J1433" s="6" t="s">
        <v>5406</v>
      </c>
      <c r="K1433" s="6" t="s">
        <v>2037</v>
      </c>
      <c r="L1433" s="6" t="s">
        <v>4516</v>
      </c>
      <c r="M1433" s="6" t="s">
        <v>5082</v>
      </c>
      <c r="N1433" s="6" t="s">
        <v>2037</v>
      </c>
      <c r="O1433" s="29">
        <f t="shared" si="32"/>
        <v>64220</v>
      </c>
      <c r="Q1433" s="30" t="s">
        <v>2037</v>
      </c>
      <c r="R1433" s="31">
        <v>67431</v>
      </c>
    </row>
    <row r="1434" s="1" customFormat="1" ht="16.35" hidden="1" customHeight="1" spans="1:18">
      <c r="A1434" s="6" t="s">
        <v>4506</v>
      </c>
      <c r="B1434" s="6">
        <v>2019</v>
      </c>
      <c r="C1434" s="6">
        <v>11</v>
      </c>
      <c r="D1434" s="7">
        <v>13</v>
      </c>
      <c r="E1434" s="6" t="s">
        <v>5509</v>
      </c>
      <c r="F1434" s="6" t="s">
        <v>4508</v>
      </c>
      <c r="G1434" s="6" t="s">
        <v>25</v>
      </c>
      <c r="H1434" s="8"/>
      <c r="I1434" s="8">
        <v>146789</v>
      </c>
      <c r="J1434" s="6" t="s">
        <v>5510</v>
      </c>
      <c r="K1434" s="6" t="s">
        <v>1982</v>
      </c>
      <c r="L1434" s="6" t="s">
        <v>4516</v>
      </c>
      <c r="M1434" s="6" t="s">
        <v>5082</v>
      </c>
      <c r="N1434" s="6" t="s">
        <v>1982</v>
      </c>
      <c r="O1434" s="29">
        <f t="shared" si="32"/>
        <v>146789</v>
      </c>
      <c r="Q1434" s="30" t="s">
        <v>1982</v>
      </c>
      <c r="R1434" s="31">
        <v>154128.45</v>
      </c>
    </row>
    <row r="1435" s="1" customFormat="1" ht="16.35" hidden="1" customHeight="1" spans="1:18">
      <c r="A1435" s="6" t="s">
        <v>4506</v>
      </c>
      <c r="B1435" s="6">
        <v>2019</v>
      </c>
      <c r="C1435" s="6">
        <v>11</v>
      </c>
      <c r="D1435" s="7">
        <v>14</v>
      </c>
      <c r="E1435" s="6" t="s">
        <v>5572</v>
      </c>
      <c r="F1435" s="6" t="s">
        <v>4508</v>
      </c>
      <c r="G1435" s="6" t="s">
        <v>25</v>
      </c>
      <c r="H1435" s="8"/>
      <c r="I1435" s="8">
        <v>137615</v>
      </c>
      <c r="J1435" s="6" t="s">
        <v>5543</v>
      </c>
      <c r="K1435" s="6" t="s">
        <v>2200</v>
      </c>
      <c r="L1435" s="6" t="s">
        <v>4516</v>
      </c>
      <c r="M1435" s="6" t="s">
        <v>5082</v>
      </c>
      <c r="N1435" s="6" t="s">
        <v>2200</v>
      </c>
      <c r="O1435" s="29">
        <f t="shared" si="32"/>
        <v>137615</v>
      </c>
      <c r="Q1435" s="30" t="s">
        <v>2200</v>
      </c>
      <c r="R1435" s="31">
        <v>144495.75</v>
      </c>
    </row>
    <row r="1436" s="1" customFormat="1" ht="16.35" hidden="1" customHeight="1" spans="1:18">
      <c r="A1436" s="6" t="s">
        <v>4506</v>
      </c>
      <c r="B1436" s="6">
        <v>2019</v>
      </c>
      <c r="C1436" s="6">
        <v>11</v>
      </c>
      <c r="D1436" s="7">
        <v>15</v>
      </c>
      <c r="E1436" s="6" t="s">
        <v>5573</v>
      </c>
      <c r="F1436" s="6" t="s">
        <v>4508</v>
      </c>
      <c r="G1436" s="6" t="s">
        <v>25</v>
      </c>
      <c r="H1436" s="8"/>
      <c r="I1436" s="8">
        <v>146789</v>
      </c>
      <c r="J1436" s="6" t="s">
        <v>5506</v>
      </c>
      <c r="K1436" s="6" t="s">
        <v>2253</v>
      </c>
      <c r="L1436" s="6" t="s">
        <v>4516</v>
      </c>
      <c r="M1436" s="6" t="s">
        <v>5082</v>
      </c>
      <c r="N1436" s="6" t="s">
        <v>2253</v>
      </c>
      <c r="O1436" s="29">
        <f t="shared" si="32"/>
        <v>146789</v>
      </c>
      <c r="Q1436" s="30" t="s">
        <v>2253</v>
      </c>
      <c r="R1436" s="31">
        <v>154128.45</v>
      </c>
    </row>
    <row r="1437" s="1" customFormat="1" ht="16.35" hidden="1" customHeight="1" spans="1:18">
      <c r="A1437" s="6" t="s">
        <v>4506</v>
      </c>
      <c r="B1437" s="6">
        <v>2019</v>
      </c>
      <c r="C1437" s="6">
        <v>11</v>
      </c>
      <c r="D1437" s="7">
        <v>16</v>
      </c>
      <c r="E1437" s="6" t="s">
        <v>5574</v>
      </c>
      <c r="F1437" s="6" t="s">
        <v>4508</v>
      </c>
      <c r="G1437" s="6" t="s">
        <v>25</v>
      </c>
      <c r="H1437" s="8"/>
      <c r="I1437" s="8">
        <v>155046</v>
      </c>
      <c r="J1437" s="6" t="s">
        <v>5529</v>
      </c>
      <c r="K1437" s="6" t="s">
        <v>2291</v>
      </c>
      <c r="L1437" s="6" t="s">
        <v>4516</v>
      </c>
      <c r="M1437" s="6" t="s">
        <v>5082</v>
      </c>
      <c r="N1437" s="6" t="s">
        <v>2291</v>
      </c>
      <c r="O1437" s="29">
        <f t="shared" si="32"/>
        <v>155046</v>
      </c>
      <c r="Q1437" s="30" t="s">
        <v>2291</v>
      </c>
      <c r="R1437" s="31">
        <v>162798.3</v>
      </c>
    </row>
    <row r="1438" s="1" customFormat="1" ht="16.35" hidden="1" customHeight="1" spans="1:18">
      <c r="A1438" s="6" t="s">
        <v>4506</v>
      </c>
      <c r="B1438" s="6">
        <v>2019</v>
      </c>
      <c r="C1438" s="6">
        <v>11</v>
      </c>
      <c r="D1438" s="7">
        <v>17</v>
      </c>
      <c r="E1438" s="6" t="s">
        <v>5575</v>
      </c>
      <c r="F1438" s="6" t="s">
        <v>4508</v>
      </c>
      <c r="G1438" s="6" t="s">
        <v>25</v>
      </c>
      <c r="H1438" s="8"/>
      <c r="I1438" s="8">
        <v>63303</v>
      </c>
      <c r="J1438" s="6" t="s">
        <v>5235</v>
      </c>
      <c r="K1438" s="6" t="s">
        <v>2059</v>
      </c>
      <c r="L1438" s="6" t="s">
        <v>4516</v>
      </c>
      <c r="M1438" s="6" t="s">
        <v>5082</v>
      </c>
      <c r="N1438" s="6" t="s">
        <v>2059</v>
      </c>
      <c r="O1438" s="29">
        <f t="shared" si="32"/>
        <v>63303</v>
      </c>
      <c r="Q1438" s="30" t="s">
        <v>2059</v>
      </c>
      <c r="R1438" s="31">
        <v>66468.15</v>
      </c>
    </row>
    <row r="1439" s="1" customFormat="1" ht="16.35" hidden="1" customHeight="1" spans="1:18">
      <c r="A1439" s="6" t="s">
        <v>4506</v>
      </c>
      <c r="B1439" s="6">
        <v>2019</v>
      </c>
      <c r="C1439" s="6">
        <v>11</v>
      </c>
      <c r="D1439" s="7">
        <v>18</v>
      </c>
      <c r="E1439" s="6" t="s">
        <v>5517</v>
      </c>
      <c r="F1439" s="6" t="s">
        <v>4508</v>
      </c>
      <c r="G1439" s="6" t="s">
        <v>25</v>
      </c>
      <c r="H1439" s="8"/>
      <c r="I1439" s="8">
        <v>146789</v>
      </c>
      <c r="J1439" s="6" t="s">
        <v>5518</v>
      </c>
      <c r="K1439" s="6" t="s">
        <v>2275</v>
      </c>
      <c r="L1439" s="6" t="s">
        <v>4516</v>
      </c>
      <c r="M1439" s="6" t="s">
        <v>5082</v>
      </c>
      <c r="N1439" s="6" t="s">
        <v>2275</v>
      </c>
      <c r="O1439" s="29">
        <f t="shared" si="32"/>
        <v>146789</v>
      </c>
      <c r="Q1439" s="30" t="s">
        <v>2275</v>
      </c>
      <c r="R1439" s="31">
        <v>154128.45</v>
      </c>
    </row>
    <row r="1440" s="1" customFormat="1" ht="16.35" hidden="1" customHeight="1" spans="1:18">
      <c r="A1440" s="6" t="s">
        <v>4506</v>
      </c>
      <c r="B1440" s="6">
        <v>2019</v>
      </c>
      <c r="C1440" s="6">
        <v>11</v>
      </c>
      <c r="D1440" s="7">
        <v>19</v>
      </c>
      <c r="E1440" s="6" t="s">
        <v>5576</v>
      </c>
      <c r="F1440" s="6" t="s">
        <v>4508</v>
      </c>
      <c r="G1440" s="6" t="s">
        <v>25</v>
      </c>
      <c r="H1440" s="8"/>
      <c r="I1440" s="8">
        <v>155963</v>
      </c>
      <c r="J1440" s="6" t="s">
        <v>5532</v>
      </c>
      <c r="K1440" s="6" t="s">
        <v>2237</v>
      </c>
      <c r="L1440" s="6" t="s">
        <v>4516</v>
      </c>
      <c r="M1440" s="6" t="s">
        <v>5082</v>
      </c>
      <c r="N1440" s="6" t="s">
        <v>2237</v>
      </c>
      <c r="O1440" s="29">
        <f t="shared" si="32"/>
        <v>155963</v>
      </c>
      <c r="Q1440" s="30" t="s">
        <v>2237</v>
      </c>
      <c r="R1440" s="31">
        <v>163761.15</v>
      </c>
    </row>
    <row r="1441" s="1" customFormat="1" ht="16.35" hidden="1" customHeight="1" spans="1:18">
      <c r="A1441" s="6" t="s">
        <v>4506</v>
      </c>
      <c r="B1441" s="6">
        <v>2019</v>
      </c>
      <c r="C1441" s="6">
        <v>11</v>
      </c>
      <c r="D1441" s="7">
        <v>20</v>
      </c>
      <c r="E1441" s="6" t="s">
        <v>5577</v>
      </c>
      <c r="F1441" s="6" t="s">
        <v>4508</v>
      </c>
      <c r="G1441" s="6" t="s">
        <v>25</v>
      </c>
      <c r="H1441" s="8"/>
      <c r="I1441" s="8">
        <v>244037</v>
      </c>
      <c r="J1441" s="6" t="s">
        <v>5391</v>
      </c>
      <c r="K1441" s="6" t="s">
        <v>2883</v>
      </c>
      <c r="L1441" s="6" t="s">
        <v>4516</v>
      </c>
      <c r="M1441" s="6" t="s">
        <v>5082</v>
      </c>
      <c r="N1441" s="6" t="s">
        <v>2883</v>
      </c>
      <c r="O1441" s="29">
        <f t="shared" si="32"/>
        <v>244037</v>
      </c>
      <c r="Q1441" s="30" t="s">
        <v>2883</v>
      </c>
      <c r="R1441" s="31">
        <v>256238.85</v>
      </c>
    </row>
    <row r="1442" s="1" customFormat="1" ht="16.35" hidden="1" customHeight="1" spans="1:18">
      <c r="A1442" s="6" t="s">
        <v>4506</v>
      </c>
      <c r="B1442" s="6">
        <v>2019</v>
      </c>
      <c r="C1442" s="6">
        <v>11</v>
      </c>
      <c r="D1442" s="7">
        <v>42</v>
      </c>
      <c r="E1442" s="6" t="s">
        <v>5578</v>
      </c>
      <c r="F1442" s="6" t="s">
        <v>4508</v>
      </c>
      <c r="G1442" s="6" t="s">
        <v>25</v>
      </c>
      <c r="H1442" s="8"/>
      <c r="I1442" s="8">
        <v>-174448</v>
      </c>
      <c r="J1442" s="6" t="s">
        <v>4846</v>
      </c>
      <c r="K1442" s="6" t="s">
        <v>742</v>
      </c>
      <c r="L1442" s="6" t="s">
        <v>4510</v>
      </c>
      <c r="M1442" s="6" t="s">
        <v>4511</v>
      </c>
      <c r="N1442" s="6" t="s">
        <v>742</v>
      </c>
      <c r="O1442" s="29">
        <f>I1442*1.05</f>
        <v>-183170.4</v>
      </c>
      <c r="Q1442" s="30" t="s">
        <v>742</v>
      </c>
      <c r="R1442" s="31">
        <v>-183170.4</v>
      </c>
    </row>
    <row r="1443" s="1" customFormat="1" ht="16.35" hidden="1" customHeight="1" spans="1:18">
      <c r="A1443" s="6" t="s">
        <v>4506</v>
      </c>
      <c r="B1443" s="6">
        <v>2019</v>
      </c>
      <c r="C1443" s="6">
        <v>11</v>
      </c>
      <c r="D1443" s="7">
        <v>61</v>
      </c>
      <c r="E1443" s="6" t="s">
        <v>5162</v>
      </c>
      <c r="F1443" s="6" t="s">
        <v>4508</v>
      </c>
      <c r="G1443" s="6" t="s">
        <v>25</v>
      </c>
      <c r="H1443" s="8"/>
      <c r="I1443" s="8">
        <v>22041</v>
      </c>
      <c r="J1443" s="6" t="s">
        <v>5163</v>
      </c>
      <c r="K1443" s="6" t="s">
        <v>1988</v>
      </c>
      <c r="L1443" s="6" t="s">
        <v>4516</v>
      </c>
      <c r="M1443" s="6" t="s">
        <v>5082</v>
      </c>
      <c r="N1443" s="6" t="s">
        <v>1988</v>
      </c>
      <c r="O1443" s="29">
        <f t="shared" ref="O1443:O1486" si="33">I1443</f>
        <v>22041</v>
      </c>
      <c r="Q1443" s="30" t="s">
        <v>1988</v>
      </c>
      <c r="R1443" s="31">
        <v>23143.05</v>
      </c>
    </row>
    <row r="1444" s="1" customFormat="1" ht="16.35" hidden="1" customHeight="1" spans="1:18">
      <c r="A1444" s="6" t="s">
        <v>4506</v>
      </c>
      <c r="B1444" s="6">
        <v>2019</v>
      </c>
      <c r="C1444" s="6">
        <v>11</v>
      </c>
      <c r="D1444" s="7">
        <v>62</v>
      </c>
      <c r="E1444" s="6" t="s">
        <v>5579</v>
      </c>
      <c r="F1444" s="6" t="s">
        <v>4508</v>
      </c>
      <c r="G1444" s="6" t="s">
        <v>25</v>
      </c>
      <c r="H1444" s="8"/>
      <c r="I1444" s="8">
        <v>13761</v>
      </c>
      <c r="J1444" s="6" t="s">
        <v>5506</v>
      </c>
      <c r="K1444" s="6" t="s">
        <v>2253</v>
      </c>
      <c r="L1444" s="6" t="s">
        <v>4516</v>
      </c>
      <c r="M1444" s="6" t="s">
        <v>5082</v>
      </c>
      <c r="N1444" s="6" t="s">
        <v>2253</v>
      </c>
      <c r="O1444" s="29">
        <f t="shared" si="33"/>
        <v>13761</v>
      </c>
      <c r="Q1444" s="30" t="s">
        <v>2253</v>
      </c>
      <c r="R1444" s="31">
        <v>14449.05</v>
      </c>
    </row>
    <row r="1445" s="1" customFormat="1" ht="16.35" hidden="1" customHeight="1" spans="1:18">
      <c r="A1445" s="6" t="s">
        <v>4506</v>
      </c>
      <c r="B1445" s="6">
        <v>2019</v>
      </c>
      <c r="C1445" s="6">
        <v>11</v>
      </c>
      <c r="D1445" s="7">
        <v>63</v>
      </c>
      <c r="E1445" s="6" t="s">
        <v>5517</v>
      </c>
      <c r="F1445" s="6" t="s">
        <v>4508</v>
      </c>
      <c r="G1445" s="6" t="s">
        <v>25</v>
      </c>
      <c r="H1445" s="8"/>
      <c r="I1445" s="8">
        <v>18349</v>
      </c>
      <c r="J1445" s="6" t="s">
        <v>5518</v>
      </c>
      <c r="K1445" s="6" t="s">
        <v>2275</v>
      </c>
      <c r="L1445" s="6" t="s">
        <v>4516</v>
      </c>
      <c r="M1445" s="6" t="s">
        <v>5082</v>
      </c>
      <c r="N1445" s="6" t="s">
        <v>2275</v>
      </c>
      <c r="O1445" s="29">
        <f t="shared" si="33"/>
        <v>18349</v>
      </c>
      <c r="Q1445" s="30" t="s">
        <v>2275</v>
      </c>
      <c r="R1445" s="31">
        <v>19266.45</v>
      </c>
    </row>
    <row r="1446" s="1" customFormat="1" ht="16.35" hidden="1" customHeight="1" spans="1:18">
      <c r="A1446" s="6" t="s">
        <v>4506</v>
      </c>
      <c r="B1446" s="6">
        <v>2019</v>
      </c>
      <c r="C1446" s="6">
        <v>11</v>
      </c>
      <c r="D1446" s="7">
        <v>64</v>
      </c>
      <c r="E1446" s="6" t="s">
        <v>5580</v>
      </c>
      <c r="F1446" s="6" t="s">
        <v>4508</v>
      </c>
      <c r="G1446" s="6" t="s">
        <v>25</v>
      </c>
      <c r="H1446" s="8"/>
      <c r="I1446" s="8">
        <v>917</v>
      </c>
      <c r="J1446" s="6" t="s">
        <v>5235</v>
      </c>
      <c r="K1446" s="6" t="s">
        <v>2059</v>
      </c>
      <c r="L1446" s="6" t="s">
        <v>4516</v>
      </c>
      <c r="M1446" s="6" t="s">
        <v>5082</v>
      </c>
      <c r="N1446" s="6" t="s">
        <v>2059</v>
      </c>
      <c r="O1446" s="29">
        <f t="shared" si="33"/>
        <v>917</v>
      </c>
      <c r="Q1446" s="30" t="s">
        <v>2059</v>
      </c>
      <c r="R1446" s="31">
        <v>962.85</v>
      </c>
    </row>
    <row r="1447" s="1" customFormat="1" ht="16.35" hidden="1" customHeight="1" spans="1:18">
      <c r="A1447" s="6" t="s">
        <v>4506</v>
      </c>
      <c r="B1447" s="6">
        <v>2019</v>
      </c>
      <c r="C1447" s="6">
        <v>11</v>
      </c>
      <c r="D1447" s="7">
        <v>65</v>
      </c>
      <c r="E1447" s="6" t="s">
        <v>5581</v>
      </c>
      <c r="F1447" s="6" t="s">
        <v>4508</v>
      </c>
      <c r="G1447" s="6" t="s">
        <v>25</v>
      </c>
      <c r="H1447" s="8"/>
      <c r="I1447" s="8">
        <v>4587</v>
      </c>
      <c r="J1447" s="6" t="s">
        <v>5582</v>
      </c>
      <c r="K1447" s="6" t="s">
        <v>2245</v>
      </c>
      <c r="L1447" s="6" t="s">
        <v>4516</v>
      </c>
      <c r="M1447" s="6" t="s">
        <v>5082</v>
      </c>
      <c r="N1447" s="6" t="s">
        <v>2245</v>
      </c>
      <c r="O1447" s="29">
        <f t="shared" si="33"/>
        <v>4587</v>
      </c>
      <c r="Q1447" s="30" t="s">
        <v>2245</v>
      </c>
      <c r="R1447" s="31">
        <v>4816.35</v>
      </c>
    </row>
    <row r="1448" s="1" customFormat="1" ht="16.35" hidden="1" customHeight="1" spans="1:18">
      <c r="A1448" s="6" t="s">
        <v>4506</v>
      </c>
      <c r="B1448" s="6">
        <v>2019</v>
      </c>
      <c r="C1448" s="6">
        <v>11</v>
      </c>
      <c r="D1448" s="7">
        <v>66</v>
      </c>
      <c r="E1448" s="6" t="s">
        <v>5583</v>
      </c>
      <c r="F1448" s="6" t="s">
        <v>4508</v>
      </c>
      <c r="G1448" s="6" t="s">
        <v>25</v>
      </c>
      <c r="H1448" s="8"/>
      <c r="I1448" s="8">
        <v>18349</v>
      </c>
      <c r="J1448" s="6" t="s">
        <v>5584</v>
      </c>
      <c r="K1448" s="6" t="s">
        <v>2748</v>
      </c>
      <c r="L1448" s="6" t="s">
        <v>4516</v>
      </c>
      <c r="M1448" s="6" t="s">
        <v>5082</v>
      </c>
      <c r="N1448" s="6" t="s">
        <v>2748</v>
      </c>
      <c r="O1448" s="29">
        <f t="shared" si="33"/>
        <v>18349</v>
      </c>
      <c r="Q1448" s="30" t="s">
        <v>2748</v>
      </c>
      <c r="R1448" s="31">
        <v>19266.45</v>
      </c>
    </row>
    <row r="1449" s="1" customFormat="1" ht="16.35" hidden="1" customHeight="1" spans="1:18">
      <c r="A1449" s="6" t="s">
        <v>4506</v>
      </c>
      <c r="B1449" s="6">
        <v>2019</v>
      </c>
      <c r="C1449" s="6">
        <v>11</v>
      </c>
      <c r="D1449" s="7">
        <v>67</v>
      </c>
      <c r="E1449" s="6" t="s">
        <v>5156</v>
      </c>
      <c r="F1449" s="6" t="s">
        <v>4508</v>
      </c>
      <c r="G1449" s="6" t="s">
        <v>25</v>
      </c>
      <c r="H1449" s="8"/>
      <c r="I1449" s="8">
        <v>64220</v>
      </c>
      <c r="J1449" s="6" t="s">
        <v>5157</v>
      </c>
      <c r="K1449" s="6" t="s">
        <v>2047</v>
      </c>
      <c r="L1449" s="6" t="s">
        <v>4516</v>
      </c>
      <c r="M1449" s="6" t="s">
        <v>5082</v>
      </c>
      <c r="N1449" s="6" t="s">
        <v>2047</v>
      </c>
      <c r="O1449" s="29">
        <f t="shared" si="33"/>
        <v>64220</v>
      </c>
      <c r="Q1449" s="30" t="s">
        <v>2047</v>
      </c>
      <c r="R1449" s="31">
        <v>67431</v>
      </c>
    </row>
    <row r="1450" s="1" customFormat="1" ht="16.35" hidden="1" customHeight="1" spans="1:18">
      <c r="A1450" s="6" t="s">
        <v>4506</v>
      </c>
      <c r="B1450" s="6">
        <v>2019</v>
      </c>
      <c r="C1450" s="6">
        <v>11</v>
      </c>
      <c r="D1450" s="7">
        <v>69</v>
      </c>
      <c r="E1450" s="6" t="s">
        <v>5350</v>
      </c>
      <c r="F1450" s="6" t="s">
        <v>4508</v>
      </c>
      <c r="G1450" s="6" t="s">
        <v>25</v>
      </c>
      <c r="H1450" s="8"/>
      <c r="I1450" s="8">
        <v>100917</v>
      </c>
      <c r="J1450" s="6" t="s">
        <v>5349</v>
      </c>
      <c r="K1450" s="6" t="s">
        <v>2879</v>
      </c>
      <c r="L1450" s="6" t="s">
        <v>4516</v>
      </c>
      <c r="M1450" s="6" t="s">
        <v>5082</v>
      </c>
      <c r="N1450" s="6" t="s">
        <v>2879</v>
      </c>
      <c r="O1450" s="29">
        <f t="shared" si="33"/>
        <v>100917</v>
      </c>
      <c r="Q1450" s="30" t="s">
        <v>2879</v>
      </c>
      <c r="R1450" s="31">
        <v>105962.85</v>
      </c>
    </row>
    <row r="1451" s="1" customFormat="1" ht="16.35" hidden="1" customHeight="1" spans="1:18">
      <c r="A1451" s="6" t="s">
        <v>4506</v>
      </c>
      <c r="B1451" s="6">
        <v>2019</v>
      </c>
      <c r="C1451" s="6">
        <v>11</v>
      </c>
      <c r="D1451" s="7">
        <v>70</v>
      </c>
      <c r="E1451" s="6" t="s">
        <v>5585</v>
      </c>
      <c r="F1451" s="6" t="s">
        <v>4508</v>
      </c>
      <c r="G1451" s="6" t="s">
        <v>25</v>
      </c>
      <c r="H1451" s="8"/>
      <c r="I1451" s="8">
        <v>81632</v>
      </c>
      <c r="J1451" s="6" t="s">
        <v>5586</v>
      </c>
      <c r="K1451" s="6" t="s">
        <v>2073</v>
      </c>
      <c r="L1451" s="6" t="s">
        <v>4516</v>
      </c>
      <c r="M1451" s="6" t="s">
        <v>5082</v>
      </c>
      <c r="N1451" s="6" t="s">
        <v>2073</v>
      </c>
      <c r="O1451" s="29">
        <f t="shared" si="33"/>
        <v>81632</v>
      </c>
      <c r="Q1451" s="30" t="s">
        <v>2073</v>
      </c>
      <c r="R1451" s="31">
        <v>85713.6</v>
      </c>
    </row>
    <row r="1452" s="1" customFormat="1" ht="16.35" hidden="1" customHeight="1" spans="1:18">
      <c r="A1452" s="6" t="s">
        <v>4506</v>
      </c>
      <c r="B1452" s="6">
        <v>2019</v>
      </c>
      <c r="C1452" s="6">
        <v>11</v>
      </c>
      <c r="D1452" s="7">
        <v>73</v>
      </c>
      <c r="E1452" s="6" t="s">
        <v>5570</v>
      </c>
      <c r="F1452" s="6" t="s">
        <v>4508</v>
      </c>
      <c r="G1452" s="6" t="s">
        <v>25</v>
      </c>
      <c r="H1452" s="8"/>
      <c r="I1452" s="8">
        <v>77064</v>
      </c>
      <c r="J1452" s="6" t="s">
        <v>5571</v>
      </c>
      <c r="K1452" s="6" t="s">
        <v>2192</v>
      </c>
      <c r="L1452" s="6" t="s">
        <v>4516</v>
      </c>
      <c r="M1452" s="6" t="s">
        <v>5082</v>
      </c>
      <c r="N1452" s="6" t="s">
        <v>2192</v>
      </c>
      <c r="O1452" s="29">
        <f t="shared" si="33"/>
        <v>77064</v>
      </c>
      <c r="Q1452" s="30" t="s">
        <v>2192</v>
      </c>
      <c r="R1452" s="31">
        <v>77064</v>
      </c>
    </row>
    <row r="1453" s="1" customFormat="1" ht="16.35" hidden="1" customHeight="1" spans="1:18">
      <c r="A1453" s="6" t="s">
        <v>4506</v>
      </c>
      <c r="B1453" s="6">
        <v>2019</v>
      </c>
      <c r="C1453" s="6">
        <v>12</v>
      </c>
      <c r="D1453" s="7">
        <v>1</v>
      </c>
      <c r="E1453" s="6" t="s">
        <v>5587</v>
      </c>
      <c r="F1453" s="6" t="s">
        <v>4508</v>
      </c>
      <c r="G1453" s="6" t="s">
        <v>25</v>
      </c>
      <c r="H1453" s="8"/>
      <c r="I1453" s="8">
        <v>169725</v>
      </c>
      <c r="J1453" s="6" t="s">
        <v>5563</v>
      </c>
      <c r="K1453" s="6" t="s">
        <v>2309</v>
      </c>
      <c r="L1453" s="6" t="s">
        <v>4516</v>
      </c>
      <c r="M1453" s="6" t="s">
        <v>5082</v>
      </c>
      <c r="N1453" s="6" t="s">
        <v>2309</v>
      </c>
      <c r="O1453" s="29">
        <f t="shared" si="33"/>
        <v>169725</v>
      </c>
      <c r="Q1453" s="30" t="s">
        <v>2309</v>
      </c>
      <c r="R1453" s="31">
        <v>178211.25</v>
      </c>
    </row>
    <row r="1454" s="1" customFormat="1" ht="16.35" hidden="1" customHeight="1" spans="1:18">
      <c r="A1454" s="6" t="s">
        <v>4506</v>
      </c>
      <c r="B1454" s="6">
        <v>2019</v>
      </c>
      <c r="C1454" s="6">
        <v>12</v>
      </c>
      <c r="D1454" s="7">
        <v>2</v>
      </c>
      <c r="E1454" s="6" t="s">
        <v>5588</v>
      </c>
      <c r="F1454" s="6" t="s">
        <v>4508</v>
      </c>
      <c r="G1454" s="6" t="s">
        <v>25</v>
      </c>
      <c r="H1454" s="8"/>
      <c r="I1454" s="8">
        <v>159633</v>
      </c>
      <c r="J1454" s="6" t="s">
        <v>5189</v>
      </c>
      <c r="K1454" s="6" t="s">
        <v>2097</v>
      </c>
      <c r="L1454" s="6" t="s">
        <v>4516</v>
      </c>
      <c r="M1454" s="6" t="s">
        <v>5082</v>
      </c>
      <c r="N1454" s="6" t="s">
        <v>2097</v>
      </c>
      <c r="O1454" s="29">
        <f t="shared" si="33"/>
        <v>159633</v>
      </c>
      <c r="Q1454" s="30" t="s">
        <v>2097</v>
      </c>
      <c r="R1454" s="31">
        <v>167614.65</v>
      </c>
    </row>
    <row r="1455" s="1" customFormat="1" ht="16.35" hidden="1" customHeight="1" spans="1:18">
      <c r="A1455" s="6" t="s">
        <v>4506</v>
      </c>
      <c r="B1455" s="6">
        <v>2019</v>
      </c>
      <c r="C1455" s="6">
        <v>12</v>
      </c>
      <c r="D1455" s="7">
        <v>3</v>
      </c>
      <c r="E1455" s="6" t="s">
        <v>5589</v>
      </c>
      <c r="F1455" s="6" t="s">
        <v>4508</v>
      </c>
      <c r="G1455" s="6" t="s">
        <v>25</v>
      </c>
      <c r="H1455" s="8"/>
      <c r="I1455" s="8">
        <v>183486</v>
      </c>
      <c r="J1455" s="6" t="s">
        <v>5541</v>
      </c>
      <c r="K1455" s="6" t="s">
        <v>2750</v>
      </c>
      <c r="L1455" s="6" t="s">
        <v>4516</v>
      </c>
      <c r="M1455" s="6" t="s">
        <v>5082</v>
      </c>
      <c r="N1455" s="6" t="s">
        <v>2750</v>
      </c>
      <c r="O1455" s="29">
        <f t="shared" si="33"/>
        <v>183486</v>
      </c>
      <c r="Q1455" s="30" t="s">
        <v>2750</v>
      </c>
      <c r="R1455" s="31">
        <v>192660.3</v>
      </c>
    </row>
    <row r="1456" s="1" customFormat="1" ht="16.35" hidden="1" customHeight="1" spans="1:18">
      <c r="A1456" s="6" t="s">
        <v>4506</v>
      </c>
      <c r="B1456" s="6">
        <v>2019</v>
      </c>
      <c r="C1456" s="6">
        <v>12</v>
      </c>
      <c r="D1456" s="7">
        <v>4</v>
      </c>
      <c r="E1456" s="6" t="s">
        <v>5590</v>
      </c>
      <c r="F1456" s="6" t="s">
        <v>4508</v>
      </c>
      <c r="G1456" s="6" t="s">
        <v>25</v>
      </c>
      <c r="H1456" s="8"/>
      <c r="I1456" s="8">
        <v>124771</v>
      </c>
      <c r="J1456" s="6" t="s">
        <v>5569</v>
      </c>
      <c r="K1456" s="6" t="s">
        <v>1994</v>
      </c>
      <c r="L1456" s="6" t="s">
        <v>4516</v>
      </c>
      <c r="M1456" s="6" t="s">
        <v>5082</v>
      </c>
      <c r="N1456" s="6" t="s">
        <v>1994</v>
      </c>
      <c r="O1456" s="29">
        <f t="shared" si="33"/>
        <v>124771</v>
      </c>
      <c r="Q1456" s="30" t="s">
        <v>1994</v>
      </c>
      <c r="R1456" s="31">
        <v>131009.55</v>
      </c>
    </row>
    <row r="1457" s="1" customFormat="1" ht="16.35" hidden="1" customHeight="1" spans="1:18">
      <c r="A1457" s="6" t="s">
        <v>4506</v>
      </c>
      <c r="B1457" s="6">
        <v>2019</v>
      </c>
      <c r="C1457" s="6">
        <v>12</v>
      </c>
      <c r="D1457" s="7">
        <v>5</v>
      </c>
      <c r="E1457" s="6" t="s">
        <v>5591</v>
      </c>
      <c r="F1457" s="6" t="s">
        <v>4508</v>
      </c>
      <c r="G1457" s="6" t="s">
        <v>25</v>
      </c>
      <c r="H1457" s="8"/>
      <c r="I1457" s="8">
        <v>123853</v>
      </c>
      <c r="J1457" s="6" t="s">
        <v>5274</v>
      </c>
      <c r="K1457" s="6" t="s">
        <v>1978</v>
      </c>
      <c r="L1457" s="6" t="s">
        <v>4516</v>
      </c>
      <c r="M1457" s="6" t="s">
        <v>5082</v>
      </c>
      <c r="N1457" s="6" t="s">
        <v>1978</v>
      </c>
      <c r="O1457" s="29">
        <f t="shared" si="33"/>
        <v>123853</v>
      </c>
      <c r="Q1457" s="30" t="s">
        <v>1978</v>
      </c>
      <c r="R1457" s="31">
        <v>130045.65</v>
      </c>
    </row>
    <row r="1458" s="1" customFormat="1" ht="16.35" hidden="1" customHeight="1" spans="1:18">
      <c r="A1458" s="6" t="s">
        <v>4506</v>
      </c>
      <c r="B1458" s="6">
        <v>2019</v>
      </c>
      <c r="C1458" s="6">
        <v>12</v>
      </c>
      <c r="D1458" s="7">
        <v>6</v>
      </c>
      <c r="E1458" s="6" t="s">
        <v>5592</v>
      </c>
      <c r="F1458" s="6" t="s">
        <v>4508</v>
      </c>
      <c r="G1458" s="6" t="s">
        <v>25</v>
      </c>
      <c r="H1458" s="8"/>
      <c r="I1458" s="8">
        <v>189908</v>
      </c>
      <c r="J1458" s="6" t="s">
        <v>5216</v>
      </c>
      <c r="K1458" s="6" t="s">
        <v>2742</v>
      </c>
      <c r="L1458" s="6" t="s">
        <v>4516</v>
      </c>
      <c r="M1458" s="6" t="s">
        <v>5082</v>
      </c>
      <c r="N1458" s="6" t="s">
        <v>2742</v>
      </c>
      <c r="O1458" s="29">
        <f t="shared" si="33"/>
        <v>189908</v>
      </c>
      <c r="Q1458" s="30" t="s">
        <v>2742</v>
      </c>
      <c r="R1458" s="31">
        <v>199403.4</v>
      </c>
    </row>
    <row r="1459" s="1" customFormat="1" ht="16.35" hidden="1" customHeight="1" spans="1:18">
      <c r="A1459" s="6" t="s">
        <v>4506</v>
      </c>
      <c r="B1459" s="6">
        <v>2019</v>
      </c>
      <c r="C1459" s="6">
        <v>12</v>
      </c>
      <c r="D1459" s="7">
        <v>7</v>
      </c>
      <c r="E1459" s="6" t="s">
        <v>5158</v>
      </c>
      <c r="F1459" s="6" t="s">
        <v>4508</v>
      </c>
      <c r="G1459" s="6" t="s">
        <v>25</v>
      </c>
      <c r="H1459" s="8"/>
      <c r="I1459" s="8">
        <v>33</v>
      </c>
      <c r="J1459" s="6" t="s">
        <v>5159</v>
      </c>
      <c r="K1459" s="6" t="s">
        <v>2067</v>
      </c>
      <c r="L1459" s="6" t="s">
        <v>4516</v>
      </c>
      <c r="M1459" s="6" t="s">
        <v>5082</v>
      </c>
      <c r="N1459" s="6" t="s">
        <v>2067</v>
      </c>
      <c r="O1459" s="29">
        <f t="shared" si="33"/>
        <v>33</v>
      </c>
      <c r="Q1459" s="30" t="s">
        <v>2067</v>
      </c>
      <c r="R1459" s="31">
        <v>34.65</v>
      </c>
    </row>
    <row r="1460" s="1" customFormat="1" ht="16.35" hidden="1" customHeight="1" spans="1:18">
      <c r="A1460" s="6" t="s">
        <v>4506</v>
      </c>
      <c r="B1460" s="6">
        <v>2019</v>
      </c>
      <c r="C1460" s="6">
        <v>12</v>
      </c>
      <c r="D1460" s="7">
        <v>8</v>
      </c>
      <c r="E1460" s="6" t="s">
        <v>5593</v>
      </c>
      <c r="F1460" s="6" t="s">
        <v>4508</v>
      </c>
      <c r="G1460" s="6" t="s">
        <v>25</v>
      </c>
      <c r="H1460" s="8"/>
      <c r="I1460" s="8">
        <v>91743</v>
      </c>
      <c r="J1460" s="6" t="s">
        <v>5594</v>
      </c>
      <c r="K1460" s="6" t="s">
        <v>2159</v>
      </c>
      <c r="L1460" s="6" t="s">
        <v>4516</v>
      </c>
      <c r="M1460" s="6" t="s">
        <v>5082</v>
      </c>
      <c r="N1460" s="6" t="s">
        <v>2159</v>
      </c>
      <c r="O1460" s="29">
        <f t="shared" si="33"/>
        <v>91743</v>
      </c>
      <c r="Q1460" s="30" t="s">
        <v>2159</v>
      </c>
      <c r="R1460" s="31">
        <v>96330.15</v>
      </c>
    </row>
    <row r="1461" s="1" customFormat="1" ht="16.35" hidden="1" customHeight="1" spans="1:18">
      <c r="A1461" s="6" t="s">
        <v>4506</v>
      </c>
      <c r="B1461" s="6">
        <v>2019</v>
      </c>
      <c r="C1461" s="6">
        <v>12</v>
      </c>
      <c r="D1461" s="7">
        <v>9</v>
      </c>
      <c r="E1461" s="6" t="s">
        <v>5595</v>
      </c>
      <c r="F1461" s="6" t="s">
        <v>4508</v>
      </c>
      <c r="G1461" s="6" t="s">
        <v>25</v>
      </c>
      <c r="H1461" s="8"/>
      <c r="I1461" s="8">
        <v>27523</v>
      </c>
      <c r="J1461" s="6" t="s">
        <v>5596</v>
      </c>
      <c r="K1461" s="6" t="s">
        <v>2790</v>
      </c>
      <c r="L1461" s="6" t="s">
        <v>4516</v>
      </c>
      <c r="M1461" s="6" t="s">
        <v>5082</v>
      </c>
      <c r="N1461" s="6" t="s">
        <v>2790</v>
      </c>
      <c r="O1461" s="29">
        <f t="shared" si="33"/>
        <v>27523</v>
      </c>
      <c r="Q1461" s="30" t="s">
        <v>2790</v>
      </c>
      <c r="R1461" s="31">
        <v>28899.15</v>
      </c>
    </row>
    <row r="1462" s="1" customFormat="1" ht="16.35" hidden="1" customHeight="1" spans="1:18">
      <c r="A1462" s="6" t="s">
        <v>4506</v>
      </c>
      <c r="B1462" s="6">
        <v>2019</v>
      </c>
      <c r="C1462" s="6">
        <v>12</v>
      </c>
      <c r="D1462" s="7">
        <v>10</v>
      </c>
      <c r="E1462" s="6" t="s">
        <v>5306</v>
      </c>
      <c r="F1462" s="6" t="s">
        <v>4508</v>
      </c>
      <c r="G1462" s="6" t="s">
        <v>25</v>
      </c>
      <c r="H1462" s="8"/>
      <c r="I1462" s="8">
        <v>4587</v>
      </c>
      <c r="J1462" s="6" t="s">
        <v>5307</v>
      </c>
      <c r="K1462" s="6" t="s">
        <v>2211</v>
      </c>
      <c r="L1462" s="6" t="s">
        <v>4516</v>
      </c>
      <c r="M1462" s="6" t="s">
        <v>5082</v>
      </c>
      <c r="N1462" s="6" t="s">
        <v>2211</v>
      </c>
      <c r="O1462" s="29">
        <f t="shared" si="33"/>
        <v>4587</v>
      </c>
      <c r="Q1462" s="30" t="s">
        <v>2211</v>
      </c>
      <c r="R1462" s="31">
        <v>4816.35</v>
      </c>
    </row>
    <row r="1463" s="1" customFormat="1" ht="25" hidden="1" customHeight="1" spans="1:18">
      <c r="A1463" s="6" t="s">
        <v>4506</v>
      </c>
      <c r="B1463" s="6">
        <v>2019</v>
      </c>
      <c r="C1463" s="6">
        <v>12</v>
      </c>
      <c r="D1463" s="7">
        <v>11</v>
      </c>
      <c r="E1463" s="6" t="s">
        <v>5597</v>
      </c>
      <c r="F1463" s="6" t="s">
        <v>4508</v>
      </c>
      <c r="G1463" s="6" t="s">
        <v>25</v>
      </c>
      <c r="H1463" s="8"/>
      <c r="I1463" s="8">
        <v>73394</v>
      </c>
      <c r="J1463" s="6" t="s">
        <v>5176</v>
      </c>
      <c r="K1463" s="6" t="s">
        <v>2145</v>
      </c>
      <c r="L1463" s="6" t="s">
        <v>4516</v>
      </c>
      <c r="M1463" s="6" t="s">
        <v>5082</v>
      </c>
      <c r="N1463" s="6" t="s">
        <v>2145</v>
      </c>
      <c r="O1463" s="29">
        <f t="shared" si="33"/>
        <v>73394</v>
      </c>
      <c r="Q1463" s="30" t="s">
        <v>2145</v>
      </c>
      <c r="R1463" s="31">
        <v>77063.7</v>
      </c>
    </row>
    <row r="1464" s="1" customFormat="1" ht="16.35" hidden="1" customHeight="1" spans="1:18">
      <c r="A1464" s="6" t="s">
        <v>4506</v>
      </c>
      <c r="B1464" s="6">
        <v>2019</v>
      </c>
      <c r="C1464" s="6">
        <v>12</v>
      </c>
      <c r="D1464" s="7">
        <v>12</v>
      </c>
      <c r="E1464" s="6" t="s">
        <v>5343</v>
      </c>
      <c r="F1464" s="6" t="s">
        <v>4508</v>
      </c>
      <c r="G1464" s="6" t="s">
        <v>25</v>
      </c>
      <c r="H1464" s="8"/>
      <c r="I1464" s="8">
        <v>16560</v>
      </c>
      <c r="J1464" s="6" t="s">
        <v>5092</v>
      </c>
      <c r="K1464" s="6" t="s">
        <v>2095</v>
      </c>
      <c r="L1464" s="6" t="s">
        <v>4516</v>
      </c>
      <c r="M1464" s="6" t="s">
        <v>5082</v>
      </c>
      <c r="N1464" s="6" t="s">
        <v>2095</v>
      </c>
      <c r="O1464" s="29">
        <f t="shared" si="33"/>
        <v>16560</v>
      </c>
      <c r="Q1464" s="30" t="s">
        <v>2095</v>
      </c>
      <c r="R1464" s="31">
        <v>17388</v>
      </c>
    </row>
    <row r="1465" s="1" customFormat="1" ht="16.35" hidden="1" customHeight="1" spans="1:18">
      <c r="A1465" s="6" t="s">
        <v>4506</v>
      </c>
      <c r="B1465" s="6">
        <v>2019</v>
      </c>
      <c r="C1465" s="6">
        <v>12</v>
      </c>
      <c r="D1465" s="7">
        <v>13</v>
      </c>
      <c r="E1465" s="6" t="s">
        <v>5542</v>
      </c>
      <c r="F1465" s="6" t="s">
        <v>4508</v>
      </c>
      <c r="G1465" s="6" t="s">
        <v>25</v>
      </c>
      <c r="H1465" s="8"/>
      <c r="I1465" s="8">
        <v>16514</v>
      </c>
      <c r="J1465" s="6" t="s">
        <v>5543</v>
      </c>
      <c r="K1465" s="6" t="s">
        <v>2200</v>
      </c>
      <c r="L1465" s="6" t="s">
        <v>4516</v>
      </c>
      <c r="M1465" s="6" t="s">
        <v>5082</v>
      </c>
      <c r="N1465" s="6" t="s">
        <v>2200</v>
      </c>
      <c r="O1465" s="29">
        <f t="shared" si="33"/>
        <v>16514</v>
      </c>
      <c r="Q1465" s="30" t="s">
        <v>2200</v>
      </c>
      <c r="R1465" s="31">
        <v>17339.7</v>
      </c>
    </row>
    <row r="1466" s="1" customFormat="1" ht="16.35" hidden="1" customHeight="1" spans="1:18">
      <c r="A1466" s="6" t="s">
        <v>4506</v>
      </c>
      <c r="B1466" s="6">
        <v>2019</v>
      </c>
      <c r="C1466" s="6">
        <v>12</v>
      </c>
      <c r="D1466" s="7">
        <v>14</v>
      </c>
      <c r="E1466" s="6" t="s">
        <v>5598</v>
      </c>
      <c r="F1466" s="6" t="s">
        <v>4508</v>
      </c>
      <c r="G1466" s="6" t="s">
        <v>25</v>
      </c>
      <c r="H1466" s="8"/>
      <c r="I1466" s="8">
        <v>73770</v>
      </c>
      <c r="J1466" s="6" t="s">
        <v>5599</v>
      </c>
      <c r="K1466" s="6" t="s">
        <v>2362</v>
      </c>
      <c r="L1466" s="6" t="s">
        <v>4516</v>
      </c>
      <c r="M1466" s="6" t="s">
        <v>5082</v>
      </c>
      <c r="N1466" s="6" t="s">
        <v>2362</v>
      </c>
      <c r="O1466" s="29">
        <f t="shared" si="33"/>
        <v>73770</v>
      </c>
      <c r="Q1466" s="30" t="s">
        <v>2362</v>
      </c>
      <c r="R1466" s="31">
        <v>77458.5</v>
      </c>
    </row>
    <row r="1467" s="1" customFormat="1" ht="16.35" hidden="1" customHeight="1" spans="1:18">
      <c r="A1467" s="6" t="s">
        <v>4506</v>
      </c>
      <c r="B1467" s="6">
        <v>2019</v>
      </c>
      <c r="C1467" s="6">
        <v>12</v>
      </c>
      <c r="D1467" s="7">
        <v>15</v>
      </c>
      <c r="E1467" s="6" t="s">
        <v>5600</v>
      </c>
      <c r="F1467" s="6" t="s">
        <v>4508</v>
      </c>
      <c r="G1467" s="6" t="s">
        <v>25</v>
      </c>
      <c r="H1467" s="8"/>
      <c r="I1467" s="8">
        <v>9174</v>
      </c>
      <c r="J1467" s="6" t="s">
        <v>5601</v>
      </c>
      <c r="K1467" s="6" t="s">
        <v>2762</v>
      </c>
      <c r="L1467" s="6" t="s">
        <v>4516</v>
      </c>
      <c r="M1467" s="6" t="s">
        <v>5082</v>
      </c>
      <c r="N1467" s="6" t="s">
        <v>2762</v>
      </c>
      <c r="O1467" s="29">
        <f t="shared" si="33"/>
        <v>9174</v>
      </c>
      <c r="Q1467" s="30" t="s">
        <v>2762</v>
      </c>
      <c r="R1467" s="31">
        <v>9632.7</v>
      </c>
    </row>
    <row r="1468" s="1" customFormat="1" ht="16.35" hidden="1" customHeight="1" spans="1:18">
      <c r="A1468" s="6" t="s">
        <v>4506</v>
      </c>
      <c r="B1468" s="6">
        <v>2019</v>
      </c>
      <c r="C1468" s="6">
        <v>12</v>
      </c>
      <c r="D1468" s="7">
        <v>16</v>
      </c>
      <c r="E1468" s="6" t="s">
        <v>5602</v>
      </c>
      <c r="F1468" s="6" t="s">
        <v>4508</v>
      </c>
      <c r="G1468" s="6" t="s">
        <v>25</v>
      </c>
      <c r="H1468" s="8"/>
      <c r="I1468" s="8">
        <v>137615</v>
      </c>
      <c r="J1468" s="6" t="s">
        <v>5268</v>
      </c>
      <c r="K1468" s="6" t="s">
        <v>2875</v>
      </c>
      <c r="L1468" s="6" t="s">
        <v>4516</v>
      </c>
      <c r="M1468" s="6" t="s">
        <v>5082</v>
      </c>
      <c r="N1468" s="6" t="s">
        <v>2875</v>
      </c>
      <c r="O1468" s="29">
        <f t="shared" si="33"/>
        <v>137615</v>
      </c>
      <c r="Q1468" s="30" t="s">
        <v>2875</v>
      </c>
      <c r="R1468" s="31">
        <v>144495.75</v>
      </c>
    </row>
    <row r="1469" s="1" customFormat="1" ht="16.35" hidden="1" customHeight="1" spans="1:18">
      <c r="A1469" s="6" t="s">
        <v>4506</v>
      </c>
      <c r="B1469" s="6">
        <v>2019</v>
      </c>
      <c r="C1469" s="6">
        <v>12</v>
      </c>
      <c r="D1469" s="7">
        <v>39</v>
      </c>
      <c r="E1469" s="6" t="s">
        <v>5603</v>
      </c>
      <c r="F1469" s="6" t="s">
        <v>4508</v>
      </c>
      <c r="G1469" s="6" t="s">
        <v>25</v>
      </c>
      <c r="H1469" s="8"/>
      <c r="I1469" s="8">
        <v>917</v>
      </c>
      <c r="J1469" s="6" t="s">
        <v>5604</v>
      </c>
      <c r="K1469" s="6" t="s">
        <v>2027</v>
      </c>
      <c r="L1469" s="6" t="s">
        <v>4516</v>
      </c>
      <c r="M1469" s="6" t="s">
        <v>5082</v>
      </c>
      <c r="N1469" s="6" t="s">
        <v>2027</v>
      </c>
      <c r="O1469" s="29">
        <f t="shared" si="33"/>
        <v>917</v>
      </c>
      <c r="Q1469" s="30" t="s">
        <v>2027</v>
      </c>
      <c r="R1469" s="31">
        <v>962.85</v>
      </c>
    </row>
    <row r="1470" s="1" customFormat="1" ht="16.35" hidden="1" customHeight="1" spans="1:18">
      <c r="A1470" s="6" t="s">
        <v>4506</v>
      </c>
      <c r="B1470" s="6">
        <v>2019</v>
      </c>
      <c r="C1470" s="6">
        <v>12</v>
      </c>
      <c r="D1470" s="7">
        <v>41</v>
      </c>
      <c r="E1470" s="6" t="s">
        <v>5433</v>
      </c>
      <c r="F1470" s="6" t="s">
        <v>4508</v>
      </c>
      <c r="G1470" s="6" t="s">
        <v>25</v>
      </c>
      <c r="H1470" s="8"/>
      <c r="I1470" s="8">
        <v>15</v>
      </c>
      <c r="J1470" s="6" t="s">
        <v>5434</v>
      </c>
      <c r="K1470" s="6" t="s">
        <v>2125</v>
      </c>
      <c r="L1470" s="6" t="s">
        <v>4516</v>
      </c>
      <c r="M1470" s="6" t="s">
        <v>5082</v>
      </c>
      <c r="N1470" s="6" t="s">
        <v>2125</v>
      </c>
      <c r="O1470" s="29">
        <f t="shared" si="33"/>
        <v>15</v>
      </c>
      <c r="Q1470" s="30" t="s">
        <v>2125</v>
      </c>
      <c r="R1470" s="31">
        <v>15.75</v>
      </c>
    </row>
    <row r="1471" s="1" customFormat="1" ht="16.35" hidden="1" customHeight="1" spans="1:18">
      <c r="A1471" s="6" t="s">
        <v>4506</v>
      </c>
      <c r="B1471" s="6">
        <v>2019</v>
      </c>
      <c r="C1471" s="6">
        <v>12</v>
      </c>
      <c r="D1471" s="7">
        <v>42</v>
      </c>
      <c r="E1471" s="6" t="s">
        <v>5433</v>
      </c>
      <c r="F1471" s="6" t="s">
        <v>4508</v>
      </c>
      <c r="G1471" s="6" t="s">
        <v>25</v>
      </c>
      <c r="H1471" s="8"/>
      <c r="I1471" s="8">
        <v>3394</v>
      </c>
      <c r="J1471" s="6" t="s">
        <v>5434</v>
      </c>
      <c r="K1471" s="6" t="s">
        <v>2125</v>
      </c>
      <c r="L1471" s="6" t="s">
        <v>4516</v>
      </c>
      <c r="M1471" s="6" t="s">
        <v>5082</v>
      </c>
      <c r="N1471" s="6" t="s">
        <v>2125</v>
      </c>
      <c r="O1471" s="29">
        <f t="shared" si="33"/>
        <v>3394</v>
      </c>
      <c r="Q1471" s="30" t="s">
        <v>2125</v>
      </c>
      <c r="R1471" s="31">
        <v>3563.7</v>
      </c>
    </row>
    <row r="1472" s="1" customFormat="1" ht="16.35" hidden="1" customHeight="1" spans="1:18">
      <c r="A1472" s="6" t="s">
        <v>4506</v>
      </c>
      <c r="B1472" s="6">
        <v>2019</v>
      </c>
      <c r="C1472" s="6">
        <v>12</v>
      </c>
      <c r="D1472" s="7">
        <v>60</v>
      </c>
      <c r="E1472" s="6" t="s">
        <v>5605</v>
      </c>
      <c r="F1472" s="6" t="s">
        <v>4508</v>
      </c>
      <c r="G1472" s="6" t="s">
        <v>25</v>
      </c>
      <c r="H1472" s="8"/>
      <c r="I1472" s="8">
        <v>36697</v>
      </c>
      <c r="J1472" s="6" t="s">
        <v>5594</v>
      </c>
      <c r="K1472" s="6" t="s">
        <v>2159</v>
      </c>
      <c r="L1472" s="6" t="s">
        <v>4516</v>
      </c>
      <c r="M1472" s="6" t="s">
        <v>5082</v>
      </c>
      <c r="N1472" s="6" t="s">
        <v>2159</v>
      </c>
      <c r="O1472" s="29">
        <f t="shared" si="33"/>
        <v>36697</v>
      </c>
      <c r="Q1472" s="30" t="s">
        <v>2159</v>
      </c>
      <c r="R1472" s="31">
        <v>38531.85</v>
      </c>
    </row>
    <row r="1473" s="1" customFormat="1" ht="16.35" hidden="1" customHeight="1" spans="1:18">
      <c r="A1473" s="6" t="s">
        <v>4506</v>
      </c>
      <c r="B1473" s="6">
        <v>2019</v>
      </c>
      <c r="C1473" s="6">
        <v>12</v>
      </c>
      <c r="D1473" s="7">
        <v>61</v>
      </c>
      <c r="E1473" s="6" t="s">
        <v>5606</v>
      </c>
      <c r="F1473" s="6" t="s">
        <v>4508</v>
      </c>
      <c r="G1473" s="6" t="s">
        <v>25</v>
      </c>
      <c r="H1473" s="8"/>
      <c r="I1473" s="8">
        <v>271771</v>
      </c>
      <c r="J1473" s="6" t="s">
        <v>5584</v>
      </c>
      <c r="K1473" s="6" t="s">
        <v>2748</v>
      </c>
      <c r="L1473" s="6" t="s">
        <v>4516</v>
      </c>
      <c r="M1473" s="6" t="s">
        <v>5082</v>
      </c>
      <c r="N1473" s="6" t="s">
        <v>2748</v>
      </c>
      <c r="O1473" s="29">
        <f t="shared" si="33"/>
        <v>271771</v>
      </c>
      <c r="Q1473" s="30" t="s">
        <v>2748</v>
      </c>
      <c r="R1473" s="31">
        <v>285359.55</v>
      </c>
    </row>
    <row r="1474" s="1" customFormat="1" ht="16.35" hidden="1" customHeight="1" spans="1:18">
      <c r="A1474" s="6" t="s">
        <v>4506</v>
      </c>
      <c r="B1474" s="6">
        <v>2019</v>
      </c>
      <c r="C1474" s="6">
        <v>12</v>
      </c>
      <c r="D1474" s="7">
        <v>62</v>
      </c>
      <c r="E1474" s="6" t="s">
        <v>5607</v>
      </c>
      <c r="F1474" s="6" t="s">
        <v>4508</v>
      </c>
      <c r="G1474" s="6" t="s">
        <v>25</v>
      </c>
      <c r="H1474" s="8"/>
      <c r="I1474" s="8">
        <v>46657</v>
      </c>
      <c r="J1474" s="6" t="s">
        <v>5608</v>
      </c>
      <c r="K1474" s="6" t="s">
        <v>2025</v>
      </c>
      <c r="L1474" s="6" t="s">
        <v>4516</v>
      </c>
      <c r="M1474" s="6" t="s">
        <v>5082</v>
      </c>
      <c r="N1474" s="6" t="s">
        <v>2025</v>
      </c>
      <c r="O1474" s="29">
        <f t="shared" si="33"/>
        <v>46657</v>
      </c>
      <c r="Q1474" s="30" t="s">
        <v>2025</v>
      </c>
      <c r="R1474" s="31">
        <v>48989.85</v>
      </c>
    </row>
    <row r="1475" s="1" customFormat="1" ht="16.35" hidden="1" customHeight="1" spans="1:18">
      <c r="A1475" s="6" t="s">
        <v>4506</v>
      </c>
      <c r="B1475" s="6">
        <v>2019</v>
      </c>
      <c r="C1475" s="6">
        <v>12</v>
      </c>
      <c r="D1475" s="7">
        <v>63</v>
      </c>
      <c r="E1475" s="6" t="s">
        <v>5609</v>
      </c>
      <c r="F1475" s="6" t="s">
        <v>4508</v>
      </c>
      <c r="G1475" s="6" t="s">
        <v>25</v>
      </c>
      <c r="H1475" s="8"/>
      <c r="I1475" s="8">
        <v>4587</v>
      </c>
      <c r="J1475" s="6" t="s">
        <v>5610</v>
      </c>
      <c r="K1475" s="6" t="s">
        <v>2009</v>
      </c>
      <c r="L1475" s="6" t="s">
        <v>4516</v>
      </c>
      <c r="M1475" s="6" t="s">
        <v>5082</v>
      </c>
      <c r="N1475" s="6" t="s">
        <v>2009</v>
      </c>
      <c r="O1475" s="29">
        <f t="shared" si="33"/>
        <v>4587</v>
      </c>
      <c r="Q1475" s="30" t="s">
        <v>2009</v>
      </c>
      <c r="R1475" s="31">
        <v>4816.35</v>
      </c>
    </row>
    <row r="1476" s="1" customFormat="1" ht="16.35" hidden="1" customHeight="1" spans="1:18">
      <c r="A1476" s="6" t="s">
        <v>4506</v>
      </c>
      <c r="B1476" s="6">
        <v>2019</v>
      </c>
      <c r="C1476" s="6">
        <v>12</v>
      </c>
      <c r="D1476" s="7">
        <v>64</v>
      </c>
      <c r="E1476" s="6" t="s">
        <v>5611</v>
      </c>
      <c r="F1476" s="6" t="s">
        <v>4508</v>
      </c>
      <c r="G1476" s="6" t="s">
        <v>25</v>
      </c>
      <c r="H1476" s="8"/>
      <c r="I1476" s="8">
        <v>110092</v>
      </c>
      <c r="J1476" s="6" t="s">
        <v>5612</v>
      </c>
      <c r="K1476" s="6" t="s">
        <v>2161</v>
      </c>
      <c r="L1476" s="6" t="s">
        <v>4516</v>
      </c>
      <c r="M1476" s="6" t="s">
        <v>5082</v>
      </c>
      <c r="N1476" s="6" t="s">
        <v>2161</v>
      </c>
      <c r="O1476" s="29">
        <f t="shared" si="33"/>
        <v>110092</v>
      </c>
      <c r="Q1476" s="30" t="s">
        <v>2161</v>
      </c>
      <c r="R1476" s="31">
        <v>115596.6</v>
      </c>
    </row>
    <row r="1477" s="1" customFormat="1" ht="16.35" hidden="1" customHeight="1" spans="1:18">
      <c r="A1477" s="6" t="s">
        <v>4506</v>
      </c>
      <c r="B1477" s="6">
        <v>2019</v>
      </c>
      <c r="C1477" s="6">
        <v>12</v>
      </c>
      <c r="D1477" s="7">
        <v>65</v>
      </c>
      <c r="E1477" s="6" t="s">
        <v>5613</v>
      </c>
      <c r="F1477" s="6" t="s">
        <v>4508</v>
      </c>
      <c r="G1477" s="6" t="s">
        <v>25</v>
      </c>
      <c r="H1477" s="8"/>
      <c r="I1477" s="8">
        <v>4587</v>
      </c>
      <c r="J1477" s="6" t="s">
        <v>5608</v>
      </c>
      <c r="K1477" s="6" t="s">
        <v>2025</v>
      </c>
      <c r="L1477" s="6" t="s">
        <v>4516</v>
      </c>
      <c r="M1477" s="6" t="s">
        <v>5082</v>
      </c>
      <c r="N1477" s="6" t="s">
        <v>2025</v>
      </c>
      <c r="O1477" s="29">
        <f t="shared" si="33"/>
        <v>4587</v>
      </c>
      <c r="Q1477" s="30" t="s">
        <v>2025</v>
      </c>
      <c r="R1477" s="31">
        <v>4816.35</v>
      </c>
    </row>
    <row r="1478" s="1" customFormat="1" ht="16.35" hidden="1" customHeight="1" spans="1:18">
      <c r="A1478" s="6" t="s">
        <v>4506</v>
      </c>
      <c r="B1478" s="6">
        <v>2019</v>
      </c>
      <c r="C1478" s="6">
        <v>12</v>
      </c>
      <c r="D1478" s="7">
        <v>66</v>
      </c>
      <c r="E1478" s="6" t="s">
        <v>5614</v>
      </c>
      <c r="F1478" s="6" t="s">
        <v>4508</v>
      </c>
      <c r="G1478" s="6" t="s">
        <v>25</v>
      </c>
      <c r="H1478" s="8"/>
      <c r="I1478" s="8">
        <v>183486</v>
      </c>
      <c r="J1478" s="6" t="s">
        <v>5615</v>
      </c>
      <c r="K1478" s="6" t="s">
        <v>5616</v>
      </c>
      <c r="L1478" s="6" t="s">
        <v>4516</v>
      </c>
      <c r="M1478" s="6" t="s">
        <v>5082</v>
      </c>
      <c r="N1478" s="6" t="s">
        <v>5616</v>
      </c>
      <c r="O1478" s="29">
        <f t="shared" si="33"/>
        <v>183486</v>
      </c>
      <c r="Q1478" s="30" t="s">
        <v>5616</v>
      </c>
      <c r="R1478" s="31">
        <v>192660.3</v>
      </c>
    </row>
    <row r="1479" s="1" customFormat="1" ht="16.35" hidden="1" customHeight="1" spans="1:18">
      <c r="A1479" s="6" t="s">
        <v>4506</v>
      </c>
      <c r="B1479" s="6">
        <v>2019</v>
      </c>
      <c r="C1479" s="6">
        <v>12</v>
      </c>
      <c r="D1479" s="7">
        <v>67</v>
      </c>
      <c r="E1479" s="6" t="s">
        <v>5617</v>
      </c>
      <c r="F1479" s="6" t="s">
        <v>4508</v>
      </c>
      <c r="G1479" s="6" t="s">
        <v>25</v>
      </c>
      <c r="H1479" s="8"/>
      <c r="I1479" s="8">
        <v>45872</v>
      </c>
      <c r="J1479" s="6" t="s">
        <v>5618</v>
      </c>
      <c r="K1479" s="6" t="s">
        <v>2002</v>
      </c>
      <c r="L1479" s="6" t="s">
        <v>4516</v>
      </c>
      <c r="M1479" s="6" t="s">
        <v>5082</v>
      </c>
      <c r="N1479" s="6" t="s">
        <v>2002</v>
      </c>
      <c r="O1479" s="29">
        <f t="shared" si="33"/>
        <v>45872</v>
      </c>
      <c r="Q1479" s="30" t="s">
        <v>2002</v>
      </c>
      <c r="R1479" s="31">
        <v>48165.6</v>
      </c>
    </row>
    <row r="1480" s="1" customFormat="1" ht="16.35" hidden="1" customHeight="1" spans="1:18">
      <c r="A1480" s="6" t="s">
        <v>4506</v>
      </c>
      <c r="B1480" s="6">
        <v>2019</v>
      </c>
      <c r="C1480" s="6">
        <v>12</v>
      </c>
      <c r="D1480" s="7">
        <v>68</v>
      </c>
      <c r="E1480" s="6" t="s">
        <v>5619</v>
      </c>
      <c r="F1480" s="6" t="s">
        <v>4508</v>
      </c>
      <c r="G1480" s="6" t="s">
        <v>25</v>
      </c>
      <c r="H1480" s="8"/>
      <c r="I1480" s="8">
        <v>12844</v>
      </c>
      <c r="J1480" s="6" t="s">
        <v>5360</v>
      </c>
      <c r="K1480" s="6" t="s">
        <v>2738</v>
      </c>
      <c r="L1480" s="6" t="s">
        <v>4516</v>
      </c>
      <c r="M1480" s="6" t="s">
        <v>5082</v>
      </c>
      <c r="N1480" s="6" t="s">
        <v>2738</v>
      </c>
      <c r="O1480" s="29">
        <f t="shared" si="33"/>
        <v>12844</v>
      </c>
      <c r="Q1480" s="30" t="s">
        <v>2738</v>
      </c>
      <c r="R1480" s="31">
        <v>13486.2</v>
      </c>
    </row>
    <row r="1481" s="1" customFormat="1" ht="16.35" hidden="1" customHeight="1" spans="1:18">
      <c r="A1481" s="6" t="s">
        <v>4506</v>
      </c>
      <c r="B1481" s="6">
        <v>2019</v>
      </c>
      <c r="C1481" s="6">
        <v>12</v>
      </c>
      <c r="D1481" s="7">
        <v>69</v>
      </c>
      <c r="E1481" s="6" t="s">
        <v>5620</v>
      </c>
      <c r="F1481" s="6" t="s">
        <v>4508</v>
      </c>
      <c r="G1481" s="6" t="s">
        <v>25</v>
      </c>
      <c r="H1481" s="8"/>
      <c r="I1481" s="8">
        <v>98193</v>
      </c>
      <c r="J1481" s="6" t="s">
        <v>5621</v>
      </c>
      <c r="K1481" s="6" t="s">
        <v>2820</v>
      </c>
      <c r="L1481" s="6" t="s">
        <v>4516</v>
      </c>
      <c r="M1481" s="6" t="s">
        <v>5082</v>
      </c>
      <c r="N1481" s="6" t="s">
        <v>2820</v>
      </c>
      <c r="O1481" s="29">
        <f t="shared" si="33"/>
        <v>98193</v>
      </c>
      <c r="Q1481" s="30" t="s">
        <v>2820</v>
      </c>
      <c r="R1481" s="31">
        <v>103102.65</v>
      </c>
    </row>
    <row r="1482" s="1" customFormat="1" ht="16.35" hidden="1" customHeight="1" spans="1:18">
      <c r="A1482" s="6" t="s">
        <v>4506</v>
      </c>
      <c r="B1482" s="6">
        <v>2019</v>
      </c>
      <c r="C1482" s="6">
        <v>12</v>
      </c>
      <c r="D1482" s="7">
        <v>70</v>
      </c>
      <c r="E1482" s="6" t="s">
        <v>5622</v>
      </c>
      <c r="F1482" s="6" t="s">
        <v>4508</v>
      </c>
      <c r="G1482" s="6" t="s">
        <v>25</v>
      </c>
      <c r="H1482" s="8"/>
      <c r="I1482" s="8">
        <v>3670</v>
      </c>
      <c r="J1482" s="6" t="s">
        <v>5623</v>
      </c>
      <c r="K1482" s="6" t="s">
        <v>2825</v>
      </c>
      <c r="L1482" s="6" t="s">
        <v>4516</v>
      </c>
      <c r="M1482" s="6" t="s">
        <v>5082</v>
      </c>
      <c r="N1482" s="6" t="s">
        <v>2825</v>
      </c>
      <c r="O1482" s="29">
        <f t="shared" si="33"/>
        <v>3670</v>
      </c>
      <c r="Q1482" s="30" t="s">
        <v>2825</v>
      </c>
      <c r="R1482" s="31">
        <v>3853.5</v>
      </c>
    </row>
    <row r="1483" s="1" customFormat="1" ht="16.35" hidden="1" customHeight="1" spans="1:18">
      <c r="A1483" s="6" t="s">
        <v>4506</v>
      </c>
      <c r="B1483" s="6">
        <v>2019</v>
      </c>
      <c r="C1483" s="6">
        <v>12</v>
      </c>
      <c r="D1483" s="7">
        <v>71</v>
      </c>
      <c r="E1483" s="6" t="s">
        <v>5622</v>
      </c>
      <c r="F1483" s="6" t="s">
        <v>4508</v>
      </c>
      <c r="G1483" s="6" t="s">
        <v>25</v>
      </c>
      <c r="H1483" s="8"/>
      <c r="I1483" s="8">
        <v>89591</v>
      </c>
      <c r="J1483" s="6" t="s">
        <v>5623</v>
      </c>
      <c r="K1483" s="6" t="s">
        <v>2825</v>
      </c>
      <c r="L1483" s="6" t="s">
        <v>4516</v>
      </c>
      <c r="M1483" s="6" t="s">
        <v>5082</v>
      </c>
      <c r="N1483" s="6" t="s">
        <v>2825</v>
      </c>
      <c r="O1483" s="29">
        <f t="shared" si="33"/>
        <v>89591</v>
      </c>
      <c r="Q1483" s="30" t="s">
        <v>2825</v>
      </c>
      <c r="R1483" s="31">
        <v>94070.55</v>
      </c>
    </row>
    <row r="1484" s="1" customFormat="1" ht="16.35" hidden="1" customHeight="1" spans="1:18">
      <c r="A1484" s="6" t="s">
        <v>4506</v>
      </c>
      <c r="B1484" s="6">
        <v>2019</v>
      </c>
      <c r="C1484" s="6">
        <v>12</v>
      </c>
      <c r="D1484" s="7">
        <v>72</v>
      </c>
      <c r="E1484" s="6" t="s">
        <v>5603</v>
      </c>
      <c r="F1484" s="6" t="s">
        <v>4508</v>
      </c>
      <c r="G1484" s="6" t="s">
        <v>25</v>
      </c>
      <c r="H1484" s="8"/>
      <c r="I1484" s="8">
        <v>5505</v>
      </c>
      <c r="J1484" s="6" t="s">
        <v>5604</v>
      </c>
      <c r="K1484" s="6" t="s">
        <v>2027</v>
      </c>
      <c r="L1484" s="6" t="s">
        <v>4516</v>
      </c>
      <c r="M1484" s="6" t="s">
        <v>5082</v>
      </c>
      <c r="N1484" s="6" t="s">
        <v>2027</v>
      </c>
      <c r="O1484" s="29">
        <f t="shared" si="33"/>
        <v>5505</v>
      </c>
      <c r="Q1484" s="30" t="s">
        <v>2027</v>
      </c>
      <c r="R1484" s="31">
        <v>5780.25</v>
      </c>
    </row>
    <row r="1485" s="1" customFormat="1" ht="16.35" hidden="1" customHeight="1" spans="1:18">
      <c r="A1485" s="6" t="s">
        <v>4506</v>
      </c>
      <c r="B1485" s="6">
        <v>2019</v>
      </c>
      <c r="C1485" s="6">
        <v>12</v>
      </c>
      <c r="D1485" s="7">
        <v>73</v>
      </c>
      <c r="E1485" s="6" t="s">
        <v>5603</v>
      </c>
      <c r="F1485" s="6" t="s">
        <v>4508</v>
      </c>
      <c r="G1485" s="6" t="s">
        <v>25</v>
      </c>
      <c r="H1485" s="8"/>
      <c r="I1485" s="8">
        <v>8257</v>
      </c>
      <c r="J1485" s="6" t="s">
        <v>5604</v>
      </c>
      <c r="K1485" s="6" t="s">
        <v>2027</v>
      </c>
      <c r="L1485" s="6" t="s">
        <v>4516</v>
      </c>
      <c r="M1485" s="6" t="s">
        <v>5082</v>
      </c>
      <c r="N1485" s="6" t="s">
        <v>2027</v>
      </c>
      <c r="O1485" s="29">
        <f t="shared" si="33"/>
        <v>8257</v>
      </c>
      <c r="Q1485" s="30" t="s">
        <v>2027</v>
      </c>
      <c r="R1485" s="31">
        <v>8669.85</v>
      </c>
    </row>
    <row r="1486" s="1" customFormat="1" ht="16.35" hidden="1" customHeight="1" spans="1:18">
      <c r="A1486" s="6" t="s">
        <v>4506</v>
      </c>
      <c r="B1486" s="6">
        <v>2019</v>
      </c>
      <c r="C1486" s="6">
        <v>12</v>
      </c>
      <c r="D1486" s="7">
        <v>76</v>
      </c>
      <c r="E1486" s="6" t="s">
        <v>5624</v>
      </c>
      <c r="F1486" s="6" t="s">
        <v>4508</v>
      </c>
      <c r="G1486" s="6" t="s">
        <v>25</v>
      </c>
      <c r="H1486" s="8"/>
      <c r="I1486" s="8">
        <v>137615</v>
      </c>
      <c r="J1486" s="6" t="s">
        <v>5490</v>
      </c>
      <c r="K1486" s="6" t="s">
        <v>2219</v>
      </c>
      <c r="L1486" s="6" t="s">
        <v>4516</v>
      </c>
      <c r="M1486" s="6" t="s">
        <v>5082</v>
      </c>
      <c r="N1486" s="6" t="s">
        <v>2219</v>
      </c>
      <c r="O1486" s="29">
        <f t="shared" si="33"/>
        <v>137615</v>
      </c>
      <c r="Q1486" s="30" t="s">
        <v>2219</v>
      </c>
      <c r="R1486" s="31">
        <v>144495.75</v>
      </c>
    </row>
    <row r="1487" s="1" customFormat="1" ht="16.35" hidden="1" customHeight="1" spans="1:18">
      <c r="A1487" s="6" t="s">
        <v>4506</v>
      </c>
      <c r="B1487" s="6">
        <v>2019</v>
      </c>
      <c r="C1487" s="6">
        <v>12</v>
      </c>
      <c r="D1487" s="7">
        <v>100</v>
      </c>
      <c r="E1487" s="6" t="s">
        <v>4121</v>
      </c>
      <c r="F1487" s="6" t="s">
        <v>4508</v>
      </c>
      <c r="G1487" s="6" t="s">
        <v>25</v>
      </c>
      <c r="H1487" s="8">
        <v>343143</v>
      </c>
      <c r="I1487" s="8"/>
      <c r="J1487" s="6" t="s">
        <v>4509</v>
      </c>
      <c r="K1487" s="6" t="s">
        <v>589</v>
      </c>
      <c r="L1487" s="6" t="s">
        <v>4510</v>
      </c>
      <c r="M1487" s="6" t="s">
        <v>4511</v>
      </c>
      <c r="N1487" s="6" t="s">
        <v>589</v>
      </c>
      <c r="O1487" s="29">
        <f t="shared" ref="O1487:O1496" si="34">I1487*1.05</f>
        <v>0</v>
      </c>
      <c r="Q1487" s="30" t="s">
        <v>589</v>
      </c>
      <c r="R1487" s="31">
        <v>0</v>
      </c>
    </row>
    <row r="1488" s="1" customFormat="1" ht="16.35" hidden="1" customHeight="1" spans="1:18">
      <c r="A1488" s="6" t="s">
        <v>4506</v>
      </c>
      <c r="B1488" s="6">
        <v>2019</v>
      </c>
      <c r="C1488" s="6">
        <v>12</v>
      </c>
      <c r="D1488" s="7">
        <v>100</v>
      </c>
      <c r="E1488" s="6" t="s">
        <v>4121</v>
      </c>
      <c r="F1488" s="6" t="s">
        <v>4508</v>
      </c>
      <c r="G1488" s="6" t="s">
        <v>25</v>
      </c>
      <c r="H1488" s="8">
        <v>343143</v>
      </c>
      <c r="I1488" s="8"/>
      <c r="J1488" s="6" t="s">
        <v>4512</v>
      </c>
      <c r="K1488" s="6" t="s">
        <v>587</v>
      </c>
      <c r="L1488" s="6" t="s">
        <v>4510</v>
      </c>
      <c r="M1488" s="6" t="s">
        <v>4511</v>
      </c>
      <c r="N1488" s="6" t="s">
        <v>587</v>
      </c>
      <c r="O1488" s="29">
        <f t="shared" si="34"/>
        <v>0</v>
      </c>
      <c r="Q1488" s="30" t="s">
        <v>587</v>
      </c>
      <c r="R1488" s="31">
        <v>0</v>
      </c>
    </row>
    <row r="1489" s="1" customFormat="1" ht="16.35" hidden="1" customHeight="1" spans="1:18">
      <c r="A1489" s="6" t="s">
        <v>4506</v>
      </c>
      <c r="B1489" s="6">
        <v>2019</v>
      </c>
      <c r="C1489" s="6">
        <v>12</v>
      </c>
      <c r="D1489" s="7">
        <v>100</v>
      </c>
      <c r="E1489" s="6" t="s">
        <v>4121</v>
      </c>
      <c r="F1489" s="6" t="s">
        <v>4508</v>
      </c>
      <c r="G1489" s="6" t="s">
        <v>25</v>
      </c>
      <c r="H1489" s="8">
        <v>257349</v>
      </c>
      <c r="I1489" s="8"/>
      <c r="J1489" s="6" t="s">
        <v>4514</v>
      </c>
      <c r="K1489" s="6" t="s">
        <v>585</v>
      </c>
      <c r="L1489" s="6" t="s">
        <v>4510</v>
      </c>
      <c r="M1489" s="6" t="s">
        <v>4511</v>
      </c>
      <c r="N1489" s="6" t="s">
        <v>585</v>
      </c>
      <c r="O1489" s="29">
        <f t="shared" si="34"/>
        <v>0</v>
      </c>
      <c r="Q1489" s="30" t="s">
        <v>585</v>
      </c>
      <c r="R1489" s="31">
        <v>0</v>
      </c>
    </row>
    <row r="1490" s="1" customFormat="1" ht="16.35" hidden="1" customHeight="1" spans="1:18">
      <c r="A1490" s="6" t="s">
        <v>4506</v>
      </c>
      <c r="B1490" s="6">
        <v>2019</v>
      </c>
      <c r="C1490" s="6">
        <v>12</v>
      </c>
      <c r="D1490" s="7">
        <v>100</v>
      </c>
      <c r="E1490" s="6" t="s">
        <v>4121</v>
      </c>
      <c r="F1490" s="6" t="s">
        <v>4508</v>
      </c>
      <c r="G1490" s="6" t="s">
        <v>25</v>
      </c>
      <c r="H1490" s="8">
        <v>431074</v>
      </c>
      <c r="I1490" s="8"/>
      <c r="J1490" s="6" t="s">
        <v>4510</v>
      </c>
      <c r="K1490" s="6" t="s">
        <v>226</v>
      </c>
      <c r="L1490" s="6" t="s">
        <v>4510</v>
      </c>
      <c r="M1490" s="6" t="s">
        <v>4511</v>
      </c>
      <c r="N1490" s="6" t="s">
        <v>226</v>
      </c>
      <c r="O1490" s="29">
        <f t="shared" si="34"/>
        <v>0</v>
      </c>
      <c r="Q1490" s="30" t="s">
        <v>226</v>
      </c>
      <c r="R1490" s="31">
        <v>0</v>
      </c>
    </row>
    <row r="1491" s="1" customFormat="1" ht="16.35" hidden="1" customHeight="1" spans="1:18">
      <c r="A1491" s="6" t="s">
        <v>4506</v>
      </c>
      <c r="B1491" s="6">
        <v>2019</v>
      </c>
      <c r="C1491" s="6">
        <v>12</v>
      </c>
      <c r="D1491" s="7">
        <v>100</v>
      </c>
      <c r="E1491" s="6" t="s">
        <v>4121</v>
      </c>
      <c r="F1491" s="6" t="s">
        <v>4508</v>
      </c>
      <c r="G1491" s="6" t="s">
        <v>25</v>
      </c>
      <c r="H1491" s="8">
        <v>458720</v>
      </c>
      <c r="I1491" s="8"/>
      <c r="J1491" s="6" t="s">
        <v>4516</v>
      </c>
      <c r="K1491" s="6" t="s">
        <v>228</v>
      </c>
      <c r="L1491" s="6" t="s">
        <v>4510</v>
      </c>
      <c r="M1491" s="6" t="s">
        <v>4511</v>
      </c>
      <c r="N1491" s="6" t="s">
        <v>228</v>
      </c>
      <c r="O1491" s="29">
        <f t="shared" si="34"/>
        <v>0</v>
      </c>
      <c r="Q1491" s="30" t="s">
        <v>228</v>
      </c>
      <c r="R1491" s="31">
        <v>0</v>
      </c>
    </row>
    <row r="1492" s="1" customFormat="1" ht="16.35" hidden="1" customHeight="1" spans="1:18">
      <c r="A1492" s="6" t="s">
        <v>4506</v>
      </c>
      <c r="B1492" s="6">
        <v>2019</v>
      </c>
      <c r="C1492" s="6">
        <v>12</v>
      </c>
      <c r="D1492" s="7">
        <v>100</v>
      </c>
      <c r="E1492" s="6" t="s">
        <v>4121</v>
      </c>
      <c r="F1492" s="6" t="s">
        <v>4508</v>
      </c>
      <c r="G1492" s="6" t="s">
        <v>25</v>
      </c>
      <c r="H1492" s="8">
        <v>457253</v>
      </c>
      <c r="I1492" s="8"/>
      <c r="J1492" s="6" t="s">
        <v>2910</v>
      </c>
      <c r="K1492" s="6" t="s">
        <v>230</v>
      </c>
      <c r="L1492" s="6" t="s">
        <v>4510</v>
      </c>
      <c r="M1492" s="6" t="s">
        <v>4511</v>
      </c>
      <c r="N1492" s="6" t="s">
        <v>230</v>
      </c>
      <c r="O1492" s="29">
        <f t="shared" si="34"/>
        <v>0</v>
      </c>
      <c r="Q1492" s="30" t="s">
        <v>230</v>
      </c>
      <c r="R1492" s="31">
        <v>0</v>
      </c>
    </row>
    <row r="1493" s="1" customFormat="1" ht="16.35" hidden="1" customHeight="1" spans="1:18">
      <c r="A1493" s="6" t="s">
        <v>4506</v>
      </c>
      <c r="B1493" s="6">
        <v>2019</v>
      </c>
      <c r="C1493" s="6">
        <v>12</v>
      </c>
      <c r="D1493" s="7">
        <v>100</v>
      </c>
      <c r="E1493" s="6" t="s">
        <v>4121</v>
      </c>
      <c r="F1493" s="6" t="s">
        <v>4508</v>
      </c>
      <c r="G1493" s="6" t="s">
        <v>25</v>
      </c>
      <c r="H1493" s="8">
        <v>452266</v>
      </c>
      <c r="I1493" s="8"/>
      <c r="J1493" s="6" t="s">
        <v>4517</v>
      </c>
      <c r="K1493" s="6" t="s">
        <v>234</v>
      </c>
      <c r="L1493" s="6" t="s">
        <v>4510</v>
      </c>
      <c r="M1493" s="6" t="s">
        <v>4511</v>
      </c>
      <c r="N1493" s="6" t="s">
        <v>234</v>
      </c>
      <c r="O1493" s="29">
        <f t="shared" si="34"/>
        <v>0</v>
      </c>
      <c r="Q1493" s="30" t="s">
        <v>234</v>
      </c>
      <c r="R1493" s="31">
        <v>0</v>
      </c>
    </row>
    <row r="1494" s="1" customFormat="1" ht="16.35" hidden="1" customHeight="1" spans="1:18">
      <c r="A1494" s="6" t="s">
        <v>4506</v>
      </c>
      <c r="B1494" s="6">
        <v>2019</v>
      </c>
      <c r="C1494" s="6">
        <v>12</v>
      </c>
      <c r="D1494" s="7">
        <v>100</v>
      </c>
      <c r="E1494" s="6" t="s">
        <v>4121</v>
      </c>
      <c r="F1494" s="6" t="s">
        <v>4508</v>
      </c>
      <c r="G1494" s="6" t="s">
        <v>25</v>
      </c>
      <c r="H1494" s="8">
        <v>444963</v>
      </c>
      <c r="I1494" s="8"/>
      <c r="J1494" s="6" t="s">
        <v>4518</v>
      </c>
      <c r="K1494" s="6" t="s">
        <v>236</v>
      </c>
      <c r="L1494" s="6" t="s">
        <v>4510</v>
      </c>
      <c r="M1494" s="6" t="s">
        <v>4511</v>
      </c>
      <c r="N1494" s="6" t="s">
        <v>236</v>
      </c>
      <c r="O1494" s="29">
        <f t="shared" si="34"/>
        <v>0</v>
      </c>
      <c r="Q1494" s="30" t="s">
        <v>236</v>
      </c>
      <c r="R1494" s="31">
        <v>0</v>
      </c>
    </row>
    <row r="1495" s="1" customFormat="1" ht="16.35" hidden="1" customHeight="1" spans="1:18">
      <c r="A1495" s="6" t="s">
        <v>4506</v>
      </c>
      <c r="B1495" s="6">
        <v>2019</v>
      </c>
      <c r="C1495" s="6">
        <v>12</v>
      </c>
      <c r="D1495" s="7">
        <v>100</v>
      </c>
      <c r="E1495" s="6" t="s">
        <v>4121</v>
      </c>
      <c r="F1495" s="6" t="s">
        <v>4508</v>
      </c>
      <c r="G1495" s="6" t="s">
        <v>25</v>
      </c>
      <c r="H1495" s="8">
        <v>431074</v>
      </c>
      <c r="I1495" s="8"/>
      <c r="J1495" s="6" t="s">
        <v>4519</v>
      </c>
      <c r="K1495" s="6" t="s">
        <v>238</v>
      </c>
      <c r="L1495" s="6" t="s">
        <v>4510</v>
      </c>
      <c r="M1495" s="6" t="s">
        <v>4511</v>
      </c>
      <c r="N1495" s="6" t="s">
        <v>238</v>
      </c>
      <c r="O1495" s="29">
        <f t="shared" si="34"/>
        <v>0</v>
      </c>
      <c r="Q1495" s="30" t="s">
        <v>238</v>
      </c>
      <c r="R1495" s="31">
        <v>0</v>
      </c>
    </row>
    <row r="1496" s="1" customFormat="1" ht="16.35" hidden="1" customHeight="1" spans="1:18">
      <c r="A1496" s="6" t="s">
        <v>4506</v>
      </c>
      <c r="B1496" s="6">
        <v>2019</v>
      </c>
      <c r="C1496" s="6">
        <v>12</v>
      </c>
      <c r="D1496" s="7">
        <v>100</v>
      </c>
      <c r="E1496" s="6" t="s">
        <v>4121</v>
      </c>
      <c r="F1496" s="6" t="s">
        <v>4508</v>
      </c>
      <c r="G1496" s="6" t="s">
        <v>25</v>
      </c>
      <c r="H1496" s="8">
        <v>394923</v>
      </c>
      <c r="I1496" s="8"/>
      <c r="J1496" s="6" t="s">
        <v>4520</v>
      </c>
      <c r="K1496" s="6" t="s">
        <v>242</v>
      </c>
      <c r="L1496" s="6" t="s">
        <v>4510</v>
      </c>
      <c r="M1496" s="6" t="s">
        <v>4511</v>
      </c>
      <c r="N1496" s="6" t="s">
        <v>242</v>
      </c>
      <c r="O1496" s="29">
        <f t="shared" si="34"/>
        <v>0</v>
      </c>
      <c r="Q1496" s="30" t="s">
        <v>242</v>
      </c>
      <c r="R1496" s="31">
        <v>0</v>
      </c>
    </row>
    <row r="1497" s="1" customFormat="1" ht="16.35" hidden="1" customHeight="1" spans="1:18">
      <c r="A1497" s="6" t="s">
        <v>4506</v>
      </c>
      <c r="B1497" s="6">
        <v>2019</v>
      </c>
      <c r="C1497" s="6">
        <v>12</v>
      </c>
      <c r="D1497" s="7">
        <v>100</v>
      </c>
      <c r="E1497" s="6" t="s">
        <v>4121</v>
      </c>
      <c r="F1497" s="6" t="s">
        <v>4508</v>
      </c>
      <c r="G1497" s="6" t="s">
        <v>25</v>
      </c>
      <c r="H1497" s="8">
        <v>453513</v>
      </c>
      <c r="I1497" s="8"/>
      <c r="J1497" s="6" t="s">
        <v>4521</v>
      </c>
      <c r="K1497" s="6" t="s">
        <v>248</v>
      </c>
      <c r="L1497" s="6" t="s">
        <v>4510</v>
      </c>
      <c r="M1497" s="6" t="s">
        <v>4511</v>
      </c>
      <c r="N1497" s="6" t="s">
        <v>248</v>
      </c>
      <c r="O1497" s="29">
        <f t="shared" ref="O1497:O1560" si="35">I1497*1.05</f>
        <v>0</v>
      </c>
      <c r="Q1497" s="30" t="s">
        <v>248</v>
      </c>
      <c r="R1497" s="31">
        <v>0</v>
      </c>
    </row>
    <row r="1498" s="1" customFormat="1" ht="16.35" hidden="1" customHeight="1" spans="1:18">
      <c r="A1498" s="6" t="s">
        <v>4506</v>
      </c>
      <c r="B1498" s="6">
        <v>2019</v>
      </c>
      <c r="C1498" s="6">
        <v>12</v>
      </c>
      <c r="D1498" s="7">
        <v>100</v>
      </c>
      <c r="E1498" s="6" t="s">
        <v>4121</v>
      </c>
      <c r="F1498" s="6" t="s">
        <v>4508</v>
      </c>
      <c r="G1498" s="6" t="s">
        <v>25</v>
      </c>
      <c r="H1498" s="8">
        <v>457253</v>
      </c>
      <c r="I1498" s="8"/>
      <c r="J1498" s="6" t="s">
        <v>4522</v>
      </c>
      <c r="K1498" s="6" t="s">
        <v>252</v>
      </c>
      <c r="L1498" s="6" t="s">
        <v>4510</v>
      </c>
      <c r="M1498" s="6" t="s">
        <v>4511</v>
      </c>
      <c r="N1498" s="6" t="s">
        <v>252</v>
      </c>
      <c r="O1498" s="29">
        <f t="shared" si="35"/>
        <v>0</v>
      </c>
      <c r="Q1498" s="30" t="s">
        <v>252</v>
      </c>
      <c r="R1498" s="31">
        <v>0</v>
      </c>
    </row>
    <row r="1499" s="1" customFormat="1" ht="16.35" hidden="1" customHeight="1" spans="1:18">
      <c r="A1499" s="6" t="s">
        <v>4506</v>
      </c>
      <c r="B1499" s="6">
        <v>2019</v>
      </c>
      <c r="C1499" s="6">
        <v>12</v>
      </c>
      <c r="D1499" s="7">
        <v>100</v>
      </c>
      <c r="E1499" s="6" t="s">
        <v>4121</v>
      </c>
      <c r="F1499" s="6" t="s">
        <v>4508</v>
      </c>
      <c r="G1499" s="6" t="s">
        <v>25</v>
      </c>
      <c r="H1499" s="8">
        <v>457253</v>
      </c>
      <c r="I1499" s="8"/>
      <c r="J1499" s="6" t="s">
        <v>4523</v>
      </c>
      <c r="K1499" s="6" t="s">
        <v>254</v>
      </c>
      <c r="L1499" s="6" t="s">
        <v>4510</v>
      </c>
      <c r="M1499" s="6" t="s">
        <v>4511</v>
      </c>
      <c r="N1499" s="6" t="s">
        <v>254</v>
      </c>
      <c r="O1499" s="29">
        <f t="shared" si="35"/>
        <v>0</v>
      </c>
      <c r="Q1499" s="30" t="s">
        <v>254</v>
      </c>
      <c r="R1499" s="31">
        <v>0</v>
      </c>
    </row>
    <row r="1500" s="1" customFormat="1" ht="16.35" hidden="1" customHeight="1" spans="1:18">
      <c r="A1500" s="6" t="s">
        <v>4506</v>
      </c>
      <c r="B1500" s="6">
        <v>2019</v>
      </c>
      <c r="C1500" s="6">
        <v>12</v>
      </c>
      <c r="D1500" s="7">
        <v>100</v>
      </c>
      <c r="E1500" s="6" t="s">
        <v>4121</v>
      </c>
      <c r="F1500" s="6" t="s">
        <v>4508</v>
      </c>
      <c r="G1500" s="6" t="s">
        <v>25</v>
      </c>
      <c r="H1500" s="8">
        <v>452266</v>
      </c>
      <c r="I1500" s="8"/>
      <c r="J1500" s="6" t="s">
        <v>4524</v>
      </c>
      <c r="K1500" s="6" t="s">
        <v>256</v>
      </c>
      <c r="L1500" s="6" t="s">
        <v>4510</v>
      </c>
      <c r="M1500" s="6" t="s">
        <v>4511</v>
      </c>
      <c r="N1500" s="6" t="s">
        <v>256</v>
      </c>
      <c r="O1500" s="29">
        <f t="shared" si="35"/>
        <v>0</v>
      </c>
      <c r="Q1500" s="30" t="s">
        <v>256</v>
      </c>
      <c r="R1500" s="31">
        <v>0</v>
      </c>
    </row>
    <row r="1501" s="1" customFormat="1" ht="16.35" hidden="1" customHeight="1" spans="1:18">
      <c r="A1501" s="6" t="s">
        <v>4506</v>
      </c>
      <c r="B1501" s="6">
        <v>2019</v>
      </c>
      <c r="C1501" s="6">
        <v>12</v>
      </c>
      <c r="D1501" s="7">
        <v>100</v>
      </c>
      <c r="E1501" s="6" t="s">
        <v>4121</v>
      </c>
      <c r="F1501" s="6" t="s">
        <v>4508</v>
      </c>
      <c r="G1501" s="6" t="s">
        <v>25</v>
      </c>
      <c r="H1501" s="8">
        <v>443540</v>
      </c>
      <c r="I1501" s="8"/>
      <c r="J1501" s="6" t="s">
        <v>4525</v>
      </c>
      <c r="K1501" s="6" t="s">
        <v>260</v>
      </c>
      <c r="L1501" s="6" t="s">
        <v>4510</v>
      </c>
      <c r="M1501" s="6" t="s">
        <v>4511</v>
      </c>
      <c r="N1501" s="6" t="s">
        <v>260</v>
      </c>
      <c r="O1501" s="29">
        <f t="shared" si="35"/>
        <v>0</v>
      </c>
      <c r="Q1501" s="30" t="s">
        <v>260</v>
      </c>
      <c r="R1501" s="31">
        <v>0</v>
      </c>
    </row>
    <row r="1502" s="1" customFormat="1" ht="16.35" hidden="1" customHeight="1" spans="1:18">
      <c r="A1502" s="6" t="s">
        <v>4506</v>
      </c>
      <c r="B1502" s="6">
        <v>2019</v>
      </c>
      <c r="C1502" s="6">
        <v>12</v>
      </c>
      <c r="D1502" s="7">
        <v>100</v>
      </c>
      <c r="E1502" s="6" t="s">
        <v>4121</v>
      </c>
      <c r="F1502" s="6" t="s">
        <v>4508</v>
      </c>
      <c r="G1502" s="6" t="s">
        <v>25</v>
      </c>
      <c r="H1502" s="8">
        <v>443540</v>
      </c>
      <c r="I1502" s="8"/>
      <c r="J1502" s="6" t="s">
        <v>4526</v>
      </c>
      <c r="K1502" s="6" t="s">
        <v>262</v>
      </c>
      <c r="L1502" s="6" t="s">
        <v>4510</v>
      </c>
      <c r="M1502" s="6" t="s">
        <v>4511</v>
      </c>
      <c r="N1502" s="6" t="s">
        <v>262</v>
      </c>
      <c r="O1502" s="29">
        <f t="shared" si="35"/>
        <v>0</v>
      </c>
      <c r="Q1502" s="30" t="s">
        <v>262</v>
      </c>
      <c r="R1502" s="31">
        <v>0</v>
      </c>
    </row>
    <row r="1503" s="1" customFormat="1" ht="16.35" hidden="1" customHeight="1" spans="1:18">
      <c r="A1503" s="6" t="s">
        <v>4506</v>
      </c>
      <c r="B1503" s="6">
        <v>2019</v>
      </c>
      <c r="C1503" s="6">
        <v>12</v>
      </c>
      <c r="D1503" s="7">
        <v>100</v>
      </c>
      <c r="E1503" s="6" t="s">
        <v>4121</v>
      </c>
      <c r="F1503" s="6" t="s">
        <v>4508</v>
      </c>
      <c r="G1503" s="6" t="s">
        <v>25</v>
      </c>
      <c r="H1503" s="8">
        <v>391183</v>
      </c>
      <c r="I1503" s="8"/>
      <c r="J1503" s="6" t="s">
        <v>4527</v>
      </c>
      <c r="K1503" s="6" t="s">
        <v>266</v>
      </c>
      <c r="L1503" s="6" t="s">
        <v>4510</v>
      </c>
      <c r="M1503" s="6" t="s">
        <v>4511</v>
      </c>
      <c r="N1503" s="6" t="s">
        <v>266</v>
      </c>
      <c r="O1503" s="29">
        <f t="shared" si="35"/>
        <v>0</v>
      </c>
      <c r="Q1503" s="30" t="s">
        <v>266</v>
      </c>
      <c r="R1503" s="31">
        <v>0</v>
      </c>
    </row>
    <row r="1504" s="1" customFormat="1" ht="16.35" hidden="1" customHeight="1" spans="1:18">
      <c r="A1504" s="6" t="s">
        <v>4506</v>
      </c>
      <c r="B1504" s="6">
        <v>2019</v>
      </c>
      <c r="C1504" s="6">
        <v>12</v>
      </c>
      <c r="D1504" s="7">
        <v>100</v>
      </c>
      <c r="E1504" s="6" t="s">
        <v>4121</v>
      </c>
      <c r="F1504" s="6" t="s">
        <v>4508</v>
      </c>
      <c r="G1504" s="6" t="s">
        <v>25</v>
      </c>
      <c r="H1504" s="8">
        <v>343864</v>
      </c>
      <c r="I1504" s="8"/>
      <c r="J1504" s="6" t="s">
        <v>4528</v>
      </c>
      <c r="K1504" s="6" t="s">
        <v>270</v>
      </c>
      <c r="L1504" s="6" t="s">
        <v>4510</v>
      </c>
      <c r="M1504" s="6" t="s">
        <v>4511</v>
      </c>
      <c r="N1504" s="6" t="s">
        <v>270</v>
      </c>
      <c r="O1504" s="29">
        <f t="shared" si="35"/>
        <v>0</v>
      </c>
      <c r="Q1504" s="30" t="s">
        <v>270</v>
      </c>
      <c r="R1504" s="31">
        <v>0</v>
      </c>
    </row>
    <row r="1505" s="1" customFormat="1" ht="16.35" hidden="1" customHeight="1" spans="1:18">
      <c r="A1505" s="6" t="s">
        <v>4506</v>
      </c>
      <c r="B1505" s="6">
        <v>2019</v>
      </c>
      <c r="C1505" s="6">
        <v>12</v>
      </c>
      <c r="D1505" s="7">
        <v>100</v>
      </c>
      <c r="E1505" s="6" t="s">
        <v>4121</v>
      </c>
      <c r="F1505" s="6" t="s">
        <v>4508</v>
      </c>
      <c r="G1505" s="6" t="s">
        <v>25</v>
      </c>
      <c r="H1505" s="8">
        <v>434814</v>
      </c>
      <c r="I1505" s="8"/>
      <c r="J1505" s="6" t="s">
        <v>2919</v>
      </c>
      <c r="K1505" s="6" t="s">
        <v>276</v>
      </c>
      <c r="L1505" s="6" t="s">
        <v>4510</v>
      </c>
      <c r="M1505" s="6" t="s">
        <v>4511</v>
      </c>
      <c r="N1505" s="6" t="s">
        <v>276</v>
      </c>
      <c r="O1505" s="29">
        <f t="shared" si="35"/>
        <v>0</v>
      </c>
      <c r="Q1505" s="30" t="s">
        <v>276</v>
      </c>
      <c r="R1505" s="31">
        <v>0</v>
      </c>
    </row>
    <row r="1506" s="1" customFormat="1" ht="16.35" hidden="1" customHeight="1" spans="1:18">
      <c r="A1506" s="6" t="s">
        <v>4506</v>
      </c>
      <c r="B1506" s="6">
        <v>2019</v>
      </c>
      <c r="C1506" s="6">
        <v>12</v>
      </c>
      <c r="D1506" s="7">
        <v>100</v>
      </c>
      <c r="E1506" s="6" t="s">
        <v>4121</v>
      </c>
      <c r="F1506" s="6" t="s">
        <v>4508</v>
      </c>
      <c r="G1506" s="6" t="s">
        <v>25</v>
      </c>
      <c r="H1506" s="8">
        <v>429828</v>
      </c>
      <c r="I1506" s="8"/>
      <c r="J1506" s="6" t="s">
        <v>4529</v>
      </c>
      <c r="K1506" s="6" t="s">
        <v>281</v>
      </c>
      <c r="L1506" s="6" t="s">
        <v>4510</v>
      </c>
      <c r="M1506" s="6" t="s">
        <v>4511</v>
      </c>
      <c r="N1506" s="6" t="s">
        <v>281</v>
      </c>
      <c r="O1506" s="29">
        <f t="shared" si="35"/>
        <v>0</v>
      </c>
      <c r="Q1506" s="30" t="s">
        <v>281</v>
      </c>
      <c r="R1506" s="31">
        <v>0</v>
      </c>
    </row>
    <row r="1507" s="1" customFormat="1" ht="16.35" hidden="1" customHeight="1" spans="1:18">
      <c r="A1507" s="6" t="s">
        <v>4506</v>
      </c>
      <c r="B1507" s="6">
        <v>2019</v>
      </c>
      <c r="C1507" s="6">
        <v>12</v>
      </c>
      <c r="D1507" s="7">
        <v>100</v>
      </c>
      <c r="E1507" s="6" t="s">
        <v>4121</v>
      </c>
      <c r="F1507" s="6" t="s">
        <v>4508</v>
      </c>
      <c r="G1507" s="6" t="s">
        <v>25</v>
      </c>
      <c r="H1507" s="8">
        <v>431207</v>
      </c>
      <c r="I1507" s="8"/>
      <c r="J1507" s="6" t="s">
        <v>2913</v>
      </c>
      <c r="K1507" s="6" t="s">
        <v>283</v>
      </c>
      <c r="L1507" s="6" t="s">
        <v>4510</v>
      </c>
      <c r="M1507" s="6" t="s">
        <v>4511</v>
      </c>
      <c r="N1507" s="6" t="s">
        <v>283</v>
      </c>
      <c r="O1507" s="29">
        <f t="shared" si="35"/>
        <v>0</v>
      </c>
      <c r="Q1507" s="30" t="s">
        <v>283</v>
      </c>
      <c r="R1507" s="31">
        <v>0</v>
      </c>
    </row>
    <row r="1508" s="1" customFormat="1" ht="16.35" hidden="1" customHeight="1" spans="1:18">
      <c r="A1508" s="6" t="s">
        <v>4506</v>
      </c>
      <c r="B1508" s="6">
        <v>2019</v>
      </c>
      <c r="C1508" s="6">
        <v>12</v>
      </c>
      <c r="D1508" s="7">
        <v>100</v>
      </c>
      <c r="E1508" s="6" t="s">
        <v>4121</v>
      </c>
      <c r="F1508" s="6" t="s">
        <v>4508</v>
      </c>
      <c r="G1508" s="6" t="s">
        <v>25</v>
      </c>
      <c r="H1508" s="8">
        <v>441212</v>
      </c>
      <c r="I1508" s="8"/>
      <c r="J1508" s="6" t="s">
        <v>2916</v>
      </c>
      <c r="K1508" s="6" t="s">
        <v>287</v>
      </c>
      <c r="L1508" s="6" t="s">
        <v>4510</v>
      </c>
      <c r="M1508" s="6" t="s">
        <v>4511</v>
      </c>
      <c r="N1508" s="6" t="s">
        <v>287</v>
      </c>
      <c r="O1508" s="29">
        <f t="shared" si="35"/>
        <v>0</v>
      </c>
      <c r="Q1508" s="30" t="s">
        <v>287</v>
      </c>
      <c r="R1508" s="31">
        <v>0</v>
      </c>
    </row>
    <row r="1509" s="1" customFormat="1" ht="16.35" hidden="1" customHeight="1" spans="1:18">
      <c r="A1509" s="6" t="s">
        <v>4506</v>
      </c>
      <c r="B1509" s="6">
        <v>2019</v>
      </c>
      <c r="C1509" s="6">
        <v>12</v>
      </c>
      <c r="D1509" s="7">
        <v>100</v>
      </c>
      <c r="E1509" s="6" t="s">
        <v>4121</v>
      </c>
      <c r="F1509" s="6" t="s">
        <v>4508</v>
      </c>
      <c r="G1509" s="6" t="s">
        <v>25</v>
      </c>
      <c r="H1509" s="8">
        <v>394923</v>
      </c>
      <c r="I1509" s="8"/>
      <c r="J1509" s="6" t="s">
        <v>2922</v>
      </c>
      <c r="K1509" s="6" t="s">
        <v>289</v>
      </c>
      <c r="L1509" s="6" t="s">
        <v>4510</v>
      </c>
      <c r="M1509" s="6" t="s">
        <v>4511</v>
      </c>
      <c r="N1509" s="6" t="s">
        <v>289</v>
      </c>
      <c r="O1509" s="29">
        <f t="shared" si="35"/>
        <v>0</v>
      </c>
      <c r="Q1509" s="30" t="s">
        <v>289</v>
      </c>
      <c r="R1509" s="31">
        <v>0</v>
      </c>
    </row>
    <row r="1510" s="1" customFormat="1" ht="16.35" hidden="1" customHeight="1" spans="1:18">
      <c r="A1510" s="6" t="s">
        <v>4506</v>
      </c>
      <c r="B1510" s="6">
        <v>2019</v>
      </c>
      <c r="C1510" s="6">
        <v>12</v>
      </c>
      <c r="D1510" s="7">
        <v>100</v>
      </c>
      <c r="E1510" s="6" t="s">
        <v>4121</v>
      </c>
      <c r="F1510" s="6" t="s">
        <v>4508</v>
      </c>
      <c r="G1510" s="6" t="s">
        <v>25</v>
      </c>
      <c r="H1510" s="8">
        <v>402443</v>
      </c>
      <c r="I1510" s="8"/>
      <c r="J1510" s="6" t="s">
        <v>2929</v>
      </c>
      <c r="K1510" s="6" t="s">
        <v>291</v>
      </c>
      <c r="L1510" s="6" t="s">
        <v>4510</v>
      </c>
      <c r="M1510" s="6" t="s">
        <v>4511</v>
      </c>
      <c r="N1510" s="6" t="s">
        <v>291</v>
      </c>
      <c r="O1510" s="29">
        <f t="shared" si="35"/>
        <v>0</v>
      </c>
      <c r="Q1510" s="30" t="s">
        <v>291</v>
      </c>
      <c r="R1510" s="31">
        <v>0</v>
      </c>
    </row>
    <row r="1511" s="1" customFormat="1" ht="16.35" hidden="1" customHeight="1" spans="1:18">
      <c r="A1511" s="6" t="s">
        <v>4506</v>
      </c>
      <c r="B1511" s="6">
        <v>2019</v>
      </c>
      <c r="C1511" s="6">
        <v>12</v>
      </c>
      <c r="D1511" s="7">
        <v>100</v>
      </c>
      <c r="E1511" s="6" t="s">
        <v>4121</v>
      </c>
      <c r="F1511" s="6" t="s">
        <v>4508</v>
      </c>
      <c r="G1511" s="6" t="s">
        <v>25</v>
      </c>
      <c r="H1511" s="8">
        <v>347388</v>
      </c>
      <c r="I1511" s="8"/>
      <c r="J1511" s="6" t="s">
        <v>4530</v>
      </c>
      <c r="K1511" s="6" t="s">
        <v>293</v>
      </c>
      <c r="L1511" s="6" t="s">
        <v>4510</v>
      </c>
      <c r="M1511" s="6" t="s">
        <v>4511</v>
      </c>
      <c r="N1511" s="6" t="s">
        <v>293</v>
      </c>
      <c r="O1511" s="29">
        <f t="shared" si="35"/>
        <v>0</v>
      </c>
      <c r="Q1511" s="30" t="s">
        <v>293</v>
      </c>
      <c r="R1511" s="31">
        <v>0</v>
      </c>
    </row>
    <row r="1512" s="1" customFormat="1" ht="16.35" hidden="1" customHeight="1" spans="1:18">
      <c r="A1512" s="6" t="s">
        <v>4506</v>
      </c>
      <c r="B1512" s="6">
        <v>2019</v>
      </c>
      <c r="C1512" s="6">
        <v>12</v>
      </c>
      <c r="D1512" s="7">
        <v>100</v>
      </c>
      <c r="E1512" s="6" t="s">
        <v>4121</v>
      </c>
      <c r="F1512" s="6" t="s">
        <v>4508</v>
      </c>
      <c r="G1512" s="6" t="s">
        <v>25</v>
      </c>
      <c r="H1512" s="8">
        <v>340322</v>
      </c>
      <c r="I1512" s="8"/>
      <c r="J1512" s="6" t="s">
        <v>2956</v>
      </c>
      <c r="K1512" s="6" t="s">
        <v>295</v>
      </c>
      <c r="L1512" s="6" t="s">
        <v>4510</v>
      </c>
      <c r="M1512" s="6" t="s">
        <v>4511</v>
      </c>
      <c r="N1512" s="6" t="s">
        <v>295</v>
      </c>
      <c r="O1512" s="29">
        <f t="shared" si="35"/>
        <v>0</v>
      </c>
      <c r="Q1512" s="30" t="s">
        <v>295</v>
      </c>
      <c r="R1512" s="31">
        <v>0</v>
      </c>
    </row>
    <row r="1513" s="1" customFormat="1" ht="16.35" hidden="1" customHeight="1" spans="1:18">
      <c r="A1513" s="6" t="s">
        <v>4506</v>
      </c>
      <c r="B1513" s="6">
        <v>2019</v>
      </c>
      <c r="C1513" s="6">
        <v>12</v>
      </c>
      <c r="D1513" s="7">
        <v>100</v>
      </c>
      <c r="E1513" s="6" t="s">
        <v>4121</v>
      </c>
      <c r="F1513" s="6" t="s">
        <v>4508</v>
      </c>
      <c r="G1513" s="6" t="s">
        <v>25</v>
      </c>
      <c r="H1513" s="8">
        <v>355687</v>
      </c>
      <c r="I1513" s="8"/>
      <c r="J1513" s="6" t="s">
        <v>2958</v>
      </c>
      <c r="K1513" s="6" t="s">
        <v>297</v>
      </c>
      <c r="L1513" s="6" t="s">
        <v>4510</v>
      </c>
      <c r="M1513" s="6" t="s">
        <v>4511</v>
      </c>
      <c r="N1513" s="6" t="s">
        <v>297</v>
      </c>
      <c r="O1513" s="29">
        <f t="shared" si="35"/>
        <v>0</v>
      </c>
      <c r="Q1513" s="30" t="s">
        <v>297</v>
      </c>
      <c r="R1513" s="31">
        <v>0</v>
      </c>
    </row>
    <row r="1514" s="1" customFormat="1" ht="16.35" hidden="1" customHeight="1" spans="1:18">
      <c r="A1514" s="6" t="s">
        <v>4506</v>
      </c>
      <c r="B1514" s="6">
        <v>2019</v>
      </c>
      <c r="C1514" s="6">
        <v>12</v>
      </c>
      <c r="D1514" s="7">
        <v>100</v>
      </c>
      <c r="E1514" s="6" t="s">
        <v>4121</v>
      </c>
      <c r="F1514" s="6" t="s">
        <v>4508</v>
      </c>
      <c r="G1514" s="6" t="s">
        <v>25</v>
      </c>
      <c r="H1514" s="8">
        <v>354451</v>
      </c>
      <c r="I1514" s="8"/>
      <c r="J1514" s="6" t="s">
        <v>2960</v>
      </c>
      <c r="K1514" s="6" t="s">
        <v>299</v>
      </c>
      <c r="L1514" s="6" t="s">
        <v>4510</v>
      </c>
      <c r="M1514" s="6" t="s">
        <v>4511</v>
      </c>
      <c r="N1514" s="6" t="s">
        <v>299</v>
      </c>
      <c r="O1514" s="29">
        <f t="shared" si="35"/>
        <v>0</v>
      </c>
      <c r="Q1514" s="30" t="s">
        <v>299</v>
      </c>
      <c r="R1514" s="31">
        <v>0</v>
      </c>
    </row>
    <row r="1515" s="1" customFormat="1" ht="16.35" hidden="1" customHeight="1" spans="1:18">
      <c r="A1515" s="6" t="s">
        <v>4506</v>
      </c>
      <c r="B1515" s="6">
        <v>2019</v>
      </c>
      <c r="C1515" s="6">
        <v>12</v>
      </c>
      <c r="D1515" s="7">
        <v>100</v>
      </c>
      <c r="E1515" s="6" t="s">
        <v>4121</v>
      </c>
      <c r="F1515" s="6" t="s">
        <v>4508</v>
      </c>
      <c r="G1515" s="6" t="s">
        <v>25</v>
      </c>
      <c r="H1515" s="8">
        <v>355687</v>
      </c>
      <c r="I1515" s="8"/>
      <c r="J1515" s="6" t="s">
        <v>2962</v>
      </c>
      <c r="K1515" s="6" t="s">
        <v>301</v>
      </c>
      <c r="L1515" s="6" t="s">
        <v>4510</v>
      </c>
      <c r="M1515" s="6" t="s">
        <v>4511</v>
      </c>
      <c r="N1515" s="6" t="s">
        <v>301</v>
      </c>
      <c r="O1515" s="29">
        <f t="shared" si="35"/>
        <v>0</v>
      </c>
      <c r="Q1515" s="30" t="s">
        <v>301</v>
      </c>
      <c r="R1515" s="31">
        <v>0</v>
      </c>
    </row>
    <row r="1516" s="1" customFormat="1" ht="16.35" hidden="1" customHeight="1" spans="1:18">
      <c r="A1516" s="6" t="s">
        <v>4506</v>
      </c>
      <c r="B1516" s="6">
        <v>2019</v>
      </c>
      <c r="C1516" s="6">
        <v>12</v>
      </c>
      <c r="D1516" s="7">
        <v>100</v>
      </c>
      <c r="E1516" s="6" t="s">
        <v>4121</v>
      </c>
      <c r="F1516" s="6" t="s">
        <v>4508</v>
      </c>
      <c r="G1516" s="6" t="s">
        <v>25</v>
      </c>
      <c r="H1516" s="8">
        <v>354709</v>
      </c>
      <c r="I1516" s="8"/>
      <c r="J1516" s="6" t="s">
        <v>2964</v>
      </c>
      <c r="K1516" s="6" t="s">
        <v>305</v>
      </c>
      <c r="L1516" s="6" t="s">
        <v>4510</v>
      </c>
      <c r="M1516" s="6" t="s">
        <v>4511</v>
      </c>
      <c r="N1516" s="6" t="s">
        <v>305</v>
      </c>
      <c r="O1516" s="29">
        <f t="shared" si="35"/>
        <v>0</v>
      </c>
      <c r="Q1516" s="30" t="s">
        <v>305</v>
      </c>
      <c r="R1516" s="31">
        <v>0</v>
      </c>
    </row>
    <row r="1517" s="1" customFormat="1" ht="16.35" hidden="1" customHeight="1" spans="1:18">
      <c r="A1517" s="6" t="s">
        <v>4506</v>
      </c>
      <c r="B1517" s="6">
        <v>2019</v>
      </c>
      <c r="C1517" s="6">
        <v>12</v>
      </c>
      <c r="D1517" s="7">
        <v>100</v>
      </c>
      <c r="E1517" s="6" t="s">
        <v>4121</v>
      </c>
      <c r="F1517" s="6" t="s">
        <v>4508</v>
      </c>
      <c r="G1517" s="6" t="s">
        <v>25</v>
      </c>
      <c r="H1517" s="8">
        <v>350554</v>
      </c>
      <c r="I1517" s="8"/>
      <c r="J1517" s="6" t="s">
        <v>2966</v>
      </c>
      <c r="K1517" s="6" t="s">
        <v>307</v>
      </c>
      <c r="L1517" s="6" t="s">
        <v>4510</v>
      </c>
      <c r="M1517" s="6" t="s">
        <v>4511</v>
      </c>
      <c r="N1517" s="6" t="s">
        <v>307</v>
      </c>
      <c r="O1517" s="29">
        <f t="shared" si="35"/>
        <v>0</v>
      </c>
      <c r="Q1517" s="30" t="s">
        <v>307</v>
      </c>
      <c r="R1517" s="31">
        <v>0</v>
      </c>
    </row>
    <row r="1518" s="1" customFormat="1" ht="16.35" hidden="1" customHeight="1" spans="1:18">
      <c r="A1518" s="6" t="s">
        <v>4506</v>
      </c>
      <c r="B1518" s="6">
        <v>2019</v>
      </c>
      <c r="C1518" s="6">
        <v>12</v>
      </c>
      <c r="D1518" s="7">
        <v>100</v>
      </c>
      <c r="E1518" s="6" t="s">
        <v>4121</v>
      </c>
      <c r="F1518" s="6" t="s">
        <v>4508</v>
      </c>
      <c r="G1518" s="6" t="s">
        <v>25</v>
      </c>
      <c r="H1518" s="8">
        <v>347866</v>
      </c>
      <c r="I1518" s="8"/>
      <c r="J1518" s="6" t="s">
        <v>2968</v>
      </c>
      <c r="K1518" s="6" t="s">
        <v>309</v>
      </c>
      <c r="L1518" s="6" t="s">
        <v>4510</v>
      </c>
      <c r="M1518" s="6" t="s">
        <v>4511</v>
      </c>
      <c r="N1518" s="6" t="s">
        <v>309</v>
      </c>
      <c r="O1518" s="29">
        <f t="shared" si="35"/>
        <v>0</v>
      </c>
      <c r="Q1518" s="30" t="s">
        <v>309</v>
      </c>
      <c r="R1518" s="31">
        <v>0</v>
      </c>
    </row>
    <row r="1519" s="1" customFormat="1" ht="16.35" hidden="1" customHeight="1" spans="1:18">
      <c r="A1519" s="6" t="s">
        <v>4506</v>
      </c>
      <c r="B1519" s="6">
        <v>2019</v>
      </c>
      <c r="C1519" s="6">
        <v>12</v>
      </c>
      <c r="D1519" s="7">
        <v>100</v>
      </c>
      <c r="E1519" s="6" t="s">
        <v>4121</v>
      </c>
      <c r="F1519" s="6" t="s">
        <v>4508</v>
      </c>
      <c r="G1519" s="6" t="s">
        <v>25</v>
      </c>
      <c r="H1519" s="8">
        <v>346656</v>
      </c>
      <c r="I1519" s="8"/>
      <c r="J1519" s="6" t="s">
        <v>2971</v>
      </c>
      <c r="K1519" s="6" t="s">
        <v>311</v>
      </c>
      <c r="L1519" s="6" t="s">
        <v>4510</v>
      </c>
      <c r="M1519" s="6" t="s">
        <v>4511</v>
      </c>
      <c r="N1519" s="6" t="s">
        <v>311</v>
      </c>
      <c r="O1519" s="29">
        <f t="shared" si="35"/>
        <v>0</v>
      </c>
      <c r="Q1519" s="30" t="s">
        <v>311</v>
      </c>
      <c r="R1519" s="31">
        <v>0</v>
      </c>
    </row>
    <row r="1520" s="1" customFormat="1" ht="16.35" hidden="1" customHeight="1" spans="1:18">
      <c r="A1520" s="6" t="s">
        <v>4506</v>
      </c>
      <c r="B1520" s="6">
        <v>2019</v>
      </c>
      <c r="C1520" s="6">
        <v>12</v>
      </c>
      <c r="D1520" s="7">
        <v>100</v>
      </c>
      <c r="E1520" s="6" t="s">
        <v>4121</v>
      </c>
      <c r="F1520" s="6" t="s">
        <v>4508</v>
      </c>
      <c r="G1520" s="6" t="s">
        <v>25</v>
      </c>
      <c r="H1520" s="8">
        <v>309736</v>
      </c>
      <c r="I1520" s="8"/>
      <c r="J1520" s="6" t="s">
        <v>2974</v>
      </c>
      <c r="K1520" s="6" t="s">
        <v>313</v>
      </c>
      <c r="L1520" s="6" t="s">
        <v>4510</v>
      </c>
      <c r="M1520" s="6" t="s">
        <v>4511</v>
      </c>
      <c r="N1520" s="6" t="s">
        <v>313</v>
      </c>
      <c r="O1520" s="29">
        <f t="shared" si="35"/>
        <v>0</v>
      </c>
      <c r="Q1520" s="30" t="s">
        <v>313</v>
      </c>
      <c r="R1520" s="31">
        <v>0</v>
      </c>
    </row>
    <row r="1521" s="1" customFormat="1" ht="16.35" hidden="1" customHeight="1" spans="1:18">
      <c r="A1521" s="6" t="s">
        <v>4506</v>
      </c>
      <c r="B1521" s="6">
        <v>2019</v>
      </c>
      <c r="C1521" s="6">
        <v>12</v>
      </c>
      <c r="D1521" s="7">
        <v>100</v>
      </c>
      <c r="E1521" s="6" t="s">
        <v>4121</v>
      </c>
      <c r="F1521" s="6" t="s">
        <v>4508</v>
      </c>
      <c r="G1521" s="6" t="s">
        <v>25</v>
      </c>
      <c r="H1521" s="8">
        <v>308658</v>
      </c>
      <c r="I1521" s="8"/>
      <c r="J1521" s="6" t="s">
        <v>2976</v>
      </c>
      <c r="K1521" s="6" t="s">
        <v>315</v>
      </c>
      <c r="L1521" s="6" t="s">
        <v>4510</v>
      </c>
      <c r="M1521" s="6" t="s">
        <v>4511</v>
      </c>
      <c r="N1521" s="6" t="s">
        <v>315</v>
      </c>
      <c r="O1521" s="29">
        <f t="shared" si="35"/>
        <v>0</v>
      </c>
      <c r="Q1521" s="30" t="s">
        <v>315</v>
      </c>
      <c r="R1521" s="31">
        <v>0</v>
      </c>
    </row>
    <row r="1522" s="1" customFormat="1" ht="16.35" hidden="1" customHeight="1" spans="1:18">
      <c r="A1522" s="6" t="s">
        <v>4506</v>
      </c>
      <c r="B1522" s="6">
        <v>2019</v>
      </c>
      <c r="C1522" s="6">
        <v>12</v>
      </c>
      <c r="D1522" s="7">
        <v>100</v>
      </c>
      <c r="E1522" s="6" t="s">
        <v>4121</v>
      </c>
      <c r="F1522" s="6" t="s">
        <v>4508</v>
      </c>
      <c r="G1522" s="6" t="s">
        <v>25</v>
      </c>
      <c r="H1522" s="8">
        <v>267049</v>
      </c>
      <c r="I1522" s="8"/>
      <c r="J1522" s="6" t="s">
        <v>2978</v>
      </c>
      <c r="K1522" s="6" t="s">
        <v>320</v>
      </c>
      <c r="L1522" s="6" t="s">
        <v>4510</v>
      </c>
      <c r="M1522" s="6" t="s">
        <v>4511</v>
      </c>
      <c r="N1522" s="6" t="s">
        <v>320</v>
      </c>
      <c r="O1522" s="29">
        <f t="shared" si="35"/>
        <v>0</v>
      </c>
      <c r="Q1522" s="30" t="s">
        <v>320</v>
      </c>
      <c r="R1522" s="31">
        <v>0</v>
      </c>
    </row>
    <row r="1523" s="1" customFormat="1" ht="16.35" hidden="1" customHeight="1" spans="1:18">
      <c r="A1523" s="6" t="s">
        <v>4506</v>
      </c>
      <c r="B1523" s="6">
        <v>2019</v>
      </c>
      <c r="C1523" s="6">
        <v>12</v>
      </c>
      <c r="D1523" s="7">
        <v>100</v>
      </c>
      <c r="E1523" s="6" t="s">
        <v>4121</v>
      </c>
      <c r="F1523" s="6" t="s">
        <v>4508</v>
      </c>
      <c r="G1523" s="6" t="s">
        <v>25</v>
      </c>
      <c r="H1523" s="8">
        <v>356378</v>
      </c>
      <c r="I1523" s="8"/>
      <c r="J1523" s="6" t="s">
        <v>2980</v>
      </c>
      <c r="K1523" s="6" t="s">
        <v>325</v>
      </c>
      <c r="L1523" s="6" t="s">
        <v>4510</v>
      </c>
      <c r="M1523" s="6" t="s">
        <v>4511</v>
      </c>
      <c r="N1523" s="6" t="s">
        <v>325</v>
      </c>
      <c r="O1523" s="29">
        <f t="shared" si="35"/>
        <v>0</v>
      </c>
      <c r="Q1523" s="30" t="s">
        <v>325</v>
      </c>
      <c r="R1523" s="31">
        <v>0</v>
      </c>
    </row>
    <row r="1524" s="1" customFormat="1" ht="16.35" hidden="1" customHeight="1" spans="1:18">
      <c r="A1524" s="6" t="s">
        <v>4506</v>
      </c>
      <c r="B1524" s="6">
        <v>2019</v>
      </c>
      <c r="C1524" s="6">
        <v>12</v>
      </c>
      <c r="D1524" s="7">
        <v>100</v>
      </c>
      <c r="E1524" s="6" t="s">
        <v>4121</v>
      </c>
      <c r="F1524" s="6" t="s">
        <v>4508</v>
      </c>
      <c r="G1524" s="6" t="s">
        <v>25</v>
      </c>
      <c r="H1524" s="8">
        <v>358621</v>
      </c>
      <c r="I1524" s="8"/>
      <c r="J1524" s="6" t="s">
        <v>2982</v>
      </c>
      <c r="K1524" s="6" t="s">
        <v>330</v>
      </c>
      <c r="L1524" s="6" t="s">
        <v>4510</v>
      </c>
      <c r="M1524" s="6" t="s">
        <v>4511</v>
      </c>
      <c r="N1524" s="6" t="s">
        <v>330</v>
      </c>
      <c r="O1524" s="29">
        <f t="shared" si="35"/>
        <v>0</v>
      </c>
      <c r="Q1524" s="30" t="s">
        <v>330</v>
      </c>
      <c r="R1524" s="31">
        <v>0</v>
      </c>
    </row>
    <row r="1525" s="1" customFormat="1" ht="16.35" hidden="1" customHeight="1" spans="1:18">
      <c r="A1525" s="6" t="s">
        <v>4506</v>
      </c>
      <c r="B1525" s="6">
        <v>2019</v>
      </c>
      <c r="C1525" s="6">
        <v>12</v>
      </c>
      <c r="D1525" s="7">
        <v>100</v>
      </c>
      <c r="E1525" s="6" t="s">
        <v>4121</v>
      </c>
      <c r="F1525" s="6" t="s">
        <v>4508</v>
      </c>
      <c r="G1525" s="6" t="s">
        <v>25</v>
      </c>
      <c r="H1525" s="8">
        <v>354710</v>
      </c>
      <c r="I1525" s="8"/>
      <c r="J1525" s="6" t="s">
        <v>2984</v>
      </c>
      <c r="K1525" s="6" t="s">
        <v>334</v>
      </c>
      <c r="L1525" s="6" t="s">
        <v>4510</v>
      </c>
      <c r="M1525" s="6" t="s">
        <v>4511</v>
      </c>
      <c r="N1525" s="6" t="s">
        <v>334</v>
      </c>
      <c r="O1525" s="29">
        <f t="shared" si="35"/>
        <v>0</v>
      </c>
      <c r="Q1525" s="30" t="s">
        <v>334</v>
      </c>
      <c r="R1525" s="31">
        <v>0</v>
      </c>
    </row>
    <row r="1526" s="1" customFormat="1" ht="16.35" hidden="1" customHeight="1" spans="1:18">
      <c r="A1526" s="6" t="s">
        <v>4506</v>
      </c>
      <c r="B1526" s="6">
        <v>2019</v>
      </c>
      <c r="C1526" s="6">
        <v>12</v>
      </c>
      <c r="D1526" s="7">
        <v>100</v>
      </c>
      <c r="E1526" s="6" t="s">
        <v>4121</v>
      </c>
      <c r="F1526" s="6" t="s">
        <v>4508</v>
      </c>
      <c r="G1526" s="6" t="s">
        <v>25</v>
      </c>
      <c r="H1526" s="8">
        <v>343733</v>
      </c>
      <c r="I1526" s="8"/>
      <c r="J1526" s="6" t="s">
        <v>2986</v>
      </c>
      <c r="K1526" s="6" t="s">
        <v>336</v>
      </c>
      <c r="L1526" s="6" t="s">
        <v>4510</v>
      </c>
      <c r="M1526" s="6" t="s">
        <v>4511</v>
      </c>
      <c r="N1526" s="6" t="s">
        <v>336</v>
      </c>
      <c r="O1526" s="29">
        <f t="shared" si="35"/>
        <v>0</v>
      </c>
      <c r="Q1526" s="30" t="s">
        <v>336</v>
      </c>
      <c r="R1526" s="31">
        <v>0</v>
      </c>
    </row>
    <row r="1527" s="1" customFormat="1" ht="16.35" hidden="1" customHeight="1" spans="1:18">
      <c r="A1527" s="6" t="s">
        <v>4506</v>
      </c>
      <c r="B1527" s="6">
        <v>2019</v>
      </c>
      <c r="C1527" s="6">
        <v>12</v>
      </c>
      <c r="D1527" s="7">
        <v>100</v>
      </c>
      <c r="E1527" s="6" t="s">
        <v>4121</v>
      </c>
      <c r="F1527" s="6" t="s">
        <v>4508</v>
      </c>
      <c r="G1527" s="6" t="s">
        <v>25</v>
      </c>
      <c r="H1527" s="8">
        <v>347866</v>
      </c>
      <c r="I1527" s="8"/>
      <c r="J1527" s="6" t="s">
        <v>4531</v>
      </c>
      <c r="K1527" s="6" t="s">
        <v>338</v>
      </c>
      <c r="L1527" s="6" t="s">
        <v>4510</v>
      </c>
      <c r="M1527" s="6" t="s">
        <v>4511</v>
      </c>
      <c r="N1527" s="6" t="s">
        <v>338</v>
      </c>
      <c r="O1527" s="29">
        <f t="shared" si="35"/>
        <v>0</v>
      </c>
      <c r="Q1527" s="30" t="s">
        <v>338</v>
      </c>
      <c r="R1527" s="31">
        <v>0</v>
      </c>
    </row>
    <row r="1528" s="1" customFormat="1" ht="16.35" hidden="1" customHeight="1" spans="1:18">
      <c r="A1528" s="6" t="s">
        <v>4506</v>
      </c>
      <c r="B1528" s="6">
        <v>2019</v>
      </c>
      <c r="C1528" s="6">
        <v>12</v>
      </c>
      <c r="D1528" s="7">
        <v>100</v>
      </c>
      <c r="E1528" s="6" t="s">
        <v>4121</v>
      </c>
      <c r="F1528" s="6" t="s">
        <v>4508</v>
      </c>
      <c r="G1528" s="6" t="s">
        <v>25</v>
      </c>
      <c r="H1528" s="8">
        <v>260728</v>
      </c>
      <c r="I1528" s="8"/>
      <c r="J1528" s="6" t="s">
        <v>4532</v>
      </c>
      <c r="K1528" s="6" t="s">
        <v>344</v>
      </c>
      <c r="L1528" s="6" t="s">
        <v>4510</v>
      </c>
      <c r="M1528" s="6" t="s">
        <v>4511</v>
      </c>
      <c r="N1528" s="6" t="s">
        <v>344</v>
      </c>
      <c r="O1528" s="29">
        <f t="shared" si="35"/>
        <v>0</v>
      </c>
      <c r="Q1528" s="30" t="s">
        <v>344</v>
      </c>
      <c r="R1528" s="31">
        <v>0</v>
      </c>
    </row>
    <row r="1529" s="1" customFormat="1" ht="16.35" hidden="1" customHeight="1" spans="1:18">
      <c r="A1529" s="6" t="s">
        <v>4506</v>
      </c>
      <c r="B1529" s="6">
        <v>2019</v>
      </c>
      <c r="C1529" s="6">
        <v>12</v>
      </c>
      <c r="D1529" s="7">
        <v>100</v>
      </c>
      <c r="E1529" s="6" t="s">
        <v>4121</v>
      </c>
      <c r="F1529" s="6" t="s">
        <v>4508</v>
      </c>
      <c r="G1529" s="6" t="s">
        <v>25</v>
      </c>
      <c r="H1529" s="8">
        <v>265335</v>
      </c>
      <c r="I1529" s="8"/>
      <c r="J1529" s="6" t="s">
        <v>2991</v>
      </c>
      <c r="K1529" s="6" t="s">
        <v>346</v>
      </c>
      <c r="L1529" s="6" t="s">
        <v>4510</v>
      </c>
      <c r="M1529" s="6" t="s">
        <v>4511</v>
      </c>
      <c r="N1529" s="6" t="s">
        <v>346</v>
      </c>
      <c r="O1529" s="29">
        <f t="shared" si="35"/>
        <v>0</v>
      </c>
      <c r="Q1529" s="30" t="s">
        <v>346</v>
      </c>
      <c r="R1529" s="31">
        <v>0</v>
      </c>
    </row>
    <row r="1530" s="1" customFormat="1" ht="16.35" hidden="1" customHeight="1" spans="1:18">
      <c r="A1530" s="6" t="s">
        <v>4506</v>
      </c>
      <c r="B1530" s="6">
        <v>2019</v>
      </c>
      <c r="C1530" s="6">
        <v>12</v>
      </c>
      <c r="D1530" s="7">
        <v>100</v>
      </c>
      <c r="E1530" s="6" t="s">
        <v>4121</v>
      </c>
      <c r="F1530" s="6" t="s">
        <v>4508</v>
      </c>
      <c r="G1530" s="6" t="s">
        <v>25</v>
      </c>
      <c r="H1530" s="8">
        <v>345901</v>
      </c>
      <c r="I1530" s="8"/>
      <c r="J1530" s="6" t="s">
        <v>2989</v>
      </c>
      <c r="K1530" s="6" t="s">
        <v>348</v>
      </c>
      <c r="L1530" s="6" t="s">
        <v>4510</v>
      </c>
      <c r="M1530" s="6" t="s">
        <v>4511</v>
      </c>
      <c r="N1530" s="6" t="s">
        <v>348</v>
      </c>
      <c r="O1530" s="29">
        <f t="shared" si="35"/>
        <v>0</v>
      </c>
      <c r="Q1530" s="30" t="s">
        <v>348</v>
      </c>
      <c r="R1530" s="31">
        <v>0</v>
      </c>
    </row>
    <row r="1531" s="1" customFormat="1" ht="16.35" hidden="1" customHeight="1" spans="1:18">
      <c r="A1531" s="6" t="s">
        <v>4506</v>
      </c>
      <c r="B1531" s="6">
        <v>2019</v>
      </c>
      <c r="C1531" s="6">
        <v>12</v>
      </c>
      <c r="D1531" s="7">
        <v>100</v>
      </c>
      <c r="E1531" s="6" t="s">
        <v>4121</v>
      </c>
      <c r="F1531" s="6" t="s">
        <v>4508</v>
      </c>
      <c r="G1531" s="6" t="s">
        <v>25</v>
      </c>
      <c r="H1531" s="8">
        <v>348130</v>
      </c>
      <c r="I1531" s="8"/>
      <c r="J1531" s="6" t="s">
        <v>4533</v>
      </c>
      <c r="K1531" s="6" t="s">
        <v>352</v>
      </c>
      <c r="L1531" s="6" t="s">
        <v>4510</v>
      </c>
      <c r="M1531" s="6" t="s">
        <v>4511</v>
      </c>
      <c r="N1531" s="6" t="s">
        <v>352</v>
      </c>
      <c r="O1531" s="29">
        <f t="shared" si="35"/>
        <v>0</v>
      </c>
      <c r="Q1531" s="30" t="s">
        <v>352</v>
      </c>
      <c r="R1531" s="31">
        <v>0</v>
      </c>
    </row>
    <row r="1532" s="1" customFormat="1" ht="16.35" hidden="1" customHeight="1" spans="1:18">
      <c r="A1532" s="6" t="s">
        <v>4506</v>
      </c>
      <c r="B1532" s="6">
        <v>2019</v>
      </c>
      <c r="C1532" s="6">
        <v>12</v>
      </c>
      <c r="D1532" s="7">
        <v>100</v>
      </c>
      <c r="E1532" s="6" t="s">
        <v>4121</v>
      </c>
      <c r="F1532" s="6" t="s">
        <v>4508</v>
      </c>
      <c r="G1532" s="6" t="s">
        <v>25</v>
      </c>
      <c r="H1532" s="8">
        <v>346956</v>
      </c>
      <c r="I1532" s="8"/>
      <c r="J1532" s="6" t="s">
        <v>2994</v>
      </c>
      <c r="K1532" s="6" t="s">
        <v>354</v>
      </c>
      <c r="L1532" s="6" t="s">
        <v>4510</v>
      </c>
      <c r="M1532" s="6" t="s">
        <v>4511</v>
      </c>
      <c r="N1532" s="6" t="s">
        <v>354</v>
      </c>
      <c r="O1532" s="29">
        <f t="shared" si="35"/>
        <v>0</v>
      </c>
      <c r="Q1532" s="30" t="s">
        <v>354</v>
      </c>
      <c r="R1532" s="31">
        <v>0</v>
      </c>
    </row>
    <row r="1533" s="1" customFormat="1" ht="16.35" hidden="1" customHeight="1" spans="1:18">
      <c r="A1533" s="6" t="s">
        <v>4506</v>
      </c>
      <c r="B1533" s="6">
        <v>2019</v>
      </c>
      <c r="C1533" s="6">
        <v>12</v>
      </c>
      <c r="D1533" s="7">
        <v>100</v>
      </c>
      <c r="E1533" s="6" t="s">
        <v>4121</v>
      </c>
      <c r="F1533" s="6" t="s">
        <v>4508</v>
      </c>
      <c r="G1533" s="6" t="s">
        <v>25</v>
      </c>
      <c r="H1533" s="8">
        <v>344333</v>
      </c>
      <c r="I1533" s="8"/>
      <c r="J1533" s="6" t="s">
        <v>2996</v>
      </c>
      <c r="K1533" s="6" t="s">
        <v>356</v>
      </c>
      <c r="L1533" s="6" t="s">
        <v>4510</v>
      </c>
      <c r="M1533" s="6" t="s">
        <v>4511</v>
      </c>
      <c r="N1533" s="6" t="s">
        <v>356</v>
      </c>
      <c r="O1533" s="29">
        <f t="shared" si="35"/>
        <v>0</v>
      </c>
      <c r="Q1533" s="30" t="s">
        <v>356</v>
      </c>
      <c r="R1533" s="31">
        <v>0</v>
      </c>
    </row>
    <row r="1534" s="1" customFormat="1" ht="16.35" hidden="1" customHeight="1" spans="1:18">
      <c r="A1534" s="6" t="s">
        <v>4506</v>
      </c>
      <c r="B1534" s="6">
        <v>2019</v>
      </c>
      <c r="C1534" s="6">
        <v>12</v>
      </c>
      <c r="D1534" s="7">
        <v>100</v>
      </c>
      <c r="E1534" s="6" t="s">
        <v>4121</v>
      </c>
      <c r="F1534" s="6" t="s">
        <v>4508</v>
      </c>
      <c r="G1534" s="6" t="s">
        <v>25</v>
      </c>
      <c r="H1534" s="8">
        <v>343172</v>
      </c>
      <c r="I1534" s="8"/>
      <c r="J1534" s="6" t="s">
        <v>4534</v>
      </c>
      <c r="K1534" s="6" t="s">
        <v>358</v>
      </c>
      <c r="L1534" s="6" t="s">
        <v>4510</v>
      </c>
      <c r="M1534" s="6" t="s">
        <v>4511</v>
      </c>
      <c r="N1534" s="6" t="s">
        <v>358</v>
      </c>
      <c r="O1534" s="29">
        <f t="shared" si="35"/>
        <v>0</v>
      </c>
      <c r="Q1534" s="30" t="s">
        <v>358</v>
      </c>
      <c r="R1534" s="31">
        <v>0</v>
      </c>
    </row>
    <row r="1535" s="1" customFormat="1" ht="16.35" hidden="1" customHeight="1" spans="1:18">
      <c r="A1535" s="6" t="s">
        <v>4506</v>
      </c>
      <c r="B1535" s="6">
        <v>2019</v>
      </c>
      <c r="C1535" s="6">
        <v>12</v>
      </c>
      <c r="D1535" s="7">
        <v>100</v>
      </c>
      <c r="E1535" s="6" t="s">
        <v>4121</v>
      </c>
      <c r="F1535" s="6" t="s">
        <v>4508</v>
      </c>
      <c r="G1535" s="6" t="s">
        <v>25</v>
      </c>
      <c r="H1535" s="8">
        <v>312998</v>
      </c>
      <c r="I1535" s="8"/>
      <c r="J1535" s="6" t="s">
        <v>2999</v>
      </c>
      <c r="K1535" s="6" t="s">
        <v>360</v>
      </c>
      <c r="L1535" s="6" t="s">
        <v>4510</v>
      </c>
      <c r="M1535" s="6" t="s">
        <v>4511</v>
      </c>
      <c r="N1535" s="6" t="s">
        <v>360</v>
      </c>
      <c r="O1535" s="29">
        <f t="shared" si="35"/>
        <v>0</v>
      </c>
      <c r="Q1535" s="30" t="s">
        <v>360</v>
      </c>
      <c r="R1535" s="31">
        <v>0</v>
      </c>
    </row>
    <row r="1536" s="1" customFormat="1" ht="16.35" hidden="1" customHeight="1" spans="1:18">
      <c r="A1536" s="6" t="s">
        <v>4506</v>
      </c>
      <c r="B1536" s="6">
        <v>2019</v>
      </c>
      <c r="C1536" s="6">
        <v>12</v>
      </c>
      <c r="D1536" s="7">
        <v>100</v>
      </c>
      <c r="E1536" s="6" t="s">
        <v>4121</v>
      </c>
      <c r="F1536" s="6" t="s">
        <v>4508</v>
      </c>
      <c r="G1536" s="6" t="s">
        <v>25</v>
      </c>
      <c r="H1536" s="8">
        <v>451225</v>
      </c>
      <c r="I1536" s="8"/>
      <c r="J1536" s="6" t="s">
        <v>3001</v>
      </c>
      <c r="K1536" s="6" t="s">
        <v>382</v>
      </c>
      <c r="L1536" s="6" t="s">
        <v>4510</v>
      </c>
      <c r="M1536" s="6" t="s">
        <v>4511</v>
      </c>
      <c r="N1536" s="6" t="s">
        <v>382</v>
      </c>
      <c r="O1536" s="29">
        <f t="shared" si="35"/>
        <v>0</v>
      </c>
      <c r="Q1536" s="30" t="s">
        <v>382</v>
      </c>
      <c r="R1536" s="31">
        <v>0</v>
      </c>
    </row>
    <row r="1537" s="1" customFormat="1" ht="16.35" hidden="1" customHeight="1" spans="1:18">
      <c r="A1537" s="6" t="s">
        <v>4506</v>
      </c>
      <c r="B1537" s="6">
        <v>2019</v>
      </c>
      <c r="C1537" s="6">
        <v>12</v>
      </c>
      <c r="D1537" s="7">
        <v>100</v>
      </c>
      <c r="E1537" s="6" t="s">
        <v>4121</v>
      </c>
      <c r="F1537" s="6" t="s">
        <v>4508</v>
      </c>
      <c r="G1537" s="6" t="s">
        <v>25</v>
      </c>
      <c r="H1537" s="8">
        <v>367299</v>
      </c>
      <c r="I1537" s="8"/>
      <c r="J1537" s="6" t="s">
        <v>3003</v>
      </c>
      <c r="K1537" s="6" t="s">
        <v>390</v>
      </c>
      <c r="L1537" s="6" t="s">
        <v>4510</v>
      </c>
      <c r="M1537" s="6" t="s">
        <v>4511</v>
      </c>
      <c r="N1537" s="6" t="s">
        <v>390</v>
      </c>
      <c r="O1537" s="29">
        <f t="shared" si="35"/>
        <v>0</v>
      </c>
      <c r="Q1537" s="30" t="s">
        <v>390</v>
      </c>
      <c r="R1537" s="31">
        <v>0</v>
      </c>
    </row>
    <row r="1538" s="1" customFormat="1" ht="16.35" hidden="1" customHeight="1" spans="1:18">
      <c r="A1538" s="6" t="s">
        <v>4506</v>
      </c>
      <c r="B1538" s="6">
        <v>2019</v>
      </c>
      <c r="C1538" s="6">
        <v>12</v>
      </c>
      <c r="D1538" s="7">
        <v>100</v>
      </c>
      <c r="E1538" s="6" t="s">
        <v>4121</v>
      </c>
      <c r="F1538" s="6" t="s">
        <v>4508</v>
      </c>
      <c r="G1538" s="6" t="s">
        <v>25</v>
      </c>
      <c r="H1538" s="8">
        <v>453733</v>
      </c>
      <c r="I1538" s="8"/>
      <c r="J1538" s="6" t="s">
        <v>3006</v>
      </c>
      <c r="K1538" s="6" t="s">
        <v>408</v>
      </c>
      <c r="L1538" s="6" t="s">
        <v>4510</v>
      </c>
      <c r="M1538" s="6" t="s">
        <v>4511</v>
      </c>
      <c r="N1538" s="6" t="s">
        <v>408</v>
      </c>
      <c r="O1538" s="29">
        <f t="shared" si="35"/>
        <v>0</v>
      </c>
      <c r="Q1538" s="30" t="s">
        <v>408</v>
      </c>
      <c r="R1538" s="31">
        <v>0</v>
      </c>
    </row>
    <row r="1539" s="1" customFormat="1" ht="16.35" hidden="1" customHeight="1" spans="1:18">
      <c r="A1539" s="6" t="s">
        <v>4506</v>
      </c>
      <c r="B1539" s="6">
        <v>2019</v>
      </c>
      <c r="C1539" s="6">
        <v>12</v>
      </c>
      <c r="D1539" s="7">
        <v>100</v>
      </c>
      <c r="E1539" s="6" t="s">
        <v>4121</v>
      </c>
      <c r="F1539" s="6" t="s">
        <v>4508</v>
      </c>
      <c r="G1539" s="6" t="s">
        <v>25</v>
      </c>
      <c r="H1539" s="8">
        <v>415045</v>
      </c>
      <c r="I1539" s="8"/>
      <c r="J1539" s="6" t="s">
        <v>3013</v>
      </c>
      <c r="K1539" s="6" t="s">
        <v>418</v>
      </c>
      <c r="L1539" s="6" t="s">
        <v>4510</v>
      </c>
      <c r="M1539" s="6" t="s">
        <v>4511</v>
      </c>
      <c r="N1539" s="6" t="s">
        <v>418</v>
      </c>
      <c r="O1539" s="29">
        <f t="shared" si="35"/>
        <v>0</v>
      </c>
      <c r="Q1539" s="30" t="s">
        <v>418</v>
      </c>
      <c r="R1539" s="31">
        <v>0</v>
      </c>
    </row>
    <row r="1540" s="1" customFormat="1" ht="16.35" hidden="1" customHeight="1" spans="1:18">
      <c r="A1540" s="6" t="s">
        <v>4506</v>
      </c>
      <c r="B1540" s="6">
        <v>2019</v>
      </c>
      <c r="C1540" s="6">
        <v>12</v>
      </c>
      <c r="D1540" s="7">
        <v>100</v>
      </c>
      <c r="E1540" s="6" t="s">
        <v>4121</v>
      </c>
      <c r="F1540" s="6" t="s">
        <v>4508</v>
      </c>
      <c r="G1540" s="6" t="s">
        <v>25</v>
      </c>
      <c r="H1540" s="8">
        <v>391209</v>
      </c>
      <c r="I1540" s="8"/>
      <c r="J1540" s="6" t="s">
        <v>3016</v>
      </c>
      <c r="K1540" s="6" t="s">
        <v>431</v>
      </c>
      <c r="L1540" s="6" t="s">
        <v>4510</v>
      </c>
      <c r="M1540" s="6" t="s">
        <v>4511</v>
      </c>
      <c r="N1540" s="6" t="s">
        <v>431</v>
      </c>
      <c r="O1540" s="29">
        <f t="shared" si="35"/>
        <v>0</v>
      </c>
      <c r="Q1540" s="30" t="s">
        <v>431</v>
      </c>
      <c r="R1540" s="31">
        <v>0</v>
      </c>
    </row>
    <row r="1541" s="1" customFormat="1" ht="16.35" hidden="1" customHeight="1" spans="1:18">
      <c r="A1541" s="6" t="s">
        <v>4506</v>
      </c>
      <c r="B1541" s="6">
        <v>2019</v>
      </c>
      <c r="C1541" s="6">
        <v>12</v>
      </c>
      <c r="D1541" s="7">
        <v>100</v>
      </c>
      <c r="E1541" s="6" t="s">
        <v>4121</v>
      </c>
      <c r="F1541" s="6" t="s">
        <v>4508</v>
      </c>
      <c r="G1541" s="6" t="s">
        <v>25</v>
      </c>
      <c r="H1541" s="8">
        <v>352575</v>
      </c>
      <c r="I1541" s="8"/>
      <c r="J1541" s="6" t="s">
        <v>3018</v>
      </c>
      <c r="K1541" s="6" t="s">
        <v>437</v>
      </c>
      <c r="L1541" s="6" t="s">
        <v>4510</v>
      </c>
      <c r="M1541" s="6" t="s">
        <v>4511</v>
      </c>
      <c r="N1541" s="6" t="s">
        <v>437</v>
      </c>
      <c r="O1541" s="29">
        <f t="shared" si="35"/>
        <v>0</v>
      </c>
      <c r="Q1541" s="30" t="s">
        <v>437</v>
      </c>
      <c r="R1541" s="31">
        <v>0</v>
      </c>
    </row>
    <row r="1542" s="1" customFormat="1" ht="16.35" hidden="1" customHeight="1" spans="1:18">
      <c r="A1542" s="6" t="s">
        <v>4506</v>
      </c>
      <c r="B1542" s="6">
        <v>2019</v>
      </c>
      <c r="C1542" s="6">
        <v>12</v>
      </c>
      <c r="D1542" s="7">
        <v>100</v>
      </c>
      <c r="E1542" s="6" t="s">
        <v>4121</v>
      </c>
      <c r="F1542" s="6" t="s">
        <v>4508</v>
      </c>
      <c r="G1542" s="6" t="s">
        <v>25</v>
      </c>
      <c r="H1542" s="8">
        <v>351381</v>
      </c>
      <c r="I1542" s="8"/>
      <c r="J1542" s="6" t="s">
        <v>3021</v>
      </c>
      <c r="K1542" s="6" t="s">
        <v>439</v>
      </c>
      <c r="L1542" s="6" t="s">
        <v>4510</v>
      </c>
      <c r="M1542" s="6" t="s">
        <v>4511</v>
      </c>
      <c r="N1542" s="6" t="s">
        <v>439</v>
      </c>
      <c r="O1542" s="29">
        <f t="shared" si="35"/>
        <v>0</v>
      </c>
      <c r="Q1542" s="30" t="s">
        <v>439</v>
      </c>
      <c r="R1542" s="31">
        <v>0</v>
      </c>
    </row>
    <row r="1543" s="1" customFormat="1" ht="16.35" hidden="1" customHeight="1" spans="1:18">
      <c r="A1543" s="6" t="s">
        <v>4506</v>
      </c>
      <c r="B1543" s="6">
        <v>2019</v>
      </c>
      <c r="C1543" s="6">
        <v>12</v>
      </c>
      <c r="D1543" s="7">
        <v>100</v>
      </c>
      <c r="E1543" s="6" t="s">
        <v>4121</v>
      </c>
      <c r="F1543" s="6" t="s">
        <v>4508</v>
      </c>
      <c r="G1543" s="6" t="s">
        <v>25</v>
      </c>
      <c r="H1543" s="8">
        <v>321607</v>
      </c>
      <c r="I1543" s="8"/>
      <c r="J1543" s="6" t="s">
        <v>3023</v>
      </c>
      <c r="K1543" s="6" t="s">
        <v>441</v>
      </c>
      <c r="L1543" s="6" t="s">
        <v>4510</v>
      </c>
      <c r="M1543" s="6" t="s">
        <v>4511</v>
      </c>
      <c r="N1543" s="6" t="s">
        <v>441</v>
      </c>
      <c r="O1543" s="29">
        <f t="shared" si="35"/>
        <v>0</v>
      </c>
      <c r="Q1543" s="30" t="s">
        <v>441</v>
      </c>
      <c r="R1543" s="31">
        <v>0</v>
      </c>
    </row>
    <row r="1544" s="1" customFormat="1" ht="16.35" hidden="1" customHeight="1" spans="1:18">
      <c r="A1544" s="6" t="s">
        <v>4506</v>
      </c>
      <c r="B1544" s="6">
        <v>2019</v>
      </c>
      <c r="C1544" s="6">
        <v>12</v>
      </c>
      <c r="D1544" s="7">
        <v>100</v>
      </c>
      <c r="E1544" s="6" t="s">
        <v>4121</v>
      </c>
      <c r="F1544" s="6" t="s">
        <v>4508</v>
      </c>
      <c r="G1544" s="6" t="s">
        <v>25</v>
      </c>
      <c r="H1544" s="8">
        <v>393167</v>
      </c>
      <c r="I1544" s="8"/>
      <c r="J1544" s="6" t="s">
        <v>3025</v>
      </c>
      <c r="K1544" s="6" t="s">
        <v>457</v>
      </c>
      <c r="L1544" s="6" t="s">
        <v>4510</v>
      </c>
      <c r="M1544" s="6" t="s">
        <v>4511</v>
      </c>
      <c r="N1544" s="6" t="s">
        <v>457</v>
      </c>
      <c r="O1544" s="29">
        <f t="shared" si="35"/>
        <v>0</v>
      </c>
      <c r="Q1544" s="30" t="s">
        <v>457</v>
      </c>
      <c r="R1544" s="31">
        <v>0</v>
      </c>
    </row>
    <row r="1545" s="1" customFormat="1" ht="16.35" hidden="1" customHeight="1" spans="1:18">
      <c r="A1545" s="6" t="s">
        <v>4506</v>
      </c>
      <c r="B1545" s="6">
        <v>2019</v>
      </c>
      <c r="C1545" s="6">
        <v>12</v>
      </c>
      <c r="D1545" s="7">
        <v>100</v>
      </c>
      <c r="E1545" s="6" t="s">
        <v>4121</v>
      </c>
      <c r="F1545" s="6" t="s">
        <v>4508</v>
      </c>
      <c r="G1545" s="6" t="s">
        <v>25</v>
      </c>
      <c r="H1545" s="8">
        <v>345553</v>
      </c>
      <c r="I1545" s="8"/>
      <c r="J1545" s="6" t="s">
        <v>3027</v>
      </c>
      <c r="K1545" s="6" t="s">
        <v>459</v>
      </c>
      <c r="L1545" s="6" t="s">
        <v>4510</v>
      </c>
      <c r="M1545" s="6" t="s">
        <v>4511</v>
      </c>
      <c r="N1545" s="6" t="s">
        <v>459</v>
      </c>
      <c r="O1545" s="29">
        <f t="shared" si="35"/>
        <v>0</v>
      </c>
      <c r="Q1545" s="30" t="s">
        <v>459</v>
      </c>
      <c r="R1545" s="31">
        <v>0</v>
      </c>
    </row>
    <row r="1546" s="1" customFormat="1" ht="16.35" hidden="1" customHeight="1" spans="1:18">
      <c r="A1546" s="6" t="s">
        <v>4506</v>
      </c>
      <c r="B1546" s="6">
        <v>2019</v>
      </c>
      <c r="C1546" s="6">
        <v>12</v>
      </c>
      <c r="D1546" s="7">
        <v>100</v>
      </c>
      <c r="E1546" s="6" t="s">
        <v>4121</v>
      </c>
      <c r="F1546" s="6" t="s">
        <v>4508</v>
      </c>
      <c r="G1546" s="6" t="s">
        <v>25</v>
      </c>
      <c r="H1546" s="8">
        <v>351381</v>
      </c>
      <c r="I1546" s="8"/>
      <c r="J1546" s="6" t="s">
        <v>3029</v>
      </c>
      <c r="K1546" s="6" t="s">
        <v>461</v>
      </c>
      <c r="L1546" s="6" t="s">
        <v>4510</v>
      </c>
      <c r="M1546" s="6" t="s">
        <v>4511</v>
      </c>
      <c r="N1546" s="6" t="s">
        <v>461</v>
      </c>
      <c r="O1546" s="29">
        <f t="shared" si="35"/>
        <v>0</v>
      </c>
      <c r="Q1546" s="30" t="s">
        <v>461</v>
      </c>
      <c r="R1546" s="31">
        <v>0</v>
      </c>
    </row>
    <row r="1547" s="1" customFormat="1" ht="16.35" hidden="1" customHeight="1" spans="1:18">
      <c r="A1547" s="6" t="s">
        <v>4506</v>
      </c>
      <c r="B1547" s="6">
        <v>2019</v>
      </c>
      <c r="C1547" s="6">
        <v>12</v>
      </c>
      <c r="D1547" s="7">
        <v>100</v>
      </c>
      <c r="E1547" s="6" t="s">
        <v>4121</v>
      </c>
      <c r="F1547" s="6" t="s">
        <v>4508</v>
      </c>
      <c r="G1547" s="6" t="s">
        <v>25</v>
      </c>
      <c r="H1547" s="8">
        <v>320497</v>
      </c>
      <c r="I1547" s="8"/>
      <c r="J1547" s="6" t="s">
        <v>3031</v>
      </c>
      <c r="K1547" s="6" t="s">
        <v>465</v>
      </c>
      <c r="L1547" s="6" t="s">
        <v>4510</v>
      </c>
      <c r="M1547" s="6" t="s">
        <v>4511</v>
      </c>
      <c r="N1547" s="6" t="s">
        <v>465</v>
      </c>
      <c r="O1547" s="29">
        <f t="shared" si="35"/>
        <v>0</v>
      </c>
      <c r="Q1547" s="30" t="s">
        <v>465</v>
      </c>
      <c r="R1547" s="31">
        <v>0</v>
      </c>
    </row>
    <row r="1548" s="1" customFormat="1" ht="16.35" hidden="1" customHeight="1" spans="1:18">
      <c r="A1548" s="6" t="s">
        <v>4506</v>
      </c>
      <c r="B1548" s="6">
        <v>2019</v>
      </c>
      <c r="C1548" s="6">
        <v>12</v>
      </c>
      <c r="D1548" s="7">
        <v>100</v>
      </c>
      <c r="E1548" s="6" t="s">
        <v>4121</v>
      </c>
      <c r="F1548" s="6" t="s">
        <v>4508</v>
      </c>
      <c r="G1548" s="6" t="s">
        <v>25</v>
      </c>
      <c r="H1548" s="8">
        <v>323215</v>
      </c>
      <c r="I1548" s="8"/>
      <c r="J1548" s="6" t="s">
        <v>3033</v>
      </c>
      <c r="K1548" s="6" t="s">
        <v>467</v>
      </c>
      <c r="L1548" s="6" t="s">
        <v>4510</v>
      </c>
      <c r="M1548" s="6" t="s">
        <v>4511</v>
      </c>
      <c r="N1548" s="6" t="s">
        <v>467</v>
      </c>
      <c r="O1548" s="29">
        <f t="shared" si="35"/>
        <v>0</v>
      </c>
      <c r="Q1548" s="30" t="s">
        <v>467</v>
      </c>
      <c r="R1548" s="31">
        <v>0</v>
      </c>
    </row>
    <row r="1549" s="1" customFormat="1" ht="16.35" hidden="1" customHeight="1" spans="1:18">
      <c r="A1549" s="6" t="s">
        <v>4506</v>
      </c>
      <c r="B1549" s="6">
        <v>2019</v>
      </c>
      <c r="C1549" s="6">
        <v>12</v>
      </c>
      <c r="D1549" s="7">
        <v>100</v>
      </c>
      <c r="E1549" s="6" t="s">
        <v>4121</v>
      </c>
      <c r="F1549" s="6" t="s">
        <v>4508</v>
      </c>
      <c r="G1549" s="6" t="s">
        <v>25</v>
      </c>
      <c r="H1549" s="8">
        <v>389257</v>
      </c>
      <c r="I1549" s="8"/>
      <c r="J1549" s="6" t="s">
        <v>3036</v>
      </c>
      <c r="K1549" s="6" t="s">
        <v>477</v>
      </c>
      <c r="L1549" s="6" t="s">
        <v>4510</v>
      </c>
      <c r="M1549" s="6" t="s">
        <v>4511</v>
      </c>
      <c r="N1549" s="6" t="s">
        <v>477</v>
      </c>
      <c r="O1549" s="29">
        <f t="shared" si="35"/>
        <v>0</v>
      </c>
      <c r="Q1549" s="30" t="s">
        <v>477</v>
      </c>
      <c r="R1549" s="31">
        <v>0</v>
      </c>
    </row>
    <row r="1550" s="1" customFormat="1" ht="16.35" hidden="1" customHeight="1" spans="1:18">
      <c r="A1550" s="6" t="s">
        <v>4506</v>
      </c>
      <c r="B1550" s="6">
        <v>2019</v>
      </c>
      <c r="C1550" s="6">
        <v>12</v>
      </c>
      <c r="D1550" s="7">
        <v>100</v>
      </c>
      <c r="E1550" s="6" t="s">
        <v>4121</v>
      </c>
      <c r="F1550" s="6" t="s">
        <v>4508</v>
      </c>
      <c r="G1550" s="6" t="s">
        <v>25</v>
      </c>
      <c r="H1550" s="8">
        <v>393142</v>
      </c>
      <c r="I1550" s="8"/>
      <c r="J1550" s="6" t="s">
        <v>3038</v>
      </c>
      <c r="K1550" s="6" t="s">
        <v>481</v>
      </c>
      <c r="L1550" s="6" t="s">
        <v>4510</v>
      </c>
      <c r="M1550" s="6" t="s">
        <v>4511</v>
      </c>
      <c r="N1550" s="6" t="s">
        <v>481</v>
      </c>
      <c r="O1550" s="29">
        <f t="shared" si="35"/>
        <v>0</v>
      </c>
      <c r="Q1550" s="30" t="s">
        <v>481</v>
      </c>
      <c r="R1550" s="31">
        <v>0</v>
      </c>
    </row>
    <row r="1551" s="1" customFormat="1" ht="16.35" hidden="1" customHeight="1" spans="1:18">
      <c r="A1551" s="6" t="s">
        <v>4506</v>
      </c>
      <c r="B1551" s="6">
        <v>2019</v>
      </c>
      <c r="C1551" s="6">
        <v>12</v>
      </c>
      <c r="D1551" s="7">
        <v>100</v>
      </c>
      <c r="E1551" s="6" t="s">
        <v>4121</v>
      </c>
      <c r="F1551" s="6" t="s">
        <v>4508</v>
      </c>
      <c r="G1551" s="6" t="s">
        <v>25</v>
      </c>
      <c r="H1551" s="8">
        <v>345553</v>
      </c>
      <c r="I1551" s="8"/>
      <c r="J1551" s="6" t="s">
        <v>3040</v>
      </c>
      <c r="K1551" s="6" t="s">
        <v>483</v>
      </c>
      <c r="L1551" s="6" t="s">
        <v>4510</v>
      </c>
      <c r="M1551" s="6" t="s">
        <v>4511</v>
      </c>
      <c r="N1551" s="6" t="s">
        <v>483</v>
      </c>
      <c r="O1551" s="29">
        <f t="shared" si="35"/>
        <v>0</v>
      </c>
      <c r="Q1551" s="30" t="s">
        <v>483</v>
      </c>
      <c r="R1551" s="31">
        <v>0</v>
      </c>
    </row>
    <row r="1552" s="1" customFormat="1" ht="16.35" hidden="1" customHeight="1" spans="1:18">
      <c r="A1552" s="6" t="s">
        <v>4506</v>
      </c>
      <c r="B1552" s="6">
        <v>2019</v>
      </c>
      <c r="C1552" s="6">
        <v>12</v>
      </c>
      <c r="D1552" s="7">
        <v>100</v>
      </c>
      <c r="E1552" s="6" t="s">
        <v>4121</v>
      </c>
      <c r="F1552" s="6" t="s">
        <v>4508</v>
      </c>
      <c r="G1552" s="6" t="s">
        <v>25</v>
      </c>
      <c r="H1552" s="8">
        <v>351380</v>
      </c>
      <c r="I1552" s="8"/>
      <c r="J1552" s="6" t="s">
        <v>3042</v>
      </c>
      <c r="K1552" s="6" t="s">
        <v>485</v>
      </c>
      <c r="L1552" s="6" t="s">
        <v>4510</v>
      </c>
      <c r="M1552" s="6" t="s">
        <v>4511</v>
      </c>
      <c r="N1552" s="6" t="s">
        <v>485</v>
      </c>
      <c r="O1552" s="29">
        <f t="shared" si="35"/>
        <v>0</v>
      </c>
      <c r="Q1552" s="30" t="s">
        <v>485</v>
      </c>
      <c r="R1552" s="31">
        <v>0</v>
      </c>
    </row>
    <row r="1553" s="1" customFormat="1" ht="16.35" hidden="1" customHeight="1" spans="1:18">
      <c r="A1553" s="6" t="s">
        <v>4506</v>
      </c>
      <c r="B1553" s="6">
        <v>2019</v>
      </c>
      <c r="C1553" s="6">
        <v>12</v>
      </c>
      <c r="D1553" s="7">
        <v>100</v>
      </c>
      <c r="E1553" s="6" t="s">
        <v>4121</v>
      </c>
      <c r="F1553" s="6" t="s">
        <v>4508</v>
      </c>
      <c r="G1553" s="6" t="s">
        <v>25</v>
      </c>
      <c r="H1553" s="8">
        <v>351380</v>
      </c>
      <c r="I1553" s="8"/>
      <c r="J1553" s="6" t="s">
        <v>3049</v>
      </c>
      <c r="K1553" s="6" t="s">
        <v>487</v>
      </c>
      <c r="L1553" s="6" t="s">
        <v>4510</v>
      </c>
      <c r="M1553" s="6" t="s">
        <v>4511</v>
      </c>
      <c r="N1553" s="6" t="s">
        <v>487</v>
      </c>
      <c r="O1553" s="29">
        <f t="shared" si="35"/>
        <v>0</v>
      </c>
      <c r="Q1553" s="30" t="s">
        <v>487</v>
      </c>
      <c r="R1553" s="31">
        <v>0</v>
      </c>
    </row>
    <row r="1554" s="1" customFormat="1" ht="16.35" hidden="1" customHeight="1" spans="1:18">
      <c r="A1554" s="6" t="s">
        <v>4506</v>
      </c>
      <c r="B1554" s="6">
        <v>2019</v>
      </c>
      <c r="C1554" s="6">
        <v>12</v>
      </c>
      <c r="D1554" s="7">
        <v>100</v>
      </c>
      <c r="E1554" s="6" t="s">
        <v>4121</v>
      </c>
      <c r="F1554" s="6" t="s">
        <v>4508</v>
      </c>
      <c r="G1554" s="6" t="s">
        <v>25</v>
      </c>
      <c r="H1554" s="8">
        <v>319331</v>
      </c>
      <c r="I1554" s="8"/>
      <c r="J1554" s="6" t="s">
        <v>3052</v>
      </c>
      <c r="K1554" s="6" t="s">
        <v>489</v>
      </c>
      <c r="L1554" s="6" t="s">
        <v>4510</v>
      </c>
      <c r="M1554" s="6" t="s">
        <v>4511</v>
      </c>
      <c r="N1554" s="6" t="s">
        <v>489</v>
      </c>
      <c r="O1554" s="29">
        <f t="shared" si="35"/>
        <v>0</v>
      </c>
      <c r="Q1554" s="30" t="s">
        <v>489</v>
      </c>
      <c r="R1554" s="31">
        <v>0</v>
      </c>
    </row>
    <row r="1555" s="1" customFormat="1" ht="16.35" hidden="1" customHeight="1" spans="1:18">
      <c r="A1555" s="6" t="s">
        <v>4506</v>
      </c>
      <c r="B1555" s="6">
        <v>2019</v>
      </c>
      <c r="C1555" s="6">
        <v>12</v>
      </c>
      <c r="D1555" s="7">
        <v>100</v>
      </c>
      <c r="E1555" s="6" t="s">
        <v>4121</v>
      </c>
      <c r="F1555" s="6" t="s">
        <v>4508</v>
      </c>
      <c r="G1555" s="6" t="s">
        <v>25</v>
      </c>
      <c r="H1555" s="8">
        <v>319351</v>
      </c>
      <c r="I1555" s="8"/>
      <c r="J1555" s="6" t="s">
        <v>3056</v>
      </c>
      <c r="K1555" s="6" t="s">
        <v>491</v>
      </c>
      <c r="L1555" s="6" t="s">
        <v>4510</v>
      </c>
      <c r="M1555" s="6" t="s">
        <v>4511</v>
      </c>
      <c r="N1555" s="6" t="s">
        <v>491</v>
      </c>
      <c r="O1555" s="29">
        <f t="shared" si="35"/>
        <v>0</v>
      </c>
      <c r="Q1555" s="30" t="s">
        <v>491</v>
      </c>
      <c r="R1555" s="31">
        <v>0</v>
      </c>
    </row>
    <row r="1556" s="1" customFormat="1" ht="16.35" hidden="1" customHeight="1" spans="1:18">
      <c r="A1556" s="6" t="s">
        <v>4506</v>
      </c>
      <c r="B1556" s="6">
        <v>2019</v>
      </c>
      <c r="C1556" s="6">
        <v>12</v>
      </c>
      <c r="D1556" s="7">
        <v>100</v>
      </c>
      <c r="E1556" s="6" t="s">
        <v>4121</v>
      </c>
      <c r="F1556" s="6" t="s">
        <v>4508</v>
      </c>
      <c r="G1556" s="6" t="s">
        <v>25</v>
      </c>
      <c r="H1556" s="8">
        <v>298587</v>
      </c>
      <c r="I1556" s="8"/>
      <c r="J1556" s="6" t="s">
        <v>3058</v>
      </c>
      <c r="K1556" s="6" t="s">
        <v>493</v>
      </c>
      <c r="L1556" s="6" t="s">
        <v>4510</v>
      </c>
      <c r="M1556" s="6" t="s">
        <v>4511</v>
      </c>
      <c r="N1556" s="6" t="s">
        <v>493</v>
      </c>
      <c r="O1556" s="29">
        <f t="shared" si="35"/>
        <v>0</v>
      </c>
      <c r="Q1556" s="30" t="s">
        <v>493</v>
      </c>
      <c r="R1556" s="31">
        <v>0</v>
      </c>
    </row>
    <row r="1557" s="1" customFormat="1" ht="16.35" hidden="1" customHeight="1" spans="1:18">
      <c r="A1557" s="6" t="s">
        <v>4506</v>
      </c>
      <c r="B1557" s="6">
        <v>2019</v>
      </c>
      <c r="C1557" s="6">
        <v>12</v>
      </c>
      <c r="D1557" s="7">
        <v>100</v>
      </c>
      <c r="E1557" s="6" t="s">
        <v>4121</v>
      </c>
      <c r="F1557" s="6" t="s">
        <v>4508</v>
      </c>
      <c r="G1557" s="6" t="s">
        <v>25</v>
      </c>
      <c r="H1557" s="8">
        <v>292289</v>
      </c>
      <c r="I1557" s="8"/>
      <c r="J1557" s="6" t="s">
        <v>3060</v>
      </c>
      <c r="K1557" s="6" t="s">
        <v>495</v>
      </c>
      <c r="L1557" s="6" t="s">
        <v>4510</v>
      </c>
      <c r="M1557" s="6" t="s">
        <v>4511</v>
      </c>
      <c r="N1557" s="6" t="s">
        <v>495</v>
      </c>
      <c r="O1557" s="29">
        <f t="shared" si="35"/>
        <v>0</v>
      </c>
      <c r="Q1557" s="30" t="s">
        <v>495</v>
      </c>
      <c r="R1557" s="31">
        <v>0</v>
      </c>
    </row>
    <row r="1558" s="1" customFormat="1" ht="16.35" hidden="1" customHeight="1" spans="1:18">
      <c r="A1558" s="6" t="s">
        <v>4506</v>
      </c>
      <c r="B1558" s="6">
        <v>2019</v>
      </c>
      <c r="C1558" s="6">
        <v>12</v>
      </c>
      <c r="D1558" s="7">
        <v>100</v>
      </c>
      <c r="E1558" s="6" t="s">
        <v>4121</v>
      </c>
      <c r="F1558" s="6" t="s">
        <v>4508</v>
      </c>
      <c r="G1558" s="6" t="s">
        <v>25</v>
      </c>
      <c r="H1558" s="8">
        <v>391199</v>
      </c>
      <c r="I1558" s="8"/>
      <c r="J1558" s="6" t="s">
        <v>3063</v>
      </c>
      <c r="K1558" s="6" t="s">
        <v>501</v>
      </c>
      <c r="L1558" s="6" t="s">
        <v>4510</v>
      </c>
      <c r="M1558" s="6" t="s">
        <v>4511</v>
      </c>
      <c r="N1558" s="6" t="s">
        <v>501</v>
      </c>
      <c r="O1558" s="29">
        <f t="shared" si="35"/>
        <v>0</v>
      </c>
      <c r="Q1558" s="30" t="s">
        <v>501</v>
      </c>
      <c r="R1558" s="31">
        <v>0</v>
      </c>
    </row>
    <row r="1559" s="1" customFormat="1" ht="16.35" hidden="1" customHeight="1" spans="1:18">
      <c r="A1559" s="6" t="s">
        <v>4506</v>
      </c>
      <c r="B1559" s="6">
        <v>2019</v>
      </c>
      <c r="C1559" s="6">
        <v>12</v>
      </c>
      <c r="D1559" s="7">
        <v>100</v>
      </c>
      <c r="E1559" s="6" t="s">
        <v>4121</v>
      </c>
      <c r="F1559" s="6" t="s">
        <v>4508</v>
      </c>
      <c r="G1559" s="6" t="s">
        <v>25</v>
      </c>
      <c r="H1559" s="8">
        <v>392529</v>
      </c>
      <c r="I1559" s="8"/>
      <c r="J1559" s="6" t="s">
        <v>2936</v>
      </c>
      <c r="K1559" s="6" t="s">
        <v>503</v>
      </c>
      <c r="L1559" s="6" t="s">
        <v>4510</v>
      </c>
      <c r="M1559" s="6" t="s">
        <v>4511</v>
      </c>
      <c r="N1559" s="6" t="s">
        <v>503</v>
      </c>
      <c r="O1559" s="29">
        <f t="shared" si="35"/>
        <v>0</v>
      </c>
      <c r="Q1559" s="30" t="s">
        <v>503</v>
      </c>
      <c r="R1559" s="31">
        <v>0</v>
      </c>
    </row>
    <row r="1560" s="1" customFormat="1" ht="16.35" hidden="1" customHeight="1" spans="1:18">
      <c r="A1560" s="6" t="s">
        <v>4506</v>
      </c>
      <c r="B1560" s="6">
        <v>2019</v>
      </c>
      <c r="C1560" s="6">
        <v>12</v>
      </c>
      <c r="D1560" s="7">
        <v>100</v>
      </c>
      <c r="E1560" s="6" t="s">
        <v>4121</v>
      </c>
      <c r="F1560" s="6" t="s">
        <v>4508</v>
      </c>
      <c r="G1560" s="6" t="s">
        <v>25</v>
      </c>
      <c r="H1560" s="8">
        <v>352574</v>
      </c>
      <c r="I1560" s="8"/>
      <c r="J1560" s="6" t="s">
        <v>2937</v>
      </c>
      <c r="K1560" s="6" t="s">
        <v>511</v>
      </c>
      <c r="L1560" s="6" t="s">
        <v>4510</v>
      </c>
      <c r="M1560" s="6" t="s">
        <v>4511</v>
      </c>
      <c r="N1560" s="6" t="s">
        <v>511</v>
      </c>
      <c r="O1560" s="29">
        <f t="shared" si="35"/>
        <v>0</v>
      </c>
      <c r="Q1560" s="30" t="s">
        <v>511</v>
      </c>
      <c r="R1560" s="31">
        <v>0</v>
      </c>
    </row>
    <row r="1561" s="1" customFormat="1" ht="16.35" hidden="1" customHeight="1" spans="1:18">
      <c r="A1561" s="6" t="s">
        <v>4506</v>
      </c>
      <c r="B1561" s="6">
        <v>2019</v>
      </c>
      <c r="C1561" s="6">
        <v>12</v>
      </c>
      <c r="D1561" s="7">
        <v>100</v>
      </c>
      <c r="E1561" s="6" t="s">
        <v>4121</v>
      </c>
      <c r="F1561" s="6" t="s">
        <v>4508</v>
      </c>
      <c r="G1561" s="6" t="s">
        <v>25</v>
      </c>
      <c r="H1561" s="8">
        <v>320496</v>
      </c>
      <c r="I1561" s="8"/>
      <c r="J1561" s="6" t="s">
        <v>2938</v>
      </c>
      <c r="K1561" s="6" t="s">
        <v>513</v>
      </c>
      <c r="L1561" s="6" t="s">
        <v>4510</v>
      </c>
      <c r="M1561" s="6" t="s">
        <v>4511</v>
      </c>
      <c r="N1561" s="6" t="s">
        <v>513</v>
      </c>
      <c r="O1561" s="29">
        <f t="shared" ref="O1561:O1624" si="36">I1561*1.05</f>
        <v>0</v>
      </c>
      <c r="Q1561" s="30" t="s">
        <v>513</v>
      </c>
      <c r="R1561" s="31">
        <v>0</v>
      </c>
    </row>
    <row r="1562" s="1" customFormat="1" ht="16.35" hidden="1" customHeight="1" spans="1:18">
      <c r="A1562" s="6" t="s">
        <v>4506</v>
      </c>
      <c r="B1562" s="6">
        <v>2019</v>
      </c>
      <c r="C1562" s="6">
        <v>12</v>
      </c>
      <c r="D1562" s="7">
        <v>100</v>
      </c>
      <c r="E1562" s="6" t="s">
        <v>4121</v>
      </c>
      <c r="F1562" s="6" t="s">
        <v>4508</v>
      </c>
      <c r="G1562" s="6" t="s">
        <v>25</v>
      </c>
      <c r="H1562" s="8">
        <v>394477</v>
      </c>
      <c r="I1562" s="8"/>
      <c r="J1562" s="6" t="s">
        <v>2939</v>
      </c>
      <c r="K1562" s="6" t="s">
        <v>507</v>
      </c>
      <c r="L1562" s="6" t="s">
        <v>4510</v>
      </c>
      <c r="M1562" s="6" t="s">
        <v>4511</v>
      </c>
      <c r="N1562" s="6" t="s">
        <v>507</v>
      </c>
      <c r="O1562" s="29">
        <f t="shared" si="36"/>
        <v>0</v>
      </c>
      <c r="Q1562" s="30" t="s">
        <v>507</v>
      </c>
      <c r="R1562" s="31">
        <v>0</v>
      </c>
    </row>
    <row r="1563" s="1" customFormat="1" ht="16.35" hidden="1" customHeight="1" spans="1:19">
      <c r="A1563" s="6" t="s">
        <v>4506</v>
      </c>
      <c r="B1563" s="6">
        <v>2019</v>
      </c>
      <c r="C1563" s="6">
        <v>12</v>
      </c>
      <c r="D1563" s="7">
        <v>100</v>
      </c>
      <c r="E1563" s="6" t="s">
        <v>4121</v>
      </c>
      <c r="F1563" s="6" t="s">
        <v>4508</v>
      </c>
      <c r="G1563" s="6" t="s">
        <v>25</v>
      </c>
      <c r="H1563" s="8">
        <v>281260</v>
      </c>
      <c r="I1563" s="8"/>
      <c r="J1563" s="6" t="s">
        <v>2940</v>
      </c>
      <c r="K1563" s="6" t="s">
        <v>619</v>
      </c>
      <c r="L1563" s="6" t="s">
        <v>4510</v>
      </c>
      <c r="M1563" s="6" t="s">
        <v>4511</v>
      </c>
      <c r="N1563" s="6" t="s">
        <v>619</v>
      </c>
      <c r="O1563" s="29">
        <f t="shared" si="36"/>
        <v>0</v>
      </c>
      <c r="Q1563" s="30" t="s">
        <v>619</v>
      </c>
      <c r="R1563" s="31">
        <v>0</v>
      </c>
      <c r="S1563" s="1" t="s">
        <v>5625</v>
      </c>
    </row>
    <row r="1564" s="1" customFormat="1" ht="16.35" hidden="1" customHeight="1" spans="1:18">
      <c r="A1564" s="6" t="s">
        <v>4506</v>
      </c>
      <c r="B1564" s="6">
        <v>2019</v>
      </c>
      <c r="C1564" s="6">
        <v>12</v>
      </c>
      <c r="D1564" s="7">
        <v>100</v>
      </c>
      <c r="E1564" s="6" t="s">
        <v>4121</v>
      </c>
      <c r="F1564" s="6" t="s">
        <v>4508</v>
      </c>
      <c r="G1564" s="6" t="s">
        <v>25</v>
      </c>
      <c r="H1564" s="8">
        <v>314098</v>
      </c>
      <c r="I1564" s="8"/>
      <c r="J1564" s="6" t="s">
        <v>2942</v>
      </c>
      <c r="K1564" s="6" t="s">
        <v>640</v>
      </c>
      <c r="L1564" s="6" t="s">
        <v>4510</v>
      </c>
      <c r="M1564" s="6" t="s">
        <v>4511</v>
      </c>
      <c r="N1564" s="6" t="s">
        <v>640</v>
      </c>
      <c r="O1564" s="29">
        <f t="shared" si="36"/>
        <v>0</v>
      </c>
      <c r="Q1564" s="30" t="s">
        <v>640</v>
      </c>
      <c r="R1564" s="31">
        <v>0</v>
      </c>
    </row>
    <row r="1565" s="1" customFormat="1" ht="16.35" hidden="1" customHeight="1" spans="1:18">
      <c r="A1565" s="6" t="s">
        <v>4506</v>
      </c>
      <c r="B1565" s="6">
        <v>2019</v>
      </c>
      <c r="C1565" s="6">
        <v>12</v>
      </c>
      <c r="D1565" s="7">
        <v>100</v>
      </c>
      <c r="E1565" s="6" t="s">
        <v>4121</v>
      </c>
      <c r="F1565" s="6" t="s">
        <v>4508</v>
      </c>
      <c r="G1565" s="6" t="s">
        <v>25</v>
      </c>
      <c r="H1565" s="8">
        <v>297972</v>
      </c>
      <c r="I1565" s="8"/>
      <c r="J1565" s="6" t="s">
        <v>2943</v>
      </c>
      <c r="K1565" s="6" t="s">
        <v>642</v>
      </c>
      <c r="L1565" s="6" t="s">
        <v>4510</v>
      </c>
      <c r="M1565" s="6" t="s">
        <v>4511</v>
      </c>
      <c r="N1565" s="6" t="s">
        <v>642</v>
      </c>
      <c r="O1565" s="29">
        <f t="shared" si="36"/>
        <v>0</v>
      </c>
      <c r="Q1565" s="30" t="s">
        <v>642</v>
      </c>
      <c r="R1565" s="31">
        <v>0</v>
      </c>
    </row>
    <row r="1566" s="1" customFormat="1" ht="16.35" hidden="1" customHeight="1" spans="1:19">
      <c r="A1566" s="6" t="s">
        <v>4506</v>
      </c>
      <c r="B1566" s="6">
        <v>2019</v>
      </c>
      <c r="C1566" s="6">
        <v>12</v>
      </c>
      <c r="D1566" s="7">
        <v>100</v>
      </c>
      <c r="E1566" s="6" t="s">
        <v>4121</v>
      </c>
      <c r="F1566" s="6" t="s">
        <v>4508</v>
      </c>
      <c r="G1566" s="6" t="s">
        <v>25</v>
      </c>
      <c r="H1566" s="8">
        <v>370584</v>
      </c>
      <c r="I1566" s="8"/>
      <c r="J1566" s="6" t="s">
        <v>2944</v>
      </c>
      <c r="K1566" s="6" t="s">
        <v>650</v>
      </c>
      <c r="L1566" s="6" t="s">
        <v>4510</v>
      </c>
      <c r="M1566" s="6" t="s">
        <v>4511</v>
      </c>
      <c r="N1566" s="6" t="s">
        <v>650</v>
      </c>
      <c r="O1566" s="29">
        <f t="shared" si="36"/>
        <v>0</v>
      </c>
      <c r="Q1566" s="30" t="s">
        <v>650</v>
      </c>
      <c r="R1566" s="31">
        <v>0</v>
      </c>
      <c r="S1566" s="1" t="s">
        <v>5626</v>
      </c>
    </row>
    <row r="1567" s="1" customFormat="1" ht="16.35" hidden="1" customHeight="1" spans="1:18">
      <c r="A1567" s="6" t="s">
        <v>4506</v>
      </c>
      <c r="B1567" s="6">
        <v>2019</v>
      </c>
      <c r="C1567" s="6">
        <v>12</v>
      </c>
      <c r="D1567" s="7">
        <v>100</v>
      </c>
      <c r="E1567" s="6" t="s">
        <v>4121</v>
      </c>
      <c r="F1567" s="6" t="s">
        <v>4508</v>
      </c>
      <c r="G1567" s="6" t="s">
        <v>25</v>
      </c>
      <c r="H1567" s="8">
        <v>366625</v>
      </c>
      <c r="I1567" s="8"/>
      <c r="J1567" s="6" t="s">
        <v>2945</v>
      </c>
      <c r="K1567" s="6" t="s">
        <v>654</v>
      </c>
      <c r="L1567" s="6" t="s">
        <v>4510</v>
      </c>
      <c r="M1567" s="6" t="s">
        <v>4511</v>
      </c>
      <c r="N1567" s="6" t="s">
        <v>654</v>
      </c>
      <c r="O1567" s="29">
        <f t="shared" si="36"/>
        <v>0</v>
      </c>
      <c r="Q1567" s="30" t="s">
        <v>654</v>
      </c>
      <c r="R1567" s="31">
        <v>0</v>
      </c>
    </row>
    <row r="1568" s="1" customFormat="1" ht="16.35" hidden="1" customHeight="1" spans="1:18">
      <c r="A1568" s="6" t="s">
        <v>4506</v>
      </c>
      <c r="B1568" s="6">
        <v>2019</v>
      </c>
      <c r="C1568" s="6">
        <v>12</v>
      </c>
      <c r="D1568" s="7">
        <v>100</v>
      </c>
      <c r="E1568" s="6" t="s">
        <v>4121</v>
      </c>
      <c r="F1568" s="6" t="s">
        <v>4508</v>
      </c>
      <c r="G1568" s="6" t="s">
        <v>25</v>
      </c>
      <c r="H1568" s="8">
        <v>333423</v>
      </c>
      <c r="I1568" s="8"/>
      <c r="J1568" s="6" t="s">
        <v>2946</v>
      </c>
      <c r="K1568" s="6" t="s">
        <v>658</v>
      </c>
      <c r="L1568" s="6" t="s">
        <v>4510</v>
      </c>
      <c r="M1568" s="6" t="s">
        <v>4511</v>
      </c>
      <c r="N1568" s="6" t="s">
        <v>658</v>
      </c>
      <c r="O1568" s="29">
        <f t="shared" si="36"/>
        <v>0</v>
      </c>
      <c r="Q1568" s="30" t="s">
        <v>658</v>
      </c>
      <c r="R1568" s="31">
        <v>0</v>
      </c>
    </row>
    <row r="1569" s="1" customFormat="1" ht="16.35" hidden="1" customHeight="1" spans="1:18">
      <c r="A1569" s="6" t="s">
        <v>4506</v>
      </c>
      <c r="B1569" s="6">
        <v>2019</v>
      </c>
      <c r="C1569" s="6">
        <v>12</v>
      </c>
      <c r="D1569" s="7">
        <v>100</v>
      </c>
      <c r="E1569" s="6" t="s">
        <v>4121</v>
      </c>
      <c r="F1569" s="6" t="s">
        <v>4508</v>
      </c>
      <c r="G1569" s="6" t="s">
        <v>25</v>
      </c>
      <c r="H1569" s="8">
        <v>296237</v>
      </c>
      <c r="I1569" s="8"/>
      <c r="J1569" s="6" t="s">
        <v>2947</v>
      </c>
      <c r="K1569" s="6" t="s">
        <v>579</v>
      </c>
      <c r="L1569" s="6" t="s">
        <v>4510</v>
      </c>
      <c r="M1569" s="6" t="s">
        <v>4511</v>
      </c>
      <c r="N1569" s="6" t="s">
        <v>579</v>
      </c>
      <c r="O1569" s="29">
        <f t="shared" si="36"/>
        <v>0</v>
      </c>
      <c r="Q1569" s="30" t="s">
        <v>579</v>
      </c>
      <c r="R1569" s="31">
        <v>0</v>
      </c>
    </row>
    <row r="1570" s="1" customFormat="1" ht="16.35" hidden="1" customHeight="1" spans="1:18">
      <c r="A1570" s="6" t="s">
        <v>4506</v>
      </c>
      <c r="B1570" s="6">
        <v>2019</v>
      </c>
      <c r="C1570" s="6">
        <v>12</v>
      </c>
      <c r="D1570" s="7">
        <v>100</v>
      </c>
      <c r="E1570" s="6" t="s">
        <v>4121</v>
      </c>
      <c r="F1570" s="6" t="s">
        <v>4508</v>
      </c>
      <c r="G1570" s="6" t="s">
        <v>25</v>
      </c>
      <c r="H1570" s="8">
        <v>453513</v>
      </c>
      <c r="I1570" s="8"/>
      <c r="J1570" s="6" t="s">
        <v>2948</v>
      </c>
      <c r="K1570" s="6" t="s">
        <v>250</v>
      </c>
      <c r="L1570" s="6" t="s">
        <v>4510</v>
      </c>
      <c r="M1570" s="6" t="s">
        <v>4511</v>
      </c>
      <c r="N1570" s="6" t="s">
        <v>250</v>
      </c>
      <c r="O1570" s="29">
        <f t="shared" si="36"/>
        <v>0</v>
      </c>
      <c r="Q1570" s="30" t="s">
        <v>250</v>
      </c>
      <c r="R1570" s="31">
        <v>0</v>
      </c>
    </row>
    <row r="1571" s="1" customFormat="1" ht="16.35" hidden="1" customHeight="1" spans="1:18">
      <c r="A1571" s="6" t="s">
        <v>4506</v>
      </c>
      <c r="B1571" s="6">
        <v>2019</v>
      </c>
      <c r="C1571" s="6">
        <v>12</v>
      </c>
      <c r="D1571" s="7">
        <v>100</v>
      </c>
      <c r="E1571" s="6" t="s">
        <v>4121</v>
      </c>
      <c r="F1571" s="6" t="s">
        <v>4508</v>
      </c>
      <c r="G1571" s="6" t="s">
        <v>25</v>
      </c>
      <c r="H1571" s="8">
        <v>432400</v>
      </c>
      <c r="I1571" s="8"/>
      <c r="J1571" s="6" t="s">
        <v>2949</v>
      </c>
      <c r="K1571" s="6" t="s">
        <v>278</v>
      </c>
      <c r="L1571" s="6" t="s">
        <v>4510</v>
      </c>
      <c r="M1571" s="6" t="s">
        <v>4511</v>
      </c>
      <c r="N1571" s="6" t="s">
        <v>278</v>
      </c>
      <c r="O1571" s="29">
        <f t="shared" si="36"/>
        <v>0</v>
      </c>
      <c r="Q1571" s="30" t="s">
        <v>278</v>
      </c>
      <c r="R1571" s="31">
        <v>0</v>
      </c>
    </row>
    <row r="1572" s="1" customFormat="1" ht="16.35" hidden="1" customHeight="1" spans="1:18">
      <c r="A1572" s="6" t="s">
        <v>4506</v>
      </c>
      <c r="B1572" s="6">
        <v>2019</v>
      </c>
      <c r="C1572" s="6">
        <v>12</v>
      </c>
      <c r="D1572" s="7">
        <v>100</v>
      </c>
      <c r="E1572" s="6" t="s">
        <v>4121</v>
      </c>
      <c r="F1572" s="6" t="s">
        <v>4508</v>
      </c>
      <c r="G1572" s="6" t="s">
        <v>25</v>
      </c>
      <c r="H1572" s="8">
        <v>241762</v>
      </c>
      <c r="I1572" s="8"/>
      <c r="J1572" s="6" t="s">
        <v>2950</v>
      </c>
      <c r="K1572" s="6" t="s">
        <v>553</v>
      </c>
      <c r="L1572" s="6" t="s">
        <v>4510</v>
      </c>
      <c r="M1572" s="6" t="s">
        <v>4511</v>
      </c>
      <c r="N1572" s="6" t="s">
        <v>553</v>
      </c>
      <c r="O1572" s="29">
        <f t="shared" si="36"/>
        <v>0</v>
      </c>
      <c r="Q1572" s="30" t="s">
        <v>553</v>
      </c>
      <c r="R1572" s="31">
        <v>0</v>
      </c>
    </row>
    <row r="1573" s="1" customFormat="1" ht="16.35" hidden="1" customHeight="1" spans="1:18">
      <c r="A1573" s="6" t="s">
        <v>4506</v>
      </c>
      <c r="B1573" s="6">
        <v>2019</v>
      </c>
      <c r="C1573" s="6">
        <v>12</v>
      </c>
      <c r="D1573" s="7">
        <v>100</v>
      </c>
      <c r="E1573" s="6" t="s">
        <v>4121</v>
      </c>
      <c r="F1573" s="6" t="s">
        <v>4508</v>
      </c>
      <c r="G1573" s="6" t="s">
        <v>25</v>
      </c>
      <c r="H1573" s="8">
        <v>445170</v>
      </c>
      <c r="I1573" s="8"/>
      <c r="J1573" s="6" t="s">
        <v>2954</v>
      </c>
      <c r="K1573" s="6" t="s">
        <v>372</v>
      </c>
      <c r="L1573" s="6" t="s">
        <v>4510</v>
      </c>
      <c r="M1573" s="6" t="s">
        <v>4511</v>
      </c>
      <c r="N1573" s="6" t="s">
        <v>372</v>
      </c>
      <c r="O1573" s="29">
        <f t="shared" si="36"/>
        <v>0</v>
      </c>
      <c r="Q1573" s="30" t="s">
        <v>372</v>
      </c>
      <c r="R1573" s="31">
        <v>0</v>
      </c>
    </row>
    <row r="1574" s="1" customFormat="1" ht="16.35" hidden="1" customHeight="1" spans="1:18">
      <c r="A1574" s="6" t="s">
        <v>4506</v>
      </c>
      <c r="B1574" s="6">
        <v>2019</v>
      </c>
      <c r="C1574" s="6">
        <v>12</v>
      </c>
      <c r="D1574" s="7">
        <v>100</v>
      </c>
      <c r="E1574" s="6" t="s">
        <v>4121</v>
      </c>
      <c r="F1574" s="6" t="s">
        <v>4508</v>
      </c>
      <c r="G1574" s="6" t="s">
        <v>25</v>
      </c>
      <c r="H1574" s="8">
        <v>275165</v>
      </c>
      <c r="I1574" s="8"/>
      <c r="J1574" s="6" t="s">
        <v>3067</v>
      </c>
      <c r="K1574" s="6" t="s">
        <v>549</v>
      </c>
      <c r="L1574" s="6" t="s">
        <v>4510</v>
      </c>
      <c r="M1574" s="6" t="s">
        <v>4511</v>
      </c>
      <c r="N1574" s="6" t="s">
        <v>549</v>
      </c>
      <c r="O1574" s="29">
        <f t="shared" si="36"/>
        <v>0</v>
      </c>
      <c r="Q1574" s="30" t="s">
        <v>549</v>
      </c>
      <c r="R1574" s="31">
        <v>0</v>
      </c>
    </row>
    <row r="1575" s="1" customFormat="1" ht="16.35" hidden="1" customHeight="1" spans="1:18">
      <c r="A1575" s="6" t="s">
        <v>4506</v>
      </c>
      <c r="B1575" s="6">
        <v>2019</v>
      </c>
      <c r="C1575" s="6">
        <v>12</v>
      </c>
      <c r="D1575" s="7">
        <v>100</v>
      </c>
      <c r="E1575" s="6" t="s">
        <v>4121</v>
      </c>
      <c r="F1575" s="6" t="s">
        <v>4508</v>
      </c>
      <c r="G1575" s="6" t="s">
        <v>25</v>
      </c>
      <c r="H1575" s="8">
        <v>281260</v>
      </c>
      <c r="I1575" s="8"/>
      <c r="J1575" s="6" t="s">
        <v>3070</v>
      </c>
      <c r="K1575" s="6" t="s">
        <v>535</v>
      </c>
      <c r="L1575" s="6" t="s">
        <v>4510</v>
      </c>
      <c r="M1575" s="6" t="s">
        <v>4511</v>
      </c>
      <c r="N1575" s="6" t="s">
        <v>535</v>
      </c>
      <c r="O1575" s="29">
        <f t="shared" si="36"/>
        <v>0</v>
      </c>
      <c r="Q1575" s="30" t="s">
        <v>535</v>
      </c>
      <c r="R1575" s="31">
        <v>0</v>
      </c>
    </row>
    <row r="1576" s="1" customFormat="1" ht="16.35" hidden="1" customHeight="1" spans="1:19">
      <c r="A1576" s="6" t="s">
        <v>4506</v>
      </c>
      <c r="B1576" s="6">
        <v>2019</v>
      </c>
      <c r="C1576" s="6">
        <v>12</v>
      </c>
      <c r="D1576" s="7">
        <v>100</v>
      </c>
      <c r="E1576" s="6" t="s">
        <v>4121</v>
      </c>
      <c r="F1576" s="6" t="s">
        <v>4508</v>
      </c>
      <c r="G1576" s="6" t="s">
        <v>25</v>
      </c>
      <c r="H1576" s="8">
        <v>240038</v>
      </c>
      <c r="I1576" s="8"/>
      <c r="J1576" s="6" t="s">
        <v>3073</v>
      </c>
      <c r="K1576" s="6" t="s">
        <v>622</v>
      </c>
      <c r="L1576" s="6" t="s">
        <v>4510</v>
      </c>
      <c r="M1576" s="6" t="s">
        <v>4511</v>
      </c>
      <c r="N1576" s="6" t="s">
        <v>622</v>
      </c>
      <c r="O1576" s="29">
        <f t="shared" si="36"/>
        <v>0</v>
      </c>
      <c r="Q1576" s="30" t="s">
        <v>622</v>
      </c>
      <c r="R1576" s="31">
        <v>0</v>
      </c>
      <c r="S1576" s="1" t="s">
        <v>5625</v>
      </c>
    </row>
    <row r="1577" s="1" customFormat="1" ht="16.35" hidden="1" customHeight="1" spans="1:18">
      <c r="A1577" s="6" t="s">
        <v>4506</v>
      </c>
      <c r="B1577" s="6">
        <v>2019</v>
      </c>
      <c r="C1577" s="6">
        <v>12</v>
      </c>
      <c r="D1577" s="7">
        <v>100</v>
      </c>
      <c r="E1577" s="6" t="s">
        <v>4121</v>
      </c>
      <c r="F1577" s="6" t="s">
        <v>4508</v>
      </c>
      <c r="G1577" s="6" t="s">
        <v>25</v>
      </c>
      <c r="H1577" s="8">
        <v>266754</v>
      </c>
      <c r="I1577" s="8"/>
      <c r="J1577" s="6" t="s">
        <v>3076</v>
      </c>
      <c r="K1577" s="6" t="s">
        <v>423</v>
      </c>
      <c r="L1577" s="6" t="s">
        <v>4510</v>
      </c>
      <c r="M1577" s="6" t="s">
        <v>4511</v>
      </c>
      <c r="N1577" s="6" t="s">
        <v>423</v>
      </c>
      <c r="O1577" s="29">
        <f t="shared" si="36"/>
        <v>0</v>
      </c>
      <c r="Q1577" s="30" t="s">
        <v>423</v>
      </c>
      <c r="R1577" s="31">
        <v>0</v>
      </c>
    </row>
    <row r="1578" s="1" customFormat="1" ht="16.35" hidden="1" customHeight="1" spans="1:18">
      <c r="A1578" s="6" t="s">
        <v>4506</v>
      </c>
      <c r="B1578" s="6">
        <v>2019</v>
      </c>
      <c r="C1578" s="6">
        <v>12</v>
      </c>
      <c r="D1578" s="7">
        <v>100</v>
      </c>
      <c r="E1578" s="6" t="s">
        <v>4121</v>
      </c>
      <c r="F1578" s="6" t="s">
        <v>4508</v>
      </c>
      <c r="G1578" s="6" t="s">
        <v>25</v>
      </c>
      <c r="H1578" s="8">
        <v>360017.9</v>
      </c>
      <c r="I1578" s="8"/>
      <c r="J1578" s="6" t="s">
        <v>3078</v>
      </c>
      <c r="K1578" s="6" t="s">
        <v>398</v>
      </c>
      <c r="L1578" s="6" t="s">
        <v>4510</v>
      </c>
      <c r="M1578" s="6" t="s">
        <v>4511</v>
      </c>
      <c r="N1578" s="6" t="s">
        <v>398</v>
      </c>
      <c r="O1578" s="29">
        <f t="shared" si="36"/>
        <v>0</v>
      </c>
      <c r="Q1578" s="30" t="s">
        <v>398</v>
      </c>
      <c r="R1578" s="31">
        <v>0</v>
      </c>
    </row>
    <row r="1579" s="1" customFormat="1" ht="16.35" hidden="1" customHeight="1" spans="1:18">
      <c r="A1579" s="6" t="s">
        <v>4506</v>
      </c>
      <c r="B1579" s="6">
        <v>2019</v>
      </c>
      <c r="C1579" s="6">
        <v>12</v>
      </c>
      <c r="D1579" s="7">
        <v>100</v>
      </c>
      <c r="E1579" s="6" t="s">
        <v>4121</v>
      </c>
      <c r="F1579" s="6" t="s">
        <v>4508</v>
      </c>
      <c r="G1579" s="6" t="s">
        <v>25</v>
      </c>
      <c r="H1579" s="8">
        <v>376639</v>
      </c>
      <c r="I1579" s="8"/>
      <c r="J1579" s="6" t="s">
        <v>3080</v>
      </c>
      <c r="K1579" s="6" t="s">
        <v>414</v>
      </c>
      <c r="L1579" s="6" t="s">
        <v>4510</v>
      </c>
      <c r="M1579" s="6" t="s">
        <v>4511</v>
      </c>
      <c r="N1579" s="6" t="s">
        <v>414</v>
      </c>
      <c r="O1579" s="29">
        <f t="shared" si="36"/>
        <v>0</v>
      </c>
      <c r="Q1579" s="30" t="s">
        <v>414</v>
      </c>
      <c r="R1579" s="31">
        <v>0</v>
      </c>
    </row>
    <row r="1580" s="1" customFormat="1" ht="16.35" hidden="1" customHeight="1" spans="1:18">
      <c r="A1580" s="6" t="s">
        <v>4506</v>
      </c>
      <c r="B1580" s="6">
        <v>2019</v>
      </c>
      <c r="C1580" s="6">
        <v>12</v>
      </c>
      <c r="D1580" s="7">
        <v>100</v>
      </c>
      <c r="E1580" s="6" t="s">
        <v>4121</v>
      </c>
      <c r="F1580" s="6" t="s">
        <v>4508</v>
      </c>
      <c r="G1580" s="6" t="s">
        <v>25</v>
      </c>
      <c r="H1580" s="8">
        <v>303810</v>
      </c>
      <c r="I1580" s="8"/>
      <c r="J1580" s="6" t="s">
        <v>3082</v>
      </c>
      <c r="K1580" s="6" t="s">
        <v>420</v>
      </c>
      <c r="L1580" s="6" t="s">
        <v>4510</v>
      </c>
      <c r="M1580" s="6" t="s">
        <v>4511</v>
      </c>
      <c r="N1580" s="6" t="s">
        <v>420</v>
      </c>
      <c r="O1580" s="29">
        <f t="shared" si="36"/>
        <v>0</v>
      </c>
      <c r="Q1580" s="30" t="s">
        <v>420</v>
      </c>
      <c r="R1580" s="31">
        <v>0</v>
      </c>
    </row>
    <row r="1581" s="1" customFormat="1" ht="16.35" hidden="1" customHeight="1" spans="1:18">
      <c r="A1581" s="6" t="s">
        <v>4506</v>
      </c>
      <c r="B1581" s="6">
        <v>2019</v>
      </c>
      <c r="C1581" s="6">
        <v>12</v>
      </c>
      <c r="D1581" s="7">
        <v>100</v>
      </c>
      <c r="E1581" s="6" t="s">
        <v>4121</v>
      </c>
      <c r="F1581" s="6" t="s">
        <v>4508</v>
      </c>
      <c r="G1581" s="6" t="s">
        <v>25</v>
      </c>
      <c r="H1581" s="8">
        <v>289230.6</v>
      </c>
      <c r="I1581" s="8"/>
      <c r="J1581" s="6" t="s">
        <v>3085</v>
      </c>
      <c r="K1581" s="6" t="s">
        <v>607</v>
      </c>
      <c r="L1581" s="6" t="s">
        <v>4510</v>
      </c>
      <c r="M1581" s="6" t="s">
        <v>4511</v>
      </c>
      <c r="N1581" s="6" t="s">
        <v>607</v>
      </c>
      <c r="O1581" s="29">
        <f t="shared" si="36"/>
        <v>0</v>
      </c>
      <c r="Q1581" s="30" t="s">
        <v>607</v>
      </c>
      <c r="R1581" s="31">
        <v>0</v>
      </c>
    </row>
    <row r="1582" s="1" customFormat="1" ht="16.35" hidden="1" customHeight="1" spans="1:18">
      <c r="A1582" s="6" t="s">
        <v>4506</v>
      </c>
      <c r="B1582" s="6">
        <v>2019</v>
      </c>
      <c r="C1582" s="6">
        <v>12</v>
      </c>
      <c r="D1582" s="7">
        <v>100</v>
      </c>
      <c r="E1582" s="6" t="s">
        <v>4121</v>
      </c>
      <c r="F1582" s="6" t="s">
        <v>4508</v>
      </c>
      <c r="G1582" s="6" t="s">
        <v>25</v>
      </c>
      <c r="H1582" s="8">
        <v>324116.4</v>
      </c>
      <c r="I1582" s="8"/>
      <c r="J1582" s="6" t="s">
        <v>3088</v>
      </c>
      <c r="K1582" s="6" t="s">
        <v>272</v>
      </c>
      <c r="L1582" s="6" t="s">
        <v>4510</v>
      </c>
      <c r="M1582" s="6" t="s">
        <v>4511</v>
      </c>
      <c r="N1582" s="6" t="s">
        <v>272</v>
      </c>
      <c r="O1582" s="29">
        <f t="shared" si="36"/>
        <v>0</v>
      </c>
      <c r="Q1582" s="30" t="s">
        <v>272</v>
      </c>
      <c r="R1582" s="31">
        <v>0</v>
      </c>
    </row>
    <row r="1583" s="1" customFormat="1" ht="16.35" hidden="1" customHeight="1" spans="1:18">
      <c r="A1583" s="6" t="s">
        <v>4506</v>
      </c>
      <c r="B1583" s="6">
        <v>2019</v>
      </c>
      <c r="C1583" s="6">
        <v>12</v>
      </c>
      <c r="D1583" s="7">
        <v>100</v>
      </c>
      <c r="E1583" s="6" t="s">
        <v>4121</v>
      </c>
      <c r="F1583" s="6" t="s">
        <v>4508</v>
      </c>
      <c r="G1583" s="6" t="s">
        <v>25</v>
      </c>
      <c r="H1583" s="8">
        <v>304182.4</v>
      </c>
      <c r="I1583" s="8"/>
      <c r="J1583" s="6" t="s">
        <v>3092</v>
      </c>
      <c r="K1583" s="6" t="s">
        <v>557</v>
      </c>
      <c r="L1583" s="6" t="s">
        <v>4510</v>
      </c>
      <c r="M1583" s="6" t="s">
        <v>4511</v>
      </c>
      <c r="N1583" s="6" t="s">
        <v>557</v>
      </c>
      <c r="O1583" s="29">
        <f t="shared" si="36"/>
        <v>0</v>
      </c>
      <c r="Q1583" s="30" t="s">
        <v>557</v>
      </c>
      <c r="R1583" s="31">
        <v>0</v>
      </c>
    </row>
    <row r="1584" s="1" customFormat="1" ht="16.35" hidden="1" customHeight="1" spans="1:18">
      <c r="A1584" s="6" t="s">
        <v>4506</v>
      </c>
      <c r="B1584" s="6">
        <v>2019</v>
      </c>
      <c r="C1584" s="6">
        <v>12</v>
      </c>
      <c r="D1584" s="7">
        <v>100</v>
      </c>
      <c r="E1584" s="6" t="s">
        <v>4121</v>
      </c>
      <c r="F1584" s="6" t="s">
        <v>4508</v>
      </c>
      <c r="G1584" s="6" t="s">
        <v>25</v>
      </c>
      <c r="H1584" s="8">
        <v>293221</v>
      </c>
      <c r="I1584" s="8"/>
      <c r="J1584" s="6" t="s">
        <v>3094</v>
      </c>
      <c r="K1584" s="6" t="s">
        <v>634</v>
      </c>
      <c r="L1584" s="6" t="s">
        <v>4510</v>
      </c>
      <c r="M1584" s="6" t="s">
        <v>4511</v>
      </c>
      <c r="N1584" s="6" t="s">
        <v>634</v>
      </c>
      <c r="O1584" s="29">
        <f t="shared" si="36"/>
        <v>0</v>
      </c>
      <c r="Q1584" s="30" t="s">
        <v>634</v>
      </c>
      <c r="R1584" s="31">
        <v>0</v>
      </c>
    </row>
    <row r="1585" s="1" customFormat="1" ht="16.35" hidden="1" customHeight="1" spans="1:18">
      <c r="A1585" s="6" t="s">
        <v>4506</v>
      </c>
      <c r="B1585" s="6">
        <v>2019</v>
      </c>
      <c r="C1585" s="6">
        <v>12</v>
      </c>
      <c r="D1585" s="7">
        <v>100</v>
      </c>
      <c r="E1585" s="6" t="s">
        <v>4121</v>
      </c>
      <c r="F1585" s="6" t="s">
        <v>4508</v>
      </c>
      <c r="G1585" s="6" t="s">
        <v>25</v>
      </c>
      <c r="H1585" s="8">
        <v>270162</v>
      </c>
      <c r="I1585" s="8"/>
      <c r="J1585" s="6" t="s">
        <v>3096</v>
      </c>
      <c r="K1585" s="6" t="s">
        <v>613</v>
      </c>
      <c r="L1585" s="6" t="s">
        <v>4510</v>
      </c>
      <c r="M1585" s="6" t="s">
        <v>4511</v>
      </c>
      <c r="N1585" s="6" t="s">
        <v>613</v>
      </c>
      <c r="O1585" s="29">
        <f t="shared" si="36"/>
        <v>0</v>
      </c>
      <c r="Q1585" s="30" t="s">
        <v>613</v>
      </c>
      <c r="R1585" s="31">
        <v>0</v>
      </c>
    </row>
    <row r="1586" s="1" customFormat="1" ht="16.35" hidden="1" customHeight="1" spans="1:18">
      <c r="A1586" s="6" t="s">
        <v>4506</v>
      </c>
      <c r="B1586" s="6">
        <v>2019</v>
      </c>
      <c r="C1586" s="6">
        <v>12</v>
      </c>
      <c r="D1586" s="7">
        <v>100</v>
      </c>
      <c r="E1586" s="6" t="s">
        <v>4121</v>
      </c>
      <c r="F1586" s="6" t="s">
        <v>4508</v>
      </c>
      <c r="G1586" s="6" t="s">
        <v>25</v>
      </c>
      <c r="H1586" s="8">
        <v>354277</v>
      </c>
      <c r="I1586" s="8"/>
      <c r="J1586" s="6" t="s">
        <v>3099</v>
      </c>
      <c r="K1586" s="6" t="s">
        <v>388</v>
      </c>
      <c r="L1586" s="6" t="s">
        <v>4510</v>
      </c>
      <c r="M1586" s="6" t="s">
        <v>4511</v>
      </c>
      <c r="N1586" s="6" t="s">
        <v>388</v>
      </c>
      <c r="O1586" s="29">
        <f t="shared" si="36"/>
        <v>0</v>
      </c>
      <c r="Q1586" s="30" t="s">
        <v>388</v>
      </c>
      <c r="R1586" s="31">
        <v>0</v>
      </c>
    </row>
    <row r="1587" s="1" customFormat="1" ht="16.35" hidden="1" customHeight="1" spans="1:19">
      <c r="A1587" s="6" t="s">
        <v>4506</v>
      </c>
      <c r="B1587" s="6">
        <v>2019</v>
      </c>
      <c r="C1587" s="6">
        <v>12</v>
      </c>
      <c r="D1587" s="7">
        <v>100</v>
      </c>
      <c r="E1587" s="6" t="s">
        <v>4121</v>
      </c>
      <c r="F1587" s="6" t="s">
        <v>4508</v>
      </c>
      <c r="G1587" s="6" t="s">
        <v>25</v>
      </c>
      <c r="H1587" s="8">
        <v>269776.2</v>
      </c>
      <c r="I1587" s="8"/>
      <c r="J1587" s="6" t="s">
        <v>3101</v>
      </c>
      <c r="K1587" s="6" t="s">
        <v>84</v>
      </c>
      <c r="L1587" s="6" t="s">
        <v>4510</v>
      </c>
      <c r="M1587" s="6" t="s">
        <v>4511</v>
      </c>
      <c r="N1587" s="6" t="s">
        <v>84</v>
      </c>
      <c r="O1587" s="29">
        <f t="shared" si="36"/>
        <v>0</v>
      </c>
      <c r="Q1587" s="30" t="s">
        <v>84</v>
      </c>
      <c r="R1587" s="31">
        <v>0</v>
      </c>
      <c r="S1587" s="1" t="s">
        <v>5627</v>
      </c>
    </row>
    <row r="1588" s="1" customFormat="1" ht="16.35" hidden="1" customHeight="1" spans="1:18">
      <c r="A1588" s="6" t="s">
        <v>4506</v>
      </c>
      <c r="B1588" s="6">
        <v>2019</v>
      </c>
      <c r="C1588" s="6">
        <v>12</v>
      </c>
      <c r="D1588" s="7">
        <v>100</v>
      </c>
      <c r="E1588" s="6" t="s">
        <v>4121</v>
      </c>
      <c r="F1588" s="6" t="s">
        <v>4508</v>
      </c>
      <c r="G1588" s="6" t="s">
        <v>25</v>
      </c>
      <c r="H1588" s="8">
        <v>265211.6</v>
      </c>
      <c r="I1588" s="8"/>
      <c r="J1588" s="6" t="s">
        <v>3103</v>
      </c>
      <c r="K1588" s="6" t="s">
        <v>575</v>
      </c>
      <c r="L1588" s="6" t="s">
        <v>4510</v>
      </c>
      <c r="M1588" s="6" t="s">
        <v>4511</v>
      </c>
      <c r="N1588" s="6" t="s">
        <v>575</v>
      </c>
      <c r="O1588" s="29">
        <f t="shared" si="36"/>
        <v>0</v>
      </c>
      <c r="Q1588" s="30" t="s">
        <v>575</v>
      </c>
      <c r="R1588" s="31">
        <v>0</v>
      </c>
    </row>
    <row r="1589" s="1" customFormat="1" ht="16.35" hidden="1" customHeight="1" spans="1:18">
      <c r="A1589" s="6" t="s">
        <v>4506</v>
      </c>
      <c r="B1589" s="6">
        <v>2019</v>
      </c>
      <c r="C1589" s="6">
        <v>12</v>
      </c>
      <c r="D1589" s="7">
        <v>100</v>
      </c>
      <c r="E1589" s="6" t="s">
        <v>4121</v>
      </c>
      <c r="F1589" s="6" t="s">
        <v>4508</v>
      </c>
      <c r="G1589" s="6" t="s">
        <v>25</v>
      </c>
      <c r="H1589" s="8">
        <v>265211.6</v>
      </c>
      <c r="I1589" s="8"/>
      <c r="J1589" s="6" t="s">
        <v>3105</v>
      </c>
      <c r="K1589" s="6" t="s">
        <v>577</v>
      </c>
      <c r="L1589" s="6" t="s">
        <v>4510</v>
      </c>
      <c r="M1589" s="6" t="s">
        <v>4511</v>
      </c>
      <c r="N1589" s="6" t="s">
        <v>577</v>
      </c>
      <c r="O1589" s="29">
        <f>I1589</f>
        <v>0</v>
      </c>
      <c r="Q1589" s="30" t="s">
        <v>577</v>
      </c>
      <c r="R1589" s="31">
        <v>0</v>
      </c>
    </row>
    <row r="1590" s="1" customFormat="1" ht="16.35" hidden="1" customHeight="1" spans="1:18">
      <c r="A1590" s="6" t="s">
        <v>4506</v>
      </c>
      <c r="B1590" s="6">
        <v>2019</v>
      </c>
      <c r="C1590" s="6">
        <v>12</v>
      </c>
      <c r="D1590" s="7">
        <v>100</v>
      </c>
      <c r="E1590" s="6" t="s">
        <v>4121</v>
      </c>
      <c r="F1590" s="6" t="s">
        <v>4508</v>
      </c>
      <c r="G1590" s="6" t="s">
        <v>25</v>
      </c>
      <c r="H1590" s="8">
        <v>269082</v>
      </c>
      <c r="I1590" s="8"/>
      <c r="J1590" s="6" t="s">
        <v>3108</v>
      </c>
      <c r="K1590" s="6" t="s">
        <v>529</v>
      </c>
      <c r="L1590" s="6" t="s">
        <v>4510</v>
      </c>
      <c r="M1590" s="6" t="s">
        <v>4511</v>
      </c>
      <c r="N1590" s="6" t="s">
        <v>529</v>
      </c>
      <c r="O1590" s="29">
        <f t="shared" si="36"/>
        <v>0</v>
      </c>
      <c r="Q1590" s="30" t="s">
        <v>529</v>
      </c>
      <c r="R1590" s="31">
        <v>0</v>
      </c>
    </row>
    <row r="1591" s="1" customFormat="1" ht="16.35" hidden="1" customHeight="1" spans="1:18">
      <c r="A1591" s="6" t="s">
        <v>4506</v>
      </c>
      <c r="B1591" s="6">
        <v>2019</v>
      </c>
      <c r="C1591" s="6">
        <v>12</v>
      </c>
      <c r="D1591" s="7">
        <v>100</v>
      </c>
      <c r="E1591" s="6" t="s">
        <v>4121</v>
      </c>
      <c r="F1591" s="6" t="s">
        <v>4508</v>
      </c>
      <c r="G1591" s="6" t="s">
        <v>25</v>
      </c>
      <c r="H1591" s="8">
        <v>316157</v>
      </c>
      <c r="I1591" s="8"/>
      <c r="J1591" s="6" t="s">
        <v>3110</v>
      </c>
      <c r="K1591" s="6" t="s">
        <v>80</v>
      </c>
      <c r="L1591" s="6" t="s">
        <v>4510</v>
      </c>
      <c r="M1591" s="6" t="s">
        <v>4511</v>
      </c>
      <c r="N1591" s="6" t="s">
        <v>80</v>
      </c>
      <c r="O1591" s="29">
        <f t="shared" si="36"/>
        <v>0</v>
      </c>
      <c r="Q1591" s="30" t="s">
        <v>80</v>
      </c>
      <c r="R1591" s="31">
        <v>0</v>
      </c>
    </row>
    <row r="1592" s="1" customFormat="1" ht="16.35" hidden="1" customHeight="1" spans="1:18">
      <c r="A1592" s="6" t="s">
        <v>4506</v>
      </c>
      <c r="B1592" s="6">
        <v>2019</v>
      </c>
      <c r="C1592" s="6">
        <v>12</v>
      </c>
      <c r="D1592" s="7">
        <v>100</v>
      </c>
      <c r="E1592" s="6" t="s">
        <v>4121</v>
      </c>
      <c r="F1592" s="6" t="s">
        <v>4508</v>
      </c>
      <c r="G1592" s="6" t="s">
        <v>25</v>
      </c>
      <c r="H1592" s="8">
        <v>404069</v>
      </c>
      <c r="I1592" s="8"/>
      <c r="J1592" s="6" t="s">
        <v>3112</v>
      </c>
      <c r="K1592" s="6" t="s">
        <v>274</v>
      </c>
      <c r="L1592" s="6" t="s">
        <v>4510</v>
      </c>
      <c r="M1592" s="6" t="s">
        <v>4511</v>
      </c>
      <c r="N1592" s="6" t="s">
        <v>274</v>
      </c>
      <c r="O1592" s="29">
        <f t="shared" si="36"/>
        <v>0</v>
      </c>
      <c r="Q1592" s="30" t="s">
        <v>274</v>
      </c>
      <c r="R1592" s="31">
        <v>0</v>
      </c>
    </row>
    <row r="1593" s="1" customFormat="1" ht="16.35" hidden="1" customHeight="1" spans="1:18">
      <c r="A1593" s="6" t="s">
        <v>4506</v>
      </c>
      <c r="B1593" s="6">
        <v>2019</v>
      </c>
      <c r="C1593" s="6">
        <v>12</v>
      </c>
      <c r="D1593" s="7">
        <v>100</v>
      </c>
      <c r="E1593" s="6" t="s">
        <v>4121</v>
      </c>
      <c r="F1593" s="6" t="s">
        <v>4508</v>
      </c>
      <c r="G1593" s="6" t="s">
        <v>25</v>
      </c>
      <c r="H1593" s="8">
        <v>268161</v>
      </c>
      <c r="I1593" s="8"/>
      <c r="J1593" s="6" t="s">
        <v>3119</v>
      </c>
      <c r="K1593" s="6" t="s">
        <v>599</v>
      </c>
      <c r="L1593" s="6" t="s">
        <v>4510</v>
      </c>
      <c r="M1593" s="6" t="s">
        <v>4511</v>
      </c>
      <c r="N1593" s="6" t="s">
        <v>599</v>
      </c>
      <c r="O1593" s="29">
        <f t="shared" si="36"/>
        <v>0</v>
      </c>
      <c r="Q1593" s="30" t="s">
        <v>599</v>
      </c>
      <c r="R1593" s="31">
        <v>0</v>
      </c>
    </row>
    <row r="1594" s="1" customFormat="1" ht="16.35" hidden="1" customHeight="1" spans="1:18">
      <c r="A1594" s="6" t="s">
        <v>4506</v>
      </c>
      <c r="B1594" s="6">
        <v>2019</v>
      </c>
      <c r="C1594" s="6">
        <v>12</v>
      </c>
      <c r="D1594" s="7">
        <v>100</v>
      </c>
      <c r="E1594" s="6" t="s">
        <v>4121</v>
      </c>
      <c r="F1594" s="6" t="s">
        <v>4508</v>
      </c>
      <c r="G1594" s="6" t="s">
        <v>25</v>
      </c>
      <c r="H1594" s="8">
        <v>301072</v>
      </c>
      <c r="I1594" s="8"/>
      <c r="J1594" s="6" t="s">
        <v>3121</v>
      </c>
      <c r="K1594" s="6" t="s">
        <v>427</v>
      </c>
      <c r="L1594" s="6" t="s">
        <v>4510</v>
      </c>
      <c r="M1594" s="6" t="s">
        <v>4511</v>
      </c>
      <c r="N1594" s="6" t="s">
        <v>427</v>
      </c>
      <c r="O1594" s="29">
        <f t="shared" si="36"/>
        <v>0</v>
      </c>
      <c r="Q1594" s="30" t="s">
        <v>427</v>
      </c>
      <c r="R1594" s="31">
        <v>0</v>
      </c>
    </row>
    <row r="1595" s="1" customFormat="1" ht="16.35" hidden="1" customHeight="1" spans="1:18">
      <c r="A1595" s="6" t="s">
        <v>4506</v>
      </c>
      <c r="B1595" s="6">
        <v>2019</v>
      </c>
      <c r="C1595" s="6">
        <v>12</v>
      </c>
      <c r="D1595" s="7">
        <v>100</v>
      </c>
      <c r="E1595" s="6" t="s">
        <v>4121</v>
      </c>
      <c r="F1595" s="6" t="s">
        <v>4508</v>
      </c>
      <c r="G1595" s="6" t="s">
        <v>25</v>
      </c>
      <c r="H1595" s="8">
        <v>269582</v>
      </c>
      <c r="I1595" s="8"/>
      <c r="J1595" s="6" t="s">
        <v>3124</v>
      </c>
      <c r="K1595" s="6" t="s">
        <v>350</v>
      </c>
      <c r="L1595" s="6" t="s">
        <v>4510</v>
      </c>
      <c r="M1595" s="6" t="s">
        <v>4511</v>
      </c>
      <c r="N1595" s="6" t="s">
        <v>350</v>
      </c>
      <c r="O1595" s="29">
        <f t="shared" si="36"/>
        <v>0</v>
      </c>
      <c r="Q1595" s="30" t="s">
        <v>350</v>
      </c>
      <c r="R1595" s="31">
        <v>0</v>
      </c>
    </row>
    <row r="1596" s="1" customFormat="1" ht="16.35" hidden="1" customHeight="1" spans="1:18">
      <c r="A1596" s="6" t="s">
        <v>4506</v>
      </c>
      <c r="B1596" s="6">
        <v>2019</v>
      </c>
      <c r="C1596" s="6">
        <v>12</v>
      </c>
      <c r="D1596" s="7">
        <v>100</v>
      </c>
      <c r="E1596" s="6" t="s">
        <v>4121</v>
      </c>
      <c r="F1596" s="6" t="s">
        <v>4508</v>
      </c>
      <c r="G1596" s="6" t="s">
        <v>25</v>
      </c>
      <c r="H1596" s="8">
        <v>296216</v>
      </c>
      <c r="I1596" s="8"/>
      <c r="J1596" s="6" t="s">
        <v>3126</v>
      </c>
      <c r="K1596" s="6" t="s">
        <v>451</v>
      </c>
      <c r="L1596" s="6" t="s">
        <v>4510</v>
      </c>
      <c r="M1596" s="6" t="s">
        <v>4511</v>
      </c>
      <c r="N1596" s="6" t="s">
        <v>451</v>
      </c>
      <c r="O1596" s="29">
        <f t="shared" si="36"/>
        <v>0</v>
      </c>
      <c r="Q1596" s="30" t="s">
        <v>451</v>
      </c>
      <c r="R1596" s="31">
        <v>0</v>
      </c>
    </row>
    <row r="1597" s="1" customFormat="1" ht="16.35" hidden="1" customHeight="1" spans="1:18">
      <c r="A1597" s="6" t="s">
        <v>4506</v>
      </c>
      <c r="B1597" s="6">
        <v>2019</v>
      </c>
      <c r="C1597" s="6">
        <v>12</v>
      </c>
      <c r="D1597" s="7">
        <v>100</v>
      </c>
      <c r="E1597" s="6" t="s">
        <v>4121</v>
      </c>
      <c r="F1597" s="6" t="s">
        <v>4508</v>
      </c>
      <c r="G1597" s="6" t="s">
        <v>25</v>
      </c>
      <c r="H1597" s="8">
        <v>7937228</v>
      </c>
      <c r="I1597" s="8"/>
      <c r="J1597" s="6" t="s">
        <v>3114</v>
      </c>
      <c r="K1597" s="6" t="s">
        <v>4536</v>
      </c>
      <c r="L1597" s="6" t="s">
        <v>4510</v>
      </c>
      <c r="M1597" s="6" t="s">
        <v>4511</v>
      </c>
      <c r="N1597" s="6" t="s">
        <v>4536</v>
      </c>
      <c r="O1597" s="29">
        <f t="shared" si="36"/>
        <v>0</v>
      </c>
      <c r="Q1597" s="30" t="s">
        <v>4536</v>
      </c>
      <c r="R1597" s="31">
        <v>0</v>
      </c>
    </row>
    <row r="1598" s="1" customFormat="1" ht="16.35" hidden="1" customHeight="1" spans="1:18">
      <c r="A1598" s="6" t="s">
        <v>4506</v>
      </c>
      <c r="B1598" s="6">
        <v>2019</v>
      </c>
      <c r="C1598" s="6">
        <v>12</v>
      </c>
      <c r="D1598" s="7">
        <v>100</v>
      </c>
      <c r="E1598" s="6" t="s">
        <v>4121</v>
      </c>
      <c r="F1598" s="6" t="s">
        <v>4508</v>
      </c>
      <c r="G1598" s="6" t="s">
        <v>25</v>
      </c>
      <c r="H1598" s="8">
        <v>240656</v>
      </c>
      <c r="I1598" s="8"/>
      <c r="J1598" s="6" t="s">
        <v>3133</v>
      </c>
      <c r="K1598" s="6" t="s">
        <v>621</v>
      </c>
      <c r="L1598" s="6" t="s">
        <v>4510</v>
      </c>
      <c r="M1598" s="6" t="s">
        <v>4511</v>
      </c>
      <c r="N1598" s="6" t="s">
        <v>621</v>
      </c>
      <c r="O1598" s="29">
        <f t="shared" si="36"/>
        <v>0</v>
      </c>
      <c r="Q1598" s="30" t="s">
        <v>621</v>
      </c>
      <c r="R1598" s="31">
        <v>0</v>
      </c>
    </row>
    <row r="1599" s="1" customFormat="1" ht="16.35" hidden="1" customHeight="1" spans="1:18">
      <c r="A1599" s="6" t="s">
        <v>4506</v>
      </c>
      <c r="B1599" s="6">
        <v>2019</v>
      </c>
      <c r="C1599" s="6">
        <v>12</v>
      </c>
      <c r="D1599" s="7">
        <v>100</v>
      </c>
      <c r="E1599" s="6" t="s">
        <v>4121</v>
      </c>
      <c r="F1599" s="6" t="s">
        <v>4508</v>
      </c>
      <c r="G1599" s="6" t="s">
        <v>25</v>
      </c>
      <c r="H1599" s="8">
        <v>294600</v>
      </c>
      <c r="I1599" s="8"/>
      <c r="J1599" s="6" t="s">
        <v>3136</v>
      </c>
      <c r="K1599" s="6" t="s">
        <v>244</v>
      </c>
      <c r="L1599" s="6" t="s">
        <v>4510</v>
      </c>
      <c r="M1599" s="6" t="s">
        <v>4511</v>
      </c>
      <c r="N1599" s="6" t="s">
        <v>244</v>
      </c>
      <c r="O1599" s="29">
        <f t="shared" si="36"/>
        <v>0</v>
      </c>
      <c r="Q1599" s="30" t="s">
        <v>244</v>
      </c>
      <c r="R1599" s="31">
        <v>0</v>
      </c>
    </row>
    <row r="1600" s="1" customFormat="1" ht="16.35" hidden="1" customHeight="1" spans="1:18">
      <c r="A1600" s="6" t="s">
        <v>4506</v>
      </c>
      <c r="B1600" s="6">
        <v>2019</v>
      </c>
      <c r="C1600" s="6">
        <v>12</v>
      </c>
      <c r="D1600" s="7">
        <v>100</v>
      </c>
      <c r="E1600" s="6" t="s">
        <v>4121</v>
      </c>
      <c r="F1600" s="6" t="s">
        <v>4508</v>
      </c>
      <c r="G1600" s="6" t="s">
        <v>25</v>
      </c>
      <c r="H1600" s="8">
        <v>310263.9</v>
      </c>
      <c r="I1600" s="8"/>
      <c r="J1600" s="6" t="s">
        <v>3138</v>
      </c>
      <c r="K1600" s="6" t="s">
        <v>394</v>
      </c>
      <c r="L1600" s="6" t="s">
        <v>4510</v>
      </c>
      <c r="M1600" s="6" t="s">
        <v>4511</v>
      </c>
      <c r="N1600" s="6" t="s">
        <v>394</v>
      </c>
      <c r="O1600" s="29">
        <f t="shared" si="36"/>
        <v>0</v>
      </c>
      <c r="Q1600" s="30" t="s">
        <v>394</v>
      </c>
      <c r="R1600" s="31">
        <v>0</v>
      </c>
    </row>
    <row r="1601" s="1" customFormat="1" ht="16.35" hidden="1" customHeight="1" spans="1:18">
      <c r="A1601" s="6" t="s">
        <v>4506</v>
      </c>
      <c r="B1601" s="6">
        <v>2019</v>
      </c>
      <c r="C1601" s="6">
        <v>12</v>
      </c>
      <c r="D1601" s="7">
        <v>100</v>
      </c>
      <c r="E1601" s="6" t="s">
        <v>4121</v>
      </c>
      <c r="F1601" s="6" t="s">
        <v>4508</v>
      </c>
      <c r="G1601" s="6" t="s">
        <v>25</v>
      </c>
      <c r="H1601" s="8">
        <v>268214</v>
      </c>
      <c r="I1601" s="8"/>
      <c r="J1601" s="6" t="s">
        <v>3140</v>
      </c>
      <c r="K1601" s="6" t="s">
        <v>525</v>
      </c>
      <c r="L1601" s="6" t="s">
        <v>4510</v>
      </c>
      <c r="M1601" s="6" t="s">
        <v>4511</v>
      </c>
      <c r="N1601" s="6" t="s">
        <v>525</v>
      </c>
      <c r="O1601" s="29">
        <f t="shared" si="36"/>
        <v>0</v>
      </c>
      <c r="Q1601" s="30" t="s">
        <v>525</v>
      </c>
      <c r="R1601" s="31">
        <v>0</v>
      </c>
    </row>
    <row r="1602" s="1" customFormat="1" ht="16.35" hidden="1" customHeight="1" spans="1:18">
      <c r="A1602" s="6" t="s">
        <v>4506</v>
      </c>
      <c r="B1602" s="6">
        <v>2019</v>
      </c>
      <c r="C1602" s="6">
        <v>12</v>
      </c>
      <c r="D1602" s="7">
        <v>100</v>
      </c>
      <c r="E1602" s="6" t="s">
        <v>4121</v>
      </c>
      <c r="F1602" s="6" t="s">
        <v>4508</v>
      </c>
      <c r="G1602" s="6" t="s">
        <v>25</v>
      </c>
      <c r="H1602" s="8">
        <v>281169</v>
      </c>
      <c r="I1602" s="8"/>
      <c r="J1602" s="6" t="s">
        <v>3142</v>
      </c>
      <c r="K1602" s="6" t="s">
        <v>537</v>
      </c>
      <c r="L1602" s="6" t="s">
        <v>4510</v>
      </c>
      <c r="M1602" s="6" t="s">
        <v>4511</v>
      </c>
      <c r="N1602" s="6" t="s">
        <v>537</v>
      </c>
      <c r="O1602" s="29">
        <f t="shared" si="36"/>
        <v>0</v>
      </c>
      <c r="Q1602" s="30" t="s">
        <v>537</v>
      </c>
      <c r="R1602" s="31">
        <v>0</v>
      </c>
    </row>
    <row r="1603" s="1" customFormat="1" ht="16.35" hidden="1" customHeight="1" spans="1:18">
      <c r="A1603" s="6" t="s">
        <v>4506</v>
      </c>
      <c r="B1603" s="6">
        <v>2019</v>
      </c>
      <c r="C1603" s="6">
        <v>12</v>
      </c>
      <c r="D1603" s="7">
        <v>100</v>
      </c>
      <c r="E1603" s="6" t="s">
        <v>4121</v>
      </c>
      <c r="F1603" s="6" t="s">
        <v>4508</v>
      </c>
      <c r="G1603" s="6" t="s">
        <v>25</v>
      </c>
      <c r="H1603" s="8">
        <v>270081</v>
      </c>
      <c r="I1603" s="8"/>
      <c r="J1603" s="6" t="s">
        <v>3144</v>
      </c>
      <c r="K1603" s="6" t="s">
        <v>611</v>
      </c>
      <c r="L1603" s="6" t="s">
        <v>4510</v>
      </c>
      <c r="M1603" s="6" t="s">
        <v>4511</v>
      </c>
      <c r="N1603" s="6" t="s">
        <v>611</v>
      </c>
      <c r="O1603" s="29">
        <f t="shared" si="36"/>
        <v>0</v>
      </c>
      <c r="Q1603" s="30" t="s">
        <v>611</v>
      </c>
      <c r="R1603" s="31">
        <v>0</v>
      </c>
    </row>
    <row r="1604" s="1" customFormat="1" ht="16.35" hidden="1" customHeight="1" spans="1:18">
      <c r="A1604" s="6" t="s">
        <v>4506</v>
      </c>
      <c r="B1604" s="6">
        <v>2019</v>
      </c>
      <c r="C1604" s="6">
        <v>12</v>
      </c>
      <c r="D1604" s="7">
        <v>100</v>
      </c>
      <c r="E1604" s="6" t="s">
        <v>4121</v>
      </c>
      <c r="F1604" s="6" t="s">
        <v>4508</v>
      </c>
      <c r="G1604" s="6" t="s">
        <v>25</v>
      </c>
      <c r="H1604" s="8">
        <v>301091</v>
      </c>
      <c r="I1604" s="8"/>
      <c r="J1604" s="6" t="s">
        <v>3146</v>
      </c>
      <c r="K1604" s="6" t="s">
        <v>479</v>
      </c>
      <c r="L1604" s="6" t="s">
        <v>4510</v>
      </c>
      <c r="M1604" s="6" t="s">
        <v>4511</v>
      </c>
      <c r="N1604" s="6" t="s">
        <v>479</v>
      </c>
      <c r="O1604" s="29">
        <f t="shared" si="36"/>
        <v>0</v>
      </c>
      <c r="Q1604" s="30" t="s">
        <v>479</v>
      </c>
      <c r="R1604" s="31">
        <v>0</v>
      </c>
    </row>
    <row r="1605" s="1" customFormat="1" ht="16.35" hidden="1" customHeight="1" spans="1:18">
      <c r="A1605" s="6" t="s">
        <v>4506</v>
      </c>
      <c r="B1605" s="6">
        <v>2019</v>
      </c>
      <c r="C1605" s="6">
        <v>12</v>
      </c>
      <c r="D1605" s="7">
        <v>100</v>
      </c>
      <c r="E1605" s="6" t="s">
        <v>4121</v>
      </c>
      <c r="F1605" s="6" t="s">
        <v>4508</v>
      </c>
      <c r="G1605" s="6" t="s">
        <v>25</v>
      </c>
      <c r="H1605" s="8">
        <v>257349</v>
      </c>
      <c r="I1605" s="8"/>
      <c r="J1605" s="6" t="s">
        <v>3150</v>
      </c>
      <c r="K1605" s="6" t="s">
        <v>609</v>
      </c>
      <c r="L1605" s="6" t="s">
        <v>4510</v>
      </c>
      <c r="M1605" s="6" t="s">
        <v>4511</v>
      </c>
      <c r="N1605" s="6" t="s">
        <v>609</v>
      </c>
      <c r="O1605" s="29">
        <f t="shared" si="36"/>
        <v>0</v>
      </c>
      <c r="Q1605" s="30" t="s">
        <v>609</v>
      </c>
      <c r="R1605" s="31">
        <v>0</v>
      </c>
    </row>
    <row r="1606" s="1" customFormat="1" ht="16.35" hidden="1" customHeight="1" spans="1:18">
      <c r="A1606" s="6" t="s">
        <v>4506</v>
      </c>
      <c r="B1606" s="6">
        <v>2019</v>
      </c>
      <c r="C1606" s="6">
        <v>12</v>
      </c>
      <c r="D1606" s="7">
        <v>100</v>
      </c>
      <c r="E1606" s="6" t="s">
        <v>4121</v>
      </c>
      <c r="F1606" s="6" t="s">
        <v>4508</v>
      </c>
      <c r="G1606" s="6" t="s">
        <v>25</v>
      </c>
      <c r="H1606" s="8">
        <v>197455</v>
      </c>
      <c r="I1606" s="8"/>
      <c r="J1606" s="6" t="s">
        <v>3152</v>
      </c>
      <c r="K1606" s="6" t="s">
        <v>150</v>
      </c>
      <c r="L1606" s="6" t="s">
        <v>4510</v>
      </c>
      <c r="M1606" s="6" t="s">
        <v>4511</v>
      </c>
      <c r="N1606" s="6" t="s">
        <v>150</v>
      </c>
      <c r="O1606" s="29">
        <f t="shared" si="36"/>
        <v>0</v>
      </c>
      <c r="Q1606" s="30" t="s">
        <v>150</v>
      </c>
      <c r="R1606" s="31">
        <v>0</v>
      </c>
    </row>
    <row r="1607" s="1" customFormat="1" ht="16.35" hidden="1" customHeight="1" spans="1:18">
      <c r="A1607" s="6" t="s">
        <v>4506</v>
      </c>
      <c r="B1607" s="6">
        <v>2019</v>
      </c>
      <c r="C1607" s="6">
        <v>12</v>
      </c>
      <c r="D1607" s="7">
        <v>100</v>
      </c>
      <c r="E1607" s="6" t="s">
        <v>4121</v>
      </c>
      <c r="F1607" s="6" t="s">
        <v>4508</v>
      </c>
      <c r="G1607" s="6" t="s">
        <v>25</v>
      </c>
      <c r="H1607" s="8">
        <v>284534</v>
      </c>
      <c r="I1607" s="8"/>
      <c r="J1607" s="6" t="s">
        <v>3154</v>
      </c>
      <c r="K1607" s="6" t="s">
        <v>144</v>
      </c>
      <c r="L1607" s="6" t="s">
        <v>4510</v>
      </c>
      <c r="M1607" s="6" t="s">
        <v>4511</v>
      </c>
      <c r="N1607" s="6" t="s">
        <v>144</v>
      </c>
      <c r="O1607" s="29">
        <f t="shared" si="36"/>
        <v>0</v>
      </c>
      <c r="Q1607" s="30" t="s">
        <v>144</v>
      </c>
      <c r="R1607" s="31">
        <v>0</v>
      </c>
    </row>
    <row r="1608" s="1" customFormat="1" ht="16.35" hidden="1" customHeight="1" spans="1:18">
      <c r="A1608" s="6" t="s">
        <v>4506</v>
      </c>
      <c r="B1608" s="6">
        <v>2019</v>
      </c>
      <c r="C1608" s="6">
        <v>12</v>
      </c>
      <c r="D1608" s="7">
        <v>100</v>
      </c>
      <c r="E1608" s="6" t="s">
        <v>4121</v>
      </c>
      <c r="F1608" s="6" t="s">
        <v>4508</v>
      </c>
      <c r="G1608" s="6" t="s">
        <v>25</v>
      </c>
      <c r="H1608" s="8">
        <v>273373</v>
      </c>
      <c r="I1608" s="8"/>
      <c r="J1608" s="6" t="s">
        <v>3117</v>
      </c>
      <c r="K1608" s="6" t="s">
        <v>872</v>
      </c>
      <c r="L1608" s="6" t="s">
        <v>4510</v>
      </c>
      <c r="M1608" s="6" t="s">
        <v>4511</v>
      </c>
      <c r="N1608" s="6" t="s">
        <v>872</v>
      </c>
      <c r="O1608" s="29">
        <f t="shared" si="36"/>
        <v>0</v>
      </c>
      <c r="Q1608" s="30" t="s">
        <v>872</v>
      </c>
      <c r="R1608" s="31">
        <v>0</v>
      </c>
    </row>
    <row r="1609" s="1" customFormat="1" ht="16.35" hidden="1" customHeight="1" spans="1:18">
      <c r="A1609" s="6" t="s">
        <v>4506</v>
      </c>
      <c r="B1609" s="6">
        <v>2019</v>
      </c>
      <c r="C1609" s="6">
        <v>12</v>
      </c>
      <c r="D1609" s="7">
        <v>100</v>
      </c>
      <c r="E1609" s="6" t="s">
        <v>4121</v>
      </c>
      <c r="F1609" s="6" t="s">
        <v>4508</v>
      </c>
      <c r="G1609" s="6" t="s">
        <v>25</v>
      </c>
      <c r="H1609" s="8">
        <v>262177</v>
      </c>
      <c r="I1609" s="8"/>
      <c r="J1609" s="6" t="s">
        <v>3156</v>
      </c>
      <c r="K1609" s="6" t="s">
        <v>148</v>
      </c>
      <c r="L1609" s="6" t="s">
        <v>4510</v>
      </c>
      <c r="M1609" s="6" t="s">
        <v>4511</v>
      </c>
      <c r="N1609" s="6" t="s">
        <v>148</v>
      </c>
      <c r="O1609" s="29">
        <f t="shared" si="36"/>
        <v>0</v>
      </c>
      <c r="Q1609" s="30" t="s">
        <v>148</v>
      </c>
      <c r="R1609" s="31">
        <v>0</v>
      </c>
    </row>
    <row r="1610" s="1" customFormat="1" ht="16.35" hidden="1" customHeight="1" spans="1:18">
      <c r="A1610" s="6" t="s">
        <v>4506</v>
      </c>
      <c r="B1610" s="6">
        <v>2019</v>
      </c>
      <c r="C1610" s="6">
        <v>12</v>
      </c>
      <c r="D1610" s="7">
        <v>100</v>
      </c>
      <c r="E1610" s="6" t="s">
        <v>4121</v>
      </c>
      <c r="F1610" s="6" t="s">
        <v>4508</v>
      </c>
      <c r="G1610" s="6" t="s">
        <v>25</v>
      </c>
      <c r="H1610" s="8">
        <v>297768</v>
      </c>
      <c r="I1610" s="8"/>
      <c r="J1610" s="6" t="s">
        <v>3158</v>
      </c>
      <c r="K1610" s="6" t="s">
        <v>56</v>
      </c>
      <c r="L1610" s="6" t="s">
        <v>4510</v>
      </c>
      <c r="M1610" s="6" t="s">
        <v>4511</v>
      </c>
      <c r="N1610" s="6" t="s">
        <v>56</v>
      </c>
      <c r="O1610" s="29">
        <f t="shared" si="36"/>
        <v>0</v>
      </c>
      <c r="Q1610" s="30" t="s">
        <v>56</v>
      </c>
      <c r="R1610" s="31">
        <v>0</v>
      </c>
    </row>
    <row r="1611" s="1" customFormat="1" ht="16.35" hidden="1" customHeight="1" spans="1:18">
      <c r="A1611" s="6" t="s">
        <v>4506</v>
      </c>
      <c r="B1611" s="6">
        <v>2019</v>
      </c>
      <c r="C1611" s="6">
        <v>12</v>
      </c>
      <c r="D1611" s="7">
        <v>100</v>
      </c>
      <c r="E1611" s="6" t="s">
        <v>4121</v>
      </c>
      <c r="F1611" s="6" t="s">
        <v>4508</v>
      </c>
      <c r="G1611" s="6" t="s">
        <v>25</v>
      </c>
      <c r="H1611" s="8">
        <v>287864</v>
      </c>
      <c r="I1611" s="8"/>
      <c r="J1611" s="6" t="s">
        <v>3161</v>
      </c>
      <c r="K1611" s="6" t="s">
        <v>834</v>
      </c>
      <c r="L1611" s="6" t="s">
        <v>4510</v>
      </c>
      <c r="M1611" s="6" t="s">
        <v>4511</v>
      </c>
      <c r="N1611" s="6" t="s">
        <v>834</v>
      </c>
      <c r="O1611" s="29">
        <f t="shared" si="36"/>
        <v>0</v>
      </c>
      <c r="Q1611" s="30" t="s">
        <v>834</v>
      </c>
      <c r="R1611" s="31">
        <v>0</v>
      </c>
    </row>
    <row r="1612" s="1" customFormat="1" ht="16.35" hidden="1" customHeight="1" spans="1:18">
      <c r="A1612" s="6" t="s">
        <v>4506</v>
      </c>
      <c r="B1612" s="6">
        <v>2019</v>
      </c>
      <c r="C1612" s="6">
        <v>12</v>
      </c>
      <c r="D1612" s="7">
        <v>100</v>
      </c>
      <c r="E1612" s="6" t="s">
        <v>4121</v>
      </c>
      <c r="F1612" s="6" t="s">
        <v>4508</v>
      </c>
      <c r="G1612" s="6" t="s">
        <v>25</v>
      </c>
      <c r="H1612" s="8">
        <v>304411</v>
      </c>
      <c r="I1612" s="8"/>
      <c r="J1612" s="6" t="s">
        <v>3167</v>
      </c>
      <c r="K1612" s="6" t="s">
        <v>114</v>
      </c>
      <c r="L1612" s="6" t="s">
        <v>4510</v>
      </c>
      <c r="M1612" s="6" t="s">
        <v>4511</v>
      </c>
      <c r="N1612" s="6" t="s">
        <v>114</v>
      </c>
      <c r="O1612" s="29">
        <f t="shared" si="36"/>
        <v>0</v>
      </c>
      <c r="Q1612" s="30" t="s">
        <v>114</v>
      </c>
      <c r="R1612" s="31">
        <v>0</v>
      </c>
    </row>
    <row r="1613" s="1" customFormat="1" ht="16.35" hidden="1" customHeight="1" spans="1:18">
      <c r="A1613" s="6" t="s">
        <v>4506</v>
      </c>
      <c r="B1613" s="6">
        <v>2019</v>
      </c>
      <c r="C1613" s="6">
        <v>12</v>
      </c>
      <c r="D1613" s="7">
        <v>100</v>
      </c>
      <c r="E1613" s="6" t="s">
        <v>4121</v>
      </c>
      <c r="F1613" s="6" t="s">
        <v>4508</v>
      </c>
      <c r="G1613" s="6" t="s">
        <v>25</v>
      </c>
      <c r="H1613" s="8">
        <v>285083</v>
      </c>
      <c r="I1613" s="8"/>
      <c r="J1613" s="6" t="s">
        <v>3170</v>
      </c>
      <c r="K1613" s="6" t="s">
        <v>100</v>
      </c>
      <c r="L1613" s="6" t="s">
        <v>4510</v>
      </c>
      <c r="M1613" s="6" t="s">
        <v>4511</v>
      </c>
      <c r="N1613" s="6" t="s">
        <v>100</v>
      </c>
      <c r="O1613" s="29">
        <f t="shared" si="36"/>
        <v>0</v>
      </c>
      <c r="Q1613" s="30" t="s">
        <v>100</v>
      </c>
      <c r="R1613" s="31">
        <v>0</v>
      </c>
    </row>
    <row r="1614" s="1" customFormat="1" ht="16.35" hidden="1" customHeight="1" spans="1:18">
      <c r="A1614" s="6" t="s">
        <v>4506</v>
      </c>
      <c r="B1614" s="6">
        <v>2019</v>
      </c>
      <c r="C1614" s="6">
        <v>12</v>
      </c>
      <c r="D1614" s="7">
        <v>100</v>
      </c>
      <c r="E1614" s="6" t="s">
        <v>4121</v>
      </c>
      <c r="F1614" s="6" t="s">
        <v>4508</v>
      </c>
      <c r="G1614" s="6" t="s">
        <v>25</v>
      </c>
      <c r="H1614" s="8">
        <v>249327</v>
      </c>
      <c r="I1614" s="8"/>
      <c r="J1614" s="6" t="s">
        <v>3172</v>
      </c>
      <c r="K1614" s="6" t="s">
        <v>146</v>
      </c>
      <c r="L1614" s="6" t="s">
        <v>4510</v>
      </c>
      <c r="M1614" s="6" t="s">
        <v>4511</v>
      </c>
      <c r="N1614" s="6" t="s">
        <v>146</v>
      </c>
      <c r="O1614" s="29">
        <f t="shared" si="36"/>
        <v>0</v>
      </c>
      <c r="Q1614" s="30" t="s">
        <v>146</v>
      </c>
      <c r="R1614" s="31">
        <v>0</v>
      </c>
    </row>
    <row r="1615" s="1" customFormat="1" ht="16.35" hidden="1" customHeight="1" spans="1:18">
      <c r="A1615" s="6" t="s">
        <v>4506</v>
      </c>
      <c r="B1615" s="6">
        <v>2019</v>
      </c>
      <c r="C1615" s="6">
        <v>12</v>
      </c>
      <c r="D1615" s="7">
        <v>100</v>
      </c>
      <c r="E1615" s="6" t="s">
        <v>4121</v>
      </c>
      <c r="F1615" s="6" t="s">
        <v>4508</v>
      </c>
      <c r="G1615" s="6" t="s">
        <v>25</v>
      </c>
      <c r="H1615" s="8">
        <v>270738</v>
      </c>
      <c r="I1615" s="8"/>
      <c r="J1615" s="6" t="s">
        <v>3577</v>
      </c>
      <c r="K1615" s="6" t="s">
        <v>67</v>
      </c>
      <c r="L1615" s="6" t="s">
        <v>4510</v>
      </c>
      <c r="M1615" s="6" t="s">
        <v>4511</v>
      </c>
      <c r="N1615" s="6" t="s">
        <v>67</v>
      </c>
      <c r="O1615" s="29">
        <f t="shared" si="36"/>
        <v>0</v>
      </c>
      <c r="Q1615" s="30" t="s">
        <v>67</v>
      </c>
      <c r="R1615" s="31">
        <v>0</v>
      </c>
    </row>
    <row r="1616" s="1" customFormat="1" ht="16.35" hidden="1" customHeight="1" spans="1:18">
      <c r="A1616" s="6" t="s">
        <v>4506</v>
      </c>
      <c r="B1616" s="6">
        <v>2019</v>
      </c>
      <c r="C1616" s="6">
        <v>12</v>
      </c>
      <c r="D1616" s="7">
        <v>100</v>
      </c>
      <c r="E1616" s="6" t="s">
        <v>4121</v>
      </c>
      <c r="F1616" s="6" t="s">
        <v>4508</v>
      </c>
      <c r="G1616" s="6" t="s">
        <v>25</v>
      </c>
      <c r="H1616" s="8">
        <v>207142</v>
      </c>
      <c r="I1616" s="8"/>
      <c r="J1616" s="6" t="s">
        <v>3177</v>
      </c>
      <c r="K1616" s="6" t="s">
        <v>152</v>
      </c>
      <c r="L1616" s="6" t="s">
        <v>4510</v>
      </c>
      <c r="M1616" s="6" t="s">
        <v>4511</v>
      </c>
      <c r="N1616" s="6" t="s">
        <v>152</v>
      </c>
      <c r="O1616" s="29">
        <f t="shared" si="36"/>
        <v>0</v>
      </c>
      <c r="Q1616" s="30" t="s">
        <v>152</v>
      </c>
      <c r="R1616" s="31">
        <v>0</v>
      </c>
    </row>
    <row r="1617" s="1" customFormat="1" ht="16.35" hidden="1" customHeight="1" spans="1:18">
      <c r="A1617" s="6" t="s">
        <v>4506</v>
      </c>
      <c r="B1617" s="6">
        <v>2019</v>
      </c>
      <c r="C1617" s="6">
        <v>12</v>
      </c>
      <c r="D1617" s="7">
        <v>100</v>
      </c>
      <c r="E1617" s="6" t="s">
        <v>4121</v>
      </c>
      <c r="F1617" s="6" t="s">
        <v>4508</v>
      </c>
      <c r="G1617" s="6" t="s">
        <v>25</v>
      </c>
      <c r="H1617" s="8">
        <v>270587</v>
      </c>
      <c r="I1617" s="8"/>
      <c r="J1617" s="6" t="s">
        <v>3179</v>
      </c>
      <c r="K1617" s="6" t="s">
        <v>104</v>
      </c>
      <c r="L1617" s="6" t="s">
        <v>4510</v>
      </c>
      <c r="M1617" s="6" t="s">
        <v>4511</v>
      </c>
      <c r="N1617" s="6" t="s">
        <v>104</v>
      </c>
      <c r="O1617" s="29">
        <f t="shared" si="36"/>
        <v>0</v>
      </c>
      <c r="Q1617" s="30" t="s">
        <v>104</v>
      </c>
      <c r="R1617" s="31">
        <v>0</v>
      </c>
    </row>
    <row r="1618" s="1" customFormat="1" ht="16.35" hidden="1" customHeight="1" spans="1:18">
      <c r="A1618" s="6" t="s">
        <v>4506</v>
      </c>
      <c r="B1618" s="6">
        <v>2019</v>
      </c>
      <c r="C1618" s="6">
        <v>12</v>
      </c>
      <c r="D1618" s="7">
        <v>100</v>
      </c>
      <c r="E1618" s="6" t="s">
        <v>4121</v>
      </c>
      <c r="F1618" s="6" t="s">
        <v>4508</v>
      </c>
      <c r="G1618" s="6" t="s">
        <v>25</v>
      </c>
      <c r="H1618" s="8">
        <v>307975</v>
      </c>
      <c r="I1618" s="8"/>
      <c r="J1618" s="6" t="s">
        <v>3181</v>
      </c>
      <c r="K1618" s="6" t="s">
        <v>94</v>
      </c>
      <c r="L1618" s="6" t="s">
        <v>4510</v>
      </c>
      <c r="M1618" s="6" t="s">
        <v>4511</v>
      </c>
      <c r="N1618" s="6" t="s">
        <v>94</v>
      </c>
      <c r="O1618" s="29">
        <f t="shared" si="36"/>
        <v>0</v>
      </c>
      <c r="Q1618" s="30" t="s">
        <v>94</v>
      </c>
      <c r="R1618" s="31">
        <v>0</v>
      </c>
    </row>
    <row r="1619" s="1" customFormat="1" ht="16.35" hidden="1" customHeight="1" spans="1:18">
      <c r="A1619" s="6" t="s">
        <v>4506</v>
      </c>
      <c r="B1619" s="6">
        <v>2019</v>
      </c>
      <c r="C1619" s="6">
        <v>12</v>
      </c>
      <c r="D1619" s="7">
        <v>100</v>
      </c>
      <c r="E1619" s="6" t="s">
        <v>4121</v>
      </c>
      <c r="F1619" s="6" t="s">
        <v>4508</v>
      </c>
      <c r="G1619" s="6" t="s">
        <v>25</v>
      </c>
      <c r="H1619" s="8">
        <v>284886</v>
      </c>
      <c r="I1619" s="8"/>
      <c r="J1619" s="6" t="s">
        <v>3184</v>
      </c>
      <c r="K1619" s="6" t="s">
        <v>509</v>
      </c>
      <c r="L1619" s="6" t="s">
        <v>4510</v>
      </c>
      <c r="M1619" s="6" t="s">
        <v>4511</v>
      </c>
      <c r="N1619" s="6" t="s">
        <v>509</v>
      </c>
      <c r="O1619" s="29">
        <f t="shared" si="36"/>
        <v>0</v>
      </c>
      <c r="Q1619" s="30" t="s">
        <v>509</v>
      </c>
      <c r="R1619" s="31">
        <v>0</v>
      </c>
    </row>
    <row r="1620" s="1" customFormat="1" ht="16.35" hidden="1" customHeight="1" spans="1:18">
      <c r="A1620" s="6" t="s">
        <v>4506</v>
      </c>
      <c r="B1620" s="6">
        <v>2019</v>
      </c>
      <c r="C1620" s="6">
        <v>12</v>
      </c>
      <c r="D1620" s="7">
        <v>100</v>
      </c>
      <c r="E1620" s="6" t="s">
        <v>4121</v>
      </c>
      <c r="F1620" s="6" t="s">
        <v>4508</v>
      </c>
      <c r="G1620" s="6" t="s">
        <v>25</v>
      </c>
      <c r="H1620" s="8">
        <v>262881</v>
      </c>
      <c r="I1620" s="8"/>
      <c r="J1620" s="6" t="s">
        <v>3188</v>
      </c>
      <c r="K1620" s="6" t="s">
        <v>58</v>
      </c>
      <c r="L1620" s="6" t="s">
        <v>4510</v>
      </c>
      <c r="M1620" s="6" t="s">
        <v>4511</v>
      </c>
      <c r="N1620" s="6" t="s">
        <v>58</v>
      </c>
      <c r="O1620" s="29">
        <f t="shared" si="36"/>
        <v>0</v>
      </c>
      <c r="Q1620" s="30" t="s">
        <v>58</v>
      </c>
      <c r="R1620" s="31">
        <v>0</v>
      </c>
    </row>
    <row r="1621" s="1" customFormat="1" ht="16.35" hidden="1" customHeight="1" spans="1:18">
      <c r="A1621" s="6" t="s">
        <v>4506</v>
      </c>
      <c r="B1621" s="6">
        <v>2019</v>
      </c>
      <c r="C1621" s="6">
        <v>12</v>
      </c>
      <c r="D1621" s="7">
        <v>100</v>
      </c>
      <c r="E1621" s="6" t="s">
        <v>4121</v>
      </c>
      <c r="F1621" s="6" t="s">
        <v>4508</v>
      </c>
      <c r="G1621" s="6" t="s">
        <v>25</v>
      </c>
      <c r="H1621" s="8">
        <v>263900</v>
      </c>
      <c r="I1621" s="8"/>
      <c r="J1621" s="6" t="s">
        <v>3190</v>
      </c>
      <c r="K1621" s="6" t="s">
        <v>852</v>
      </c>
      <c r="L1621" s="6" t="s">
        <v>4510</v>
      </c>
      <c r="M1621" s="6" t="s">
        <v>4511</v>
      </c>
      <c r="N1621" s="6" t="s">
        <v>852</v>
      </c>
      <c r="O1621" s="29">
        <f t="shared" si="36"/>
        <v>0</v>
      </c>
      <c r="Q1621" s="30" t="s">
        <v>852</v>
      </c>
      <c r="R1621" s="31">
        <v>0</v>
      </c>
    </row>
    <row r="1622" s="1" customFormat="1" ht="16.35" hidden="1" customHeight="1" spans="1:18">
      <c r="A1622" s="6" t="s">
        <v>4506</v>
      </c>
      <c r="B1622" s="6">
        <v>2019</v>
      </c>
      <c r="C1622" s="6">
        <v>12</v>
      </c>
      <c r="D1622" s="7">
        <v>100</v>
      </c>
      <c r="E1622" s="6" t="s">
        <v>4121</v>
      </c>
      <c r="F1622" s="6" t="s">
        <v>4508</v>
      </c>
      <c r="G1622" s="6" t="s">
        <v>25</v>
      </c>
      <c r="H1622" s="8">
        <v>235190</v>
      </c>
      <c r="I1622" s="8"/>
      <c r="J1622" s="6" t="s">
        <v>3192</v>
      </c>
      <c r="K1622" s="6" t="s">
        <v>90</v>
      </c>
      <c r="L1622" s="6" t="s">
        <v>4510</v>
      </c>
      <c r="M1622" s="6" t="s">
        <v>4511</v>
      </c>
      <c r="N1622" s="6" t="s">
        <v>90</v>
      </c>
      <c r="O1622" s="29">
        <f t="shared" si="36"/>
        <v>0</v>
      </c>
      <c r="Q1622" s="30" t="s">
        <v>90</v>
      </c>
      <c r="R1622" s="31">
        <v>0</v>
      </c>
    </row>
    <row r="1623" s="1" customFormat="1" ht="16.35" hidden="1" customHeight="1" spans="1:18">
      <c r="A1623" s="6" t="s">
        <v>4506</v>
      </c>
      <c r="B1623" s="6">
        <v>2019</v>
      </c>
      <c r="C1623" s="6">
        <v>12</v>
      </c>
      <c r="D1623" s="7">
        <v>100</v>
      </c>
      <c r="E1623" s="6" t="s">
        <v>4121</v>
      </c>
      <c r="F1623" s="6" t="s">
        <v>4508</v>
      </c>
      <c r="G1623" s="6" t="s">
        <v>25</v>
      </c>
      <c r="H1623" s="8">
        <v>264602</v>
      </c>
      <c r="I1623" s="8"/>
      <c r="J1623" s="6" t="s">
        <v>3195</v>
      </c>
      <c r="K1623" s="6" t="s">
        <v>810</v>
      </c>
      <c r="L1623" s="6" t="s">
        <v>4510</v>
      </c>
      <c r="M1623" s="6" t="s">
        <v>4511</v>
      </c>
      <c r="N1623" s="6" t="s">
        <v>810</v>
      </c>
      <c r="O1623" s="29">
        <f t="shared" si="36"/>
        <v>0</v>
      </c>
      <c r="Q1623" s="30" t="s">
        <v>810</v>
      </c>
      <c r="R1623" s="31">
        <v>0</v>
      </c>
    </row>
    <row r="1624" s="1" customFormat="1" ht="16.35" hidden="1" customHeight="1" spans="1:18">
      <c r="A1624" s="6" t="s">
        <v>4506</v>
      </c>
      <c r="B1624" s="6">
        <v>2019</v>
      </c>
      <c r="C1624" s="6">
        <v>12</v>
      </c>
      <c r="D1624" s="7">
        <v>100</v>
      </c>
      <c r="E1624" s="6" t="s">
        <v>4121</v>
      </c>
      <c r="F1624" s="6" t="s">
        <v>4508</v>
      </c>
      <c r="G1624" s="6" t="s">
        <v>25</v>
      </c>
      <c r="H1624" s="8">
        <v>284200</v>
      </c>
      <c r="I1624" s="8"/>
      <c r="J1624" s="6" t="s">
        <v>3197</v>
      </c>
      <c r="K1624" s="6" t="s">
        <v>878</v>
      </c>
      <c r="L1624" s="6" t="s">
        <v>4510</v>
      </c>
      <c r="M1624" s="6" t="s">
        <v>4511</v>
      </c>
      <c r="N1624" s="6" t="s">
        <v>878</v>
      </c>
      <c r="O1624" s="29">
        <f t="shared" si="36"/>
        <v>0</v>
      </c>
      <c r="Q1624" s="30" t="s">
        <v>878</v>
      </c>
      <c r="R1624" s="31">
        <v>0</v>
      </c>
    </row>
    <row r="1625" s="1" customFormat="1" ht="16.35" hidden="1" customHeight="1" spans="1:18">
      <c r="A1625" s="6" t="s">
        <v>4506</v>
      </c>
      <c r="B1625" s="6">
        <v>2019</v>
      </c>
      <c r="C1625" s="6">
        <v>12</v>
      </c>
      <c r="D1625" s="7">
        <v>100</v>
      </c>
      <c r="E1625" s="6" t="s">
        <v>4121</v>
      </c>
      <c r="F1625" s="6" t="s">
        <v>4508</v>
      </c>
      <c r="G1625" s="6" t="s">
        <v>25</v>
      </c>
      <c r="H1625" s="8">
        <v>271387</v>
      </c>
      <c r="I1625" s="8"/>
      <c r="J1625" s="6" t="s">
        <v>3199</v>
      </c>
      <c r="K1625" s="6" t="s">
        <v>824</v>
      </c>
      <c r="L1625" s="6" t="s">
        <v>4510</v>
      </c>
      <c r="M1625" s="6" t="s">
        <v>4511</v>
      </c>
      <c r="N1625" s="6" t="s">
        <v>824</v>
      </c>
      <c r="O1625" s="29">
        <f t="shared" ref="O1625:O1688" si="37">I1625*1.05</f>
        <v>0</v>
      </c>
      <c r="Q1625" s="30" t="s">
        <v>824</v>
      </c>
      <c r="R1625" s="31">
        <v>0</v>
      </c>
    </row>
    <row r="1626" s="1" customFormat="1" ht="16.35" hidden="1" customHeight="1" spans="1:18">
      <c r="A1626" s="6" t="s">
        <v>4506</v>
      </c>
      <c r="B1626" s="6">
        <v>2019</v>
      </c>
      <c r="C1626" s="6">
        <v>12</v>
      </c>
      <c r="D1626" s="7">
        <v>100</v>
      </c>
      <c r="E1626" s="6" t="s">
        <v>4121</v>
      </c>
      <c r="F1626" s="6" t="s">
        <v>4508</v>
      </c>
      <c r="G1626" s="6" t="s">
        <v>25</v>
      </c>
      <c r="H1626" s="8">
        <v>264548</v>
      </c>
      <c r="I1626" s="8"/>
      <c r="J1626" s="6" t="s">
        <v>3201</v>
      </c>
      <c r="K1626" s="6" t="s">
        <v>61</v>
      </c>
      <c r="L1626" s="6" t="s">
        <v>4510</v>
      </c>
      <c r="M1626" s="6" t="s">
        <v>4511</v>
      </c>
      <c r="N1626" s="6" t="s">
        <v>61</v>
      </c>
      <c r="O1626" s="29">
        <f t="shared" si="37"/>
        <v>0</v>
      </c>
      <c r="Q1626" s="30" t="s">
        <v>61</v>
      </c>
      <c r="R1626" s="31">
        <v>0</v>
      </c>
    </row>
    <row r="1627" s="1" customFormat="1" ht="16.35" hidden="1" customHeight="1" spans="1:18">
      <c r="A1627" s="6" t="s">
        <v>4506</v>
      </c>
      <c r="B1627" s="6">
        <v>2019</v>
      </c>
      <c r="C1627" s="6">
        <v>12</v>
      </c>
      <c r="D1627" s="7">
        <v>100</v>
      </c>
      <c r="E1627" s="6" t="s">
        <v>4121</v>
      </c>
      <c r="F1627" s="6" t="s">
        <v>4508</v>
      </c>
      <c r="G1627" s="6" t="s">
        <v>25</v>
      </c>
      <c r="H1627" s="8">
        <v>110932</v>
      </c>
      <c r="I1627" s="8"/>
      <c r="J1627" s="6" t="s">
        <v>3208</v>
      </c>
      <c r="K1627" s="6" t="s">
        <v>906</v>
      </c>
      <c r="L1627" s="6" t="s">
        <v>4510</v>
      </c>
      <c r="M1627" s="6" t="s">
        <v>4511</v>
      </c>
      <c r="N1627" s="6" t="s">
        <v>906</v>
      </c>
      <c r="O1627" s="29">
        <f t="shared" si="37"/>
        <v>0</v>
      </c>
      <c r="Q1627" s="30" t="s">
        <v>906</v>
      </c>
      <c r="R1627" s="31">
        <v>0</v>
      </c>
    </row>
    <row r="1628" s="1" customFormat="1" ht="16.35" hidden="1" customHeight="1" spans="1:18">
      <c r="A1628" s="6" t="s">
        <v>4506</v>
      </c>
      <c r="B1628" s="6">
        <v>2019</v>
      </c>
      <c r="C1628" s="6">
        <v>12</v>
      </c>
      <c r="D1628" s="7">
        <v>100</v>
      </c>
      <c r="E1628" s="6" t="s">
        <v>4121</v>
      </c>
      <c r="F1628" s="6" t="s">
        <v>4508</v>
      </c>
      <c r="G1628" s="6" t="s">
        <v>25</v>
      </c>
      <c r="H1628" s="8">
        <v>288803</v>
      </c>
      <c r="I1628" s="8"/>
      <c r="J1628" s="6" t="s">
        <v>3216</v>
      </c>
      <c r="K1628" s="6" t="s">
        <v>593</v>
      </c>
      <c r="L1628" s="6" t="s">
        <v>4510</v>
      </c>
      <c r="M1628" s="6" t="s">
        <v>4511</v>
      </c>
      <c r="N1628" s="6" t="s">
        <v>593</v>
      </c>
      <c r="O1628" s="29">
        <f t="shared" si="37"/>
        <v>0</v>
      </c>
      <c r="Q1628" s="30" t="s">
        <v>593</v>
      </c>
      <c r="R1628" s="31">
        <v>0</v>
      </c>
    </row>
    <row r="1629" s="1" customFormat="1" ht="16.35" hidden="1" customHeight="1" spans="1:18">
      <c r="A1629" s="6" t="s">
        <v>4506</v>
      </c>
      <c r="B1629" s="6">
        <v>2019</v>
      </c>
      <c r="C1629" s="6">
        <v>12</v>
      </c>
      <c r="D1629" s="7">
        <v>100</v>
      </c>
      <c r="E1629" s="6" t="s">
        <v>4121</v>
      </c>
      <c r="F1629" s="6" t="s">
        <v>4508</v>
      </c>
      <c r="G1629" s="6" t="s">
        <v>25</v>
      </c>
      <c r="H1629" s="8">
        <v>197104</v>
      </c>
      <c r="I1629" s="8"/>
      <c r="J1629" s="6" t="s">
        <v>3225</v>
      </c>
      <c r="K1629" s="6" t="s">
        <v>691</v>
      </c>
      <c r="L1629" s="6" t="s">
        <v>4510</v>
      </c>
      <c r="M1629" s="6" t="s">
        <v>4511</v>
      </c>
      <c r="N1629" s="6" t="s">
        <v>691</v>
      </c>
      <c r="O1629" s="29">
        <f t="shared" si="37"/>
        <v>0</v>
      </c>
      <c r="Q1629" s="30" t="s">
        <v>691</v>
      </c>
      <c r="R1629" s="31">
        <v>0</v>
      </c>
    </row>
    <row r="1630" s="1" customFormat="1" ht="16.35" hidden="1" customHeight="1" spans="1:18">
      <c r="A1630" s="6" t="s">
        <v>4506</v>
      </c>
      <c r="B1630" s="6">
        <v>2019</v>
      </c>
      <c r="C1630" s="6">
        <v>12</v>
      </c>
      <c r="D1630" s="7">
        <v>100</v>
      </c>
      <c r="E1630" s="6" t="s">
        <v>4121</v>
      </c>
      <c r="F1630" s="6" t="s">
        <v>4508</v>
      </c>
      <c r="G1630" s="6" t="s">
        <v>25</v>
      </c>
      <c r="H1630" s="8">
        <v>154030</v>
      </c>
      <c r="I1630" s="8"/>
      <c r="J1630" s="6" t="s">
        <v>3227</v>
      </c>
      <c r="K1630" s="6" t="s">
        <v>895</v>
      </c>
      <c r="L1630" s="6" t="s">
        <v>4510</v>
      </c>
      <c r="M1630" s="6" t="s">
        <v>4511</v>
      </c>
      <c r="N1630" s="6" t="s">
        <v>895</v>
      </c>
      <c r="O1630" s="29">
        <f t="shared" si="37"/>
        <v>0</v>
      </c>
      <c r="Q1630" s="30" t="s">
        <v>895</v>
      </c>
      <c r="R1630" s="31">
        <v>0</v>
      </c>
    </row>
    <row r="1631" s="1" customFormat="1" ht="16.35" hidden="1" customHeight="1" spans="1:18">
      <c r="A1631" s="6" t="s">
        <v>4506</v>
      </c>
      <c r="B1631" s="6">
        <v>2019</v>
      </c>
      <c r="C1631" s="6">
        <v>12</v>
      </c>
      <c r="D1631" s="7">
        <v>100</v>
      </c>
      <c r="E1631" s="6" t="s">
        <v>4121</v>
      </c>
      <c r="F1631" s="6" t="s">
        <v>4508</v>
      </c>
      <c r="G1631" s="6" t="s">
        <v>25</v>
      </c>
      <c r="H1631" s="8">
        <v>152381</v>
      </c>
      <c r="I1631" s="8"/>
      <c r="J1631" s="6" t="s">
        <v>3230</v>
      </c>
      <c r="K1631" s="6" t="s">
        <v>322</v>
      </c>
      <c r="L1631" s="6" t="s">
        <v>4510</v>
      </c>
      <c r="M1631" s="6" t="s">
        <v>4511</v>
      </c>
      <c r="N1631" s="6" t="s">
        <v>322</v>
      </c>
      <c r="O1631" s="29">
        <f t="shared" si="37"/>
        <v>0</v>
      </c>
      <c r="Q1631" s="30" t="s">
        <v>322</v>
      </c>
      <c r="R1631" s="31">
        <v>0</v>
      </c>
    </row>
    <row r="1632" s="1" customFormat="1" ht="16.35" hidden="1" customHeight="1" spans="1:18">
      <c r="A1632" s="6" t="s">
        <v>4506</v>
      </c>
      <c r="B1632" s="6">
        <v>2019</v>
      </c>
      <c r="C1632" s="6">
        <v>12</v>
      </c>
      <c r="D1632" s="7">
        <v>100</v>
      </c>
      <c r="E1632" s="6" t="s">
        <v>4121</v>
      </c>
      <c r="F1632" s="6" t="s">
        <v>4508</v>
      </c>
      <c r="G1632" s="6" t="s">
        <v>25</v>
      </c>
      <c r="H1632" s="8">
        <v>266880</v>
      </c>
      <c r="I1632" s="8"/>
      <c r="J1632" s="6" t="s">
        <v>3234</v>
      </c>
      <c r="K1632" s="6" t="s">
        <v>545</v>
      </c>
      <c r="L1632" s="6" t="s">
        <v>4510</v>
      </c>
      <c r="M1632" s="6" t="s">
        <v>4511</v>
      </c>
      <c r="N1632" s="6" t="s">
        <v>545</v>
      </c>
      <c r="O1632" s="29">
        <f t="shared" si="37"/>
        <v>0</v>
      </c>
      <c r="Q1632" s="30" t="s">
        <v>545</v>
      </c>
      <c r="R1632" s="31">
        <v>0</v>
      </c>
    </row>
    <row r="1633" s="1" customFormat="1" ht="16.35" hidden="1" customHeight="1" spans="1:18">
      <c r="A1633" s="6" t="s">
        <v>4506</v>
      </c>
      <c r="B1633" s="6">
        <v>2019</v>
      </c>
      <c r="C1633" s="6">
        <v>12</v>
      </c>
      <c r="D1633" s="7">
        <v>100</v>
      </c>
      <c r="E1633" s="6" t="s">
        <v>4121</v>
      </c>
      <c r="F1633" s="6" t="s">
        <v>4508</v>
      </c>
      <c r="G1633" s="6" t="s">
        <v>25</v>
      </c>
      <c r="H1633" s="8">
        <v>179166</v>
      </c>
      <c r="I1633" s="8"/>
      <c r="J1633" s="6" t="s">
        <v>3239</v>
      </c>
      <c r="K1633" s="6" t="s">
        <v>695</v>
      </c>
      <c r="L1633" s="6" t="s">
        <v>4510</v>
      </c>
      <c r="M1633" s="6" t="s">
        <v>4511</v>
      </c>
      <c r="N1633" s="6" t="s">
        <v>695</v>
      </c>
      <c r="O1633" s="29">
        <f t="shared" si="37"/>
        <v>0</v>
      </c>
      <c r="Q1633" s="30" t="s">
        <v>695</v>
      </c>
      <c r="R1633" s="31">
        <v>0</v>
      </c>
    </row>
    <row r="1634" s="1" customFormat="1" ht="16.35" hidden="1" customHeight="1" spans="1:18">
      <c r="A1634" s="6" t="s">
        <v>4506</v>
      </c>
      <c r="B1634" s="6">
        <v>2019</v>
      </c>
      <c r="C1634" s="6">
        <v>12</v>
      </c>
      <c r="D1634" s="7">
        <v>100</v>
      </c>
      <c r="E1634" s="6" t="s">
        <v>4121</v>
      </c>
      <c r="F1634" s="6" t="s">
        <v>4508</v>
      </c>
      <c r="G1634" s="6" t="s">
        <v>25</v>
      </c>
      <c r="H1634" s="8">
        <v>242357</v>
      </c>
      <c r="I1634" s="8"/>
      <c r="J1634" s="6" t="s">
        <v>3277</v>
      </c>
      <c r="K1634" s="6" t="s">
        <v>886</v>
      </c>
      <c r="L1634" s="6" t="s">
        <v>4510</v>
      </c>
      <c r="M1634" s="6" t="s">
        <v>4511</v>
      </c>
      <c r="N1634" s="6" t="s">
        <v>886</v>
      </c>
      <c r="O1634" s="29">
        <f t="shared" si="37"/>
        <v>0</v>
      </c>
      <c r="Q1634" s="30" t="s">
        <v>886</v>
      </c>
      <c r="R1634" s="31">
        <v>0</v>
      </c>
    </row>
    <row r="1635" s="1" customFormat="1" ht="16.35" hidden="1" customHeight="1" spans="1:18">
      <c r="A1635" s="6" t="s">
        <v>4506</v>
      </c>
      <c r="B1635" s="6">
        <v>2019</v>
      </c>
      <c r="C1635" s="6">
        <v>12</v>
      </c>
      <c r="D1635" s="7">
        <v>100</v>
      </c>
      <c r="E1635" s="6" t="s">
        <v>4121</v>
      </c>
      <c r="F1635" s="6" t="s">
        <v>4508</v>
      </c>
      <c r="G1635" s="6" t="s">
        <v>25</v>
      </c>
      <c r="H1635" s="8">
        <v>289511</v>
      </c>
      <c r="I1635" s="8"/>
      <c r="J1635" s="6" t="s">
        <v>3281</v>
      </c>
      <c r="K1635" s="6" t="s">
        <v>449</v>
      </c>
      <c r="L1635" s="6" t="s">
        <v>4510</v>
      </c>
      <c r="M1635" s="6" t="s">
        <v>4511</v>
      </c>
      <c r="N1635" s="6" t="s">
        <v>449</v>
      </c>
      <c r="O1635" s="29">
        <f t="shared" si="37"/>
        <v>0</v>
      </c>
      <c r="Q1635" s="30" t="s">
        <v>449</v>
      </c>
      <c r="R1635" s="31">
        <v>0</v>
      </c>
    </row>
    <row r="1636" s="1" customFormat="1" ht="16.35" hidden="1" customHeight="1" spans="1:18">
      <c r="A1636" s="6" t="s">
        <v>4506</v>
      </c>
      <c r="B1636" s="6">
        <v>2019</v>
      </c>
      <c r="C1636" s="6">
        <v>12</v>
      </c>
      <c r="D1636" s="7">
        <v>100</v>
      </c>
      <c r="E1636" s="6" t="s">
        <v>4121</v>
      </c>
      <c r="F1636" s="6" t="s">
        <v>4508</v>
      </c>
      <c r="G1636" s="6" t="s">
        <v>25</v>
      </c>
      <c r="H1636" s="8">
        <v>167102</v>
      </c>
      <c r="I1636" s="8"/>
      <c r="J1636" s="6" t="s">
        <v>3283</v>
      </c>
      <c r="K1636" s="6" t="s">
        <v>709</v>
      </c>
      <c r="L1636" s="6" t="s">
        <v>4510</v>
      </c>
      <c r="M1636" s="6" t="s">
        <v>4511</v>
      </c>
      <c r="N1636" s="6" t="s">
        <v>709</v>
      </c>
      <c r="O1636" s="29">
        <f t="shared" si="37"/>
        <v>0</v>
      </c>
      <c r="Q1636" s="30" t="s">
        <v>709</v>
      </c>
      <c r="R1636" s="31">
        <v>0</v>
      </c>
    </row>
    <row r="1637" s="1" customFormat="1" ht="16.35" hidden="1" customHeight="1" spans="1:18">
      <c r="A1637" s="6" t="s">
        <v>4506</v>
      </c>
      <c r="B1637" s="6">
        <v>2019</v>
      </c>
      <c r="C1637" s="6">
        <v>12</v>
      </c>
      <c r="D1637" s="7">
        <v>100</v>
      </c>
      <c r="E1637" s="6" t="s">
        <v>4121</v>
      </c>
      <c r="F1637" s="6" t="s">
        <v>4508</v>
      </c>
      <c r="G1637" s="6" t="s">
        <v>25</v>
      </c>
      <c r="H1637" s="8">
        <v>237625</v>
      </c>
      <c r="I1637" s="8"/>
      <c r="J1637" s="6" t="s">
        <v>3174</v>
      </c>
      <c r="K1637" s="6" t="s">
        <v>844</v>
      </c>
      <c r="L1637" s="6" t="s">
        <v>4510</v>
      </c>
      <c r="M1637" s="6" t="s">
        <v>4511</v>
      </c>
      <c r="N1637" s="6" t="s">
        <v>844</v>
      </c>
      <c r="O1637" s="29">
        <f t="shared" si="37"/>
        <v>0</v>
      </c>
      <c r="Q1637" s="30" t="s">
        <v>844</v>
      </c>
      <c r="R1637" s="31">
        <v>0</v>
      </c>
    </row>
    <row r="1638" s="1" customFormat="1" ht="16.35" hidden="1" customHeight="1" spans="1:18">
      <c r="A1638" s="6" t="s">
        <v>4506</v>
      </c>
      <c r="B1638" s="6">
        <v>2019</v>
      </c>
      <c r="C1638" s="6">
        <v>12</v>
      </c>
      <c r="D1638" s="7">
        <v>100</v>
      </c>
      <c r="E1638" s="6" t="s">
        <v>4121</v>
      </c>
      <c r="F1638" s="6" t="s">
        <v>4508</v>
      </c>
      <c r="G1638" s="6" t="s">
        <v>25</v>
      </c>
      <c r="H1638" s="8">
        <v>275264</v>
      </c>
      <c r="I1638" s="8"/>
      <c r="J1638" s="6" t="s">
        <v>3292</v>
      </c>
      <c r="K1638" s="6" t="s">
        <v>816</v>
      </c>
      <c r="L1638" s="6" t="s">
        <v>4510</v>
      </c>
      <c r="M1638" s="6" t="s">
        <v>4511</v>
      </c>
      <c r="N1638" s="6" t="s">
        <v>816</v>
      </c>
      <c r="O1638" s="29">
        <f t="shared" si="37"/>
        <v>0</v>
      </c>
      <c r="Q1638" s="30" t="s">
        <v>816</v>
      </c>
      <c r="R1638" s="31">
        <v>0</v>
      </c>
    </row>
    <row r="1639" s="1" customFormat="1" ht="16.35" hidden="1" customHeight="1" spans="1:18">
      <c r="A1639" s="6" t="s">
        <v>4506</v>
      </c>
      <c r="B1639" s="6">
        <v>2019</v>
      </c>
      <c r="C1639" s="6">
        <v>12</v>
      </c>
      <c r="D1639" s="7">
        <v>100</v>
      </c>
      <c r="E1639" s="6" t="s">
        <v>4121</v>
      </c>
      <c r="F1639" s="6" t="s">
        <v>4508</v>
      </c>
      <c r="G1639" s="6" t="s">
        <v>25</v>
      </c>
      <c r="H1639" s="8">
        <v>301583</v>
      </c>
      <c r="I1639" s="8"/>
      <c r="J1639" s="6" t="s">
        <v>3285</v>
      </c>
      <c r="K1639" s="6" t="s">
        <v>134</v>
      </c>
      <c r="L1639" s="6" t="s">
        <v>4510</v>
      </c>
      <c r="M1639" s="6" t="s">
        <v>4511</v>
      </c>
      <c r="N1639" s="6" t="s">
        <v>134</v>
      </c>
      <c r="O1639" s="29">
        <f t="shared" si="37"/>
        <v>0</v>
      </c>
      <c r="Q1639" s="30" t="s">
        <v>134</v>
      </c>
      <c r="R1639" s="31">
        <v>0</v>
      </c>
    </row>
    <row r="1640" s="1" customFormat="1" ht="16.35" hidden="1" customHeight="1" spans="1:18">
      <c r="A1640" s="6" t="s">
        <v>4506</v>
      </c>
      <c r="B1640" s="6">
        <v>2019</v>
      </c>
      <c r="C1640" s="6">
        <v>12</v>
      </c>
      <c r="D1640" s="7">
        <v>100</v>
      </c>
      <c r="E1640" s="6" t="s">
        <v>4121</v>
      </c>
      <c r="F1640" s="6" t="s">
        <v>4508</v>
      </c>
      <c r="G1640" s="6" t="s">
        <v>25</v>
      </c>
      <c r="H1640" s="8">
        <v>257519</v>
      </c>
      <c r="I1640" s="8"/>
      <c r="J1640" s="6" t="s">
        <v>3303</v>
      </c>
      <c r="K1640" s="6" t="s">
        <v>92</v>
      </c>
      <c r="L1640" s="6" t="s">
        <v>4510</v>
      </c>
      <c r="M1640" s="6" t="s">
        <v>4511</v>
      </c>
      <c r="N1640" s="6" t="s">
        <v>92</v>
      </c>
      <c r="O1640" s="29">
        <f t="shared" si="37"/>
        <v>0</v>
      </c>
      <c r="Q1640" s="30" t="s">
        <v>92</v>
      </c>
      <c r="R1640" s="31">
        <v>0</v>
      </c>
    </row>
    <row r="1641" s="1" customFormat="1" ht="16.35" hidden="1" customHeight="1" spans="1:18">
      <c r="A1641" s="6" t="s">
        <v>4506</v>
      </c>
      <c r="B1641" s="6">
        <v>2019</v>
      </c>
      <c r="C1641" s="6">
        <v>12</v>
      </c>
      <c r="D1641" s="7">
        <v>100</v>
      </c>
      <c r="E1641" s="6" t="s">
        <v>4121</v>
      </c>
      <c r="F1641" s="6" t="s">
        <v>4508</v>
      </c>
      <c r="G1641" s="6" t="s">
        <v>25</v>
      </c>
      <c r="H1641" s="8">
        <v>291360</v>
      </c>
      <c r="I1641" s="8"/>
      <c r="J1641" s="6" t="s">
        <v>3308</v>
      </c>
      <c r="K1641" s="6" t="s">
        <v>473</v>
      </c>
      <c r="L1641" s="6" t="s">
        <v>4510</v>
      </c>
      <c r="M1641" s="6" t="s">
        <v>4511</v>
      </c>
      <c r="N1641" s="6" t="s">
        <v>473</v>
      </c>
      <c r="O1641" s="29">
        <f t="shared" si="37"/>
        <v>0</v>
      </c>
      <c r="Q1641" s="30" t="s">
        <v>473</v>
      </c>
      <c r="R1641" s="31">
        <v>0</v>
      </c>
    </row>
    <row r="1642" s="1" customFormat="1" ht="16.35" hidden="1" customHeight="1" spans="1:18">
      <c r="A1642" s="6" t="s">
        <v>4506</v>
      </c>
      <c r="B1642" s="6">
        <v>2019</v>
      </c>
      <c r="C1642" s="6">
        <v>12</v>
      </c>
      <c r="D1642" s="7">
        <v>100</v>
      </c>
      <c r="E1642" s="6" t="s">
        <v>4121</v>
      </c>
      <c r="F1642" s="6" t="s">
        <v>4508</v>
      </c>
      <c r="G1642" s="6" t="s">
        <v>25</v>
      </c>
      <c r="H1642" s="8">
        <v>271173</v>
      </c>
      <c r="I1642" s="8"/>
      <c r="J1642" s="6" t="s">
        <v>3310</v>
      </c>
      <c r="K1642" s="6" t="s">
        <v>102</v>
      </c>
      <c r="L1642" s="6" t="s">
        <v>4510</v>
      </c>
      <c r="M1642" s="6" t="s">
        <v>4511</v>
      </c>
      <c r="N1642" s="6" t="s">
        <v>102</v>
      </c>
      <c r="O1642" s="29">
        <f t="shared" si="37"/>
        <v>0</v>
      </c>
      <c r="Q1642" s="30" t="s">
        <v>102</v>
      </c>
      <c r="R1642" s="31">
        <v>0</v>
      </c>
    </row>
    <row r="1643" s="1" customFormat="1" ht="16.35" hidden="1" customHeight="1" spans="1:18">
      <c r="A1643" s="6" t="s">
        <v>4506</v>
      </c>
      <c r="B1643" s="6">
        <v>2019</v>
      </c>
      <c r="C1643" s="6">
        <v>12</v>
      </c>
      <c r="D1643" s="7">
        <v>100</v>
      </c>
      <c r="E1643" s="6" t="s">
        <v>4121</v>
      </c>
      <c r="F1643" s="6" t="s">
        <v>4508</v>
      </c>
      <c r="G1643" s="6" t="s">
        <v>25</v>
      </c>
      <c r="H1643" s="8">
        <v>273360</v>
      </c>
      <c r="I1643" s="8"/>
      <c r="J1643" s="6" t="s">
        <v>3312</v>
      </c>
      <c r="K1643" s="6" t="s">
        <v>78</v>
      </c>
      <c r="L1643" s="6" t="s">
        <v>4510</v>
      </c>
      <c r="M1643" s="6" t="s">
        <v>4511</v>
      </c>
      <c r="N1643" s="6" t="s">
        <v>78</v>
      </c>
      <c r="O1643" s="29">
        <f t="shared" si="37"/>
        <v>0</v>
      </c>
      <c r="Q1643" s="30" t="s">
        <v>78</v>
      </c>
      <c r="R1643" s="31">
        <v>0</v>
      </c>
    </row>
    <row r="1644" s="1" customFormat="1" ht="16.35" hidden="1" customHeight="1" spans="1:18">
      <c r="A1644" s="6" t="s">
        <v>4506</v>
      </c>
      <c r="B1644" s="6">
        <v>2019</v>
      </c>
      <c r="C1644" s="6">
        <v>12</v>
      </c>
      <c r="D1644" s="7">
        <v>100</v>
      </c>
      <c r="E1644" s="6" t="s">
        <v>4121</v>
      </c>
      <c r="F1644" s="6" t="s">
        <v>4508</v>
      </c>
      <c r="G1644" s="6" t="s">
        <v>25</v>
      </c>
      <c r="H1644" s="8">
        <v>198084</v>
      </c>
      <c r="I1644" s="8"/>
      <c r="J1644" s="6" t="s">
        <v>3314</v>
      </c>
      <c r="K1644" s="6" t="s">
        <v>130</v>
      </c>
      <c r="L1644" s="6" t="s">
        <v>4510</v>
      </c>
      <c r="M1644" s="6" t="s">
        <v>4511</v>
      </c>
      <c r="N1644" s="6" t="s">
        <v>130</v>
      </c>
      <c r="O1644" s="29">
        <f t="shared" si="37"/>
        <v>0</v>
      </c>
      <c r="Q1644" s="30" t="s">
        <v>130</v>
      </c>
      <c r="R1644" s="31">
        <v>0</v>
      </c>
    </row>
    <row r="1645" s="1" customFormat="1" ht="16.35" hidden="1" customHeight="1" spans="1:18">
      <c r="A1645" s="6" t="s">
        <v>4506</v>
      </c>
      <c r="B1645" s="6">
        <v>2019</v>
      </c>
      <c r="C1645" s="6">
        <v>12</v>
      </c>
      <c r="D1645" s="7">
        <v>100</v>
      </c>
      <c r="E1645" s="6" t="s">
        <v>4121</v>
      </c>
      <c r="F1645" s="6" t="s">
        <v>4508</v>
      </c>
      <c r="G1645" s="6" t="s">
        <v>25</v>
      </c>
      <c r="H1645" s="8">
        <v>280195</v>
      </c>
      <c r="I1645" s="8"/>
      <c r="J1645" s="6" t="s">
        <v>3316</v>
      </c>
      <c r="K1645" s="6" t="s">
        <v>73</v>
      </c>
      <c r="L1645" s="6" t="s">
        <v>4510</v>
      </c>
      <c r="M1645" s="6" t="s">
        <v>4511</v>
      </c>
      <c r="N1645" s="6" t="s">
        <v>73</v>
      </c>
      <c r="O1645" s="29">
        <f t="shared" si="37"/>
        <v>0</v>
      </c>
      <c r="Q1645" s="30" t="s">
        <v>73</v>
      </c>
      <c r="R1645" s="31">
        <v>0</v>
      </c>
    </row>
    <row r="1646" s="1" customFormat="1" ht="16.35" hidden="1" customHeight="1" spans="1:18">
      <c r="A1646" s="6" t="s">
        <v>4506</v>
      </c>
      <c r="B1646" s="6">
        <v>2019</v>
      </c>
      <c r="C1646" s="6">
        <v>12</v>
      </c>
      <c r="D1646" s="7">
        <v>100</v>
      </c>
      <c r="E1646" s="6" t="s">
        <v>4121</v>
      </c>
      <c r="F1646" s="6" t="s">
        <v>4508</v>
      </c>
      <c r="G1646" s="6" t="s">
        <v>25</v>
      </c>
      <c r="H1646" s="8">
        <v>285587</v>
      </c>
      <c r="I1646" s="8"/>
      <c r="J1646" s="6" t="s">
        <v>3323</v>
      </c>
      <c r="K1646" s="6" t="s">
        <v>630</v>
      </c>
      <c r="L1646" s="6" t="s">
        <v>4510</v>
      </c>
      <c r="M1646" s="6" t="s">
        <v>4511</v>
      </c>
      <c r="N1646" s="6" t="s">
        <v>630</v>
      </c>
      <c r="O1646" s="29">
        <f t="shared" si="37"/>
        <v>0</v>
      </c>
      <c r="Q1646" s="30" t="s">
        <v>630</v>
      </c>
      <c r="R1646" s="31">
        <v>0</v>
      </c>
    </row>
    <row r="1647" s="1" customFormat="1" ht="16.35" hidden="1" customHeight="1" spans="1:18">
      <c r="A1647" s="6" t="s">
        <v>4506</v>
      </c>
      <c r="B1647" s="6">
        <v>2019</v>
      </c>
      <c r="C1647" s="6">
        <v>12</v>
      </c>
      <c r="D1647" s="7">
        <v>100</v>
      </c>
      <c r="E1647" s="6" t="s">
        <v>4121</v>
      </c>
      <c r="F1647" s="6" t="s">
        <v>4508</v>
      </c>
      <c r="G1647" s="6" t="s">
        <v>25</v>
      </c>
      <c r="H1647" s="8">
        <v>198084</v>
      </c>
      <c r="I1647" s="8"/>
      <c r="J1647" s="6" t="s">
        <v>3325</v>
      </c>
      <c r="K1647" s="6" t="s">
        <v>132</v>
      </c>
      <c r="L1647" s="6" t="s">
        <v>4510</v>
      </c>
      <c r="M1647" s="6" t="s">
        <v>4511</v>
      </c>
      <c r="N1647" s="6" t="s">
        <v>132</v>
      </c>
      <c r="O1647" s="29">
        <f t="shared" si="37"/>
        <v>0</v>
      </c>
      <c r="Q1647" s="30" t="s">
        <v>132</v>
      </c>
      <c r="R1647" s="31">
        <v>0</v>
      </c>
    </row>
    <row r="1648" s="1" customFormat="1" ht="16.35" hidden="1" customHeight="1" spans="1:18">
      <c r="A1648" s="6" t="s">
        <v>4506</v>
      </c>
      <c r="B1648" s="6">
        <v>2019</v>
      </c>
      <c r="C1648" s="6">
        <v>12</v>
      </c>
      <c r="D1648" s="7">
        <v>100</v>
      </c>
      <c r="E1648" s="6" t="s">
        <v>4121</v>
      </c>
      <c r="F1648" s="6" t="s">
        <v>4508</v>
      </c>
      <c r="G1648" s="6" t="s">
        <v>25</v>
      </c>
      <c r="H1648" s="8">
        <v>261608</v>
      </c>
      <c r="I1648" s="8"/>
      <c r="J1648" s="6" t="s">
        <v>3327</v>
      </c>
      <c r="K1648" s="6" t="s">
        <v>51</v>
      </c>
      <c r="L1648" s="6" t="s">
        <v>4510</v>
      </c>
      <c r="M1648" s="6" t="s">
        <v>4511</v>
      </c>
      <c r="N1648" s="6" t="s">
        <v>51</v>
      </c>
      <c r="O1648" s="29">
        <f t="shared" si="37"/>
        <v>0</v>
      </c>
      <c r="Q1648" s="30" t="s">
        <v>51</v>
      </c>
      <c r="R1648" s="31">
        <v>0</v>
      </c>
    </row>
    <row r="1649" s="1" customFormat="1" ht="16.35" hidden="1" customHeight="1" spans="1:18">
      <c r="A1649" s="6" t="s">
        <v>4506</v>
      </c>
      <c r="B1649" s="6">
        <v>2019</v>
      </c>
      <c r="C1649" s="6">
        <v>12</v>
      </c>
      <c r="D1649" s="7">
        <v>100</v>
      </c>
      <c r="E1649" s="6" t="s">
        <v>4121</v>
      </c>
      <c r="F1649" s="6" t="s">
        <v>4508</v>
      </c>
      <c r="G1649" s="6" t="s">
        <v>25</v>
      </c>
      <c r="H1649" s="8">
        <v>324165</v>
      </c>
      <c r="I1649" s="8"/>
      <c r="J1649" s="6" t="s">
        <v>3332</v>
      </c>
      <c r="K1649" s="6" t="s">
        <v>136</v>
      </c>
      <c r="L1649" s="6" t="s">
        <v>4510</v>
      </c>
      <c r="M1649" s="6" t="s">
        <v>4511</v>
      </c>
      <c r="N1649" s="6" t="s">
        <v>136</v>
      </c>
      <c r="O1649" s="29">
        <f t="shared" si="37"/>
        <v>0</v>
      </c>
      <c r="Q1649" s="30" t="s">
        <v>136</v>
      </c>
      <c r="R1649" s="31">
        <v>0</v>
      </c>
    </row>
    <row r="1650" s="1" customFormat="1" ht="16.35" hidden="1" customHeight="1" spans="1:18">
      <c r="A1650" s="6" t="s">
        <v>4506</v>
      </c>
      <c r="B1650" s="6">
        <v>2019</v>
      </c>
      <c r="C1650" s="6">
        <v>12</v>
      </c>
      <c r="D1650" s="7">
        <v>100</v>
      </c>
      <c r="E1650" s="6" t="s">
        <v>4121</v>
      </c>
      <c r="F1650" s="6" t="s">
        <v>4508</v>
      </c>
      <c r="G1650" s="6" t="s">
        <v>25</v>
      </c>
      <c r="H1650" s="8">
        <v>304471</v>
      </c>
      <c r="I1650" s="8"/>
      <c r="J1650" s="6" t="s">
        <v>3240</v>
      </c>
      <c r="K1650" s="6" t="s">
        <v>120</v>
      </c>
      <c r="L1650" s="6" t="s">
        <v>4510</v>
      </c>
      <c r="M1650" s="6" t="s">
        <v>4511</v>
      </c>
      <c r="N1650" s="6" t="s">
        <v>120</v>
      </c>
      <c r="O1650" s="29">
        <f t="shared" si="37"/>
        <v>0</v>
      </c>
      <c r="Q1650" s="30" t="s">
        <v>120</v>
      </c>
      <c r="R1650" s="31">
        <v>0</v>
      </c>
    </row>
    <row r="1651" s="1" customFormat="1" ht="16.35" hidden="1" customHeight="1" spans="1:18">
      <c r="A1651" s="6" t="s">
        <v>4506</v>
      </c>
      <c r="B1651" s="6">
        <v>2019</v>
      </c>
      <c r="C1651" s="6">
        <v>12</v>
      </c>
      <c r="D1651" s="7">
        <v>100</v>
      </c>
      <c r="E1651" s="6" t="s">
        <v>4121</v>
      </c>
      <c r="F1651" s="6" t="s">
        <v>4508</v>
      </c>
      <c r="G1651" s="6" t="s">
        <v>25</v>
      </c>
      <c r="H1651" s="8">
        <v>101760</v>
      </c>
      <c r="I1651" s="8"/>
      <c r="J1651" s="6" t="s">
        <v>3344</v>
      </c>
      <c r="K1651" s="6" t="s">
        <v>392</v>
      </c>
      <c r="L1651" s="6" t="s">
        <v>4510</v>
      </c>
      <c r="M1651" s="6" t="s">
        <v>4511</v>
      </c>
      <c r="N1651" s="6" t="s">
        <v>392</v>
      </c>
      <c r="O1651" s="29">
        <f t="shared" si="37"/>
        <v>0</v>
      </c>
      <c r="Q1651" s="30" t="s">
        <v>392</v>
      </c>
      <c r="R1651" s="31">
        <v>0</v>
      </c>
    </row>
    <row r="1652" s="1" customFormat="1" ht="16.35" hidden="1" customHeight="1" spans="1:18">
      <c r="A1652" s="6" t="s">
        <v>4506</v>
      </c>
      <c r="B1652" s="6">
        <v>2019</v>
      </c>
      <c r="C1652" s="6">
        <v>12</v>
      </c>
      <c r="D1652" s="7">
        <v>100</v>
      </c>
      <c r="E1652" s="6" t="s">
        <v>4121</v>
      </c>
      <c r="F1652" s="6" t="s">
        <v>4508</v>
      </c>
      <c r="G1652" s="6" t="s">
        <v>25</v>
      </c>
      <c r="H1652" s="8">
        <v>267488</v>
      </c>
      <c r="I1652" s="8"/>
      <c r="J1652" s="6" t="s">
        <v>3348</v>
      </c>
      <c r="K1652" s="6" t="s">
        <v>65</v>
      </c>
      <c r="L1652" s="6" t="s">
        <v>4510</v>
      </c>
      <c r="M1652" s="6" t="s">
        <v>4511</v>
      </c>
      <c r="N1652" s="6" t="s">
        <v>65</v>
      </c>
      <c r="O1652" s="29">
        <f t="shared" si="37"/>
        <v>0</v>
      </c>
      <c r="Q1652" s="30" t="s">
        <v>65</v>
      </c>
      <c r="R1652" s="31">
        <v>0</v>
      </c>
    </row>
    <row r="1653" s="1" customFormat="1" ht="16.35" hidden="1" customHeight="1" spans="1:18">
      <c r="A1653" s="6" t="s">
        <v>4506</v>
      </c>
      <c r="B1653" s="6">
        <v>2019</v>
      </c>
      <c r="C1653" s="6">
        <v>12</v>
      </c>
      <c r="D1653" s="7">
        <v>100</v>
      </c>
      <c r="E1653" s="6" t="s">
        <v>4121</v>
      </c>
      <c r="F1653" s="6" t="s">
        <v>4508</v>
      </c>
      <c r="G1653" s="6" t="s">
        <v>25</v>
      </c>
      <c r="H1653" s="8">
        <v>260857</v>
      </c>
      <c r="I1653" s="8"/>
      <c r="J1653" s="6" t="s">
        <v>3355</v>
      </c>
      <c r="K1653" s="6" t="s">
        <v>54</v>
      </c>
      <c r="L1653" s="6" t="s">
        <v>4510</v>
      </c>
      <c r="M1653" s="6" t="s">
        <v>4511</v>
      </c>
      <c r="N1653" s="6" t="s">
        <v>54</v>
      </c>
      <c r="O1653" s="29">
        <f t="shared" si="37"/>
        <v>0</v>
      </c>
      <c r="Q1653" s="30" t="s">
        <v>54</v>
      </c>
      <c r="R1653" s="31">
        <v>0</v>
      </c>
    </row>
    <row r="1654" s="1" customFormat="1" ht="16.35" hidden="1" customHeight="1" spans="1:18">
      <c r="A1654" s="6" t="s">
        <v>4506</v>
      </c>
      <c r="B1654" s="6">
        <v>2019</v>
      </c>
      <c r="C1654" s="6">
        <v>12</v>
      </c>
      <c r="D1654" s="7">
        <v>100</v>
      </c>
      <c r="E1654" s="6" t="s">
        <v>4121</v>
      </c>
      <c r="F1654" s="6" t="s">
        <v>4508</v>
      </c>
      <c r="G1654" s="6" t="s">
        <v>25</v>
      </c>
      <c r="H1654" s="8">
        <v>266785</v>
      </c>
      <c r="I1654" s="8"/>
      <c r="J1654" s="6" t="s">
        <v>3357</v>
      </c>
      <c r="K1654" s="6" t="s">
        <v>63</v>
      </c>
      <c r="L1654" s="6" t="s">
        <v>4510</v>
      </c>
      <c r="M1654" s="6" t="s">
        <v>4511</v>
      </c>
      <c r="N1654" s="6" t="s">
        <v>63</v>
      </c>
      <c r="O1654" s="29">
        <f t="shared" si="37"/>
        <v>0</v>
      </c>
      <c r="Q1654" s="30" t="s">
        <v>63</v>
      </c>
      <c r="R1654" s="31">
        <v>0</v>
      </c>
    </row>
    <row r="1655" s="1" customFormat="1" ht="16.35" hidden="1" customHeight="1" spans="1:18">
      <c r="A1655" s="6" t="s">
        <v>4506</v>
      </c>
      <c r="B1655" s="6">
        <v>2019</v>
      </c>
      <c r="C1655" s="6">
        <v>12</v>
      </c>
      <c r="D1655" s="7">
        <v>100</v>
      </c>
      <c r="E1655" s="6" t="s">
        <v>4121</v>
      </c>
      <c r="F1655" s="6" t="s">
        <v>4508</v>
      </c>
      <c r="G1655" s="6" t="s">
        <v>25</v>
      </c>
      <c r="H1655" s="8">
        <v>271200</v>
      </c>
      <c r="I1655" s="8"/>
      <c r="J1655" s="6" t="s">
        <v>3361</v>
      </c>
      <c r="K1655" s="6" t="s">
        <v>124</v>
      </c>
      <c r="L1655" s="6" t="s">
        <v>4510</v>
      </c>
      <c r="M1655" s="6" t="s">
        <v>4511</v>
      </c>
      <c r="N1655" s="6" t="s">
        <v>124</v>
      </c>
      <c r="O1655" s="29">
        <f t="shared" si="37"/>
        <v>0</v>
      </c>
      <c r="Q1655" s="30" t="s">
        <v>124</v>
      </c>
      <c r="R1655" s="31">
        <v>0</v>
      </c>
    </row>
    <row r="1656" s="1" customFormat="1" ht="16.35" hidden="1" customHeight="1" spans="1:18">
      <c r="A1656" s="6" t="s">
        <v>4506</v>
      </c>
      <c r="B1656" s="6">
        <v>2019</v>
      </c>
      <c r="C1656" s="6">
        <v>12</v>
      </c>
      <c r="D1656" s="7">
        <v>100</v>
      </c>
      <c r="E1656" s="6" t="s">
        <v>4121</v>
      </c>
      <c r="F1656" s="6" t="s">
        <v>4508</v>
      </c>
      <c r="G1656" s="6" t="s">
        <v>25</v>
      </c>
      <c r="H1656" s="8">
        <v>260207</v>
      </c>
      <c r="I1656" s="8"/>
      <c r="J1656" s="6" t="s">
        <v>3372</v>
      </c>
      <c r="K1656" s="6" t="s">
        <v>573</v>
      </c>
      <c r="L1656" s="6" t="s">
        <v>4510</v>
      </c>
      <c r="M1656" s="6" t="s">
        <v>4511</v>
      </c>
      <c r="N1656" s="6" t="s">
        <v>573</v>
      </c>
      <c r="O1656" s="29">
        <f t="shared" si="37"/>
        <v>0</v>
      </c>
      <c r="Q1656" s="30" t="s">
        <v>573</v>
      </c>
      <c r="R1656" s="31">
        <v>0</v>
      </c>
    </row>
    <row r="1657" s="1" customFormat="1" ht="16.35" hidden="1" customHeight="1" spans="1:18">
      <c r="A1657" s="6" t="s">
        <v>4506</v>
      </c>
      <c r="B1657" s="6">
        <v>2019</v>
      </c>
      <c r="C1657" s="6">
        <v>12</v>
      </c>
      <c r="D1657" s="7">
        <v>100</v>
      </c>
      <c r="E1657" s="6" t="s">
        <v>4121</v>
      </c>
      <c r="F1657" s="6" t="s">
        <v>4508</v>
      </c>
      <c r="G1657" s="6" t="s">
        <v>25</v>
      </c>
      <c r="H1657" s="8">
        <v>266880</v>
      </c>
      <c r="I1657" s="8"/>
      <c r="J1657" s="6" t="s">
        <v>3384</v>
      </c>
      <c r="K1657" s="6" t="s">
        <v>583</v>
      </c>
      <c r="L1657" s="6" t="s">
        <v>4510</v>
      </c>
      <c r="M1657" s="6" t="s">
        <v>4511</v>
      </c>
      <c r="N1657" s="6" t="s">
        <v>583</v>
      </c>
      <c r="O1657" s="29">
        <f t="shared" si="37"/>
        <v>0</v>
      </c>
      <c r="Q1657" s="30" t="s">
        <v>583</v>
      </c>
      <c r="R1657" s="31">
        <v>0</v>
      </c>
    </row>
    <row r="1658" s="1" customFormat="1" ht="16.35" hidden="1" customHeight="1" spans="1:18">
      <c r="A1658" s="6" t="s">
        <v>4506</v>
      </c>
      <c r="B1658" s="6">
        <v>2019</v>
      </c>
      <c r="C1658" s="6">
        <v>12</v>
      </c>
      <c r="D1658" s="7">
        <v>100</v>
      </c>
      <c r="E1658" s="6" t="s">
        <v>4121</v>
      </c>
      <c r="F1658" s="6" t="s">
        <v>4508</v>
      </c>
      <c r="G1658" s="6" t="s">
        <v>25</v>
      </c>
      <c r="H1658" s="8">
        <v>278242</v>
      </c>
      <c r="I1658" s="8"/>
      <c r="J1658" s="6" t="s">
        <v>3401</v>
      </c>
      <c r="K1658" s="6" t="s">
        <v>86</v>
      </c>
      <c r="L1658" s="6" t="s">
        <v>4510</v>
      </c>
      <c r="M1658" s="6" t="s">
        <v>4511</v>
      </c>
      <c r="N1658" s="6" t="s">
        <v>86</v>
      </c>
      <c r="O1658" s="29">
        <f t="shared" si="37"/>
        <v>0</v>
      </c>
      <c r="Q1658" s="30" t="s">
        <v>86</v>
      </c>
      <c r="R1658" s="31">
        <v>0</v>
      </c>
    </row>
    <row r="1659" s="1" customFormat="1" ht="16.35" hidden="1" customHeight="1" spans="1:18">
      <c r="A1659" s="6" t="s">
        <v>4506</v>
      </c>
      <c r="B1659" s="6">
        <v>2019</v>
      </c>
      <c r="C1659" s="6">
        <v>12</v>
      </c>
      <c r="D1659" s="7">
        <v>100</v>
      </c>
      <c r="E1659" s="6" t="s">
        <v>4121</v>
      </c>
      <c r="F1659" s="6" t="s">
        <v>4508</v>
      </c>
      <c r="G1659" s="6" t="s">
        <v>25</v>
      </c>
      <c r="H1659" s="8">
        <v>259255</v>
      </c>
      <c r="I1659" s="8"/>
      <c r="J1659" s="6" t="s">
        <v>4625</v>
      </c>
      <c r="K1659" s="6" t="s">
        <v>571</v>
      </c>
      <c r="L1659" s="6" t="s">
        <v>4510</v>
      </c>
      <c r="M1659" s="6" t="s">
        <v>4511</v>
      </c>
      <c r="N1659" s="6" t="s">
        <v>571</v>
      </c>
      <c r="O1659" s="29">
        <f t="shared" si="37"/>
        <v>0</v>
      </c>
      <c r="Q1659" s="30" t="s">
        <v>571</v>
      </c>
      <c r="R1659" s="31">
        <v>0</v>
      </c>
    </row>
    <row r="1660" s="1" customFormat="1" ht="16.35" hidden="1" customHeight="1" spans="1:18">
      <c r="A1660" s="6" t="s">
        <v>4506</v>
      </c>
      <c r="B1660" s="6">
        <v>2019</v>
      </c>
      <c r="C1660" s="6">
        <v>12</v>
      </c>
      <c r="D1660" s="7">
        <v>100</v>
      </c>
      <c r="E1660" s="6" t="s">
        <v>4121</v>
      </c>
      <c r="F1660" s="6" t="s">
        <v>4508</v>
      </c>
      <c r="G1660" s="6" t="s">
        <v>25</v>
      </c>
      <c r="H1660" s="8">
        <v>260017</v>
      </c>
      <c r="I1660" s="8"/>
      <c r="J1660" s="6" t="s">
        <v>3409</v>
      </c>
      <c r="K1660" s="6" t="s">
        <v>541</v>
      </c>
      <c r="L1660" s="6" t="s">
        <v>4510</v>
      </c>
      <c r="M1660" s="6" t="s">
        <v>4511</v>
      </c>
      <c r="N1660" s="6" t="s">
        <v>541</v>
      </c>
      <c r="O1660" s="29">
        <f t="shared" si="37"/>
        <v>0</v>
      </c>
      <c r="Q1660" s="30" t="s">
        <v>541</v>
      </c>
      <c r="R1660" s="31">
        <v>0</v>
      </c>
    </row>
    <row r="1661" s="1" customFormat="1" ht="16.35" hidden="1" customHeight="1" spans="1:18">
      <c r="A1661" s="6" t="s">
        <v>4506</v>
      </c>
      <c r="B1661" s="6">
        <v>2019</v>
      </c>
      <c r="C1661" s="6">
        <v>12</v>
      </c>
      <c r="D1661" s="7">
        <v>100</v>
      </c>
      <c r="E1661" s="6" t="s">
        <v>4121</v>
      </c>
      <c r="F1661" s="6" t="s">
        <v>4508</v>
      </c>
      <c r="G1661" s="6" t="s">
        <v>25</v>
      </c>
      <c r="H1661" s="8">
        <v>266704</v>
      </c>
      <c r="I1661" s="8"/>
      <c r="J1661" s="6" t="s">
        <v>3411</v>
      </c>
      <c r="K1661" s="6" t="s">
        <v>142</v>
      </c>
      <c r="L1661" s="6" t="s">
        <v>4510</v>
      </c>
      <c r="M1661" s="6" t="s">
        <v>4511</v>
      </c>
      <c r="N1661" s="6" t="s">
        <v>142</v>
      </c>
      <c r="O1661" s="29">
        <f t="shared" si="37"/>
        <v>0</v>
      </c>
      <c r="Q1661" s="30" t="s">
        <v>142</v>
      </c>
      <c r="R1661" s="31">
        <v>0</v>
      </c>
    </row>
    <row r="1662" s="1" customFormat="1" ht="16.35" hidden="1" customHeight="1" spans="1:18">
      <c r="A1662" s="6" t="s">
        <v>4506</v>
      </c>
      <c r="B1662" s="6">
        <v>2019</v>
      </c>
      <c r="C1662" s="6">
        <v>12</v>
      </c>
      <c r="D1662" s="7">
        <v>100</v>
      </c>
      <c r="E1662" s="6" t="s">
        <v>4121</v>
      </c>
      <c r="F1662" s="6" t="s">
        <v>4508</v>
      </c>
      <c r="G1662" s="6" t="s">
        <v>25</v>
      </c>
      <c r="H1662" s="8">
        <v>256396</v>
      </c>
      <c r="I1662" s="8"/>
      <c r="J1662" s="6" t="s">
        <v>3418</v>
      </c>
      <c r="K1662" s="6" t="s">
        <v>601</v>
      </c>
      <c r="L1662" s="6" t="s">
        <v>4510</v>
      </c>
      <c r="M1662" s="6" t="s">
        <v>4511</v>
      </c>
      <c r="N1662" s="6" t="s">
        <v>601</v>
      </c>
      <c r="O1662" s="29">
        <f t="shared" si="37"/>
        <v>0</v>
      </c>
      <c r="Q1662" s="30" t="s">
        <v>601</v>
      </c>
      <c r="R1662" s="31">
        <v>0</v>
      </c>
    </row>
    <row r="1663" s="1" customFormat="1" ht="16.35" hidden="1" customHeight="1" spans="1:18">
      <c r="A1663" s="6" t="s">
        <v>4506</v>
      </c>
      <c r="B1663" s="6">
        <v>2019</v>
      </c>
      <c r="C1663" s="6">
        <v>12</v>
      </c>
      <c r="D1663" s="7">
        <v>100</v>
      </c>
      <c r="E1663" s="6" t="s">
        <v>4121</v>
      </c>
      <c r="F1663" s="6" t="s">
        <v>4508</v>
      </c>
      <c r="G1663" s="6" t="s">
        <v>25</v>
      </c>
      <c r="H1663" s="8">
        <v>289383</v>
      </c>
      <c r="I1663" s="8"/>
      <c r="J1663" s="6" t="s">
        <v>3420</v>
      </c>
      <c r="K1663" s="6" t="s">
        <v>646</v>
      </c>
      <c r="L1663" s="6" t="s">
        <v>4510</v>
      </c>
      <c r="M1663" s="6" t="s">
        <v>4511</v>
      </c>
      <c r="N1663" s="6" t="s">
        <v>646</v>
      </c>
      <c r="O1663" s="29">
        <f t="shared" si="37"/>
        <v>0</v>
      </c>
      <c r="Q1663" s="30" t="s">
        <v>646</v>
      </c>
      <c r="R1663" s="31">
        <v>0</v>
      </c>
    </row>
    <row r="1664" s="1" customFormat="1" ht="16.35" hidden="1" customHeight="1" spans="1:18">
      <c r="A1664" s="6" t="s">
        <v>4506</v>
      </c>
      <c r="B1664" s="6">
        <v>2019</v>
      </c>
      <c r="C1664" s="6">
        <v>12</v>
      </c>
      <c r="D1664" s="7">
        <v>100</v>
      </c>
      <c r="E1664" s="6" t="s">
        <v>4121</v>
      </c>
      <c r="F1664" s="6" t="s">
        <v>4508</v>
      </c>
      <c r="G1664" s="6" t="s">
        <v>25</v>
      </c>
      <c r="H1664" s="8">
        <v>285587</v>
      </c>
      <c r="I1664" s="8"/>
      <c r="J1664" s="6" t="s">
        <v>3422</v>
      </c>
      <c r="K1664" s="6" t="s">
        <v>648</v>
      </c>
      <c r="L1664" s="6" t="s">
        <v>4510</v>
      </c>
      <c r="M1664" s="6" t="s">
        <v>4511</v>
      </c>
      <c r="N1664" s="6" t="s">
        <v>648</v>
      </c>
      <c r="O1664" s="29">
        <f t="shared" si="37"/>
        <v>0</v>
      </c>
      <c r="Q1664" s="30" t="s">
        <v>648</v>
      </c>
      <c r="R1664" s="31">
        <v>0</v>
      </c>
    </row>
    <row r="1665" s="1" customFormat="1" ht="16.35" hidden="1" customHeight="1" spans="1:18">
      <c r="A1665" s="6" t="s">
        <v>4506</v>
      </c>
      <c r="B1665" s="6">
        <v>2019</v>
      </c>
      <c r="C1665" s="6">
        <v>12</v>
      </c>
      <c r="D1665" s="7">
        <v>100</v>
      </c>
      <c r="E1665" s="6" t="s">
        <v>4121</v>
      </c>
      <c r="F1665" s="6" t="s">
        <v>4508</v>
      </c>
      <c r="G1665" s="6" t="s">
        <v>25</v>
      </c>
      <c r="H1665" s="8">
        <v>278242</v>
      </c>
      <c r="I1665" s="8"/>
      <c r="J1665" s="6" t="s">
        <v>3427</v>
      </c>
      <c r="K1665" s="6" t="s">
        <v>82</v>
      </c>
      <c r="L1665" s="6" t="s">
        <v>4510</v>
      </c>
      <c r="M1665" s="6" t="s">
        <v>4511</v>
      </c>
      <c r="N1665" s="6" t="s">
        <v>82</v>
      </c>
      <c r="O1665" s="29">
        <f t="shared" si="37"/>
        <v>0</v>
      </c>
      <c r="Q1665" s="30" t="s">
        <v>82</v>
      </c>
      <c r="R1665" s="31">
        <v>0</v>
      </c>
    </row>
    <row r="1666" s="1" customFormat="1" ht="16.35" hidden="1" customHeight="1" spans="1:18">
      <c r="A1666" s="6" t="s">
        <v>4506</v>
      </c>
      <c r="B1666" s="6">
        <v>2019</v>
      </c>
      <c r="C1666" s="6">
        <v>12</v>
      </c>
      <c r="D1666" s="7">
        <v>100</v>
      </c>
      <c r="E1666" s="6" t="s">
        <v>4121</v>
      </c>
      <c r="F1666" s="6" t="s">
        <v>4508</v>
      </c>
      <c r="G1666" s="6" t="s">
        <v>25</v>
      </c>
      <c r="H1666" s="8">
        <v>290827</v>
      </c>
      <c r="I1666" s="8"/>
      <c r="J1666" s="6" t="s">
        <v>3429</v>
      </c>
      <c r="K1666" s="6" t="s">
        <v>547</v>
      </c>
      <c r="L1666" s="6" t="s">
        <v>4510</v>
      </c>
      <c r="M1666" s="6" t="s">
        <v>4511</v>
      </c>
      <c r="N1666" s="6" t="s">
        <v>547</v>
      </c>
      <c r="O1666" s="29">
        <f t="shared" si="37"/>
        <v>0</v>
      </c>
      <c r="Q1666" s="30" t="s">
        <v>547</v>
      </c>
      <c r="R1666" s="31">
        <v>0</v>
      </c>
    </row>
    <row r="1667" s="1" customFormat="1" ht="16.35" hidden="1" customHeight="1" spans="1:18">
      <c r="A1667" s="6" t="s">
        <v>4506</v>
      </c>
      <c r="B1667" s="6">
        <v>2019</v>
      </c>
      <c r="C1667" s="6">
        <v>12</v>
      </c>
      <c r="D1667" s="7">
        <v>100</v>
      </c>
      <c r="E1667" s="6" t="s">
        <v>4121</v>
      </c>
      <c r="F1667" s="6" t="s">
        <v>4508</v>
      </c>
      <c r="G1667" s="6" t="s">
        <v>25</v>
      </c>
      <c r="H1667" s="8">
        <v>238286</v>
      </c>
      <c r="I1667" s="8"/>
      <c r="J1667" s="6" t="s">
        <v>3431</v>
      </c>
      <c r="K1667" s="6" t="s">
        <v>533</v>
      </c>
      <c r="L1667" s="6" t="s">
        <v>4510</v>
      </c>
      <c r="M1667" s="6" t="s">
        <v>4511</v>
      </c>
      <c r="N1667" s="6" t="s">
        <v>533</v>
      </c>
      <c r="O1667" s="29">
        <f t="shared" si="37"/>
        <v>0</v>
      </c>
      <c r="Q1667" s="30" t="s">
        <v>533</v>
      </c>
      <c r="R1667" s="31">
        <v>0</v>
      </c>
    </row>
    <row r="1668" s="1" customFormat="1" ht="16.35" hidden="1" customHeight="1" spans="1:18">
      <c r="A1668" s="6" t="s">
        <v>4506</v>
      </c>
      <c r="B1668" s="6">
        <v>2019</v>
      </c>
      <c r="C1668" s="6">
        <v>12</v>
      </c>
      <c r="D1668" s="7">
        <v>100</v>
      </c>
      <c r="E1668" s="6" t="s">
        <v>4121</v>
      </c>
      <c r="F1668" s="6" t="s">
        <v>4508</v>
      </c>
      <c r="G1668" s="6" t="s">
        <v>25</v>
      </c>
      <c r="H1668" s="8">
        <v>254506</v>
      </c>
      <c r="I1668" s="8"/>
      <c r="J1668" s="6" t="s">
        <v>3437</v>
      </c>
      <c r="K1668" s="6" t="s">
        <v>597</v>
      </c>
      <c r="L1668" s="6" t="s">
        <v>4510</v>
      </c>
      <c r="M1668" s="6" t="s">
        <v>4511</v>
      </c>
      <c r="N1668" s="6" t="s">
        <v>597</v>
      </c>
      <c r="O1668" s="29">
        <f t="shared" si="37"/>
        <v>0</v>
      </c>
      <c r="Q1668" s="30" t="s">
        <v>597</v>
      </c>
      <c r="R1668" s="31">
        <v>0</v>
      </c>
    </row>
    <row r="1669" s="1" customFormat="1" ht="16.35" hidden="1" customHeight="1" spans="1:18">
      <c r="A1669" s="6" t="s">
        <v>4506</v>
      </c>
      <c r="B1669" s="6">
        <v>2019</v>
      </c>
      <c r="C1669" s="6">
        <v>12</v>
      </c>
      <c r="D1669" s="7">
        <v>100</v>
      </c>
      <c r="E1669" s="6" t="s">
        <v>4121</v>
      </c>
      <c r="F1669" s="6" t="s">
        <v>4508</v>
      </c>
      <c r="G1669" s="6" t="s">
        <v>25</v>
      </c>
      <c r="H1669" s="8">
        <v>244152</v>
      </c>
      <c r="I1669" s="8"/>
      <c r="J1669" s="6" t="s">
        <v>3458</v>
      </c>
      <c r="K1669" s="6" t="s">
        <v>805</v>
      </c>
      <c r="L1669" s="6" t="s">
        <v>4510</v>
      </c>
      <c r="M1669" s="6" t="s">
        <v>4511</v>
      </c>
      <c r="N1669" s="6" t="s">
        <v>805</v>
      </c>
      <c r="O1669" s="29">
        <f t="shared" si="37"/>
        <v>0</v>
      </c>
      <c r="Q1669" s="30" t="s">
        <v>805</v>
      </c>
      <c r="R1669" s="31">
        <v>0</v>
      </c>
    </row>
    <row r="1670" s="1" customFormat="1" ht="16.35" hidden="1" customHeight="1" spans="1:18">
      <c r="A1670" s="6" t="s">
        <v>4506</v>
      </c>
      <c r="B1670" s="6">
        <v>2019</v>
      </c>
      <c r="C1670" s="6">
        <v>12</v>
      </c>
      <c r="D1670" s="7">
        <v>100</v>
      </c>
      <c r="E1670" s="6" t="s">
        <v>4121</v>
      </c>
      <c r="F1670" s="6" t="s">
        <v>4508</v>
      </c>
      <c r="G1670" s="6" t="s">
        <v>25</v>
      </c>
      <c r="H1670" s="8">
        <v>289033</v>
      </c>
      <c r="I1670" s="8"/>
      <c r="J1670" s="6" t="s">
        <v>3460</v>
      </c>
      <c r="K1670" s="6" t="s">
        <v>862</v>
      </c>
      <c r="L1670" s="6" t="s">
        <v>4510</v>
      </c>
      <c r="M1670" s="6" t="s">
        <v>4511</v>
      </c>
      <c r="N1670" s="6" t="s">
        <v>862</v>
      </c>
      <c r="O1670" s="29">
        <f t="shared" si="37"/>
        <v>0</v>
      </c>
      <c r="Q1670" s="30" t="s">
        <v>862</v>
      </c>
      <c r="R1670" s="31">
        <v>0</v>
      </c>
    </row>
    <row r="1671" s="1" customFormat="1" ht="16.35" hidden="1" customHeight="1" spans="1:18">
      <c r="A1671" s="6" t="s">
        <v>4506</v>
      </c>
      <c r="B1671" s="6">
        <v>2019</v>
      </c>
      <c r="C1671" s="6">
        <v>12</v>
      </c>
      <c r="D1671" s="7">
        <v>100</v>
      </c>
      <c r="E1671" s="6" t="s">
        <v>4121</v>
      </c>
      <c r="F1671" s="6" t="s">
        <v>4508</v>
      </c>
      <c r="G1671" s="6" t="s">
        <v>25</v>
      </c>
      <c r="H1671" s="8">
        <v>244152</v>
      </c>
      <c r="I1671" s="8"/>
      <c r="J1671" s="6" t="s">
        <v>3462</v>
      </c>
      <c r="K1671" s="6" t="s">
        <v>803</v>
      </c>
      <c r="L1671" s="6" t="s">
        <v>4510</v>
      </c>
      <c r="M1671" s="6" t="s">
        <v>4511</v>
      </c>
      <c r="N1671" s="6" t="s">
        <v>803</v>
      </c>
      <c r="O1671" s="29">
        <f t="shared" si="37"/>
        <v>0</v>
      </c>
      <c r="Q1671" s="30" t="s">
        <v>803</v>
      </c>
      <c r="R1671" s="31">
        <v>0</v>
      </c>
    </row>
    <row r="1672" s="1" customFormat="1" ht="16.35" hidden="1" customHeight="1" spans="1:18">
      <c r="A1672" s="6" t="s">
        <v>4506</v>
      </c>
      <c r="B1672" s="6">
        <v>2019</v>
      </c>
      <c r="C1672" s="6">
        <v>12</v>
      </c>
      <c r="D1672" s="7">
        <v>100</v>
      </c>
      <c r="E1672" s="6" t="s">
        <v>4121</v>
      </c>
      <c r="F1672" s="6" t="s">
        <v>4508</v>
      </c>
      <c r="G1672" s="6" t="s">
        <v>25</v>
      </c>
      <c r="H1672" s="8">
        <v>279173</v>
      </c>
      <c r="I1672" s="8"/>
      <c r="J1672" s="6" t="s">
        <v>3473</v>
      </c>
      <c r="K1672" s="6" t="s">
        <v>850</v>
      </c>
      <c r="L1672" s="6" t="s">
        <v>4510</v>
      </c>
      <c r="M1672" s="6" t="s">
        <v>4511</v>
      </c>
      <c r="N1672" s="6" t="s">
        <v>850</v>
      </c>
      <c r="O1672" s="29">
        <f t="shared" si="37"/>
        <v>0</v>
      </c>
      <c r="Q1672" s="30" t="s">
        <v>850</v>
      </c>
      <c r="R1672" s="31">
        <v>0</v>
      </c>
    </row>
    <row r="1673" s="1" customFormat="1" ht="16.35" hidden="1" customHeight="1" spans="1:18">
      <c r="A1673" s="6" t="s">
        <v>4506</v>
      </c>
      <c r="B1673" s="6">
        <v>2019</v>
      </c>
      <c r="C1673" s="6">
        <v>12</v>
      </c>
      <c r="D1673" s="7">
        <v>100</v>
      </c>
      <c r="E1673" s="6" t="s">
        <v>4121</v>
      </c>
      <c r="F1673" s="6" t="s">
        <v>4508</v>
      </c>
      <c r="G1673" s="6" t="s">
        <v>25</v>
      </c>
      <c r="H1673" s="8">
        <v>279142</v>
      </c>
      <c r="I1673" s="8"/>
      <c r="J1673" s="6" t="s">
        <v>3475</v>
      </c>
      <c r="K1673" s="6" t="s">
        <v>808</v>
      </c>
      <c r="L1673" s="6" t="s">
        <v>4510</v>
      </c>
      <c r="M1673" s="6" t="s">
        <v>4511</v>
      </c>
      <c r="N1673" s="6" t="s">
        <v>808</v>
      </c>
      <c r="O1673" s="29">
        <f t="shared" si="37"/>
        <v>0</v>
      </c>
      <c r="Q1673" s="30" t="s">
        <v>808</v>
      </c>
      <c r="R1673" s="31">
        <v>0</v>
      </c>
    </row>
    <row r="1674" s="1" customFormat="1" ht="16.35" hidden="1" customHeight="1" spans="1:18">
      <c r="A1674" s="6" t="s">
        <v>4506</v>
      </c>
      <c r="B1674" s="6">
        <v>2019</v>
      </c>
      <c r="C1674" s="6">
        <v>12</v>
      </c>
      <c r="D1674" s="7">
        <v>100</v>
      </c>
      <c r="E1674" s="6" t="s">
        <v>4121</v>
      </c>
      <c r="F1674" s="6" t="s">
        <v>4508</v>
      </c>
      <c r="G1674" s="6" t="s">
        <v>25</v>
      </c>
      <c r="H1674" s="8">
        <v>112986</v>
      </c>
      <c r="I1674" s="8"/>
      <c r="J1674" s="6" t="s">
        <v>3477</v>
      </c>
      <c r="K1674" s="6" t="s">
        <v>901</v>
      </c>
      <c r="L1674" s="6" t="s">
        <v>4510</v>
      </c>
      <c r="M1674" s="6" t="s">
        <v>4511</v>
      </c>
      <c r="N1674" s="6" t="s">
        <v>901</v>
      </c>
      <c r="O1674" s="29">
        <f t="shared" si="37"/>
        <v>0</v>
      </c>
      <c r="Q1674" s="30" t="s">
        <v>901</v>
      </c>
      <c r="R1674" s="31">
        <v>0</v>
      </c>
    </row>
    <row r="1675" s="1" customFormat="1" ht="16.35" hidden="1" customHeight="1" spans="1:18">
      <c r="A1675" s="6" t="s">
        <v>4506</v>
      </c>
      <c r="B1675" s="6">
        <v>2019</v>
      </c>
      <c r="C1675" s="6">
        <v>12</v>
      </c>
      <c r="D1675" s="7">
        <v>100</v>
      </c>
      <c r="E1675" s="6" t="s">
        <v>4121</v>
      </c>
      <c r="F1675" s="6" t="s">
        <v>4508</v>
      </c>
      <c r="G1675" s="6" t="s">
        <v>25</v>
      </c>
      <c r="H1675" s="8">
        <v>313146</v>
      </c>
      <c r="I1675" s="8"/>
      <c r="J1675" s="6" t="s">
        <v>3481</v>
      </c>
      <c r="K1675" s="6" t="s">
        <v>138</v>
      </c>
      <c r="L1675" s="6" t="s">
        <v>4510</v>
      </c>
      <c r="M1675" s="6" t="s">
        <v>4511</v>
      </c>
      <c r="N1675" s="6" t="s">
        <v>138</v>
      </c>
      <c r="O1675" s="29">
        <f t="shared" si="37"/>
        <v>0</v>
      </c>
      <c r="Q1675" s="30" t="s">
        <v>138</v>
      </c>
      <c r="R1675" s="31">
        <v>0</v>
      </c>
    </row>
    <row r="1676" s="1" customFormat="1" ht="16.35" hidden="1" customHeight="1" spans="1:18">
      <c r="A1676" s="6" t="s">
        <v>4506</v>
      </c>
      <c r="B1676" s="6">
        <v>2019</v>
      </c>
      <c r="C1676" s="6">
        <v>12</v>
      </c>
      <c r="D1676" s="7">
        <v>100</v>
      </c>
      <c r="E1676" s="6" t="s">
        <v>4121</v>
      </c>
      <c r="F1676" s="6" t="s">
        <v>4508</v>
      </c>
      <c r="G1676" s="6" t="s">
        <v>25</v>
      </c>
      <c r="H1676" s="8">
        <v>180570</v>
      </c>
      <c r="I1676" s="8"/>
      <c r="J1676" s="6" t="s">
        <v>3483</v>
      </c>
      <c r="K1676" s="6" t="s">
        <v>469</v>
      </c>
      <c r="L1676" s="6" t="s">
        <v>4510</v>
      </c>
      <c r="M1676" s="6" t="s">
        <v>4511</v>
      </c>
      <c r="N1676" s="6" t="s">
        <v>469</v>
      </c>
      <c r="O1676" s="29">
        <f t="shared" si="37"/>
        <v>0</v>
      </c>
      <c r="Q1676" s="30" t="s">
        <v>469</v>
      </c>
      <c r="R1676" s="31">
        <v>0</v>
      </c>
    </row>
    <row r="1677" s="1" customFormat="1" ht="16.35" hidden="1" customHeight="1" spans="1:18">
      <c r="A1677" s="6" t="s">
        <v>4506</v>
      </c>
      <c r="B1677" s="6">
        <v>2019</v>
      </c>
      <c r="C1677" s="6">
        <v>12</v>
      </c>
      <c r="D1677" s="7">
        <v>100</v>
      </c>
      <c r="E1677" s="6" t="s">
        <v>4121</v>
      </c>
      <c r="F1677" s="6" t="s">
        <v>4508</v>
      </c>
      <c r="G1677" s="6" t="s">
        <v>25</v>
      </c>
      <c r="H1677" s="8">
        <v>242357</v>
      </c>
      <c r="I1677" s="8"/>
      <c r="J1677" s="6" t="s">
        <v>3485</v>
      </c>
      <c r="K1677" s="6" t="s">
        <v>888</v>
      </c>
      <c r="L1677" s="6" t="s">
        <v>4510</v>
      </c>
      <c r="M1677" s="6" t="s">
        <v>4511</v>
      </c>
      <c r="N1677" s="6" t="s">
        <v>888</v>
      </c>
      <c r="O1677" s="29">
        <f t="shared" si="37"/>
        <v>0</v>
      </c>
      <c r="Q1677" s="30" t="s">
        <v>888</v>
      </c>
      <c r="R1677" s="31">
        <v>0</v>
      </c>
    </row>
    <row r="1678" s="1" customFormat="1" ht="16.35" hidden="1" customHeight="1" spans="1:18">
      <c r="A1678" s="6" t="s">
        <v>4506</v>
      </c>
      <c r="B1678" s="6">
        <v>2019</v>
      </c>
      <c r="C1678" s="6">
        <v>12</v>
      </c>
      <c r="D1678" s="7">
        <v>100</v>
      </c>
      <c r="E1678" s="6" t="s">
        <v>4121</v>
      </c>
      <c r="F1678" s="6" t="s">
        <v>4508</v>
      </c>
      <c r="G1678" s="6" t="s">
        <v>25</v>
      </c>
      <c r="H1678" s="8">
        <v>280334</v>
      </c>
      <c r="I1678" s="8"/>
      <c r="J1678" s="6" t="s">
        <v>3487</v>
      </c>
      <c r="K1678" s="6" t="s">
        <v>880</v>
      </c>
      <c r="L1678" s="6" t="s">
        <v>4510</v>
      </c>
      <c r="M1678" s="6" t="s">
        <v>4511</v>
      </c>
      <c r="N1678" s="6" t="s">
        <v>880</v>
      </c>
      <c r="O1678" s="29">
        <f t="shared" si="37"/>
        <v>0</v>
      </c>
      <c r="Q1678" s="30" t="s">
        <v>880</v>
      </c>
      <c r="R1678" s="31">
        <v>0</v>
      </c>
    </row>
    <row r="1679" s="1" customFormat="1" ht="16.35" hidden="1" customHeight="1" spans="1:18">
      <c r="A1679" s="6" t="s">
        <v>4506</v>
      </c>
      <c r="B1679" s="6">
        <v>2019</v>
      </c>
      <c r="C1679" s="6">
        <v>12</v>
      </c>
      <c r="D1679" s="7">
        <v>100</v>
      </c>
      <c r="E1679" s="6" t="s">
        <v>4121</v>
      </c>
      <c r="F1679" s="6" t="s">
        <v>4508</v>
      </c>
      <c r="G1679" s="6" t="s">
        <v>25</v>
      </c>
      <c r="H1679" s="8">
        <v>238286</v>
      </c>
      <c r="I1679" s="8"/>
      <c r="J1679" s="6" t="s">
        <v>3489</v>
      </c>
      <c r="K1679" s="6" t="s">
        <v>603</v>
      </c>
      <c r="L1679" s="6" t="s">
        <v>4510</v>
      </c>
      <c r="M1679" s="6" t="s">
        <v>4511</v>
      </c>
      <c r="N1679" s="6" t="s">
        <v>603</v>
      </c>
      <c r="O1679" s="29">
        <f t="shared" si="37"/>
        <v>0</v>
      </c>
      <c r="Q1679" s="30" t="s">
        <v>603</v>
      </c>
      <c r="R1679" s="31">
        <v>0</v>
      </c>
    </row>
    <row r="1680" s="1" customFormat="1" ht="16.35" hidden="1" customHeight="1" spans="1:18">
      <c r="A1680" s="6" t="s">
        <v>4506</v>
      </c>
      <c r="B1680" s="6">
        <v>2019</v>
      </c>
      <c r="C1680" s="6">
        <v>12</v>
      </c>
      <c r="D1680" s="7">
        <v>100</v>
      </c>
      <c r="E1680" s="6" t="s">
        <v>4121</v>
      </c>
      <c r="F1680" s="6" t="s">
        <v>4508</v>
      </c>
      <c r="G1680" s="6" t="s">
        <v>25</v>
      </c>
      <c r="H1680" s="8">
        <v>238286</v>
      </c>
      <c r="I1680" s="8"/>
      <c r="J1680" s="6" t="s">
        <v>3491</v>
      </c>
      <c r="K1680" s="6" t="s">
        <v>569</v>
      </c>
      <c r="L1680" s="6" t="s">
        <v>4510</v>
      </c>
      <c r="M1680" s="6" t="s">
        <v>4511</v>
      </c>
      <c r="N1680" s="6" t="s">
        <v>569</v>
      </c>
      <c r="O1680" s="29">
        <f t="shared" si="37"/>
        <v>0</v>
      </c>
      <c r="Q1680" s="30" t="s">
        <v>569</v>
      </c>
      <c r="R1680" s="31">
        <v>0</v>
      </c>
    </row>
    <row r="1681" s="1" customFormat="1" ht="16.35" hidden="1" customHeight="1" spans="1:18">
      <c r="A1681" s="6" t="s">
        <v>4506</v>
      </c>
      <c r="B1681" s="6">
        <v>2019</v>
      </c>
      <c r="C1681" s="6">
        <v>12</v>
      </c>
      <c r="D1681" s="7">
        <v>100</v>
      </c>
      <c r="E1681" s="6" t="s">
        <v>4121</v>
      </c>
      <c r="F1681" s="6" t="s">
        <v>4508</v>
      </c>
      <c r="G1681" s="6" t="s">
        <v>25</v>
      </c>
      <c r="H1681" s="8">
        <v>273567</v>
      </c>
      <c r="I1681" s="8"/>
      <c r="J1681" s="6" t="s">
        <v>3494</v>
      </c>
      <c r="K1681" s="6" t="s">
        <v>786</v>
      </c>
      <c r="L1681" s="6" t="s">
        <v>4510</v>
      </c>
      <c r="M1681" s="6" t="s">
        <v>4511</v>
      </c>
      <c r="N1681" s="6" t="s">
        <v>786</v>
      </c>
      <c r="O1681" s="29">
        <f t="shared" si="37"/>
        <v>0</v>
      </c>
      <c r="Q1681" s="30" t="s">
        <v>786</v>
      </c>
      <c r="R1681" s="31">
        <v>0</v>
      </c>
    </row>
    <row r="1682" s="1" customFormat="1" ht="16.35" hidden="1" customHeight="1" spans="1:18">
      <c r="A1682" s="6" t="s">
        <v>4506</v>
      </c>
      <c r="B1682" s="6">
        <v>2019</v>
      </c>
      <c r="C1682" s="6">
        <v>12</v>
      </c>
      <c r="D1682" s="7">
        <v>100</v>
      </c>
      <c r="E1682" s="6" t="s">
        <v>4121</v>
      </c>
      <c r="F1682" s="6" t="s">
        <v>4508</v>
      </c>
      <c r="G1682" s="6" t="s">
        <v>25</v>
      </c>
      <c r="H1682" s="8">
        <v>273567</v>
      </c>
      <c r="I1682" s="8"/>
      <c r="J1682" s="6" t="s">
        <v>3496</v>
      </c>
      <c r="K1682" s="6" t="s">
        <v>864</v>
      </c>
      <c r="L1682" s="6" t="s">
        <v>4510</v>
      </c>
      <c r="M1682" s="6" t="s">
        <v>4511</v>
      </c>
      <c r="N1682" s="6" t="s">
        <v>864</v>
      </c>
      <c r="O1682" s="29">
        <f t="shared" si="37"/>
        <v>0</v>
      </c>
      <c r="Q1682" s="30" t="s">
        <v>864</v>
      </c>
      <c r="R1682" s="31">
        <v>0</v>
      </c>
    </row>
    <row r="1683" s="1" customFormat="1" ht="16.35" hidden="1" customHeight="1" spans="1:18">
      <c r="A1683" s="6" t="s">
        <v>4506</v>
      </c>
      <c r="B1683" s="6">
        <v>2019</v>
      </c>
      <c r="C1683" s="6">
        <v>12</v>
      </c>
      <c r="D1683" s="7">
        <v>100</v>
      </c>
      <c r="E1683" s="6" t="s">
        <v>4121</v>
      </c>
      <c r="F1683" s="6" t="s">
        <v>4508</v>
      </c>
      <c r="G1683" s="6" t="s">
        <v>25</v>
      </c>
      <c r="H1683" s="8">
        <v>274294</v>
      </c>
      <c r="I1683" s="8"/>
      <c r="J1683" s="6" t="s">
        <v>3498</v>
      </c>
      <c r="K1683" s="6" t="s">
        <v>820</v>
      </c>
      <c r="L1683" s="6" t="s">
        <v>4510</v>
      </c>
      <c r="M1683" s="6" t="s">
        <v>4511</v>
      </c>
      <c r="N1683" s="6" t="s">
        <v>820</v>
      </c>
      <c r="O1683" s="29">
        <f t="shared" si="37"/>
        <v>0</v>
      </c>
      <c r="Q1683" s="30" t="s">
        <v>820</v>
      </c>
      <c r="R1683" s="31">
        <v>0</v>
      </c>
    </row>
    <row r="1684" s="1" customFormat="1" ht="16.35" hidden="1" customHeight="1" spans="1:18">
      <c r="A1684" s="6" t="s">
        <v>4506</v>
      </c>
      <c r="B1684" s="6">
        <v>2019</v>
      </c>
      <c r="C1684" s="6">
        <v>12</v>
      </c>
      <c r="D1684" s="7">
        <v>100</v>
      </c>
      <c r="E1684" s="6" t="s">
        <v>4121</v>
      </c>
      <c r="F1684" s="6" t="s">
        <v>4508</v>
      </c>
      <c r="G1684" s="6" t="s">
        <v>25</v>
      </c>
      <c r="H1684" s="8">
        <v>251283</v>
      </c>
      <c r="I1684" s="8"/>
      <c r="J1684" s="6" t="s">
        <v>3501</v>
      </c>
      <c r="K1684" s="6" t="s">
        <v>854</v>
      </c>
      <c r="L1684" s="6" t="s">
        <v>4510</v>
      </c>
      <c r="M1684" s="6" t="s">
        <v>4511</v>
      </c>
      <c r="N1684" s="6" t="s">
        <v>854</v>
      </c>
      <c r="O1684" s="29">
        <f t="shared" si="37"/>
        <v>0</v>
      </c>
      <c r="Q1684" s="30" t="s">
        <v>854</v>
      </c>
      <c r="R1684" s="31">
        <v>0</v>
      </c>
    </row>
    <row r="1685" s="1" customFormat="1" ht="16.35" hidden="1" customHeight="1" spans="1:18">
      <c r="A1685" s="6" t="s">
        <v>4506</v>
      </c>
      <c r="B1685" s="6">
        <v>2019</v>
      </c>
      <c r="C1685" s="6">
        <v>12</v>
      </c>
      <c r="D1685" s="7">
        <v>100</v>
      </c>
      <c r="E1685" s="6" t="s">
        <v>4121</v>
      </c>
      <c r="F1685" s="6" t="s">
        <v>4508</v>
      </c>
      <c r="G1685" s="6" t="s">
        <v>25</v>
      </c>
      <c r="H1685" s="8">
        <v>163307</v>
      </c>
      <c r="I1685" s="8"/>
      <c r="J1685" s="6" t="s">
        <v>3503</v>
      </c>
      <c r="K1685" s="6" t="s">
        <v>701</v>
      </c>
      <c r="L1685" s="6" t="s">
        <v>4510</v>
      </c>
      <c r="M1685" s="6" t="s">
        <v>4511</v>
      </c>
      <c r="N1685" s="6" t="s">
        <v>701</v>
      </c>
      <c r="O1685" s="29">
        <f t="shared" si="37"/>
        <v>0</v>
      </c>
      <c r="Q1685" s="30" t="s">
        <v>701</v>
      </c>
      <c r="R1685" s="31">
        <v>0</v>
      </c>
    </row>
    <row r="1686" s="1" customFormat="1" ht="16.35" hidden="1" customHeight="1" spans="1:18">
      <c r="A1686" s="6" t="s">
        <v>4506</v>
      </c>
      <c r="B1686" s="6">
        <v>2019</v>
      </c>
      <c r="C1686" s="6">
        <v>12</v>
      </c>
      <c r="D1686" s="7">
        <v>100</v>
      </c>
      <c r="E1686" s="6" t="s">
        <v>4121</v>
      </c>
      <c r="F1686" s="6" t="s">
        <v>4508</v>
      </c>
      <c r="G1686" s="6" t="s">
        <v>25</v>
      </c>
      <c r="H1686" s="8">
        <v>190323</v>
      </c>
      <c r="I1686" s="8"/>
      <c r="J1686" s="6" t="s">
        <v>3505</v>
      </c>
      <c r="K1686" s="6" t="s">
        <v>703</v>
      </c>
      <c r="L1686" s="6" t="s">
        <v>4510</v>
      </c>
      <c r="M1686" s="6" t="s">
        <v>4511</v>
      </c>
      <c r="N1686" s="6" t="s">
        <v>703</v>
      </c>
      <c r="O1686" s="29">
        <f t="shared" si="37"/>
        <v>0</v>
      </c>
      <c r="Q1686" s="30" t="s">
        <v>703</v>
      </c>
      <c r="R1686" s="31">
        <v>0</v>
      </c>
    </row>
    <row r="1687" s="1" customFormat="1" ht="16.35" hidden="1" customHeight="1" spans="1:18">
      <c r="A1687" s="6" t="s">
        <v>4506</v>
      </c>
      <c r="B1687" s="6">
        <v>2019</v>
      </c>
      <c r="C1687" s="6">
        <v>12</v>
      </c>
      <c r="D1687" s="7">
        <v>100</v>
      </c>
      <c r="E1687" s="6" t="s">
        <v>4121</v>
      </c>
      <c r="F1687" s="6" t="s">
        <v>4508</v>
      </c>
      <c r="G1687" s="6" t="s">
        <v>25</v>
      </c>
      <c r="H1687" s="8">
        <v>302537</v>
      </c>
      <c r="I1687" s="8"/>
      <c r="J1687" s="6" t="s">
        <v>3507</v>
      </c>
      <c r="K1687" s="6" t="s">
        <v>118</v>
      </c>
      <c r="L1687" s="6" t="s">
        <v>4510</v>
      </c>
      <c r="M1687" s="6" t="s">
        <v>4511</v>
      </c>
      <c r="N1687" s="6" t="s">
        <v>118</v>
      </c>
      <c r="O1687" s="29">
        <f t="shared" si="37"/>
        <v>0</v>
      </c>
      <c r="Q1687" s="30" t="s">
        <v>118</v>
      </c>
      <c r="R1687" s="31">
        <v>0</v>
      </c>
    </row>
    <row r="1688" s="1" customFormat="1" ht="16.35" hidden="1" customHeight="1" spans="1:18">
      <c r="A1688" s="6" t="s">
        <v>4506</v>
      </c>
      <c r="B1688" s="6">
        <v>2019</v>
      </c>
      <c r="C1688" s="6">
        <v>12</v>
      </c>
      <c r="D1688" s="7">
        <v>100</v>
      </c>
      <c r="E1688" s="6" t="s">
        <v>4121</v>
      </c>
      <c r="F1688" s="6" t="s">
        <v>4508</v>
      </c>
      <c r="G1688" s="6" t="s">
        <v>25</v>
      </c>
      <c r="H1688" s="8">
        <v>276467</v>
      </c>
      <c r="I1688" s="8"/>
      <c r="J1688" s="6" t="s">
        <v>3509</v>
      </c>
      <c r="K1688" s="6" t="s">
        <v>866</v>
      </c>
      <c r="L1688" s="6" t="s">
        <v>4510</v>
      </c>
      <c r="M1688" s="6" t="s">
        <v>4511</v>
      </c>
      <c r="N1688" s="6" t="s">
        <v>866</v>
      </c>
      <c r="O1688" s="29">
        <f t="shared" si="37"/>
        <v>0</v>
      </c>
      <c r="Q1688" s="30" t="s">
        <v>866</v>
      </c>
      <c r="R1688" s="31">
        <v>0</v>
      </c>
    </row>
    <row r="1689" s="1" customFormat="1" ht="16.35" hidden="1" customHeight="1" spans="1:18">
      <c r="A1689" s="6" t="s">
        <v>4506</v>
      </c>
      <c r="B1689" s="6">
        <v>2019</v>
      </c>
      <c r="C1689" s="6">
        <v>12</v>
      </c>
      <c r="D1689" s="7">
        <v>100</v>
      </c>
      <c r="E1689" s="6" t="s">
        <v>4121</v>
      </c>
      <c r="F1689" s="6" t="s">
        <v>4508</v>
      </c>
      <c r="G1689" s="6" t="s">
        <v>25</v>
      </c>
      <c r="H1689" s="8">
        <v>435543</v>
      </c>
      <c r="I1689" s="8"/>
      <c r="J1689" s="6" t="s">
        <v>3513</v>
      </c>
      <c r="K1689" s="6" t="s">
        <v>402</v>
      </c>
      <c r="L1689" s="6" t="s">
        <v>4510</v>
      </c>
      <c r="M1689" s="6" t="s">
        <v>4511</v>
      </c>
      <c r="N1689" s="6" t="s">
        <v>402</v>
      </c>
      <c r="O1689" s="29">
        <f t="shared" ref="O1689:O1752" si="38">I1689*1.05</f>
        <v>0</v>
      </c>
      <c r="Q1689" s="30" t="s">
        <v>402</v>
      </c>
      <c r="R1689" s="31">
        <v>0</v>
      </c>
    </row>
    <row r="1690" s="1" customFormat="1" ht="16.35" hidden="1" customHeight="1" spans="1:18">
      <c r="A1690" s="6" t="s">
        <v>4506</v>
      </c>
      <c r="B1690" s="6">
        <v>2019</v>
      </c>
      <c r="C1690" s="6">
        <v>12</v>
      </c>
      <c r="D1690" s="7">
        <v>100</v>
      </c>
      <c r="E1690" s="6" t="s">
        <v>4121</v>
      </c>
      <c r="F1690" s="6" t="s">
        <v>4508</v>
      </c>
      <c r="G1690" s="6" t="s">
        <v>25</v>
      </c>
      <c r="H1690" s="8">
        <v>273325</v>
      </c>
      <c r="I1690" s="8"/>
      <c r="J1690" s="6" t="s">
        <v>3516</v>
      </c>
      <c r="K1690" s="6" t="s">
        <v>814</v>
      </c>
      <c r="L1690" s="6" t="s">
        <v>4510</v>
      </c>
      <c r="M1690" s="6" t="s">
        <v>4511</v>
      </c>
      <c r="N1690" s="6" t="s">
        <v>814</v>
      </c>
      <c r="O1690" s="29">
        <f t="shared" si="38"/>
        <v>0</v>
      </c>
      <c r="Q1690" s="30" t="s">
        <v>814</v>
      </c>
      <c r="R1690" s="31">
        <v>0</v>
      </c>
    </row>
    <row r="1691" s="1" customFormat="1" ht="16.35" hidden="1" customHeight="1" spans="1:18">
      <c r="A1691" s="6" t="s">
        <v>4506</v>
      </c>
      <c r="B1691" s="6">
        <v>2019</v>
      </c>
      <c r="C1691" s="6">
        <v>12</v>
      </c>
      <c r="D1691" s="7">
        <v>100</v>
      </c>
      <c r="E1691" s="6" t="s">
        <v>4121</v>
      </c>
      <c r="F1691" s="6" t="s">
        <v>4508</v>
      </c>
      <c r="G1691" s="6" t="s">
        <v>25</v>
      </c>
      <c r="H1691" s="8">
        <v>193605</v>
      </c>
      <c r="I1691" s="8"/>
      <c r="J1691" s="6" t="s">
        <v>3435</v>
      </c>
      <c r="K1691" s="6" t="s">
        <v>727</v>
      </c>
      <c r="L1691" s="6" t="s">
        <v>4510</v>
      </c>
      <c r="M1691" s="6" t="s">
        <v>4511</v>
      </c>
      <c r="N1691" s="6" t="s">
        <v>727</v>
      </c>
      <c r="O1691" s="29">
        <f t="shared" si="38"/>
        <v>0</v>
      </c>
      <c r="Q1691" s="30" t="s">
        <v>727</v>
      </c>
      <c r="R1691" s="31">
        <v>0</v>
      </c>
    </row>
    <row r="1692" s="1" customFormat="1" ht="16.35" hidden="1" customHeight="1" spans="1:18">
      <c r="A1692" s="6" t="s">
        <v>4506</v>
      </c>
      <c r="B1692" s="6">
        <v>2019</v>
      </c>
      <c r="C1692" s="6">
        <v>12</v>
      </c>
      <c r="D1692" s="7">
        <v>100</v>
      </c>
      <c r="E1692" s="6" t="s">
        <v>4121</v>
      </c>
      <c r="F1692" s="6" t="s">
        <v>4508</v>
      </c>
      <c r="G1692" s="6" t="s">
        <v>25</v>
      </c>
      <c r="H1692" s="8">
        <v>277202</v>
      </c>
      <c r="I1692" s="8"/>
      <c r="J1692" s="6" t="s">
        <v>3520</v>
      </c>
      <c r="K1692" s="6" t="s">
        <v>818</v>
      </c>
      <c r="L1692" s="6" t="s">
        <v>4510</v>
      </c>
      <c r="M1692" s="6" t="s">
        <v>4511</v>
      </c>
      <c r="N1692" s="6" t="s">
        <v>818</v>
      </c>
      <c r="O1692" s="29">
        <f t="shared" si="38"/>
        <v>0</v>
      </c>
      <c r="Q1692" s="30" t="s">
        <v>818</v>
      </c>
      <c r="R1692" s="31">
        <v>0</v>
      </c>
    </row>
    <row r="1693" s="1" customFormat="1" ht="16.35" hidden="1" customHeight="1" spans="1:18">
      <c r="A1693" s="6" t="s">
        <v>4506</v>
      </c>
      <c r="B1693" s="6">
        <v>2019</v>
      </c>
      <c r="C1693" s="6">
        <v>12</v>
      </c>
      <c r="D1693" s="7">
        <v>100</v>
      </c>
      <c r="E1693" s="6" t="s">
        <v>4121</v>
      </c>
      <c r="F1693" s="6" t="s">
        <v>4508</v>
      </c>
      <c r="G1693" s="6" t="s">
        <v>25</v>
      </c>
      <c r="H1693" s="8">
        <v>270666</v>
      </c>
      <c r="I1693" s="8"/>
      <c r="J1693" s="6" t="s">
        <v>3522</v>
      </c>
      <c r="K1693" s="6" t="s">
        <v>777</v>
      </c>
      <c r="L1693" s="6" t="s">
        <v>4510</v>
      </c>
      <c r="M1693" s="6" t="s">
        <v>4511</v>
      </c>
      <c r="N1693" s="6" t="s">
        <v>777</v>
      </c>
      <c r="O1693" s="29">
        <f t="shared" si="38"/>
        <v>0</v>
      </c>
      <c r="Q1693" s="30" t="s">
        <v>777</v>
      </c>
      <c r="R1693" s="31">
        <v>0</v>
      </c>
    </row>
    <row r="1694" s="1" customFormat="1" ht="16.35" hidden="1" customHeight="1" spans="1:18">
      <c r="A1694" s="6" t="s">
        <v>4506</v>
      </c>
      <c r="B1694" s="6">
        <v>2019</v>
      </c>
      <c r="C1694" s="6">
        <v>12</v>
      </c>
      <c r="D1694" s="7">
        <v>100</v>
      </c>
      <c r="E1694" s="6" t="s">
        <v>4121</v>
      </c>
      <c r="F1694" s="6" t="s">
        <v>4508</v>
      </c>
      <c r="G1694" s="6" t="s">
        <v>25</v>
      </c>
      <c r="H1694" s="8">
        <v>285925</v>
      </c>
      <c r="I1694" s="8"/>
      <c r="J1694" s="6" t="s">
        <v>3525</v>
      </c>
      <c r="K1694" s="6" t="s">
        <v>832</v>
      </c>
      <c r="L1694" s="6" t="s">
        <v>4510</v>
      </c>
      <c r="M1694" s="6" t="s">
        <v>4511</v>
      </c>
      <c r="N1694" s="6" t="s">
        <v>832</v>
      </c>
      <c r="O1694" s="29">
        <f t="shared" si="38"/>
        <v>0</v>
      </c>
      <c r="Q1694" s="30" t="s">
        <v>832</v>
      </c>
      <c r="R1694" s="31">
        <v>0</v>
      </c>
    </row>
    <row r="1695" s="1" customFormat="1" ht="16.35" hidden="1" customHeight="1" spans="1:18">
      <c r="A1695" s="6" t="s">
        <v>4506</v>
      </c>
      <c r="B1695" s="6">
        <v>2019</v>
      </c>
      <c r="C1695" s="6">
        <v>12</v>
      </c>
      <c r="D1695" s="7">
        <v>100</v>
      </c>
      <c r="E1695" s="6" t="s">
        <v>4121</v>
      </c>
      <c r="F1695" s="6" t="s">
        <v>4508</v>
      </c>
      <c r="G1695" s="6" t="s">
        <v>25</v>
      </c>
      <c r="H1695" s="8">
        <v>192160</v>
      </c>
      <c r="I1695" s="8"/>
      <c r="J1695" s="6" t="s">
        <v>3537</v>
      </c>
      <c r="K1695" s="6" t="s">
        <v>711</v>
      </c>
      <c r="L1695" s="6" t="s">
        <v>4510</v>
      </c>
      <c r="M1695" s="6" t="s">
        <v>4511</v>
      </c>
      <c r="N1695" s="6" t="s">
        <v>711</v>
      </c>
      <c r="O1695" s="29">
        <f t="shared" si="38"/>
        <v>0</v>
      </c>
      <c r="Q1695" s="30" t="s">
        <v>711</v>
      </c>
      <c r="R1695" s="31">
        <v>0</v>
      </c>
    </row>
    <row r="1696" s="1" customFormat="1" ht="16.35" hidden="1" customHeight="1" spans="1:18">
      <c r="A1696" s="6" t="s">
        <v>4506</v>
      </c>
      <c r="B1696" s="6">
        <v>2019</v>
      </c>
      <c r="C1696" s="6">
        <v>12</v>
      </c>
      <c r="D1696" s="7">
        <v>100</v>
      </c>
      <c r="E1696" s="6" t="s">
        <v>4121</v>
      </c>
      <c r="F1696" s="6" t="s">
        <v>4508</v>
      </c>
      <c r="G1696" s="6" t="s">
        <v>25</v>
      </c>
      <c r="H1696" s="8">
        <v>261501</v>
      </c>
      <c r="I1696" s="8"/>
      <c r="J1696" s="6" t="s">
        <v>3540</v>
      </c>
      <c r="K1696" s="6" t="s">
        <v>812</v>
      </c>
      <c r="L1696" s="6" t="s">
        <v>4510</v>
      </c>
      <c r="M1696" s="6" t="s">
        <v>4511</v>
      </c>
      <c r="N1696" s="6" t="s">
        <v>812</v>
      </c>
      <c r="O1696" s="29">
        <f t="shared" si="38"/>
        <v>0</v>
      </c>
      <c r="Q1696" s="30" t="s">
        <v>812</v>
      </c>
      <c r="R1696" s="31">
        <v>0</v>
      </c>
    </row>
    <row r="1697" s="1" customFormat="1" ht="16.35" hidden="1" customHeight="1" spans="1:18">
      <c r="A1697" s="6" t="s">
        <v>4506</v>
      </c>
      <c r="B1697" s="6">
        <v>2019</v>
      </c>
      <c r="C1697" s="6">
        <v>12</v>
      </c>
      <c r="D1697" s="7">
        <v>100</v>
      </c>
      <c r="E1697" s="6" t="s">
        <v>4121</v>
      </c>
      <c r="F1697" s="6" t="s">
        <v>4508</v>
      </c>
      <c r="G1697" s="6" t="s">
        <v>25</v>
      </c>
      <c r="H1697" s="8">
        <v>-12955</v>
      </c>
      <c r="I1697" s="8"/>
      <c r="J1697" s="6" t="s">
        <v>3547</v>
      </c>
      <c r="K1697" s="6" t="s">
        <v>4701</v>
      </c>
      <c r="L1697" s="6" t="s">
        <v>4510</v>
      </c>
      <c r="M1697" s="6" t="s">
        <v>4511</v>
      </c>
      <c r="N1697" s="6" t="s">
        <v>4701</v>
      </c>
      <c r="O1697" s="29">
        <f t="shared" si="38"/>
        <v>0</v>
      </c>
      <c r="Q1697" s="30" t="s">
        <v>4701</v>
      </c>
      <c r="R1697" s="31">
        <v>0</v>
      </c>
    </row>
    <row r="1698" s="1" customFormat="1" ht="16.35" hidden="1" customHeight="1" spans="1:18">
      <c r="A1698" s="6" t="s">
        <v>4506</v>
      </c>
      <c r="B1698" s="6">
        <v>2019</v>
      </c>
      <c r="C1698" s="6">
        <v>12</v>
      </c>
      <c r="D1698" s="7">
        <v>100</v>
      </c>
      <c r="E1698" s="6" t="s">
        <v>4121</v>
      </c>
      <c r="F1698" s="6" t="s">
        <v>4508</v>
      </c>
      <c r="G1698" s="6" t="s">
        <v>25</v>
      </c>
      <c r="H1698" s="8">
        <v>283017</v>
      </c>
      <c r="I1698" s="8"/>
      <c r="J1698" s="6" t="s">
        <v>3550</v>
      </c>
      <c r="K1698" s="6" t="s">
        <v>840</v>
      </c>
      <c r="L1698" s="6" t="s">
        <v>4510</v>
      </c>
      <c r="M1698" s="6" t="s">
        <v>4511</v>
      </c>
      <c r="N1698" s="6" t="s">
        <v>840</v>
      </c>
      <c r="O1698" s="29">
        <f t="shared" si="38"/>
        <v>0</v>
      </c>
      <c r="Q1698" s="30" t="s">
        <v>840</v>
      </c>
      <c r="R1698" s="31">
        <v>0</v>
      </c>
    </row>
    <row r="1699" s="1" customFormat="1" ht="16.35" hidden="1" customHeight="1" spans="1:18">
      <c r="A1699" s="6" t="s">
        <v>4506</v>
      </c>
      <c r="B1699" s="6">
        <v>2019</v>
      </c>
      <c r="C1699" s="6">
        <v>12</v>
      </c>
      <c r="D1699" s="7">
        <v>100</v>
      </c>
      <c r="E1699" s="6" t="s">
        <v>4121</v>
      </c>
      <c r="F1699" s="6" t="s">
        <v>4508</v>
      </c>
      <c r="G1699" s="6" t="s">
        <v>25</v>
      </c>
      <c r="H1699" s="8">
        <v>328902</v>
      </c>
      <c r="I1699" s="8"/>
      <c r="J1699" s="6" t="s">
        <v>3552</v>
      </c>
      <c r="K1699" s="6" t="s">
        <v>539</v>
      </c>
      <c r="L1699" s="6" t="s">
        <v>4510</v>
      </c>
      <c r="M1699" s="6" t="s">
        <v>4511</v>
      </c>
      <c r="N1699" s="6" t="s">
        <v>539</v>
      </c>
      <c r="O1699" s="29">
        <f t="shared" si="38"/>
        <v>0</v>
      </c>
      <c r="Q1699" s="30" t="s">
        <v>539</v>
      </c>
      <c r="R1699" s="31">
        <v>0</v>
      </c>
    </row>
    <row r="1700" s="1" customFormat="1" ht="16.35" hidden="1" customHeight="1" spans="1:18">
      <c r="A1700" s="6" t="s">
        <v>4506</v>
      </c>
      <c r="B1700" s="6">
        <v>2019</v>
      </c>
      <c r="C1700" s="6">
        <v>12</v>
      </c>
      <c r="D1700" s="7">
        <v>100</v>
      </c>
      <c r="E1700" s="6" t="s">
        <v>4121</v>
      </c>
      <c r="F1700" s="6" t="s">
        <v>4508</v>
      </c>
      <c r="G1700" s="6" t="s">
        <v>25</v>
      </c>
      <c r="H1700" s="8">
        <v>185072</v>
      </c>
      <c r="I1700" s="8"/>
      <c r="J1700" s="6" t="s">
        <v>3554</v>
      </c>
      <c r="K1700" s="6" t="s">
        <v>719</v>
      </c>
      <c r="L1700" s="6" t="s">
        <v>4510</v>
      </c>
      <c r="M1700" s="6" t="s">
        <v>4511</v>
      </c>
      <c r="N1700" s="6" t="s">
        <v>719</v>
      </c>
      <c r="O1700" s="29">
        <f t="shared" si="38"/>
        <v>0</v>
      </c>
      <c r="Q1700" s="30" t="s">
        <v>719</v>
      </c>
      <c r="R1700" s="31">
        <v>0</v>
      </c>
    </row>
    <row r="1701" s="1" customFormat="1" ht="16.35" hidden="1" customHeight="1" spans="1:18">
      <c r="A1701" s="6" t="s">
        <v>4506</v>
      </c>
      <c r="B1701" s="6">
        <v>2019</v>
      </c>
      <c r="C1701" s="6">
        <v>12</v>
      </c>
      <c r="D1701" s="7">
        <v>100</v>
      </c>
      <c r="E1701" s="6" t="s">
        <v>4121</v>
      </c>
      <c r="F1701" s="6" t="s">
        <v>4508</v>
      </c>
      <c r="G1701" s="6" t="s">
        <v>25</v>
      </c>
      <c r="H1701" s="8">
        <v>155093</v>
      </c>
      <c r="I1701" s="8"/>
      <c r="J1701" s="6" t="s">
        <v>3556</v>
      </c>
      <c r="K1701" s="6" t="s">
        <v>897</v>
      </c>
      <c r="L1701" s="6" t="s">
        <v>4510</v>
      </c>
      <c r="M1701" s="6" t="s">
        <v>4511</v>
      </c>
      <c r="N1701" s="6" t="s">
        <v>897</v>
      </c>
      <c r="O1701" s="29">
        <f t="shared" si="38"/>
        <v>0</v>
      </c>
      <c r="Q1701" s="30" t="s">
        <v>897</v>
      </c>
      <c r="R1701" s="31">
        <v>0</v>
      </c>
    </row>
    <row r="1702" s="1" customFormat="1" ht="16.35" hidden="1" customHeight="1" spans="1:18">
      <c r="A1702" s="6" t="s">
        <v>4506</v>
      </c>
      <c r="B1702" s="6">
        <v>2019</v>
      </c>
      <c r="C1702" s="6">
        <v>12</v>
      </c>
      <c r="D1702" s="7">
        <v>100</v>
      </c>
      <c r="E1702" s="6" t="s">
        <v>4121</v>
      </c>
      <c r="F1702" s="6" t="s">
        <v>4508</v>
      </c>
      <c r="G1702" s="6" t="s">
        <v>25</v>
      </c>
      <c r="H1702" s="8">
        <v>278401</v>
      </c>
      <c r="I1702" s="8"/>
      <c r="J1702" s="6" t="s">
        <v>3558</v>
      </c>
      <c r="K1702" s="6" t="s">
        <v>874</v>
      </c>
      <c r="L1702" s="6" t="s">
        <v>4510</v>
      </c>
      <c r="M1702" s="6" t="s">
        <v>4511</v>
      </c>
      <c r="N1702" s="6" t="s">
        <v>874</v>
      </c>
      <c r="O1702" s="29">
        <f t="shared" si="38"/>
        <v>0</v>
      </c>
      <c r="Q1702" s="30" t="s">
        <v>874</v>
      </c>
      <c r="R1702" s="31">
        <v>0</v>
      </c>
    </row>
    <row r="1703" s="1" customFormat="1" ht="16.35" hidden="1" customHeight="1" spans="1:18">
      <c r="A1703" s="6" t="s">
        <v>4506</v>
      </c>
      <c r="B1703" s="6">
        <v>2019</v>
      </c>
      <c r="C1703" s="6">
        <v>12</v>
      </c>
      <c r="D1703" s="7">
        <v>100</v>
      </c>
      <c r="E1703" s="6" t="s">
        <v>4121</v>
      </c>
      <c r="F1703" s="6" t="s">
        <v>4508</v>
      </c>
      <c r="G1703" s="6" t="s">
        <v>25</v>
      </c>
      <c r="H1703" s="8">
        <v>276466</v>
      </c>
      <c r="I1703" s="8"/>
      <c r="J1703" s="6" t="s">
        <v>3561</v>
      </c>
      <c r="K1703" s="6" t="s">
        <v>848</v>
      </c>
      <c r="L1703" s="6" t="s">
        <v>4510</v>
      </c>
      <c r="M1703" s="6" t="s">
        <v>4511</v>
      </c>
      <c r="N1703" s="6" t="s">
        <v>848</v>
      </c>
      <c r="O1703" s="29">
        <f t="shared" si="38"/>
        <v>0</v>
      </c>
      <c r="Q1703" s="30" t="s">
        <v>848</v>
      </c>
      <c r="R1703" s="31">
        <v>0</v>
      </c>
    </row>
    <row r="1704" s="1" customFormat="1" ht="16.35" hidden="1" customHeight="1" spans="1:18">
      <c r="A1704" s="6" t="s">
        <v>4506</v>
      </c>
      <c r="B1704" s="6">
        <v>2019</v>
      </c>
      <c r="C1704" s="6">
        <v>12</v>
      </c>
      <c r="D1704" s="7">
        <v>100</v>
      </c>
      <c r="E1704" s="6" t="s">
        <v>4121</v>
      </c>
      <c r="F1704" s="6" t="s">
        <v>4508</v>
      </c>
      <c r="G1704" s="6" t="s">
        <v>25</v>
      </c>
      <c r="H1704" s="8">
        <v>196633</v>
      </c>
      <c r="I1704" s="8"/>
      <c r="J1704" s="6" t="s">
        <v>3563</v>
      </c>
      <c r="K1704" s="6" t="s">
        <v>689</v>
      </c>
      <c r="L1704" s="6" t="s">
        <v>4510</v>
      </c>
      <c r="M1704" s="6" t="s">
        <v>4511</v>
      </c>
      <c r="N1704" s="6" t="s">
        <v>689</v>
      </c>
      <c r="O1704" s="29">
        <f t="shared" si="38"/>
        <v>0</v>
      </c>
      <c r="Q1704" s="30" t="s">
        <v>689</v>
      </c>
      <c r="R1704" s="31">
        <v>0</v>
      </c>
    </row>
    <row r="1705" s="1" customFormat="1" ht="16.35" hidden="1" customHeight="1" spans="1:18">
      <c r="A1705" s="6" t="s">
        <v>4506</v>
      </c>
      <c r="B1705" s="6">
        <v>2019</v>
      </c>
      <c r="C1705" s="6">
        <v>12</v>
      </c>
      <c r="D1705" s="7">
        <v>100</v>
      </c>
      <c r="E1705" s="6" t="s">
        <v>4121</v>
      </c>
      <c r="F1705" s="6" t="s">
        <v>4508</v>
      </c>
      <c r="G1705" s="6" t="s">
        <v>25</v>
      </c>
      <c r="H1705" s="8">
        <v>271634</v>
      </c>
      <c r="I1705" s="8"/>
      <c r="J1705" s="6" t="s">
        <v>3565</v>
      </c>
      <c r="K1705" s="6" t="s">
        <v>784</v>
      </c>
      <c r="L1705" s="6" t="s">
        <v>4510</v>
      </c>
      <c r="M1705" s="6" t="s">
        <v>4511</v>
      </c>
      <c r="N1705" s="6" t="s">
        <v>784</v>
      </c>
      <c r="O1705" s="29">
        <f t="shared" si="38"/>
        <v>0</v>
      </c>
      <c r="Q1705" s="30" t="s">
        <v>784</v>
      </c>
      <c r="R1705" s="31">
        <v>0</v>
      </c>
    </row>
    <row r="1706" s="1" customFormat="1" ht="16.35" hidden="1" customHeight="1" spans="1:18">
      <c r="A1706" s="6" t="s">
        <v>4506</v>
      </c>
      <c r="B1706" s="6">
        <v>2019</v>
      </c>
      <c r="C1706" s="6">
        <v>12</v>
      </c>
      <c r="D1706" s="7">
        <v>100</v>
      </c>
      <c r="E1706" s="6" t="s">
        <v>4121</v>
      </c>
      <c r="F1706" s="6" t="s">
        <v>4508</v>
      </c>
      <c r="G1706" s="6" t="s">
        <v>25</v>
      </c>
      <c r="H1706" s="8">
        <v>278400</v>
      </c>
      <c r="I1706" s="8"/>
      <c r="J1706" s="6" t="s">
        <v>3567</v>
      </c>
      <c r="K1706" s="6" t="s">
        <v>870</v>
      </c>
      <c r="L1706" s="6" t="s">
        <v>4510</v>
      </c>
      <c r="M1706" s="6" t="s">
        <v>4511</v>
      </c>
      <c r="N1706" s="6" t="s">
        <v>870</v>
      </c>
      <c r="O1706" s="29">
        <f t="shared" si="38"/>
        <v>0</v>
      </c>
      <c r="Q1706" s="30" t="s">
        <v>870</v>
      </c>
      <c r="R1706" s="31">
        <v>0</v>
      </c>
    </row>
    <row r="1707" s="1" customFormat="1" ht="16.35" hidden="1" customHeight="1" spans="1:18">
      <c r="A1707" s="6" t="s">
        <v>4506</v>
      </c>
      <c r="B1707" s="6">
        <v>2019</v>
      </c>
      <c r="C1707" s="6">
        <v>12</v>
      </c>
      <c r="D1707" s="7">
        <v>100</v>
      </c>
      <c r="E1707" s="6" t="s">
        <v>4121</v>
      </c>
      <c r="F1707" s="6" t="s">
        <v>4508</v>
      </c>
      <c r="G1707" s="6" t="s">
        <v>25</v>
      </c>
      <c r="H1707" s="8">
        <v>175097</v>
      </c>
      <c r="I1707" s="8"/>
      <c r="J1707" s="6" t="s">
        <v>3569</v>
      </c>
      <c r="K1707" s="6" t="s">
        <v>759</v>
      </c>
      <c r="L1707" s="6" t="s">
        <v>4510</v>
      </c>
      <c r="M1707" s="6" t="s">
        <v>4511</v>
      </c>
      <c r="N1707" s="6" t="s">
        <v>759</v>
      </c>
      <c r="O1707" s="29">
        <f t="shared" si="38"/>
        <v>0</v>
      </c>
      <c r="Q1707" s="30" t="s">
        <v>759</v>
      </c>
      <c r="R1707" s="31">
        <v>0</v>
      </c>
    </row>
    <row r="1708" s="1" customFormat="1" ht="16.35" hidden="1" customHeight="1" spans="1:18">
      <c r="A1708" s="6" t="s">
        <v>4506</v>
      </c>
      <c r="B1708" s="6">
        <v>2019</v>
      </c>
      <c r="C1708" s="6">
        <v>12</v>
      </c>
      <c r="D1708" s="7">
        <v>100</v>
      </c>
      <c r="E1708" s="6" t="s">
        <v>4121</v>
      </c>
      <c r="F1708" s="6" t="s">
        <v>4508</v>
      </c>
      <c r="G1708" s="6" t="s">
        <v>25</v>
      </c>
      <c r="H1708" s="8">
        <v>278171</v>
      </c>
      <c r="I1708" s="8"/>
      <c r="J1708" s="6" t="s">
        <v>3571</v>
      </c>
      <c r="K1708" s="6" t="s">
        <v>826</v>
      </c>
      <c r="L1708" s="6" t="s">
        <v>4510</v>
      </c>
      <c r="M1708" s="6" t="s">
        <v>4511</v>
      </c>
      <c r="N1708" s="6" t="s">
        <v>826</v>
      </c>
      <c r="O1708" s="29">
        <f t="shared" si="38"/>
        <v>0</v>
      </c>
      <c r="Q1708" s="30" t="s">
        <v>826</v>
      </c>
      <c r="R1708" s="31">
        <v>0</v>
      </c>
    </row>
    <row r="1709" s="1" customFormat="1" ht="16.35" hidden="1" customHeight="1" spans="1:18">
      <c r="A1709" s="6" t="s">
        <v>4506</v>
      </c>
      <c r="B1709" s="6">
        <v>2019</v>
      </c>
      <c r="C1709" s="6">
        <v>12</v>
      </c>
      <c r="D1709" s="7">
        <v>100</v>
      </c>
      <c r="E1709" s="6" t="s">
        <v>4121</v>
      </c>
      <c r="F1709" s="6" t="s">
        <v>4508</v>
      </c>
      <c r="G1709" s="6" t="s">
        <v>25</v>
      </c>
      <c r="H1709" s="8">
        <v>283987</v>
      </c>
      <c r="I1709" s="8"/>
      <c r="J1709" s="6" t="s">
        <v>3573</v>
      </c>
      <c r="K1709" s="6" t="s">
        <v>836</v>
      </c>
      <c r="L1709" s="6" t="s">
        <v>4510</v>
      </c>
      <c r="M1709" s="6" t="s">
        <v>4511</v>
      </c>
      <c r="N1709" s="6" t="s">
        <v>836</v>
      </c>
      <c r="O1709" s="29">
        <f t="shared" si="38"/>
        <v>0</v>
      </c>
      <c r="Q1709" s="30" t="s">
        <v>836</v>
      </c>
      <c r="R1709" s="31">
        <v>0</v>
      </c>
    </row>
    <row r="1710" s="1" customFormat="1" ht="16.35" hidden="1" customHeight="1" spans="1:18">
      <c r="A1710" s="6" t="s">
        <v>4506</v>
      </c>
      <c r="B1710" s="6">
        <v>2019</v>
      </c>
      <c r="C1710" s="6">
        <v>12</v>
      </c>
      <c r="D1710" s="7">
        <v>100</v>
      </c>
      <c r="E1710" s="6" t="s">
        <v>4121</v>
      </c>
      <c r="F1710" s="6" t="s">
        <v>4508</v>
      </c>
      <c r="G1710" s="6" t="s">
        <v>25</v>
      </c>
      <c r="H1710" s="8">
        <v>272406</v>
      </c>
      <c r="I1710" s="8"/>
      <c r="J1710" s="6" t="s">
        <v>3575</v>
      </c>
      <c r="K1710" s="6" t="s">
        <v>876</v>
      </c>
      <c r="L1710" s="6" t="s">
        <v>4510</v>
      </c>
      <c r="M1710" s="6" t="s">
        <v>4511</v>
      </c>
      <c r="N1710" s="6" t="s">
        <v>876</v>
      </c>
      <c r="O1710" s="29">
        <f t="shared" si="38"/>
        <v>0</v>
      </c>
      <c r="Q1710" s="30" t="s">
        <v>876</v>
      </c>
      <c r="R1710" s="31">
        <v>0</v>
      </c>
    </row>
    <row r="1711" s="1" customFormat="1" ht="16.35" hidden="1" customHeight="1" spans="1:18">
      <c r="A1711" s="6" t="s">
        <v>4506</v>
      </c>
      <c r="B1711" s="6">
        <v>2019</v>
      </c>
      <c r="C1711" s="6">
        <v>12</v>
      </c>
      <c r="D1711" s="7">
        <v>100</v>
      </c>
      <c r="E1711" s="6" t="s">
        <v>4121</v>
      </c>
      <c r="F1711" s="6" t="s">
        <v>4508</v>
      </c>
      <c r="G1711" s="6" t="s">
        <v>25</v>
      </c>
      <c r="H1711" s="8">
        <v>20815</v>
      </c>
      <c r="I1711" s="8"/>
      <c r="J1711" s="6" t="s">
        <v>3518</v>
      </c>
      <c r="K1711" s="6" t="s">
        <v>954</v>
      </c>
      <c r="L1711" s="6" t="s">
        <v>4510</v>
      </c>
      <c r="M1711" s="6" t="s">
        <v>4511</v>
      </c>
      <c r="N1711" s="6" t="s">
        <v>954</v>
      </c>
      <c r="O1711" s="29">
        <f t="shared" si="38"/>
        <v>0</v>
      </c>
      <c r="Q1711" s="30" t="s">
        <v>954</v>
      </c>
      <c r="R1711" s="31">
        <v>0</v>
      </c>
    </row>
    <row r="1712" s="1" customFormat="1" ht="16.35" hidden="1" customHeight="1" spans="1:18">
      <c r="A1712" s="6" t="s">
        <v>4506</v>
      </c>
      <c r="B1712" s="6">
        <v>2019</v>
      </c>
      <c r="C1712" s="6">
        <v>12</v>
      </c>
      <c r="D1712" s="7">
        <v>100</v>
      </c>
      <c r="E1712" s="6" t="s">
        <v>4121</v>
      </c>
      <c r="F1712" s="6" t="s">
        <v>4508</v>
      </c>
      <c r="G1712" s="6" t="s">
        <v>25</v>
      </c>
      <c r="H1712" s="8">
        <v>321257</v>
      </c>
      <c r="I1712" s="8"/>
      <c r="J1712" s="6" t="s">
        <v>3580</v>
      </c>
      <c r="K1712" s="6" t="s">
        <v>527</v>
      </c>
      <c r="L1712" s="6" t="s">
        <v>4510</v>
      </c>
      <c r="M1712" s="6" t="s">
        <v>4511</v>
      </c>
      <c r="N1712" s="6" t="s">
        <v>527</v>
      </c>
      <c r="O1712" s="29">
        <f t="shared" si="38"/>
        <v>0</v>
      </c>
      <c r="Q1712" s="30" t="s">
        <v>527</v>
      </c>
      <c r="R1712" s="31">
        <v>0</v>
      </c>
    </row>
    <row r="1713" s="1" customFormat="1" ht="16.35" hidden="1" customHeight="1" spans="1:18">
      <c r="A1713" s="6" t="s">
        <v>4506</v>
      </c>
      <c r="B1713" s="6">
        <v>2019</v>
      </c>
      <c r="C1713" s="6">
        <v>12</v>
      </c>
      <c r="D1713" s="7">
        <v>100</v>
      </c>
      <c r="E1713" s="6" t="s">
        <v>4121</v>
      </c>
      <c r="F1713" s="6" t="s">
        <v>4508</v>
      </c>
      <c r="G1713" s="6" t="s">
        <v>25</v>
      </c>
      <c r="H1713" s="8">
        <v>304089.95</v>
      </c>
      <c r="I1713" s="8"/>
      <c r="J1713" s="6" t="s">
        <v>3582</v>
      </c>
      <c r="K1713" s="6" t="s">
        <v>116</v>
      </c>
      <c r="L1713" s="6" t="s">
        <v>4510</v>
      </c>
      <c r="M1713" s="6" t="s">
        <v>4511</v>
      </c>
      <c r="N1713" s="6" t="s">
        <v>116</v>
      </c>
      <c r="O1713" s="29">
        <f t="shared" si="38"/>
        <v>0</v>
      </c>
      <c r="Q1713" s="30" t="s">
        <v>116</v>
      </c>
      <c r="R1713" s="31">
        <v>0</v>
      </c>
    </row>
    <row r="1714" s="1" customFormat="1" ht="16.35" hidden="1" customHeight="1" spans="1:18">
      <c r="A1714" s="6" t="s">
        <v>4506</v>
      </c>
      <c r="B1714" s="6">
        <v>2019</v>
      </c>
      <c r="C1714" s="6">
        <v>12</v>
      </c>
      <c r="D1714" s="7">
        <v>100</v>
      </c>
      <c r="E1714" s="6" t="s">
        <v>4121</v>
      </c>
      <c r="F1714" s="6" t="s">
        <v>4508</v>
      </c>
      <c r="G1714" s="6" t="s">
        <v>25</v>
      </c>
      <c r="H1714" s="8">
        <v>338468</v>
      </c>
      <c r="I1714" s="8"/>
      <c r="J1714" s="6" t="s">
        <v>3584</v>
      </c>
      <c r="K1714" s="6" t="s">
        <v>543</v>
      </c>
      <c r="L1714" s="6" t="s">
        <v>4510</v>
      </c>
      <c r="M1714" s="6" t="s">
        <v>4511</v>
      </c>
      <c r="N1714" s="6" t="s">
        <v>543</v>
      </c>
      <c r="O1714" s="29">
        <f t="shared" si="38"/>
        <v>0</v>
      </c>
      <c r="Q1714" s="30" t="s">
        <v>543</v>
      </c>
      <c r="R1714" s="31">
        <v>0</v>
      </c>
    </row>
    <row r="1715" s="1" customFormat="1" ht="16.35" hidden="1" customHeight="1" spans="1:18">
      <c r="A1715" s="6" t="s">
        <v>4506</v>
      </c>
      <c r="B1715" s="6">
        <v>2019</v>
      </c>
      <c r="C1715" s="6">
        <v>12</v>
      </c>
      <c r="D1715" s="7">
        <v>100</v>
      </c>
      <c r="E1715" s="6" t="s">
        <v>4121</v>
      </c>
      <c r="F1715" s="6" t="s">
        <v>4508</v>
      </c>
      <c r="G1715" s="6" t="s">
        <v>25</v>
      </c>
      <c r="H1715" s="8">
        <v>270666</v>
      </c>
      <c r="I1715" s="8"/>
      <c r="J1715" s="6" t="s">
        <v>3586</v>
      </c>
      <c r="K1715" s="6" t="s">
        <v>782</v>
      </c>
      <c r="L1715" s="6" t="s">
        <v>4510</v>
      </c>
      <c r="M1715" s="6" t="s">
        <v>4511</v>
      </c>
      <c r="N1715" s="6" t="s">
        <v>782</v>
      </c>
      <c r="O1715" s="29">
        <f t="shared" si="38"/>
        <v>0</v>
      </c>
      <c r="Q1715" s="30" t="s">
        <v>782</v>
      </c>
      <c r="R1715" s="31">
        <v>0</v>
      </c>
    </row>
    <row r="1716" s="1" customFormat="1" ht="16.35" hidden="1" customHeight="1" spans="1:18">
      <c r="A1716" s="6" t="s">
        <v>4506</v>
      </c>
      <c r="B1716" s="6">
        <v>2019</v>
      </c>
      <c r="C1716" s="6">
        <v>12</v>
      </c>
      <c r="D1716" s="7">
        <v>100</v>
      </c>
      <c r="E1716" s="6" t="s">
        <v>4121</v>
      </c>
      <c r="F1716" s="6" t="s">
        <v>4508</v>
      </c>
      <c r="G1716" s="6" t="s">
        <v>25</v>
      </c>
      <c r="H1716" s="8">
        <v>277434</v>
      </c>
      <c r="I1716" s="8"/>
      <c r="J1716" s="6" t="s">
        <v>3588</v>
      </c>
      <c r="K1716" s="6" t="s">
        <v>858</v>
      </c>
      <c r="L1716" s="6" t="s">
        <v>4510</v>
      </c>
      <c r="M1716" s="6" t="s">
        <v>4511</v>
      </c>
      <c r="N1716" s="6" t="s">
        <v>858</v>
      </c>
      <c r="O1716" s="29">
        <f t="shared" si="38"/>
        <v>0</v>
      </c>
      <c r="Q1716" s="30" t="s">
        <v>858</v>
      </c>
      <c r="R1716" s="31">
        <v>0</v>
      </c>
    </row>
    <row r="1717" s="1" customFormat="1" ht="16.35" hidden="1" customHeight="1" spans="1:18">
      <c r="A1717" s="6" t="s">
        <v>4506</v>
      </c>
      <c r="B1717" s="6">
        <v>2019</v>
      </c>
      <c r="C1717" s="6">
        <v>12</v>
      </c>
      <c r="D1717" s="7">
        <v>100</v>
      </c>
      <c r="E1717" s="6" t="s">
        <v>4121</v>
      </c>
      <c r="F1717" s="6" t="s">
        <v>4508</v>
      </c>
      <c r="G1717" s="6" t="s">
        <v>25</v>
      </c>
      <c r="H1717" s="8">
        <v>456330</v>
      </c>
      <c r="I1717" s="8"/>
      <c r="J1717" s="6" t="s">
        <v>3590</v>
      </c>
      <c r="K1717" s="6" t="s">
        <v>374</v>
      </c>
      <c r="L1717" s="6" t="s">
        <v>4510</v>
      </c>
      <c r="M1717" s="6" t="s">
        <v>4511</v>
      </c>
      <c r="N1717" s="6" t="s">
        <v>374</v>
      </c>
      <c r="O1717" s="29">
        <f t="shared" si="38"/>
        <v>0</v>
      </c>
      <c r="Q1717" s="30" t="s">
        <v>374</v>
      </c>
      <c r="R1717" s="31">
        <v>0</v>
      </c>
    </row>
    <row r="1718" s="1" customFormat="1" ht="16.35" hidden="1" customHeight="1" spans="1:18">
      <c r="A1718" s="6" t="s">
        <v>4506</v>
      </c>
      <c r="B1718" s="6">
        <v>2019</v>
      </c>
      <c r="C1718" s="6">
        <v>12</v>
      </c>
      <c r="D1718" s="7">
        <v>100</v>
      </c>
      <c r="E1718" s="6" t="s">
        <v>4121</v>
      </c>
      <c r="F1718" s="6" t="s">
        <v>4508</v>
      </c>
      <c r="G1718" s="6" t="s">
        <v>25</v>
      </c>
      <c r="H1718" s="8">
        <v>321249</v>
      </c>
      <c r="I1718" s="8"/>
      <c r="J1718" s="6" t="s">
        <v>3592</v>
      </c>
      <c r="K1718" s="6" t="s">
        <v>523</v>
      </c>
      <c r="L1718" s="6" t="s">
        <v>4510</v>
      </c>
      <c r="M1718" s="6" t="s">
        <v>4511</v>
      </c>
      <c r="N1718" s="6" t="s">
        <v>523</v>
      </c>
      <c r="O1718" s="29">
        <f t="shared" si="38"/>
        <v>0</v>
      </c>
      <c r="Q1718" s="30" t="s">
        <v>523</v>
      </c>
      <c r="R1718" s="31">
        <v>0</v>
      </c>
    </row>
    <row r="1719" s="1" customFormat="1" ht="16.35" hidden="1" customHeight="1" spans="1:18">
      <c r="A1719" s="6" t="s">
        <v>4506</v>
      </c>
      <c r="B1719" s="6">
        <v>2019</v>
      </c>
      <c r="C1719" s="6">
        <v>12</v>
      </c>
      <c r="D1719" s="7">
        <v>100</v>
      </c>
      <c r="E1719" s="6" t="s">
        <v>4121</v>
      </c>
      <c r="F1719" s="6" t="s">
        <v>4508</v>
      </c>
      <c r="G1719" s="6" t="s">
        <v>25</v>
      </c>
      <c r="H1719" s="8">
        <v>261000</v>
      </c>
      <c r="I1719" s="8"/>
      <c r="J1719" s="6" t="s">
        <v>3594</v>
      </c>
      <c r="K1719" s="6" t="s">
        <v>775</v>
      </c>
      <c r="L1719" s="6" t="s">
        <v>4510</v>
      </c>
      <c r="M1719" s="6" t="s">
        <v>4511</v>
      </c>
      <c r="N1719" s="6" t="s">
        <v>775</v>
      </c>
      <c r="O1719" s="29">
        <f t="shared" si="38"/>
        <v>0</v>
      </c>
      <c r="Q1719" s="30" t="s">
        <v>775</v>
      </c>
      <c r="R1719" s="31">
        <v>0</v>
      </c>
    </row>
    <row r="1720" s="1" customFormat="1" ht="16.35" hidden="1" customHeight="1" spans="1:18">
      <c r="A1720" s="6" t="s">
        <v>4506</v>
      </c>
      <c r="B1720" s="6">
        <v>2019</v>
      </c>
      <c r="C1720" s="6">
        <v>12</v>
      </c>
      <c r="D1720" s="7">
        <v>100</v>
      </c>
      <c r="E1720" s="6" t="s">
        <v>4121</v>
      </c>
      <c r="F1720" s="6" t="s">
        <v>4508</v>
      </c>
      <c r="G1720" s="6" t="s">
        <v>25</v>
      </c>
      <c r="H1720" s="8">
        <v>293697.95</v>
      </c>
      <c r="I1720" s="8"/>
      <c r="J1720" s="6" t="s">
        <v>3596</v>
      </c>
      <c r="K1720" s="6" t="s">
        <v>531</v>
      </c>
      <c r="L1720" s="6" t="s">
        <v>4510</v>
      </c>
      <c r="M1720" s="6" t="s">
        <v>4511</v>
      </c>
      <c r="N1720" s="6" t="s">
        <v>531</v>
      </c>
      <c r="O1720" s="29">
        <f t="shared" si="38"/>
        <v>0</v>
      </c>
      <c r="Q1720" s="30" t="s">
        <v>531</v>
      </c>
      <c r="R1720" s="31">
        <v>0</v>
      </c>
    </row>
    <row r="1721" s="1" customFormat="1" ht="16.35" hidden="1" customHeight="1" spans="1:18">
      <c r="A1721" s="6" t="s">
        <v>4506</v>
      </c>
      <c r="B1721" s="6">
        <v>2019</v>
      </c>
      <c r="C1721" s="6">
        <v>12</v>
      </c>
      <c r="D1721" s="7">
        <v>100</v>
      </c>
      <c r="E1721" s="6" t="s">
        <v>4121</v>
      </c>
      <c r="F1721" s="6" t="s">
        <v>4508</v>
      </c>
      <c r="G1721" s="6" t="s">
        <v>25</v>
      </c>
      <c r="H1721" s="8">
        <v>285905</v>
      </c>
      <c r="I1721" s="8"/>
      <c r="J1721" s="6" t="s">
        <v>3598</v>
      </c>
      <c r="K1721" s="6" t="s">
        <v>559</v>
      </c>
      <c r="L1721" s="6" t="s">
        <v>4510</v>
      </c>
      <c r="M1721" s="6" t="s">
        <v>4511</v>
      </c>
      <c r="N1721" s="6" t="s">
        <v>559</v>
      </c>
      <c r="O1721" s="29">
        <f t="shared" si="38"/>
        <v>0</v>
      </c>
      <c r="Q1721" s="30" t="s">
        <v>559</v>
      </c>
      <c r="R1721" s="31">
        <v>0</v>
      </c>
    </row>
    <row r="1722" s="1" customFormat="1" ht="16.35" hidden="1" customHeight="1" spans="1:18">
      <c r="A1722" s="6" t="s">
        <v>4506</v>
      </c>
      <c r="B1722" s="6">
        <v>2019</v>
      </c>
      <c r="C1722" s="6">
        <v>12</v>
      </c>
      <c r="D1722" s="7">
        <v>100</v>
      </c>
      <c r="E1722" s="6" t="s">
        <v>4121</v>
      </c>
      <c r="F1722" s="6" t="s">
        <v>4508</v>
      </c>
      <c r="G1722" s="6" t="s">
        <v>25</v>
      </c>
      <c r="H1722" s="8">
        <v>295610</v>
      </c>
      <c r="I1722" s="8"/>
      <c r="J1722" s="6" t="s">
        <v>3600</v>
      </c>
      <c r="K1722" s="6" t="s">
        <v>615</v>
      </c>
      <c r="L1722" s="6" t="s">
        <v>4510</v>
      </c>
      <c r="M1722" s="6" t="s">
        <v>4511</v>
      </c>
      <c r="N1722" s="6" t="s">
        <v>615</v>
      </c>
      <c r="O1722" s="29">
        <f t="shared" si="38"/>
        <v>0</v>
      </c>
      <c r="Q1722" s="30" t="s">
        <v>615</v>
      </c>
      <c r="R1722" s="31">
        <v>0</v>
      </c>
    </row>
    <row r="1723" s="1" customFormat="1" ht="16.35" hidden="1" customHeight="1" spans="1:18">
      <c r="A1723" s="6" t="s">
        <v>4506</v>
      </c>
      <c r="B1723" s="6">
        <v>2019</v>
      </c>
      <c r="C1723" s="6">
        <v>12</v>
      </c>
      <c r="D1723" s="7">
        <v>100</v>
      </c>
      <c r="E1723" s="6" t="s">
        <v>4121</v>
      </c>
      <c r="F1723" s="6" t="s">
        <v>4508</v>
      </c>
      <c r="G1723" s="6" t="s">
        <v>25</v>
      </c>
      <c r="H1723" s="8">
        <v>263744</v>
      </c>
      <c r="I1723" s="8"/>
      <c r="J1723" s="6" t="s">
        <v>3603</v>
      </c>
      <c r="K1723" s="6" t="s">
        <v>551</v>
      </c>
      <c r="L1723" s="6" t="s">
        <v>4510</v>
      </c>
      <c r="M1723" s="6" t="s">
        <v>4511</v>
      </c>
      <c r="N1723" s="6" t="s">
        <v>551</v>
      </c>
      <c r="O1723" s="29">
        <f t="shared" si="38"/>
        <v>0</v>
      </c>
      <c r="Q1723" s="30" t="s">
        <v>551</v>
      </c>
      <c r="R1723" s="31">
        <v>0</v>
      </c>
    </row>
    <row r="1724" s="1" customFormat="1" ht="16.35" hidden="1" customHeight="1" spans="1:18">
      <c r="A1724" s="6" t="s">
        <v>4506</v>
      </c>
      <c r="B1724" s="6">
        <v>2019</v>
      </c>
      <c r="C1724" s="6">
        <v>12</v>
      </c>
      <c r="D1724" s="7">
        <v>100</v>
      </c>
      <c r="E1724" s="6" t="s">
        <v>4121</v>
      </c>
      <c r="F1724" s="6" t="s">
        <v>4508</v>
      </c>
      <c r="G1724" s="6" t="s">
        <v>25</v>
      </c>
      <c r="H1724" s="8">
        <v>249867</v>
      </c>
      <c r="I1724" s="8"/>
      <c r="J1724" s="6" t="s">
        <v>3605</v>
      </c>
      <c r="K1724" s="6" t="s">
        <v>106</v>
      </c>
      <c r="L1724" s="6" t="s">
        <v>4510</v>
      </c>
      <c r="M1724" s="6" t="s">
        <v>4511</v>
      </c>
      <c r="N1724" s="6" t="s">
        <v>106</v>
      </c>
      <c r="O1724" s="29">
        <f t="shared" si="38"/>
        <v>0</v>
      </c>
      <c r="Q1724" s="30" t="s">
        <v>106</v>
      </c>
      <c r="R1724" s="31">
        <v>0</v>
      </c>
    </row>
    <row r="1725" s="1" customFormat="1" ht="16.35" hidden="1" customHeight="1" spans="1:18">
      <c r="A1725" s="6" t="s">
        <v>4506</v>
      </c>
      <c r="B1725" s="6">
        <v>2019</v>
      </c>
      <c r="C1725" s="6">
        <v>12</v>
      </c>
      <c r="D1725" s="7">
        <v>100</v>
      </c>
      <c r="E1725" s="6" t="s">
        <v>4121</v>
      </c>
      <c r="F1725" s="6" t="s">
        <v>4508</v>
      </c>
      <c r="G1725" s="6" t="s">
        <v>25</v>
      </c>
      <c r="H1725" s="8">
        <v>198042</v>
      </c>
      <c r="I1725" s="8"/>
      <c r="J1725" s="6" t="s">
        <v>3607</v>
      </c>
      <c r="K1725" s="6" t="s">
        <v>112</v>
      </c>
      <c r="L1725" s="6" t="s">
        <v>4510</v>
      </c>
      <c r="M1725" s="6" t="s">
        <v>4511</v>
      </c>
      <c r="N1725" s="6" t="s">
        <v>112</v>
      </c>
      <c r="O1725" s="29">
        <f t="shared" si="38"/>
        <v>0</v>
      </c>
      <c r="Q1725" s="30" t="s">
        <v>112</v>
      </c>
      <c r="R1725" s="31">
        <v>0</v>
      </c>
    </row>
    <row r="1726" s="1" customFormat="1" ht="16.35" hidden="1" customHeight="1" spans="1:18">
      <c r="A1726" s="6" t="s">
        <v>4506</v>
      </c>
      <c r="B1726" s="6">
        <v>2019</v>
      </c>
      <c r="C1726" s="6">
        <v>12</v>
      </c>
      <c r="D1726" s="7">
        <v>100</v>
      </c>
      <c r="E1726" s="6" t="s">
        <v>4121</v>
      </c>
      <c r="F1726" s="6" t="s">
        <v>4508</v>
      </c>
      <c r="G1726" s="6" t="s">
        <v>25</v>
      </c>
      <c r="H1726" s="8">
        <v>177162</v>
      </c>
      <c r="I1726" s="8"/>
      <c r="J1726" s="6" t="s">
        <v>3609</v>
      </c>
      <c r="K1726" s="6" t="s">
        <v>763</v>
      </c>
      <c r="L1726" s="6" t="s">
        <v>4510</v>
      </c>
      <c r="M1726" s="6" t="s">
        <v>4511</v>
      </c>
      <c r="N1726" s="6" t="s">
        <v>763</v>
      </c>
      <c r="O1726" s="29">
        <f t="shared" si="38"/>
        <v>0</v>
      </c>
      <c r="Q1726" s="30" t="s">
        <v>763</v>
      </c>
      <c r="R1726" s="31">
        <v>0</v>
      </c>
    </row>
    <row r="1727" s="1" customFormat="1" ht="16.35" hidden="1" customHeight="1" spans="1:18">
      <c r="A1727" s="6" t="s">
        <v>4506</v>
      </c>
      <c r="B1727" s="6">
        <v>2019</v>
      </c>
      <c r="C1727" s="6">
        <v>12</v>
      </c>
      <c r="D1727" s="7">
        <v>100</v>
      </c>
      <c r="E1727" s="6" t="s">
        <v>4121</v>
      </c>
      <c r="F1727" s="6" t="s">
        <v>4508</v>
      </c>
      <c r="G1727" s="6" t="s">
        <v>25</v>
      </c>
      <c r="H1727" s="8">
        <v>249376</v>
      </c>
      <c r="I1727" s="8"/>
      <c r="J1727" s="6" t="s">
        <v>3611</v>
      </c>
      <c r="K1727" s="6" t="s">
        <v>126</v>
      </c>
      <c r="L1727" s="6" t="s">
        <v>4510</v>
      </c>
      <c r="M1727" s="6" t="s">
        <v>4511</v>
      </c>
      <c r="N1727" s="6" t="s">
        <v>126</v>
      </c>
      <c r="O1727" s="29">
        <f t="shared" si="38"/>
        <v>0</v>
      </c>
      <c r="Q1727" s="30" t="s">
        <v>126</v>
      </c>
      <c r="R1727" s="31">
        <v>0</v>
      </c>
    </row>
    <row r="1728" s="1" customFormat="1" ht="16.35" hidden="1" customHeight="1" spans="1:18">
      <c r="A1728" s="6" t="s">
        <v>4506</v>
      </c>
      <c r="B1728" s="6">
        <v>2019</v>
      </c>
      <c r="C1728" s="6">
        <v>12</v>
      </c>
      <c r="D1728" s="7">
        <v>100</v>
      </c>
      <c r="E1728" s="6" t="s">
        <v>4121</v>
      </c>
      <c r="F1728" s="6" t="s">
        <v>4508</v>
      </c>
      <c r="G1728" s="6" t="s">
        <v>25</v>
      </c>
      <c r="H1728" s="8">
        <v>282074</v>
      </c>
      <c r="I1728" s="8"/>
      <c r="J1728" s="6" t="s">
        <v>3613</v>
      </c>
      <c r="K1728" s="6" t="s">
        <v>794</v>
      </c>
      <c r="L1728" s="6" t="s">
        <v>4510</v>
      </c>
      <c r="M1728" s="6" t="s">
        <v>4511</v>
      </c>
      <c r="N1728" s="6" t="s">
        <v>794</v>
      </c>
      <c r="O1728" s="29">
        <f t="shared" si="38"/>
        <v>0</v>
      </c>
      <c r="Q1728" s="30" t="s">
        <v>794</v>
      </c>
      <c r="R1728" s="31">
        <v>0</v>
      </c>
    </row>
    <row r="1729" s="1" customFormat="1" ht="16.35" hidden="1" customHeight="1" spans="1:18">
      <c r="A1729" s="6" t="s">
        <v>4506</v>
      </c>
      <c r="B1729" s="6">
        <v>2019</v>
      </c>
      <c r="C1729" s="6">
        <v>12</v>
      </c>
      <c r="D1729" s="7">
        <v>100</v>
      </c>
      <c r="E1729" s="6" t="s">
        <v>4121</v>
      </c>
      <c r="F1729" s="6" t="s">
        <v>4508</v>
      </c>
      <c r="G1729" s="6" t="s">
        <v>25</v>
      </c>
      <c r="H1729" s="8">
        <v>270667</v>
      </c>
      <c r="I1729" s="8"/>
      <c r="J1729" s="6" t="s">
        <v>3615</v>
      </c>
      <c r="K1729" s="6" t="s">
        <v>868</v>
      </c>
      <c r="L1729" s="6" t="s">
        <v>4510</v>
      </c>
      <c r="M1729" s="6" t="s">
        <v>4511</v>
      </c>
      <c r="N1729" s="6" t="s">
        <v>868</v>
      </c>
      <c r="O1729" s="29">
        <f t="shared" si="38"/>
        <v>0</v>
      </c>
      <c r="Q1729" s="30" t="s">
        <v>868</v>
      </c>
      <c r="R1729" s="31">
        <v>0</v>
      </c>
    </row>
    <row r="1730" s="1" customFormat="1" ht="16.35" hidden="1" customHeight="1" spans="1:18">
      <c r="A1730" s="6" t="s">
        <v>4506</v>
      </c>
      <c r="B1730" s="6">
        <v>2019</v>
      </c>
      <c r="C1730" s="6">
        <v>12</v>
      </c>
      <c r="D1730" s="7">
        <v>100</v>
      </c>
      <c r="E1730" s="6" t="s">
        <v>4121</v>
      </c>
      <c r="F1730" s="6" t="s">
        <v>4508</v>
      </c>
      <c r="G1730" s="6" t="s">
        <v>25</v>
      </c>
      <c r="H1730" s="8">
        <v>287874</v>
      </c>
      <c r="I1730" s="8"/>
      <c r="J1730" s="6" t="s">
        <v>3619</v>
      </c>
      <c r="K1730" s="6" t="s">
        <v>882</v>
      </c>
      <c r="L1730" s="6" t="s">
        <v>4510</v>
      </c>
      <c r="M1730" s="6" t="s">
        <v>4511</v>
      </c>
      <c r="N1730" s="6" t="s">
        <v>882</v>
      </c>
      <c r="O1730" s="29">
        <f t="shared" si="38"/>
        <v>0</v>
      </c>
      <c r="Q1730" s="30" t="s">
        <v>882</v>
      </c>
      <c r="R1730" s="31">
        <v>0</v>
      </c>
    </row>
    <row r="1731" s="1" customFormat="1" ht="16.35" hidden="1" customHeight="1" spans="1:18">
      <c r="A1731" s="6" t="s">
        <v>4506</v>
      </c>
      <c r="B1731" s="6">
        <v>2019</v>
      </c>
      <c r="C1731" s="6">
        <v>12</v>
      </c>
      <c r="D1731" s="7">
        <v>100</v>
      </c>
      <c r="E1731" s="6" t="s">
        <v>4121</v>
      </c>
      <c r="F1731" s="6" t="s">
        <v>4508</v>
      </c>
      <c r="G1731" s="6" t="s">
        <v>25</v>
      </c>
      <c r="H1731" s="8">
        <v>282847</v>
      </c>
      <c r="I1731" s="8"/>
      <c r="J1731" s="6" t="s">
        <v>3621</v>
      </c>
      <c r="K1731" s="6" t="s">
        <v>860</v>
      </c>
      <c r="L1731" s="6" t="s">
        <v>4510</v>
      </c>
      <c r="M1731" s="6" t="s">
        <v>4511</v>
      </c>
      <c r="N1731" s="6" t="s">
        <v>860</v>
      </c>
      <c r="O1731" s="29">
        <f t="shared" si="38"/>
        <v>0</v>
      </c>
      <c r="Q1731" s="30" t="s">
        <v>860</v>
      </c>
      <c r="R1731" s="31">
        <v>0</v>
      </c>
    </row>
    <row r="1732" s="1" customFormat="1" ht="16.35" hidden="1" customHeight="1" spans="1:18">
      <c r="A1732" s="6" t="s">
        <v>4506</v>
      </c>
      <c r="B1732" s="6">
        <v>2019</v>
      </c>
      <c r="C1732" s="6">
        <v>12</v>
      </c>
      <c r="D1732" s="7">
        <v>100</v>
      </c>
      <c r="E1732" s="6" t="s">
        <v>4121</v>
      </c>
      <c r="F1732" s="6" t="s">
        <v>4508</v>
      </c>
      <c r="G1732" s="6" t="s">
        <v>25</v>
      </c>
      <c r="H1732" s="8">
        <v>258148</v>
      </c>
      <c r="I1732" s="8"/>
      <c r="J1732" s="6" t="s">
        <v>3625</v>
      </c>
      <c r="K1732" s="6" t="s">
        <v>842</v>
      </c>
      <c r="L1732" s="6" t="s">
        <v>4510</v>
      </c>
      <c r="M1732" s="6" t="s">
        <v>4511</v>
      </c>
      <c r="N1732" s="6" t="s">
        <v>842</v>
      </c>
      <c r="O1732" s="29">
        <f t="shared" si="38"/>
        <v>0</v>
      </c>
      <c r="Q1732" s="30" t="s">
        <v>842</v>
      </c>
      <c r="R1732" s="31">
        <v>0</v>
      </c>
    </row>
    <row r="1733" s="1" customFormat="1" ht="16.35" hidden="1" customHeight="1" spans="1:18">
      <c r="A1733" s="6" t="s">
        <v>4506</v>
      </c>
      <c r="B1733" s="6">
        <v>2019</v>
      </c>
      <c r="C1733" s="6">
        <v>12</v>
      </c>
      <c r="D1733" s="7">
        <v>100</v>
      </c>
      <c r="E1733" s="6" t="s">
        <v>4121</v>
      </c>
      <c r="F1733" s="6" t="s">
        <v>4508</v>
      </c>
      <c r="G1733" s="6" t="s">
        <v>25</v>
      </c>
      <c r="H1733" s="8">
        <v>163306</v>
      </c>
      <c r="I1733" s="8"/>
      <c r="J1733" s="6" t="s">
        <v>3627</v>
      </c>
      <c r="K1733" s="6" t="s">
        <v>765</v>
      </c>
      <c r="L1733" s="6" t="s">
        <v>4510</v>
      </c>
      <c r="M1733" s="6" t="s">
        <v>4511</v>
      </c>
      <c r="N1733" s="6" t="s">
        <v>765</v>
      </c>
      <c r="O1733" s="29">
        <f t="shared" si="38"/>
        <v>0</v>
      </c>
      <c r="Q1733" s="30" t="s">
        <v>765</v>
      </c>
      <c r="R1733" s="31">
        <v>0</v>
      </c>
    </row>
    <row r="1734" s="1" customFormat="1" ht="16.35" hidden="1" customHeight="1" spans="1:18">
      <c r="A1734" s="6" t="s">
        <v>4506</v>
      </c>
      <c r="B1734" s="6">
        <v>2019</v>
      </c>
      <c r="C1734" s="6">
        <v>12</v>
      </c>
      <c r="D1734" s="7">
        <v>100</v>
      </c>
      <c r="E1734" s="6" t="s">
        <v>4121</v>
      </c>
      <c r="F1734" s="6" t="s">
        <v>4508</v>
      </c>
      <c r="G1734" s="6" t="s">
        <v>25</v>
      </c>
      <c r="H1734" s="8">
        <v>176696</v>
      </c>
      <c r="I1734" s="8"/>
      <c r="J1734" s="6" t="s">
        <v>3629</v>
      </c>
      <c r="K1734" s="6" t="s">
        <v>761</v>
      </c>
      <c r="L1734" s="6" t="s">
        <v>4510</v>
      </c>
      <c r="M1734" s="6" t="s">
        <v>4511</v>
      </c>
      <c r="N1734" s="6" t="s">
        <v>761</v>
      </c>
      <c r="O1734" s="29">
        <f t="shared" si="38"/>
        <v>0</v>
      </c>
      <c r="Q1734" s="30" t="s">
        <v>761</v>
      </c>
      <c r="R1734" s="31">
        <v>0</v>
      </c>
    </row>
    <row r="1735" s="1" customFormat="1" ht="16.35" hidden="1" customHeight="1" spans="1:18">
      <c r="A1735" s="6" t="s">
        <v>4506</v>
      </c>
      <c r="B1735" s="6">
        <v>2019</v>
      </c>
      <c r="C1735" s="6">
        <v>12</v>
      </c>
      <c r="D1735" s="7">
        <v>100</v>
      </c>
      <c r="E1735" s="6" t="s">
        <v>4121</v>
      </c>
      <c r="F1735" s="6" t="s">
        <v>4508</v>
      </c>
      <c r="G1735" s="6" t="s">
        <v>25</v>
      </c>
      <c r="H1735" s="8">
        <v>157143</v>
      </c>
      <c r="I1735" s="8"/>
      <c r="J1735" s="6" t="s">
        <v>3632</v>
      </c>
      <c r="K1735" s="6" t="s">
        <v>904</v>
      </c>
      <c r="L1735" s="6" t="s">
        <v>4510</v>
      </c>
      <c r="M1735" s="6" t="s">
        <v>4511</v>
      </c>
      <c r="N1735" s="6" t="s">
        <v>904</v>
      </c>
      <c r="O1735" s="29">
        <f t="shared" si="38"/>
        <v>0</v>
      </c>
      <c r="Q1735" s="30" t="s">
        <v>904</v>
      </c>
      <c r="R1735" s="31">
        <v>0</v>
      </c>
    </row>
    <row r="1736" s="1" customFormat="1" ht="16.35" hidden="1" customHeight="1" spans="1:18">
      <c r="A1736" s="6" t="s">
        <v>4506</v>
      </c>
      <c r="B1736" s="6">
        <v>2019</v>
      </c>
      <c r="C1736" s="6">
        <v>12</v>
      </c>
      <c r="D1736" s="7">
        <v>100</v>
      </c>
      <c r="E1736" s="6" t="s">
        <v>4121</v>
      </c>
      <c r="F1736" s="6" t="s">
        <v>4508</v>
      </c>
      <c r="G1736" s="6" t="s">
        <v>25</v>
      </c>
      <c r="H1736" s="8">
        <v>405627</v>
      </c>
      <c r="I1736" s="8"/>
      <c r="J1736" s="6" t="s">
        <v>3634</v>
      </c>
      <c r="K1736" s="6" t="s">
        <v>365</v>
      </c>
      <c r="L1736" s="6" t="s">
        <v>4510</v>
      </c>
      <c r="M1736" s="6" t="s">
        <v>4511</v>
      </c>
      <c r="N1736" s="6" t="s">
        <v>365</v>
      </c>
      <c r="O1736" s="29">
        <f t="shared" si="38"/>
        <v>0</v>
      </c>
      <c r="Q1736" s="30" t="s">
        <v>365</v>
      </c>
      <c r="R1736" s="31">
        <v>0</v>
      </c>
    </row>
    <row r="1737" s="1" customFormat="1" ht="16.35" hidden="1" customHeight="1" spans="1:18">
      <c r="A1737" s="6" t="s">
        <v>4506</v>
      </c>
      <c r="B1737" s="6">
        <v>2019</v>
      </c>
      <c r="C1737" s="6">
        <v>12</v>
      </c>
      <c r="D1737" s="7">
        <v>100</v>
      </c>
      <c r="E1737" s="6" t="s">
        <v>4121</v>
      </c>
      <c r="F1737" s="6" t="s">
        <v>4508</v>
      </c>
      <c r="G1737" s="6" t="s">
        <v>25</v>
      </c>
      <c r="H1737" s="8">
        <v>299578</v>
      </c>
      <c r="I1737" s="8"/>
      <c r="J1737" s="6" t="s">
        <v>3637</v>
      </c>
      <c r="K1737" s="6" t="s">
        <v>96</v>
      </c>
      <c r="L1737" s="6" t="s">
        <v>4510</v>
      </c>
      <c r="M1737" s="6" t="s">
        <v>4511</v>
      </c>
      <c r="N1737" s="6" t="s">
        <v>96</v>
      </c>
      <c r="O1737" s="29">
        <f t="shared" si="38"/>
        <v>0</v>
      </c>
      <c r="Q1737" s="30" t="s">
        <v>96</v>
      </c>
      <c r="R1737" s="31">
        <v>0</v>
      </c>
    </row>
    <row r="1738" s="1" customFormat="1" ht="16.35" hidden="1" customHeight="1" spans="1:18">
      <c r="A1738" s="6" t="s">
        <v>4506</v>
      </c>
      <c r="B1738" s="6">
        <v>2019</v>
      </c>
      <c r="C1738" s="6">
        <v>12</v>
      </c>
      <c r="D1738" s="7">
        <v>100</v>
      </c>
      <c r="E1738" s="6" t="s">
        <v>4121</v>
      </c>
      <c r="F1738" s="6" t="s">
        <v>4508</v>
      </c>
      <c r="G1738" s="6" t="s">
        <v>25</v>
      </c>
      <c r="H1738" s="8">
        <v>171387</v>
      </c>
      <c r="I1738" s="8"/>
      <c r="J1738" s="6" t="s">
        <v>3639</v>
      </c>
      <c r="K1738" s="6" t="s">
        <v>717</v>
      </c>
      <c r="L1738" s="6" t="s">
        <v>4510</v>
      </c>
      <c r="M1738" s="6" t="s">
        <v>4511</v>
      </c>
      <c r="N1738" s="6" t="s">
        <v>717</v>
      </c>
      <c r="O1738" s="29">
        <f t="shared" si="38"/>
        <v>0</v>
      </c>
      <c r="Q1738" s="30" t="s">
        <v>717</v>
      </c>
      <c r="R1738" s="31">
        <v>0</v>
      </c>
    </row>
    <row r="1739" s="1" customFormat="1" ht="16.35" hidden="1" customHeight="1" spans="1:18">
      <c r="A1739" s="6" t="s">
        <v>4506</v>
      </c>
      <c r="B1739" s="6">
        <v>2019</v>
      </c>
      <c r="C1739" s="6">
        <v>12</v>
      </c>
      <c r="D1739" s="7">
        <v>100</v>
      </c>
      <c r="E1739" s="6" t="s">
        <v>4121</v>
      </c>
      <c r="F1739" s="6" t="s">
        <v>4508</v>
      </c>
      <c r="G1739" s="6" t="s">
        <v>25</v>
      </c>
      <c r="H1739" s="8">
        <v>274294</v>
      </c>
      <c r="I1739" s="8"/>
      <c r="J1739" s="6" t="s">
        <v>3642</v>
      </c>
      <c r="K1739" s="6" t="s">
        <v>822</v>
      </c>
      <c r="L1739" s="6" t="s">
        <v>4510</v>
      </c>
      <c r="M1739" s="6" t="s">
        <v>4511</v>
      </c>
      <c r="N1739" s="6" t="s">
        <v>822</v>
      </c>
      <c r="O1739" s="29">
        <f t="shared" si="38"/>
        <v>0</v>
      </c>
      <c r="Q1739" s="30" t="s">
        <v>822</v>
      </c>
      <c r="R1739" s="31">
        <v>0</v>
      </c>
    </row>
    <row r="1740" s="1" customFormat="1" ht="16.35" hidden="1" customHeight="1" spans="1:18">
      <c r="A1740" s="6" t="s">
        <v>4506</v>
      </c>
      <c r="B1740" s="6">
        <v>2019</v>
      </c>
      <c r="C1740" s="6">
        <v>12</v>
      </c>
      <c r="D1740" s="7">
        <v>100</v>
      </c>
      <c r="E1740" s="6" t="s">
        <v>4121</v>
      </c>
      <c r="F1740" s="6" t="s">
        <v>4508</v>
      </c>
      <c r="G1740" s="6" t="s">
        <v>25</v>
      </c>
      <c r="H1740" s="8">
        <v>276273</v>
      </c>
      <c r="I1740" s="8"/>
      <c r="J1740" s="6" t="s">
        <v>3644</v>
      </c>
      <c r="K1740" s="6" t="s">
        <v>788</v>
      </c>
      <c r="L1740" s="6" t="s">
        <v>4510</v>
      </c>
      <c r="M1740" s="6" t="s">
        <v>4511</v>
      </c>
      <c r="N1740" s="6" t="s">
        <v>788</v>
      </c>
      <c r="O1740" s="29">
        <f t="shared" si="38"/>
        <v>0</v>
      </c>
      <c r="Q1740" s="30" t="s">
        <v>788</v>
      </c>
      <c r="R1740" s="31">
        <v>0</v>
      </c>
    </row>
    <row r="1741" s="1" customFormat="1" ht="16.35" hidden="1" customHeight="1" spans="1:18">
      <c r="A1741" s="6" t="s">
        <v>4506</v>
      </c>
      <c r="B1741" s="6">
        <v>2019</v>
      </c>
      <c r="C1741" s="6">
        <v>12</v>
      </c>
      <c r="D1741" s="7">
        <v>100</v>
      </c>
      <c r="E1741" s="6" t="s">
        <v>4121</v>
      </c>
      <c r="F1741" s="6" t="s">
        <v>4508</v>
      </c>
      <c r="G1741" s="6" t="s">
        <v>25</v>
      </c>
      <c r="H1741" s="8">
        <v>192292</v>
      </c>
      <c r="I1741" s="8"/>
      <c r="J1741" s="6" t="s">
        <v>3646</v>
      </c>
      <c r="K1741" s="6" t="s">
        <v>735</v>
      </c>
      <c r="L1741" s="6" t="s">
        <v>4510</v>
      </c>
      <c r="M1741" s="6" t="s">
        <v>4511</v>
      </c>
      <c r="N1741" s="6" t="s">
        <v>735</v>
      </c>
      <c r="O1741" s="29">
        <f t="shared" si="38"/>
        <v>0</v>
      </c>
      <c r="Q1741" s="30" t="s">
        <v>735</v>
      </c>
      <c r="R1741" s="31">
        <v>0</v>
      </c>
    </row>
    <row r="1742" s="1" customFormat="1" ht="16.35" hidden="1" customHeight="1" spans="1:18">
      <c r="A1742" s="6" t="s">
        <v>4506</v>
      </c>
      <c r="B1742" s="6">
        <v>2019</v>
      </c>
      <c r="C1742" s="6">
        <v>12</v>
      </c>
      <c r="D1742" s="7">
        <v>100</v>
      </c>
      <c r="E1742" s="6" t="s">
        <v>4121</v>
      </c>
      <c r="F1742" s="6" t="s">
        <v>4508</v>
      </c>
      <c r="G1742" s="6" t="s">
        <v>25</v>
      </c>
      <c r="H1742" s="8">
        <v>266734</v>
      </c>
      <c r="I1742" s="8"/>
      <c r="J1742" s="6" t="s">
        <v>3648</v>
      </c>
      <c r="K1742" s="6" t="s">
        <v>806</v>
      </c>
      <c r="L1742" s="6" t="s">
        <v>4510</v>
      </c>
      <c r="M1742" s="6" t="s">
        <v>4511</v>
      </c>
      <c r="N1742" s="6" t="s">
        <v>806</v>
      </c>
      <c r="O1742" s="29">
        <f t="shared" si="38"/>
        <v>0</v>
      </c>
      <c r="Q1742" s="30" t="s">
        <v>806</v>
      </c>
      <c r="R1742" s="31">
        <v>0</v>
      </c>
    </row>
    <row r="1743" s="1" customFormat="1" ht="16.35" hidden="1" customHeight="1" spans="1:18">
      <c r="A1743" s="6" t="s">
        <v>4506</v>
      </c>
      <c r="B1743" s="6">
        <v>2019</v>
      </c>
      <c r="C1743" s="6">
        <v>12</v>
      </c>
      <c r="D1743" s="7">
        <v>100</v>
      </c>
      <c r="E1743" s="6" t="s">
        <v>4121</v>
      </c>
      <c r="F1743" s="6" t="s">
        <v>4508</v>
      </c>
      <c r="G1743" s="6" t="s">
        <v>25</v>
      </c>
      <c r="H1743" s="8">
        <v>184852</v>
      </c>
      <c r="I1743" s="8"/>
      <c r="J1743" s="6" t="s">
        <v>3650</v>
      </c>
      <c r="K1743" s="6" t="s">
        <v>725</v>
      </c>
      <c r="L1743" s="6" t="s">
        <v>4510</v>
      </c>
      <c r="M1743" s="6" t="s">
        <v>4511</v>
      </c>
      <c r="N1743" s="6" t="s">
        <v>725</v>
      </c>
      <c r="O1743" s="29">
        <f t="shared" si="38"/>
        <v>0</v>
      </c>
      <c r="Q1743" s="30" t="s">
        <v>725</v>
      </c>
      <c r="R1743" s="31">
        <v>0</v>
      </c>
    </row>
    <row r="1744" s="1" customFormat="1" ht="16.35" hidden="1" customHeight="1" spans="1:18">
      <c r="A1744" s="6" t="s">
        <v>4506</v>
      </c>
      <c r="B1744" s="6">
        <v>2019</v>
      </c>
      <c r="C1744" s="6">
        <v>12</v>
      </c>
      <c r="D1744" s="7">
        <v>100</v>
      </c>
      <c r="E1744" s="6" t="s">
        <v>4121</v>
      </c>
      <c r="F1744" s="6" t="s">
        <v>4508</v>
      </c>
      <c r="G1744" s="6" t="s">
        <v>25</v>
      </c>
      <c r="H1744" s="8">
        <v>280334</v>
      </c>
      <c r="I1744" s="8"/>
      <c r="J1744" s="6" t="s">
        <v>3242</v>
      </c>
      <c r="K1744" s="6" t="s">
        <v>773</v>
      </c>
      <c r="L1744" s="6" t="s">
        <v>4510</v>
      </c>
      <c r="M1744" s="6" t="s">
        <v>4511</v>
      </c>
      <c r="N1744" s="6" t="s">
        <v>773</v>
      </c>
      <c r="O1744" s="29">
        <f t="shared" si="38"/>
        <v>0</v>
      </c>
      <c r="Q1744" s="30" t="s">
        <v>773</v>
      </c>
      <c r="R1744" s="31">
        <v>0</v>
      </c>
    </row>
    <row r="1745" s="1" customFormat="1" ht="16.35" hidden="1" customHeight="1" spans="1:18">
      <c r="A1745" s="6" t="s">
        <v>4506</v>
      </c>
      <c r="B1745" s="6">
        <v>2019</v>
      </c>
      <c r="C1745" s="6">
        <v>12</v>
      </c>
      <c r="D1745" s="7">
        <v>100</v>
      </c>
      <c r="E1745" s="6" t="s">
        <v>4121</v>
      </c>
      <c r="F1745" s="6" t="s">
        <v>4508</v>
      </c>
      <c r="G1745" s="6" t="s">
        <v>25</v>
      </c>
      <c r="H1745" s="8">
        <v>176284</v>
      </c>
      <c r="I1745" s="8"/>
      <c r="J1745" s="6" t="s">
        <v>3243</v>
      </c>
      <c r="K1745" s="6" t="s">
        <v>693</v>
      </c>
      <c r="L1745" s="6" t="s">
        <v>4510</v>
      </c>
      <c r="M1745" s="6" t="s">
        <v>4511</v>
      </c>
      <c r="N1745" s="6" t="s">
        <v>693</v>
      </c>
      <c r="O1745" s="29">
        <f t="shared" si="38"/>
        <v>0</v>
      </c>
      <c r="Q1745" s="30" t="s">
        <v>693</v>
      </c>
      <c r="R1745" s="31">
        <v>0</v>
      </c>
    </row>
    <row r="1746" s="1" customFormat="1" ht="16.35" hidden="1" customHeight="1" spans="1:18">
      <c r="A1746" s="6" t="s">
        <v>4506</v>
      </c>
      <c r="B1746" s="6">
        <v>2019</v>
      </c>
      <c r="C1746" s="6">
        <v>12</v>
      </c>
      <c r="D1746" s="7">
        <v>100</v>
      </c>
      <c r="E1746" s="6" t="s">
        <v>4121</v>
      </c>
      <c r="F1746" s="6" t="s">
        <v>4508</v>
      </c>
      <c r="G1746" s="6" t="s">
        <v>25</v>
      </c>
      <c r="H1746" s="8">
        <v>196886</v>
      </c>
      <c r="I1746" s="8"/>
      <c r="J1746" s="6" t="s">
        <v>3244</v>
      </c>
      <c r="K1746" s="6" t="s">
        <v>687</v>
      </c>
      <c r="L1746" s="6" t="s">
        <v>4510</v>
      </c>
      <c r="M1746" s="6" t="s">
        <v>4511</v>
      </c>
      <c r="N1746" s="6" t="s">
        <v>687</v>
      </c>
      <c r="O1746" s="29">
        <f t="shared" si="38"/>
        <v>0</v>
      </c>
      <c r="Q1746" s="30" t="s">
        <v>687</v>
      </c>
      <c r="R1746" s="31">
        <v>0</v>
      </c>
    </row>
    <row r="1747" s="1" customFormat="1" ht="16.35" hidden="1" customHeight="1" spans="1:18">
      <c r="A1747" s="6" t="s">
        <v>4506</v>
      </c>
      <c r="B1747" s="6">
        <v>2019</v>
      </c>
      <c r="C1747" s="6">
        <v>12</v>
      </c>
      <c r="D1747" s="7">
        <v>100</v>
      </c>
      <c r="E1747" s="6" t="s">
        <v>4121</v>
      </c>
      <c r="F1747" s="6" t="s">
        <v>4508</v>
      </c>
      <c r="G1747" s="6" t="s">
        <v>25</v>
      </c>
      <c r="H1747" s="8">
        <v>275533</v>
      </c>
      <c r="I1747" s="8"/>
      <c r="J1747" s="6" t="s">
        <v>3245</v>
      </c>
      <c r="K1747" s="6" t="s">
        <v>628</v>
      </c>
      <c r="L1747" s="6" t="s">
        <v>4510</v>
      </c>
      <c r="M1747" s="6" t="s">
        <v>4511</v>
      </c>
      <c r="N1747" s="6" t="s">
        <v>628</v>
      </c>
      <c r="O1747" s="29">
        <f t="shared" si="38"/>
        <v>0</v>
      </c>
      <c r="Q1747" s="30" t="s">
        <v>628</v>
      </c>
      <c r="R1747" s="31">
        <v>0</v>
      </c>
    </row>
    <row r="1748" s="1" customFormat="1" ht="16.35" hidden="1" customHeight="1" spans="1:18">
      <c r="A1748" s="6" t="s">
        <v>4506</v>
      </c>
      <c r="B1748" s="6">
        <v>2019</v>
      </c>
      <c r="C1748" s="6">
        <v>12</v>
      </c>
      <c r="D1748" s="7">
        <v>100</v>
      </c>
      <c r="E1748" s="6" t="s">
        <v>4121</v>
      </c>
      <c r="F1748" s="6" t="s">
        <v>4508</v>
      </c>
      <c r="G1748" s="6" t="s">
        <v>25</v>
      </c>
      <c r="H1748" s="8">
        <v>238095</v>
      </c>
      <c r="I1748" s="8"/>
      <c r="J1748" s="6" t="s">
        <v>3246</v>
      </c>
      <c r="K1748" s="6" t="s">
        <v>567</v>
      </c>
      <c r="L1748" s="6" t="s">
        <v>4510</v>
      </c>
      <c r="M1748" s="6" t="s">
        <v>4511</v>
      </c>
      <c r="N1748" s="6" t="s">
        <v>567</v>
      </c>
      <c r="O1748" s="29">
        <f t="shared" si="38"/>
        <v>0</v>
      </c>
      <c r="Q1748" s="30" t="s">
        <v>567</v>
      </c>
      <c r="R1748" s="31">
        <v>0</v>
      </c>
    </row>
    <row r="1749" s="1" customFormat="1" ht="16.35" hidden="1" customHeight="1" spans="1:18">
      <c r="A1749" s="6" t="s">
        <v>4506</v>
      </c>
      <c r="B1749" s="6">
        <v>2019</v>
      </c>
      <c r="C1749" s="6">
        <v>12</v>
      </c>
      <c r="D1749" s="7">
        <v>100</v>
      </c>
      <c r="E1749" s="6" t="s">
        <v>4121</v>
      </c>
      <c r="F1749" s="6" t="s">
        <v>4508</v>
      </c>
      <c r="G1749" s="6" t="s">
        <v>25</v>
      </c>
      <c r="H1749" s="8">
        <v>195254</v>
      </c>
      <c r="I1749" s="8"/>
      <c r="J1749" s="6" t="s">
        <v>3247</v>
      </c>
      <c r="K1749" s="6" t="s">
        <v>110</v>
      </c>
      <c r="L1749" s="6" t="s">
        <v>4510</v>
      </c>
      <c r="M1749" s="6" t="s">
        <v>4511</v>
      </c>
      <c r="N1749" s="6" t="s">
        <v>110</v>
      </c>
      <c r="O1749" s="29">
        <f t="shared" si="38"/>
        <v>0</v>
      </c>
      <c r="Q1749" s="30" t="s">
        <v>110</v>
      </c>
      <c r="R1749" s="31">
        <v>0</v>
      </c>
    </row>
    <row r="1750" s="1" customFormat="1" ht="16.35" hidden="1" customHeight="1" spans="1:18">
      <c r="A1750" s="6" t="s">
        <v>4506</v>
      </c>
      <c r="B1750" s="6">
        <v>2019</v>
      </c>
      <c r="C1750" s="6">
        <v>12</v>
      </c>
      <c r="D1750" s="7">
        <v>100</v>
      </c>
      <c r="E1750" s="6" t="s">
        <v>4121</v>
      </c>
      <c r="F1750" s="6" t="s">
        <v>4508</v>
      </c>
      <c r="G1750" s="6" t="s">
        <v>25</v>
      </c>
      <c r="H1750" s="8">
        <v>261870</v>
      </c>
      <c r="I1750" s="8"/>
      <c r="J1750" s="6" t="s">
        <v>3248</v>
      </c>
      <c r="K1750" s="6" t="s">
        <v>88</v>
      </c>
      <c r="L1750" s="6" t="s">
        <v>4510</v>
      </c>
      <c r="M1750" s="6" t="s">
        <v>4511</v>
      </c>
      <c r="N1750" s="6" t="s">
        <v>88</v>
      </c>
      <c r="O1750" s="29">
        <f t="shared" si="38"/>
        <v>0</v>
      </c>
      <c r="Q1750" s="30" t="s">
        <v>88</v>
      </c>
      <c r="R1750" s="31">
        <v>0</v>
      </c>
    </row>
    <row r="1751" s="1" customFormat="1" ht="16.35" hidden="1" customHeight="1" spans="1:18">
      <c r="A1751" s="6" t="s">
        <v>4506</v>
      </c>
      <c r="B1751" s="6">
        <v>2019</v>
      </c>
      <c r="C1751" s="6">
        <v>12</v>
      </c>
      <c r="D1751" s="7">
        <v>100</v>
      </c>
      <c r="E1751" s="6" t="s">
        <v>4121</v>
      </c>
      <c r="F1751" s="6" t="s">
        <v>4508</v>
      </c>
      <c r="G1751" s="6" t="s">
        <v>25</v>
      </c>
      <c r="H1751" s="8">
        <v>304857</v>
      </c>
      <c r="I1751" s="8"/>
      <c r="J1751" s="6" t="s">
        <v>3249</v>
      </c>
      <c r="K1751" s="6" t="s">
        <v>140</v>
      </c>
      <c r="L1751" s="6" t="s">
        <v>4510</v>
      </c>
      <c r="M1751" s="6" t="s">
        <v>4511</v>
      </c>
      <c r="N1751" s="6" t="s">
        <v>140</v>
      </c>
      <c r="O1751" s="29">
        <f t="shared" si="38"/>
        <v>0</v>
      </c>
      <c r="Q1751" s="30" t="s">
        <v>140</v>
      </c>
      <c r="R1751" s="31">
        <v>0</v>
      </c>
    </row>
    <row r="1752" s="1" customFormat="1" ht="16.35" hidden="1" customHeight="1" spans="1:18">
      <c r="A1752" s="6" t="s">
        <v>4506</v>
      </c>
      <c r="B1752" s="6">
        <v>2019</v>
      </c>
      <c r="C1752" s="6">
        <v>12</v>
      </c>
      <c r="D1752" s="7">
        <v>100</v>
      </c>
      <c r="E1752" s="6" t="s">
        <v>4121</v>
      </c>
      <c r="F1752" s="6" t="s">
        <v>4508</v>
      </c>
      <c r="G1752" s="6" t="s">
        <v>25</v>
      </c>
      <c r="H1752" s="8">
        <v>441844</v>
      </c>
      <c r="I1752" s="8"/>
      <c r="J1752" s="6" t="s">
        <v>3250</v>
      </c>
      <c r="K1752" s="6" t="s">
        <v>369</v>
      </c>
      <c r="L1752" s="6" t="s">
        <v>4510</v>
      </c>
      <c r="M1752" s="6" t="s">
        <v>4511</v>
      </c>
      <c r="N1752" s="6" t="s">
        <v>369</v>
      </c>
      <c r="O1752" s="29">
        <f t="shared" si="38"/>
        <v>0</v>
      </c>
      <c r="Q1752" s="30" t="s">
        <v>369</v>
      </c>
      <c r="R1752" s="31">
        <v>0</v>
      </c>
    </row>
    <row r="1753" s="1" customFormat="1" ht="16.35" hidden="1" customHeight="1" spans="1:18">
      <c r="A1753" s="6" t="s">
        <v>4506</v>
      </c>
      <c r="B1753" s="6">
        <v>2019</v>
      </c>
      <c r="C1753" s="6">
        <v>12</v>
      </c>
      <c r="D1753" s="7">
        <v>100</v>
      </c>
      <c r="E1753" s="6" t="s">
        <v>4121</v>
      </c>
      <c r="F1753" s="6" t="s">
        <v>4508</v>
      </c>
      <c r="G1753" s="6" t="s">
        <v>25</v>
      </c>
      <c r="H1753" s="8">
        <v>256763</v>
      </c>
      <c r="I1753" s="8"/>
      <c r="J1753" s="6" t="s">
        <v>3251</v>
      </c>
      <c r="K1753" s="6" t="s">
        <v>69</v>
      </c>
      <c r="L1753" s="6" t="s">
        <v>4510</v>
      </c>
      <c r="M1753" s="6" t="s">
        <v>4511</v>
      </c>
      <c r="N1753" s="6" t="s">
        <v>69</v>
      </c>
      <c r="O1753" s="29">
        <f t="shared" ref="O1753:O1816" si="39">I1753*1.05</f>
        <v>0</v>
      </c>
      <c r="Q1753" s="30" t="s">
        <v>69</v>
      </c>
      <c r="R1753" s="31">
        <v>0</v>
      </c>
    </row>
    <row r="1754" s="1" customFormat="1" ht="16.35" hidden="1" customHeight="1" spans="1:18">
      <c r="A1754" s="6" t="s">
        <v>4506</v>
      </c>
      <c r="B1754" s="6">
        <v>2019</v>
      </c>
      <c r="C1754" s="6">
        <v>12</v>
      </c>
      <c r="D1754" s="7">
        <v>100</v>
      </c>
      <c r="E1754" s="6" t="s">
        <v>4121</v>
      </c>
      <c r="F1754" s="6" t="s">
        <v>4508</v>
      </c>
      <c r="G1754" s="6" t="s">
        <v>25</v>
      </c>
      <c r="H1754" s="8">
        <v>283813</v>
      </c>
      <c r="I1754" s="8"/>
      <c r="J1754" s="6" t="s">
        <v>3252</v>
      </c>
      <c r="K1754" s="6" t="s">
        <v>790</v>
      </c>
      <c r="L1754" s="6" t="s">
        <v>4510</v>
      </c>
      <c r="M1754" s="6" t="s">
        <v>4511</v>
      </c>
      <c r="N1754" s="6" t="s">
        <v>790</v>
      </c>
      <c r="O1754" s="29">
        <f t="shared" si="39"/>
        <v>0</v>
      </c>
      <c r="Q1754" s="30" t="s">
        <v>790</v>
      </c>
      <c r="R1754" s="31">
        <v>0</v>
      </c>
    </row>
    <row r="1755" s="1" customFormat="1" ht="16.35" hidden="1" customHeight="1" spans="1:18">
      <c r="A1755" s="6" t="s">
        <v>4506</v>
      </c>
      <c r="B1755" s="6">
        <v>2019</v>
      </c>
      <c r="C1755" s="6">
        <v>12</v>
      </c>
      <c r="D1755" s="7">
        <v>100</v>
      </c>
      <c r="E1755" s="6" t="s">
        <v>4121</v>
      </c>
      <c r="F1755" s="6" t="s">
        <v>4508</v>
      </c>
      <c r="G1755" s="6" t="s">
        <v>25</v>
      </c>
      <c r="H1755" s="8">
        <v>284200</v>
      </c>
      <c r="I1755" s="8"/>
      <c r="J1755" s="6" t="s">
        <v>3253</v>
      </c>
      <c r="K1755" s="6" t="s">
        <v>792</v>
      </c>
      <c r="L1755" s="6" t="s">
        <v>4510</v>
      </c>
      <c r="M1755" s="6" t="s">
        <v>4511</v>
      </c>
      <c r="N1755" s="6" t="s">
        <v>792</v>
      </c>
      <c r="O1755" s="29">
        <f t="shared" si="39"/>
        <v>0</v>
      </c>
      <c r="Q1755" s="30" t="s">
        <v>792</v>
      </c>
      <c r="R1755" s="31">
        <v>0</v>
      </c>
    </row>
    <row r="1756" s="1" customFormat="1" ht="16.35" hidden="1" customHeight="1" spans="1:18">
      <c r="A1756" s="6" t="s">
        <v>4506</v>
      </c>
      <c r="B1756" s="6">
        <v>2019</v>
      </c>
      <c r="C1756" s="6">
        <v>12</v>
      </c>
      <c r="D1756" s="7">
        <v>100</v>
      </c>
      <c r="E1756" s="6" t="s">
        <v>4121</v>
      </c>
      <c r="F1756" s="6" t="s">
        <v>4508</v>
      </c>
      <c r="G1756" s="6" t="s">
        <v>25</v>
      </c>
      <c r="H1756" s="8">
        <v>423971</v>
      </c>
      <c r="I1756" s="8"/>
      <c r="J1756" s="6" t="s">
        <v>3254</v>
      </c>
      <c r="K1756" s="6" t="s">
        <v>367</v>
      </c>
      <c r="L1756" s="6" t="s">
        <v>4510</v>
      </c>
      <c r="M1756" s="6" t="s">
        <v>4511</v>
      </c>
      <c r="N1756" s="6" t="s">
        <v>367</v>
      </c>
      <c r="O1756" s="29">
        <f t="shared" si="39"/>
        <v>0</v>
      </c>
      <c r="Q1756" s="30" t="s">
        <v>367</v>
      </c>
      <c r="R1756" s="31">
        <v>0</v>
      </c>
    </row>
    <row r="1757" s="1" customFormat="1" ht="16.35" hidden="1" customHeight="1" spans="1:18">
      <c r="A1757" s="6" t="s">
        <v>4506</v>
      </c>
      <c r="B1757" s="6">
        <v>2019</v>
      </c>
      <c r="C1757" s="6">
        <v>12</v>
      </c>
      <c r="D1757" s="7">
        <v>100</v>
      </c>
      <c r="E1757" s="6" t="s">
        <v>4121</v>
      </c>
      <c r="F1757" s="6" t="s">
        <v>4508</v>
      </c>
      <c r="G1757" s="6" t="s">
        <v>25</v>
      </c>
      <c r="H1757" s="8">
        <v>238095</v>
      </c>
      <c r="I1757" s="8"/>
      <c r="J1757" s="6" t="s">
        <v>3255</v>
      </c>
      <c r="K1757" s="6" t="s">
        <v>605</v>
      </c>
      <c r="L1757" s="6" t="s">
        <v>4510</v>
      </c>
      <c r="M1757" s="6" t="s">
        <v>4511</v>
      </c>
      <c r="N1757" s="6" t="s">
        <v>605</v>
      </c>
      <c r="O1757" s="29">
        <f t="shared" si="39"/>
        <v>0</v>
      </c>
      <c r="Q1757" s="30" t="s">
        <v>605</v>
      </c>
      <c r="R1757" s="31">
        <v>0</v>
      </c>
    </row>
    <row r="1758" s="1" customFormat="1" ht="16.35" hidden="1" customHeight="1" spans="1:18">
      <c r="A1758" s="6" t="s">
        <v>4506</v>
      </c>
      <c r="B1758" s="6">
        <v>2019</v>
      </c>
      <c r="C1758" s="6">
        <v>12</v>
      </c>
      <c r="D1758" s="7">
        <v>100</v>
      </c>
      <c r="E1758" s="6" t="s">
        <v>4121</v>
      </c>
      <c r="F1758" s="6" t="s">
        <v>4508</v>
      </c>
      <c r="G1758" s="6" t="s">
        <v>25</v>
      </c>
      <c r="H1758" s="8">
        <v>209338</v>
      </c>
      <c r="I1758" s="8"/>
      <c r="J1758" s="6" t="s">
        <v>3256</v>
      </c>
      <c r="K1758" s="6" t="s">
        <v>715</v>
      </c>
      <c r="L1758" s="6" t="s">
        <v>4510</v>
      </c>
      <c r="M1758" s="6" t="s">
        <v>4511</v>
      </c>
      <c r="N1758" s="6" t="s">
        <v>715</v>
      </c>
      <c r="O1758" s="29">
        <f t="shared" si="39"/>
        <v>0</v>
      </c>
      <c r="Q1758" s="30" t="s">
        <v>715</v>
      </c>
      <c r="R1758" s="31">
        <v>0</v>
      </c>
    </row>
    <row r="1759" s="1" customFormat="1" ht="16.35" hidden="1" customHeight="1" spans="1:18">
      <c r="A1759" s="6" t="s">
        <v>4506</v>
      </c>
      <c r="B1759" s="6">
        <v>2019</v>
      </c>
      <c r="C1759" s="6">
        <v>12</v>
      </c>
      <c r="D1759" s="7">
        <v>100</v>
      </c>
      <c r="E1759" s="6" t="s">
        <v>4121</v>
      </c>
      <c r="F1759" s="6" t="s">
        <v>4508</v>
      </c>
      <c r="G1759" s="6" t="s">
        <v>25</v>
      </c>
      <c r="H1759" s="8">
        <v>276232</v>
      </c>
      <c r="I1759" s="8"/>
      <c r="J1759" s="6" t="s">
        <v>3257</v>
      </c>
      <c r="K1759" s="6" t="s">
        <v>828</v>
      </c>
      <c r="L1759" s="6" t="s">
        <v>4510</v>
      </c>
      <c r="M1759" s="6" t="s">
        <v>4511</v>
      </c>
      <c r="N1759" s="6" t="s">
        <v>828</v>
      </c>
      <c r="O1759" s="29">
        <f t="shared" si="39"/>
        <v>0</v>
      </c>
      <c r="Q1759" s="30" t="s">
        <v>828</v>
      </c>
      <c r="R1759" s="31">
        <v>0</v>
      </c>
    </row>
    <row r="1760" s="1" customFormat="1" ht="16.35" hidden="1" customHeight="1" spans="1:18">
      <c r="A1760" s="6" t="s">
        <v>4506</v>
      </c>
      <c r="B1760" s="6">
        <v>2019</v>
      </c>
      <c r="C1760" s="6">
        <v>12</v>
      </c>
      <c r="D1760" s="7">
        <v>100</v>
      </c>
      <c r="E1760" s="6" t="s">
        <v>4121</v>
      </c>
      <c r="F1760" s="6" t="s">
        <v>4508</v>
      </c>
      <c r="G1760" s="6" t="s">
        <v>25</v>
      </c>
      <c r="H1760" s="8">
        <v>294833</v>
      </c>
      <c r="I1760" s="8"/>
      <c r="J1760" s="6" t="s">
        <v>3259</v>
      </c>
      <c r="K1760" s="6" t="s">
        <v>796</v>
      </c>
      <c r="L1760" s="6" t="s">
        <v>4510</v>
      </c>
      <c r="M1760" s="6" t="s">
        <v>4511</v>
      </c>
      <c r="N1760" s="6" t="s">
        <v>796</v>
      </c>
      <c r="O1760" s="29">
        <f t="shared" si="39"/>
        <v>0</v>
      </c>
      <c r="Q1760" s="30" t="s">
        <v>796</v>
      </c>
      <c r="R1760" s="31">
        <v>0</v>
      </c>
    </row>
    <row r="1761" s="1" customFormat="1" ht="16.35" hidden="1" customHeight="1" spans="1:18">
      <c r="A1761" s="6" t="s">
        <v>4506</v>
      </c>
      <c r="B1761" s="6">
        <v>2019</v>
      </c>
      <c r="C1761" s="6">
        <v>12</v>
      </c>
      <c r="D1761" s="7">
        <v>100</v>
      </c>
      <c r="E1761" s="6" t="s">
        <v>4121</v>
      </c>
      <c r="F1761" s="6" t="s">
        <v>4508</v>
      </c>
      <c r="G1761" s="6" t="s">
        <v>25</v>
      </c>
      <c r="H1761" s="8">
        <v>294833</v>
      </c>
      <c r="I1761" s="8"/>
      <c r="J1761" s="6" t="s">
        <v>3260</v>
      </c>
      <c r="K1761" s="6" t="s">
        <v>798</v>
      </c>
      <c r="L1761" s="6" t="s">
        <v>4510</v>
      </c>
      <c r="M1761" s="6" t="s">
        <v>4511</v>
      </c>
      <c r="N1761" s="6" t="s">
        <v>798</v>
      </c>
      <c r="O1761" s="29">
        <f t="shared" si="39"/>
        <v>0</v>
      </c>
      <c r="Q1761" s="30" t="s">
        <v>798</v>
      </c>
      <c r="R1761" s="31">
        <v>0</v>
      </c>
    </row>
    <row r="1762" s="1" customFormat="1" ht="16.35" hidden="1" customHeight="1" spans="1:18">
      <c r="A1762" s="6" t="s">
        <v>4506</v>
      </c>
      <c r="B1762" s="6">
        <v>2019</v>
      </c>
      <c r="C1762" s="6">
        <v>12</v>
      </c>
      <c r="D1762" s="7">
        <v>100</v>
      </c>
      <c r="E1762" s="6" t="s">
        <v>4121</v>
      </c>
      <c r="F1762" s="6" t="s">
        <v>4508</v>
      </c>
      <c r="G1762" s="6" t="s">
        <v>25</v>
      </c>
      <c r="H1762" s="8">
        <v>294833</v>
      </c>
      <c r="I1762" s="8"/>
      <c r="J1762" s="6" t="s">
        <v>3261</v>
      </c>
      <c r="K1762" s="6" t="s">
        <v>799</v>
      </c>
      <c r="L1762" s="6" t="s">
        <v>4510</v>
      </c>
      <c r="M1762" s="6" t="s">
        <v>4511</v>
      </c>
      <c r="N1762" s="6" t="s">
        <v>799</v>
      </c>
      <c r="O1762" s="29">
        <f t="shared" si="39"/>
        <v>0</v>
      </c>
      <c r="Q1762" s="30" t="s">
        <v>799</v>
      </c>
      <c r="R1762" s="31">
        <v>0</v>
      </c>
    </row>
    <row r="1763" s="1" customFormat="1" ht="16.35" hidden="1" customHeight="1" spans="1:18">
      <c r="A1763" s="6" t="s">
        <v>4506</v>
      </c>
      <c r="B1763" s="6">
        <v>2019</v>
      </c>
      <c r="C1763" s="6">
        <v>12</v>
      </c>
      <c r="D1763" s="7">
        <v>100</v>
      </c>
      <c r="E1763" s="6" t="s">
        <v>4121</v>
      </c>
      <c r="F1763" s="6" t="s">
        <v>4508</v>
      </c>
      <c r="G1763" s="6" t="s">
        <v>25</v>
      </c>
      <c r="H1763" s="8">
        <v>294833</v>
      </c>
      <c r="I1763" s="8"/>
      <c r="J1763" s="6" t="s">
        <v>3262</v>
      </c>
      <c r="K1763" s="6" t="s">
        <v>800</v>
      </c>
      <c r="L1763" s="6" t="s">
        <v>4510</v>
      </c>
      <c r="M1763" s="6" t="s">
        <v>4511</v>
      </c>
      <c r="N1763" s="6" t="s">
        <v>800</v>
      </c>
      <c r="O1763" s="29">
        <f t="shared" si="39"/>
        <v>0</v>
      </c>
      <c r="Q1763" s="30" t="s">
        <v>800</v>
      </c>
      <c r="R1763" s="31">
        <v>0</v>
      </c>
    </row>
    <row r="1764" s="1" customFormat="1" ht="16.35" hidden="1" customHeight="1" spans="1:18">
      <c r="A1764" s="6" t="s">
        <v>4506</v>
      </c>
      <c r="B1764" s="6">
        <v>2019</v>
      </c>
      <c r="C1764" s="6">
        <v>12</v>
      </c>
      <c r="D1764" s="7">
        <v>100</v>
      </c>
      <c r="E1764" s="6" t="s">
        <v>4121</v>
      </c>
      <c r="F1764" s="6" t="s">
        <v>4508</v>
      </c>
      <c r="G1764" s="6" t="s">
        <v>25</v>
      </c>
      <c r="H1764" s="8">
        <v>294833</v>
      </c>
      <c r="I1764" s="8"/>
      <c r="J1764" s="6" t="s">
        <v>3263</v>
      </c>
      <c r="K1764" s="6" t="s">
        <v>801</v>
      </c>
      <c r="L1764" s="6" t="s">
        <v>4510</v>
      </c>
      <c r="M1764" s="6" t="s">
        <v>4511</v>
      </c>
      <c r="N1764" s="6" t="s">
        <v>801</v>
      </c>
      <c r="O1764" s="29">
        <f t="shared" si="39"/>
        <v>0</v>
      </c>
      <c r="Q1764" s="30" t="s">
        <v>801</v>
      </c>
      <c r="R1764" s="31">
        <v>0</v>
      </c>
    </row>
    <row r="1765" s="1" customFormat="1" ht="16.35" hidden="1" customHeight="1" spans="1:18">
      <c r="A1765" s="6" t="s">
        <v>4506</v>
      </c>
      <c r="B1765" s="6">
        <v>2019</v>
      </c>
      <c r="C1765" s="6">
        <v>12</v>
      </c>
      <c r="D1765" s="7">
        <v>100</v>
      </c>
      <c r="E1765" s="6" t="s">
        <v>4121</v>
      </c>
      <c r="F1765" s="6" t="s">
        <v>4508</v>
      </c>
      <c r="G1765" s="6" t="s">
        <v>25</v>
      </c>
      <c r="H1765" s="8">
        <v>294833</v>
      </c>
      <c r="I1765" s="8"/>
      <c r="J1765" s="6" t="s">
        <v>3264</v>
      </c>
      <c r="K1765" s="6" t="s">
        <v>802</v>
      </c>
      <c r="L1765" s="6" t="s">
        <v>4510</v>
      </c>
      <c r="M1765" s="6" t="s">
        <v>4511</v>
      </c>
      <c r="N1765" s="6" t="s">
        <v>802</v>
      </c>
      <c r="O1765" s="29">
        <f t="shared" si="39"/>
        <v>0</v>
      </c>
      <c r="Q1765" s="30" t="s">
        <v>802</v>
      </c>
      <c r="R1765" s="31">
        <v>0</v>
      </c>
    </row>
    <row r="1766" s="1" customFormat="1" ht="16.35" hidden="1" customHeight="1" spans="1:18">
      <c r="A1766" s="6" t="s">
        <v>4506</v>
      </c>
      <c r="B1766" s="6">
        <v>2019</v>
      </c>
      <c r="C1766" s="6">
        <v>12</v>
      </c>
      <c r="D1766" s="7">
        <v>100</v>
      </c>
      <c r="E1766" s="6" t="s">
        <v>4121</v>
      </c>
      <c r="F1766" s="6" t="s">
        <v>4508</v>
      </c>
      <c r="G1766" s="6" t="s">
        <v>25</v>
      </c>
      <c r="H1766" s="8">
        <v>162981</v>
      </c>
      <c r="I1766" s="8"/>
      <c r="J1766" s="6" t="s">
        <v>3266</v>
      </c>
      <c r="K1766" s="6" t="s">
        <v>953</v>
      </c>
      <c r="L1766" s="6" t="s">
        <v>4510</v>
      </c>
      <c r="M1766" s="6" t="s">
        <v>4511</v>
      </c>
      <c r="N1766" s="6" t="s">
        <v>953</v>
      </c>
      <c r="O1766" s="29">
        <f t="shared" si="39"/>
        <v>0</v>
      </c>
      <c r="Q1766" s="30" t="s">
        <v>953</v>
      </c>
      <c r="R1766" s="31">
        <v>0</v>
      </c>
    </row>
    <row r="1767" s="1" customFormat="1" ht="16.35" hidden="1" customHeight="1" spans="1:18">
      <c r="A1767" s="6" t="s">
        <v>4506</v>
      </c>
      <c r="B1767" s="6">
        <v>2019</v>
      </c>
      <c r="C1767" s="6">
        <v>12</v>
      </c>
      <c r="D1767" s="7">
        <v>100</v>
      </c>
      <c r="E1767" s="6" t="s">
        <v>4121</v>
      </c>
      <c r="F1767" s="6" t="s">
        <v>4508</v>
      </c>
      <c r="G1767" s="6" t="s">
        <v>25</v>
      </c>
      <c r="H1767" s="8">
        <v>346922</v>
      </c>
      <c r="I1767" s="8"/>
      <c r="J1767" s="6" t="s">
        <v>3267</v>
      </c>
      <c r="K1767" s="6" t="s">
        <v>425</v>
      </c>
      <c r="L1767" s="6" t="s">
        <v>4510</v>
      </c>
      <c r="M1767" s="6" t="s">
        <v>4511</v>
      </c>
      <c r="N1767" s="6" t="s">
        <v>425</v>
      </c>
      <c r="O1767" s="29">
        <f t="shared" si="39"/>
        <v>0</v>
      </c>
      <c r="Q1767" s="30" t="s">
        <v>425</v>
      </c>
      <c r="R1767" s="31">
        <v>0</v>
      </c>
    </row>
    <row r="1768" s="1" customFormat="1" ht="16.35" hidden="1" customHeight="1" spans="1:18">
      <c r="A1768" s="6" t="s">
        <v>4506</v>
      </c>
      <c r="B1768" s="6">
        <v>2019</v>
      </c>
      <c r="C1768" s="6">
        <v>12</v>
      </c>
      <c r="D1768" s="7">
        <v>100</v>
      </c>
      <c r="E1768" s="6" t="s">
        <v>4121</v>
      </c>
      <c r="F1768" s="6" t="s">
        <v>4508</v>
      </c>
      <c r="G1768" s="6" t="s">
        <v>25</v>
      </c>
      <c r="H1768" s="8">
        <v>373837</v>
      </c>
      <c r="I1768" s="8"/>
      <c r="J1768" s="6" t="s">
        <v>3268</v>
      </c>
      <c r="K1768" s="6" t="s">
        <v>429</v>
      </c>
      <c r="L1768" s="6" t="s">
        <v>4510</v>
      </c>
      <c r="M1768" s="6" t="s">
        <v>4511</v>
      </c>
      <c r="N1768" s="6" t="s">
        <v>429</v>
      </c>
      <c r="O1768" s="29">
        <f t="shared" si="39"/>
        <v>0</v>
      </c>
      <c r="Q1768" s="30" t="s">
        <v>429</v>
      </c>
      <c r="R1768" s="31">
        <v>0</v>
      </c>
    </row>
    <row r="1769" s="1" customFormat="1" ht="16.35" hidden="1" customHeight="1" spans="1:18">
      <c r="A1769" s="6" t="s">
        <v>4506</v>
      </c>
      <c r="B1769" s="6">
        <v>2019</v>
      </c>
      <c r="C1769" s="6">
        <v>12</v>
      </c>
      <c r="D1769" s="7">
        <v>100</v>
      </c>
      <c r="E1769" s="6" t="s">
        <v>4121</v>
      </c>
      <c r="F1769" s="6" t="s">
        <v>4508</v>
      </c>
      <c r="G1769" s="6" t="s">
        <v>25</v>
      </c>
      <c r="H1769" s="8">
        <v>373837</v>
      </c>
      <c r="I1769" s="8"/>
      <c r="J1769" s="6" t="s">
        <v>3269</v>
      </c>
      <c r="K1769" s="6" t="s">
        <v>433</v>
      </c>
      <c r="L1769" s="6" t="s">
        <v>4510</v>
      </c>
      <c r="M1769" s="6" t="s">
        <v>4511</v>
      </c>
      <c r="N1769" s="6" t="s">
        <v>433</v>
      </c>
      <c r="O1769" s="29">
        <f t="shared" si="39"/>
        <v>0</v>
      </c>
      <c r="Q1769" s="30" t="s">
        <v>433</v>
      </c>
      <c r="R1769" s="31">
        <v>0</v>
      </c>
    </row>
    <row r="1770" s="1" customFormat="1" ht="16.35" hidden="1" customHeight="1" spans="1:18">
      <c r="A1770" s="6" t="s">
        <v>4506</v>
      </c>
      <c r="B1770" s="6">
        <v>2019</v>
      </c>
      <c r="C1770" s="6">
        <v>12</v>
      </c>
      <c r="D1770" s="7">
        <v>100</v>
      </c>
      <c r="E1770" s="6" t="s">
        <v>4121</v>
      </c>
      <c r="F1770" s="6" t="s">
        <v>4508</v>
      </c>
      <c r="G1770" s="6" t="s">
        <v>25</v>
      </c>
      <c r="H1770" s="8">
        <v>329098</v>
      </c>
      <c r="I1770" s="8"/>
      <c r="J1770" s="6" t="s">
        <v>3270</v>
      </c>
      <c r="K1770" s="6" t="s">
        <v>435</v>
      </c>
      <c r="L1770" s="6" t="s">
        <v>4510</v>
      </c>
      <c r="M1770" s="6" t="s">
        <v>4511</v>
      </c>
      <c r="N1770" s="6" t="s">
        <v>435</v>
      </c>
      <c r="O1770" s="29">
        <f t="shared" si="39"/>
        <v>0</v>
      </c>
      <c r="Q1770" s="30" t="s">
        <v>435</v>
      </c>
      <c r="R1770" s="31">
        <v>0</v>
      </c>
    </row>
    <row r="1771" s="1" customFormat="1" ht="16.35" hidden="1" customHeight="1" spans="1:18">
      <c r="A1771" s="6" t="s">
        <v>4506</v>
      </c>
      <c r="B1771" s="6">
        <v>2019</v>
      </c>
      <c r="C1771" s="6">
        <v>12</v>
      </c>
      <c r="D1771" s="7">
        <v>100</v>
      </c>
      <c r="E1771" s="6" t="s">
        <v>4121</v>
      </c>
      <c r="F1771" s="6" t="s">
        <v>4508</v>
      </c>
      <c r="G1771" s="6" t="s">
        <v>25</v>
      </c>
      <c r="H1771" s="8">
        <v>247333</v>
      </c>
      <c r="I1771" s="8"/>
      <c r="J1771" s="6" t="s">
        <v>3271</v>
      </c>
      <c r="K1771" s="6" t="s">
        <v>443</v>
      </c>
      <c r="L1771" s="6" t="s">
        <v>4510</v>
      </c>
      <c r="M1771" s="6" t="s">
        <v>4511</v>
      </c>
      <c r="N1771" s="6" t="s">
        <v>443</v>
      </c>
      <c r="O1771" s="29">
        <f t="shared" si="39"/>
        <v>0</v>
      </c>
      <c r="Q1771" s="30" t="s">
        <v>443</v>
      </c>
      <c r="R1771" s="31">
        <v>0</v>
      </c>
    </row>
    <row r="1772" s="1" customFormat="1" ht="16.35" hidden="1" customHeight="1" spans="1:18">
      <c r="A1772" s="6" t="s">
        <v>4506</v>
      </c>
      <c r="B1772" s="6">
        <v>2019</v>
      </c>
      <c r="C1772" s="6">
        <v>12</v>
      </c>
      <c r="D1772" s="7">
        <v>100</v>
      </c>
      <c r="E1772" s="6" t="s">
        <v>4121</v>
      </c>
      <c r="F1772" s="6" t="s">
        <v>4508</v>
      </c>
      <c r="G1772" s="6" t="s">
        <v>25</v>
      </c>
      <c r="H1772" s="8">
        <v>189263</v>
      </c>
      <c r="I1772" s="8"/>
      <c r="J1772" s="6" t="s">
        <v>3272</v>
      </c>
      <c r="K1772" s="6" t="s">
        <v>445</v>
      </c>
      <c r="L1772" s="6" t="s">
        <v>4510</v>
      </c>
      <c r="M1772" s="6" t="s">
        <v>4511</v>
      </c>
      <c r="N1772" s="6" t="s">
        <v>445</v>
      </c>
      <c r="O1772" s="29">
        <f t="shared" si="39"/>
        <v>0</v>
      </c>
      <c r="Q1772" s="30" t="s">
        <v>445</v>
      </c>
      <c r="R1772" s="31">
        <v>0</v>
      </c>
    </row>
    <row r="1773" s="1" customFormat="1" ht="16.35" hidden="1" customHeight="1" spans="1:18">
      <c r="A1773" s="6" t="s">
        <v>4506</v>
      </c>
      <c r="B1773" s="6">
        <v>2019</v>
      </c>
      <c r="C1773" s="6">
        <v>12</v>
      </c>
      <c r="D1773" s="7">
        <v>100</v>
      </c>
      <c r="E1773" s="6" t="s">
        <v>4121</v>
      </c>
      <c r="F1773" s="6" t="s">
        <v>4508</v>
      </c>
      <c r="G1773" s="6" t="s">
        <v>25</v>
      </c>
      <c r="H1773" s="8">
        <v>186836</v>
      </c>
      <c r="I1773" s="8"/>
      <c r="J1773" s="6" t="s">
        <v>3273</v>
      </c>
      <c r="K1773" s="6" t="s">
        <v>447</v>
      </c>
      <c r="L1773" s="6" t="s">
        <v>4510</v>
      </c>
      <c r="M1773" s="6" t="s">
        <v>4511</v>
      </c>
      <c r="N1773" s="6" t="s">
        <v>447</v>
      </c>
      <c r="O1773" s="29">
        <f t="shared" si="39"/>
        <v>0</v>
      </c>
      <c r="Q1773" s="30" t="s">
        <v>447</v>
      </c>
      <c r="R1773" s="31">
        <v>0</v>
      </c>
    </row>
    <row r="1774" s="1" customFormat="1" ht="16.35" hidden="1" customHeight="1" spans="1:18">
      <c r="A1774" s="6" t="s">
        <v>4506</v>
      </c>
      <c r="B1774" s="6">
        <v>2019</v>
      </c>
      <c r="C1774" s="6">
        <v>12</v>
      </c>
      <c r="D1774" s="7">
        <v>100</v>
      </c>
      <c r="E1774" s="6" t="s">
        <v>4121</v>
      </c>
      <c r="F1774" s="6" t="s">
        <v>4508</v>
      </c>
      <c r="G1774" s="6" t="s">
        <v>25</v>
      </c>
      <c r="H1774" s="8">
        <v>282111</v>
      </c>
      <c r="I1774" s="8"/>
      <c r="J1774" s="6" t="s">
        <v>3274</v>
      </c>
      <c r="K1774" s="6" t="s">
        <v>453</v>
      </c>
      <c r="L1774" s="6" t="s">
        <v>4510</v>
      </c>
      <c r="M1774" s="6" t="s">
        <v>4511</v>
      </c>
      <c r="N1774" s="6" t="s">
        <v>453</v>
      </c>
      <c r="O1774" s="29">
        <f t="shared" si="39"/>
        <v>0</v>
      </c>
      <c r="Q1774" s="30" t="s">
        <v>453</v>
      </c>
      <c r="R1774" s="31">
        <v>0</v>
      </c>
    </row>
    <row r="1775" s="1" customFormat="1" ht="16.35" hidden="1" customHeight="1" spans="1:18">
      <c r="A1775" s="6" t="s">
        <v>4506</v>
      </c>
      <c r="B1775" s="6">
        <v>2019</v>
      </c>
      <c r="C1775" s="6">
        <v>12</v>
      </c>
      <c r="D1775" s="7">
        <v>100</v>
      </c>
      <c r="E1775" s="6" t="s">
        <v>4121</v>
      </c>
      <c r="F1775" s="6" t="s">
        <v>4508</v>
      </c>
      <c r="G1775" s="6" t="s">
        <v>25</v>
      </c>
      <c r="H1775" s="8">
        <v>295985</v>
      </c>
      <c r="I1775" s="8"/>
      <c r="J1775" s="6" t="s">
        <v>3275</v>
      </c>
      <c r="K1775" s="6" t="s">
        <v>455</v>
      </c>
      <c r="L1775" s="6" t="s">
        <v>4510</v>
      </c>
      <c r="M1775" s="6" t="s">
        <v>4511</v>
      </c>
      <c r="N1775" s="6" t="s">
        <v>455</v>
      </c>
      <c r="O1775" s="29">
        <f t="shared" si="39"/>
        <v>0</v>
      </c>
      <c r="Q1775" s="30" t="s">
        <v>455</v>
      </c>
      <c r="R1775" s="31">
        <v>0</v>
      </c>
    </row>
    <row r="1776" s="1" customFormat="1" ht="16.35" hidden="1" customHeight="1" spans="1:18">
      <c r="A1776" s="6" t="s">
        <v>4506</v>
      </c>
      <c r="B1776" s="6">
        <v>2019</v>
      </c>
      <c r="C1776" s="6">
        <v>12</v>
      </c>
      <c r="D1776" s="7">
        <v>100</v>
      </c>
      <c r="E1776" s="6" t="s">
        <v>4121</v>
      </c>
      <c r="F1776" s="6" t="s">
        <v>4508</v>
      </c>
      <c r="G1776" s="6" t="s">
        <v>25</v>
      </c>
      <c r="H1776" s="8">
        <v>334648</v>
      </c>
      <c r="I1776" s="8"/>
      <c r="J1776" s="6" t="s">
        <v>3652</v>
      </c>
      <c r="K1776" s="6" t="s">
        <v>463</v>
      </c>
      <c r="L1776" s="6" t="s">
        <v>4510</v>
      </c>
      <c r="M1776" s="6" t="s">
        <v>4511</v>
      </c>
      <c r="N1776" s="6" t="s">
        <v>463</v>
      </c>
      <c r="O1776" s="29">
        <f t="shared" si="39"/>
        <v>0</v>
      </c>
      <c r="Q1776" s="30" t="s">
        <v>463</v>
      </c>
      <c r="R1776" s="31">
        <v>0</v>
      </c>
    </row>
    <row r="1777" s="1" customFormat="1" ht="16.35" hidden="1" customHeight="1" spans="1:18">
      <c r="A1777" s="6" t="s">
        <v>4506</v>
      </c>
      <c r="B1777" s="6">
        <v>2019</v>
      </c>
      <c r="C1777" s="6">
        <v>12</v>
      </c>
      <c r="D1777" s="7">
        <v>100</v>
      </c>
      <c r="E1777" s="6" t="s">
        <v>4121</v>
      </c>
      <c r="F1777" s="6" t="s">
        <v>4508</v>
      </c>
      <c r="G1777" s="6" t="s">
        <v>25</v>
      </c>
      <c r="H1777" s="8">
        <v>186836</v>
      </c>
      <c r="I1777" s="8"/>
      <c r="J1777" s="6" t="s">
        <v>3655</v>
      </c>
      <c r="K1777" s="6" t="s">
        <v>471</v>
      </c>
      <c r="L1777" s="6" t="s">
        <v>4510</v>
      </c>
      <c r="M1777" s="6" t="s">
        <v>4511</v>
      </c>
      <c r="N1777" s="6" t="s">
        <v>471</v>
      </c>
      <c r="O1777" s="29">
        <f t="shared" si="39"/>
        <v>0</v>
      </c>
      <c r="Q1777" s="30" t="s">
        <v>471</v>
      </c>
      <c r="R1777" s="31">
        <v>0</v>
      </c>
    </row>
    <row r="1778" s="1" customFormat="1" ht="16.35" hidden="1" customHeight="1" spans="1:18">
      <c r="A1778" s="6" t="s">
        <v>4506</v>
      </c>
      <c r="B1778" s="6">
        <v>2019</v>
      </c>
      <c r="C1778" s="6">
        <v>12</v>
      </c>
      <c r="D1778" s="7">
        <v>100</v>
      </c>
      <c r="E1778" s="6" t="s">
        <v>4121</v>
      </c>
      <c r="F1778" s="6" t="s">
        <v>4508</v>
      </c>
      <c r="G1778" s="6" t="s">
        <v>25</v>
      </c>
      <c r="H1778" s="8">
        <v>291360</v>
      </c>
      <c r="I1778" s="8"/>
      <c r="J1778" s="6" t="s">
        <v>3657</v>
      </c>
      <c r="K1778" s="6" t="s">
        <v>475</v>
      </c>
      <c r="L1778" s="6" t="s">
        <v>4510</v>
      </c>
      <c r="M1778" s="6" t="s">
        <v>4511</v>
      </c>
      <c r="N1778" s="6" t="s">
        <v>475</v>
      </c>
      <c r="O1778" s="29">
        <f t="shared" si="39"/>
        <v>0</v>
      </c>
      <c r="Q1778" s="30" t="s">
        <v>475</v>
      </c>
      <c r="R1778" s="31">
        <v>0</v>
      </c>
    </row>
    <row r="1779" s="1" customFormat="1" ht="16.35" hidden="1" customHeight="1" spans="1:18">
      <c r="A1779" s="6" t="s">
        <v>4506</v>
      </c>
      <c r="B1779" s="6">
        <v>2019</v>
      </c>
      <c r="C1779" s="6">
        <v>12</v>
      </c>
      <c r="D1779" s="7">
        <v>100</v>
      </c>
      <c r="E1779" s="6" t="s">
        <v>4121</v>
      </c>
      <c r="F1779" s="6" t="s">
        <v>4508</v>
      </c>
      <c r="G1779" s="6" t="s">
        <v>25</v>
      </c>
      <c r="H1779" s="8">
        <v>293025</v>
      </c>
      <c r="I1779" s="8"/>
      <c r="J1779" s="6" t="s">
        <v>3659</v>
      </c>
      <c r="K1779" s="6" t="s">
        <v>497</v>
      </c>
      <c r="L1779" s="6" t="s">
        <v>4510</v>
      </c>
      <c r="M1779" s="6" t="s">
        <v>4511</v>
      </c>
      <c r="N1779" s="6" t="s">
        <v>497</v>
      </c>
      <c r="O1779" s="29">
        <f t="shared" si="39"/>
        <v>0</v>
      </c>
      <c r="Q1779" s="30" t="s">
        <v>497</v>
      </c>
      <c r="R1779" s="31">
        <v>0</v>
      </c>
    </row>
    <row r="1780" s="1" customFormat="1" ht="16.35" hidden="1" customHeight="1" spans="1:18">
      <c r="A1780" s="6" t="s">
        <v>4506</v>
      </c>
      <c r="B1780" s="6">
        <v>2019</v>
      </c>
      <c r="C1780" s="6">
        <v>12</v>
      </c>
      <c r="D1780" s="7">
        <v>100</v>
      </c>
      <c r="E1780" s="6" t="s">
        <v>4121</v>
      </c>
      <c r="F1780" s="6" t="s">
        <v>4508</v>
      </c>
      <c r="G1780" s="6" t="s">
        <v>25</v>
      </c>
      <c r="H1780" s="8">
        <v>292350</v>
      </c>
      <c r="I1780" s="8"/>
      <c r="J1780" s="6" t="s">
        <v>3661</v>
      </c>
      <c r="K1780" s="6" t="s">
        <v>499</v>
      </c>
      <c r="L1780" s="6" t="s">
        <v>4510</v>
      </c>
      <c r="M1780" s="6" t="s">
        <v>4511</v>
      </c>
      <c r="N1780" s="6" t="s">
        <v>499</v>
      </c>
      <c r="O1780" s="29">
        <f t="shared" si="39"/>
        <v>0</v>
      </c>
      <c r="Q1780" s="30" t="s">
        <v>499</v>
      </c>
      <c r="R1780" s="31">
        <v>0</v>
      </c>
    </row>
    <row r="1781" s="1" customFormat="1" ht="16.35" hidden="1" customHeight="1" spans="1:18">
      <c r="A1781" s="6" t="s">
        <v>4506</v>
      </c>
      <c r="B1781" s="6">
        <v>2019</v>
      </c>
      <c r="C1781" s="6">
        <v>12</v>
      </c>
      <c r="D1781" s="7">
        <v>100</v>
      </c>
      <c r="E1781" s="6" t="s">
        <v>4121</v>
      </c>
      <c r="F1781" s="6" t="s">
        <v>4508</v>
      </c>
      <c r="G1781" s="6" t="s">
        <v>25</v>
      </c>
      <c r="H1781" s="8">
        <v>364247</v>
      </c>
      <c r="I1781" s="8"/>
      <c r="J1781" s="6" t="s">
        <v>3663</v>
      </c>
      <c r="K1781" s="6" t="s">
        <v>505</v>
      </c>
      <c r="L1781" s="6" t="s">
        <v>4510</v>
      </c>
      <c r="M1781" s="6" t="s">
        <v>4511</v>
      </c>
      <c r="N1781" s="6" t="s">
        <v>505</v>
      </c>
      <c r="O1781" s="29">
        <f t="shared" si="39"/>
        <v>0</v>
      </c>
      <c r="Q1781" s="30" t="s">
        <v>505</v>
      </c>
      <c r="R1781" s="31">
        <v>0</v>
      </c>
    </row>
    <row r="1782" s="1" customFormat="1" ht="16.35" hidden="1" customHeight="1" spans="1:18">
      <c r="A1782" s="6" t="s">
        <v>4506</v>
      </c>
      <c r="B1782" s="6">
        <v>2019</v>
      </c>
      <c r="C1782" s="6">
        <v>12</v>
      </c>
      <c r="D1782" s="7">
        <v>100</v>
      </c>
      <c r="E1782" s="6" t="s">
        <v>4121</v>
      </c>
      <c r="F1782" s="6" t="s">
        <v>4508</v>
      </c>
      <c r="G1782" s="6" t="s">
        <v>25</v>
      </c>
      <c r="H1782" s="8">
        <v>301632</v>
      </c>
      <c r="I1782" s="8"/>
      <c r="J1782" s="6" t="s">
        <v>3665</v>
      </c>
      <c r="K1782" s="6" t="s">
        <v>515</v>
      </c>
      <c r="L1782" s="6" t="s">
        <v>4510</v>
      </c>
      <c r="M1782" s="6" t="s">
        <v>4511</v>
      </c>
      <c r="N1782" s="6" t="s">
        <v>515</v>
      </c>
      <c r="O1782" s="29">
        <f t="shared" si="39"/>
        <v>0</v>
      </c>
      <c r="Q1782" s="30" t="s">
        <v>515</v>
      </c>
      <c r="R1782" s="31">
        <v>0</v>
      </c>
    </row>
    <row r="1783" s="1" customFormat="1" ht="16.35" hidden="1" customHeight="1" spans="1:18">
      <c r="A1783" s="6" t="s">
        <v>4506</v>
      </c>
      <c r="B1783" s="6">
        <v>2019</v>
      </c>
      <c r="C1783" s="6">
        <v>12</v>
      </c>
      <c r="D1783" s="7">
        <v>100</v>
      </c>
      <c r="E1783" s="6" t="s">
        <v>4121</v>
      </c>
      <c r="F1783" s="6" t="s">
        <v>4508</v>
      </c>
      <c r="G1783" s="6" t="s">
        <v>25</v>
      </c>
      <c r="H1783" s="8">
        <v>262042</v>
      </c>
      <c r="I1783" s="8"/>
      <c r="J1783" s="6" t="s">
        <v>3670</v>
      </c>
      <c r="K1783" s="6" t="s">
        <v>519</v>
      </c>
      <c r="L1783" s="6" t="s">
        <v>4510</v>
      </c>
      <c r="M1783" s="6" t="s">
        <v>4511</v>
      </c>
      <c r="N1783" s="6" t="s">
        <v>519</v>
      </c>
      <c r="O1783" s="29">
        <f t="shared" si="39"/>
        <v>0</v>
      </c>
      <c r="Q1783" s="30" t="s">
        <v>519</v>
      </c>
      <c r="R1783" s="31">
        <v>0</v>
      </c>
    </row>
    <row r="1784" s="1" customFormat="1" ht="16.35" hidden="1" customHeight="1" spans="1:18">
      <c r="A1784" s="6" t="s">
        <v>4506</v>
      </c>
      <c r="B1784" s="6">
        <v>2019</v>
      </c>
      <c r="C1784" s="6">
        <v>12</v>
      </c>
      <c r="D1784" s="7">
        <v>100</v>
      </c>
      <c r="E1784" s="6" t="s">
        <v>4121</v>
      </c>
      <c r="F1784" s="6" t="s">
        <v>4508</v>
      </c>
      <c r="G1784" s="6" t="s">
        <v>25</v>
      </c>
      <c r="H1784" s="8">
        <v>288803</v>
      </c>
      <c r="I1784" s="8"/>
      <c r="J1784" s="6" t="s">
        <v>3673</v>
      </c>
      <c r="K1784" s="6" t="s">
        <v>595</v>
      </c>
      <c r="L1784" s="6" t="s">
        <v>4510</v>
      </c>
      <c r="M1784" s="6" t="s">
        <v>4511</v>
      </c>
      <c r="N1784" s="6" t="s">
        <v>595</v>
      </c>
      <c r="O1784" s="29">
        <f t="shared" si="39"/>
        <v>0</v>
      </c>
      <c r="Q1784" s="30" t="s">
        <v>595</v>
      </c>
      <c r="R1784" s="31">
        <v>0</v>
      </c>
    </row>
    <row r="1785" s="1" customFormat="1" ht="16.35" hidden="1" customHeight="1" spans="1:18">
      <c r="A1785" s="6" t="s">
        <v>4506</v>
      </c>
      <c r="B1785" s="6">
        <v>2019</v>
      </c>
      <c r="C1785" s="6">
        <v>12</v>
      </c>
      <c r="D1785" s="7">
        <v>100</v>
      </c>
      <c r="E1785" s="6" t="s">
        <v>4121</v>
      </c>
      <c r="F1785" s="6" t="s">
        <v>4508</v>
      </c>
      <c r="G1785" s="6" t="s">
        <v>25</v>
      </c>
      <c r="H1785" s="8">
        <v>346989</v>
      </c>
      <c r="I1785" s="8"/>
      <c r="J1785" s="6" t="s">
        <v>3675</v>
      </c>
      <c r="K1785" s="6" t="s">
        <v>624</v>
      </c>
      <c r="L1785" s="6" t="s">
        <v>4510</v>
      </c>
      <c r="M1785" s="6" t="s">
        <v>4511</v>
      </c>
      <c r="N1785" s="6" t="s">
        <v>624</v>
      </c>
      <c r="O1785" s="29">
        <f t="shared" si="39"/>
        <v>0</v>
      </c>
      <c r="Q1785" s="30" t="s">
        <v>624</v>
      </c>
      <c r="R1785" s="31">
        <v>0</v>
      </c>
    </row>
    <row r="1786" s="1" customFormat="1" ht="16.35" hidden="1" customHeight="1" spans="1:18">
      <c r="A1786" s="6" t="s">
        <v>4506</v>
      </c>
      <c r="B1786" s="6">
        <v>2019</v>
      </c>
      <c r="C1786" s="6">
        <v>12</v>
      </c>
      <c r="D1786" s="7">
        <v>100</v>
      </c>
      <c r="E1786" s="6" t="s">
        <v>4121</v>
      </c>
      <c r="F1786" s="6" t="s">
        <v>4508</v>
      </c>
      <c r="G1786" s="6" t="s">
        <v>25</v>
      </c>
      <c r="H1786" s="8">
        <v>288566</v>
      </c>
      <c r="I1786" s="8"/>
      <c r="J1786" s="6" t="s">
        <v>3677</v>
      </c>
      <c r="K1786" s="6" t="s">
        <v>626</v>
      </c>
      <c r="L1786" s="6" t="s">
        <v>4510</v>
      </c>
      <c r="M1786" s="6" t="s">
        <v>4511</v>
      </c>
      <c r="N1786" s="6" t="s">
        <v>626</v>
      </c>
      <c r="O1786" s="29">
        <f t="shared" si="39"/>
        <v>0</v>
      </c>
      <c r="Q1786" s="30" t="s">
        <v>626</v>
      </c>
      <c r="R1786" s="31">
        <v>0</v>
      </c>
    </row>
    <row r="1787" s="1" customFormat="1" ht="16.35" hidden="1" customHeight="1" spans="1:18">
      <c r="A1787" s="6" t="s">
        <v>4506</v>
      </c>
      <c r="B1787" s="6">
        <v>2019</v>
      </c>
      <c r="C1787" s="6">
        <v>12</v>
      </c>
      <c r="D1787" s="7">
        <v>100</v>
      </c>
      <c r="E1787" s="6" t="s">
        <v>4121</v>
      </c>
      <c r="F1787" s="6" t="s">
        <v>4508</v>
      </c>
      <c r="G1787" s="6" t="s">
        <v>25</v>
      </c>
      <c r="H1787" s="8">
        <v>347956</v>
      </c>
      <c r="I1787" s="8"/>
      <c r="J1787" s="6" t="s">
        <v>4615</v>
      </c>
      <c r="K1787" s="6" t="s">
        <v>632</v>
      </c>
      <c r="L1787" s="6" t="s">
        <v>4510</v>
      </c>
      <c r="M1787" s="6" t="s">
        <v>4511</v>
      </c>
      <c r="N1787" s="6" t="s">
        <v>632</v>
      </c>
      <c r="O1787" s="29">
        <f t="shared" si="39"/>
        <v>0</v>
      </c>
      <c r="Q1787" s="30" t="s">
        <v>632</v>
      </c>
      <c r="R1787" s="31">
        <v>0</v>
      </c>
    </row>
    <row r="1788" s="1" customFormat="1" ht="16.35" hidden="1" customHeight="1" spans="1:18">
      <c r="A1788" s="6" t="s">
        <v>4506</v>
      </c>
      <c r="B1788" s="6">
        <v>2019</v>
      </c>
      <c r="C1788" s="6">
        <v>12</v>
      </c>
      <c r="D1788" s="7">
        <v>100</v>
      </c>
      <c r="E1788" s="6" t="s">
        <v>4121</v>
      </c>
      <c r="F1788" s="6" t="s">
        <v>4508</v>
      </c>
      <c r="G1788" s="6" t="s">
        <v>25</v>
      </c>
      <c r="H1788" s="8">
        <v>331199</v>
      </c>
      <c r="I1788" s="8"/>
      <c r="J1788" s="6" t="s">
        <v>3679</v>
      </c>
      <c r="K1788" s="6" t="s">
        <v>636</v>
      </c>
      <c r="L1788" s="6" t="s">
        <v>4510</v>
      </c>
      <c r="M1788" s="6" t="s">
        <v>4511</v>
      </c>
      <c r="N1788" s="6" t="s">
        <v>636</v>
      </c>
      <c r="O1788" s="29">
        <f t="shared" si="39"/>
        <v>0</v>
      </c>
      <c r="Q1788" s="30" t="s">
        <v>636</v>
      </c>
      <c r="R1788" s="31">
        <v>0</v>
      </c>
    </row>
    <row r="1789" s="1" customFormat="1" ht="16.35" hidden="1" customHeight="1" spans="1:18">
      <c r="A1789" s="6" t="s">
        <v>4506</v>
      </c>
      <c r="B1789" s="6">
        <v>2019</v>
      </c>
      <c r="C1789" s="6">
        <v>12</v>
      </c>
      <c r="D1789" s="7">
        <v>100</v>
      </c>
      <c r="E1789" s="6" t="s">
        <v>4121</v>
      </c>
      <c r="F1789" s="6" t="s">
        <v>4508</v>
      </c>
      <c r="G1789" s="6" t="s">
        <v>25</v>
      </c>
      <c r="H1789" s="8">
        <v>331233</v>
      </c>
      <c r="I1789" s="8"/>
      <c r="J1789" s="6" t="s">
        <v>3681</v>
      </c>
      <c r="K1789" s="6" t="s">
        <v>638</v>
      </c>
      <c r="L1789" s="6" t="s">
        <v>4510</v>
      </c>
      <c r="M1789" s="6" t="s">
        <v>4511</v>
      </c>
      <c r="N1789" s="6" t="s">
        <v>638</v>
      </c>
      <c r="O1789" s="29">
        <f t="shared" si="39"/>
        <v>0</v>
      </c>
      <c r="Q1789" s="30" t="s">
        <v>638</v>
      </c>
      <c r="R1789" s="31">
        <v>0</v>
      </c>
    </row>
    <row r="1790" s="1" customFormat="1" ht="16.35" hidden="1" customHeight="1" spans="1:18">
      <c r="A1790" s="6" t="s">
        <v>4506</v>
      </c>
      <c r="B1790" s="6">
        <v>2019</v>
      </c>
      <c r="C1790" s="6">
        <v>12</v>
      </c>
      <c r="D1790" s="7">
        <v>100</v>
      </c>
      <c r="E1790" s="6" t="s">
        <v>4121</v>
      </c>
      <c r="F1790" s="6" t="s">
        <v>4508</v>
      </c>
      <c r="G1790" s="6" t="s">
        <v>25</v>
      </c>
      <c r="H1790" s="8">
        <v>288381</v>
      </c>
      <c r="I1790" s="8"/>
      <c r="J1790" s="6" t="s">
        <v>3683</v>
      </c>
      <c r="K1790" s="6" t="s">
        <v>644</v>
      </c>
      <c r="L1790" s="6" t="s">
        <v>4510</v>
      </c>
      <c r="M1790" s="6" t="s">
        <v>4511</v>
      </c>
      <c r="N1790" s="6" t="s">
        <v>644</v>
      </c>
      <c r="O1790" s="29">
        <f t="shared" si="39"/>
        <v>0</v>
      </c>
      <c r="Q1790" s="30" t="s">
        <v>644</v>
      </c>
      <c r="R1790" s="31">
        <v>0</v>
      </c>
    </row>
    <row r="1791" s="1" customFormat="1" ht="16.35" hidden="1" customHeight="1" spans="1:18">
      <c r="A1791" s="6" t="s">
        <v>4506</v>
      </c>
      <c r="B1791" s="6">
        <v>2019</v>
      </c>
      <c r="C1791" s="6">
        <v>12</v>
      </c>
      <c r="D1791" s="7">
        <v>100</v>
      </c>
      <c r="E1791" s="6" t="s">
        <v>4121</v>
      </c>
      <c r="F1791" s="6" t="s">
        <v>4508</v>
      </c>
      <c r="G1791" s="6" t="s">
        <v>25</v>
      </c>
      <c r="H1791" s="8">
        <v>347955</v>
      </c>
      <c r="I1791" s="8"/>
      <c r="J1791" s="6" t="s">
        <v>3686</v>
      </c>
      <c r="K1791" s="6" t="s">
        <v>652</v>
      </c>
      <c r="L1791" s="6" t="s">
        <v>4510</v>
      </c>
      <c r="M1791" s="6" t="s">
        <v>4511</v>
      </c>
      <c r="N1791" s="6" t="s">
        <v>652</v>
      </c>
      <c r="O1791" s="29">
        <f t="shared" si="39"/>
        <v>0</v>
      </c>
      <c r="Q1791" s="30" t="s">
        <v>652</v>
      </c>
      <c r="R1791" s="31">
        <v>0</v>
      </c>
    </row>
    <row r="1792" s="1" customFormat="1" ht="16.35" hidden="1" customHeight="1" spans="1:18">
      <c r="A1792" s="6" t="s">
        <v>4506</v>
      </c>
      <c r="B1792" s="6">
        <v>2019</v>
      </c>
      <c r="C1792" s="6">
        <v>12</v>
      </c>
      <c r="D1792" s="7">
        <v>100</v>
      </c>
      <c r="E1792" s="6" t="s">
        <v>4121</v>
      </c>
      <c r="F1792" s="6" t="s">
        <v>4508</v>
      </c>
      <c r="G1792" s="6" t="s">
        <v>25</v>
      </c>
      <c r="H1792" s="8">
        <v>206050</v>
      </c>
      <c r="I1792" s="8"/>
      <c r="J1792" s="6" t="s">
        <v>3700</v>
      </c>
      <c r="K1792" s="6" t="s">
        <v>617</v>
      </c>
      <c r="L1792" s="6" t="s">
        <v>4510</v>
      </c>
      <c r="M1792" s="6" t="s">
        <v>4511</v>
      </c>
      <c r="N1792" s="6" t="s">
        <v>617</v>
      </c>
      <c r="O1792" s="29">
        <f t="shared" si="39"/>
        <v>0</v>
      </c>
      <c r="Q1792" s="30" t="s">
        <v>617</v>
      </c>
      <c r="R1792" s="31">
        <v>0</v>
      </c>
    </row>
    <row r="1793" s="1" customFormat="1" ht="16.35" hidden="1" customHeight="1" spans="1:18">
      <c r="A1793" s="6" t="s">
        <v>4506</v>
      </c>
      <c r="B1793" s="6">
        <v>2019</v>
      </c>
      <c r="C1793" s="6">
        <v>12</v>
      </c>
      <c r="D1793" s="7">
        <v>100</v>
      </c>
      <c r="E1793" s="6" t="s">
        <v>4121</v>
      </c>
      <c r="F1793" s="6" t="s">
        <v>4508</v>
      </c>
      <c r="G1793" s="6" t="s">
        <v>25</v>
      </c>
      <c r="H1793" s="8">
        <v>296725</v>
      </c>
      <c r="I1793" s="8"/>
      <c r="J1793" s="6" t="s">
        <v>3703</v>
      </c>
      <c r="K1793" s="6" t="s">
        <v>71</v>
      </c>
      <c r="L1793" s="6" t="s">
        <v>4510</v>
      </c>
      <c r="M1793" s="6" t="s">
        <v>4511</v>
      </c>
      <c r="N1793" s="6" t="s">
        <v>71</v>
      </c>
      <c r="O1793" s="29">
        <f t="shared" si="39"/>
        <v>0</v>
      </c>
      <c r="Q1793" s="30" t="s">
        <v>71</v>
      </c>
      <c r="R1793" s="31">
        <v>0</v>
      </c>
    </row>
    <row r="1794" s="1" customFormat="1" ht="16.35" hidden="1" customHeight="1" spans="1:18">
      <c r="A1794" s="6" t="s">
        <v>4506</v>
      </c>
      <c r="B1794" s="6">
        <v>2019</v>
      </c>
      <c r="C1794" s="6">
        <v>12</v>
      </c>
      <c r="D1794" s="7">
        <v>100</v>
      </c>
      <c r="E1794" s="6" t="s">
        <v>4121</v>
      </c>
      <c r="F1794" s="6" t="s">
        <v>4508</v>
      </c>
      <c r="G1794" s="6" t="s">
        <v>25</v>
      </c>
      <c r="H1794" s="8">
        <v>291592</v>
      </c>
      <c r="I1794" s="8"/>
      <c r="J1794" s="6" t="s">
        <v>3705</v>
      </c>
      <c r="K1794" s="6" t="s">
        <v>75</v>
      </c>
      <c r="L1794" s="6" t="s">
        <v>4510</v>
      </c>
      <c r="M1794" s="6" t="s">
        <v>4511</v>
      </c>
      <c r="N1794" s="6" t="s">
        <v>75</v>
      </c>
      <c r="O1794" s="29">
        <f t="shared" si="39"/>
        <v>0</v>
      </c>
      <c r="Q1794" s="30" t="s">
        <v>75</v>
      </c>
      <c r="R1794" s="31">
        <v>0</v>
      </c>
    </row>
    <row r="1795" s="1" customFormat="1" ht="16.35" hidden="1" customHeight="1" spans="1:18">
      <c r="A1795" s="6" t="s">
        <v>4506</v>
      </c>
      <c r="B1795" s="6">
        <v>2019</v>
      </c>
      <c r="C1795" s="6">
        <v>12</v>
      </c>
      <c r="D1795" s="7">
        <v>100</v>
      </c>
      <c r="E1795" s="6" t="s">
        <v>4121</v>
      </c>
      <c r="F1795" s="6" t="s">
        <v>4508</v>
      </c>
      <c r="G1795" s="6" t="s">
        <v>25</v>
      </c>
      <c r="H1795" s="8">
        <v>310979</v>
      </c>
      <c r="I1795" s="8"/>
      <c r="J1795" s="6" t="s">
        <v>3707</v>
      </c>
      <c r="K1795" s="6" t="s">
        <v>108</v>
      </c>
      <c r="L1795" s="6" t="s">
        <v>4510</v>
      </c>
      <c r="M1795" s="6" t="s">
        <v>4511</v>
      </c>
      <c r="N1795" s="6" t="s">
        <v>108</v>
      </c>
      <c r="O1795" s="29">
        <f t="shared" si="39"/>
        <v>0</v>
      </c>
      <c r="Q1795" s="30" t="s">
        <v>108</v>
      </c>
      <c r="R1795" s="31">
        <v>0</v>
      </c>
    </row>
    <row r="1796" s="1" customFormat="1" ht="16.35" hidden="1" customHeight="1" spans="1:18">
      <c r="A1796" s="6" t="s">
        <v>4506</v>
      </c>
      <c r="B1796" s="6">
        <v>2019</v>
      </c>
      <c r="C1796" s="6">
        <v>12</v>
      </c>
      <c r="D1796" s="7">
        <v>100</v>
      </c>
      <c r="E1796" s="6" t="s">
        <v>4121</v>
      </c>
      <c r="F1796" s="6" t="s">
        <v>4508</v>
      </c>
      <c r="G1796" s="6" t="s">
        <v>25</v>
      </c>
      <c r="H1796" s="8">
        <v>452967</v>
      </c>
      <c r="I1796" s="8"/>
      <c r="J1796" s="6" t="s">
        <v>3712</v>
      </c>
      <c r="K1796" s="6" t="s">
        <v>224</v>
      </c>
      <c r="L1796" s="6" t="s">
        <v>4510</v>
      </c>
      <c r="M1796" s="6" t="s">
        <v>4511</v>
      </c>
      <c r="N1796" s="6" t="s">
        <v>224</v>
      </c>
      <c r="O1796" s="29">
        <f t="shared" si="39"/>
        <v>0</v>
      </c>
      <c r="Q1796" s="30" t="s">
        <v>224</v>
      </c>
      <c r="R1796" s="31">
        <v>0</v>
      </c>
    </row>
    <row r="1797" s="1" customFormat="1" ht="16.35" hidden="1" customHeight="1" spans="1:18">
      <c r="A1797" s="6" t="s">
        <v>4506</v>
      </c>
      <c r="B1797" s="6">
        <v>2019</v>
      </c>
      <c r="C1797" s="6">
        <v>12</v>
      </c>
      <c r="D1797" s="7">
        <v>100</v>
      </c>
      <c r="E1797" s="6" t="s">
        <v>4121</v>
      </c>
      <c r="F1797" s="6" t="s">
        <v>4508</v>
      </c>
      <c r="G1797" s="6" t="s">
        <v>25</v>
      </c>
      <c r="H1797" s="8">
        <v>453718</v>
      </c>
      <c r="I1797" s="8"/>
      <c r="J1797" s="6" t="s">
        <v>3714</v>
      </c>
      <c r="K1797" s="6" t="s">
        <v>232</v>
      </c>
      <c r="L1797" s="6" t="s">
        <v>4510</v>
      </c>
      <c r="M1797" s="6" t="s">
        <v>4511</v>
      </c>
      <c r="N1797" s="6" t="s">
        <v>232</v>
      </c>
      <c r="O1797" s="29">
        <f t="shared" si="39"/>
        <v>0</v>
      </c>
      <c r="Q1797" s="30" t="s">
        <v>232</v>
      </c>
      <c r="R1797" s="31">
        <v>0</v>
      </c>
    </row>
    <row r="1798" s="1" customFormat="1" ht="16.35" hidden="1" customHeight="1" spans="1:18">
      <c r="A1798" s="6" t="s">
        <v>4506</v>
      </c>
      <c r="B1798" s="6">
        <v>2019</v>
      </c>
      <c r="C1798" s="6">
        <v>12</v>
      </c>
      <c r="D1798" s="7">
        <v>100</v>
      </c>
      <c r="E1798" s="6" t="s">
        <v>4121</v>
      </c>
      <c r="F1798" s="6" t="s">
        <v>4508</v>
      </c>
      <c r="G1798" s="6" t="s">
        <v>25</v>
      </c>
      <c r="H1798" s="8">
        <v>390437</v>
      </c>
      <c r="I1798" s="8"/>
      <c r="J1798" s="6" t="s">
        <v>3728</v>
      </c>
      <c r="K1798" s="6" t="s">
        <v>240</v>
      </c>
      <c r="L1798" s="6" t="s">
        <v>4510</v>
      </c>
      <c r="M1798" s="6" t="s">
        <v>4511</v>
      </c>
      <c r="N1798" s="6" t="s">
        <v>240</v>
      </c>
      <c r="O1798" s="29">
        <f t="shared" si="39"/>
        <v>0</v>
      </c>
      <c r="Q1798" s="30" t="s">
        <v>240</v>
      </c>
      <c r="R1798" s="31">
        <v>0</v>
      </c>
    </row>
    <row r="1799" s="1" customFormat="1" ht="16.35" hidden="1" customHeight="1" spans="1:18">
      <c r="A1799" s="6" t="s">
        <v>4506</v>
      </c>
      <c r="B1799" s="6">
        <v>2019</v>
      </c>
      <c r="C1799" s="6">
        <v>12</v>
      </c>
      <c r="D1799" s="7">
        <v>100</v>
      </c>
      <c r="E1799" s="6" t="s">
        <v>4121</v>
      </c>
      <c r="F1799" s="6" t="s">
        <v>4508</v>
      </c>
      <c r="G1799" s="6" t="s">
        <v>25</v>
      </c>
      <c r="H1799" s="8">
        <v>230182</v>
      </c>
      <c r="I1799" s="8"/>
      <c r="J1799" s="6" t="s">
        <v>3742</v>
      </c>
      <c r="K1799" s="6" t="s">
        <v>246</v>
      </c>
      <c r="L1799" s="6" t="s">
        <v>4510</v>
      </c>
      <c r="M1799" s="6" t="s">
        <v>4511</v>
      </c>
      <c r="N1799" s="6" t="s">
        <v>246</v>
      </c>
      <c r="O1799" s="29">
        <f t="shared" si="39"/>
        <v>0</v>
      </c>
      <c r="Q1799" s="30" t="s">
        <v>246</v>
      </c>
      <c r="R1799" s="31">
        <v>0</v>
      </c>
    </row>
    <row r="1800" s="1" customFormat="1" ht="16.35" hidden="1" customHeight="1" spans="1:18">
      <c r="A1800" s="6" t="s">
        <v>4506</v>
      </c>
      <c r="B1800" s="6">
        <v>2019</v>
      </c>
      <c r="C1800" s="6">
        <v>12</v>
      </c>
      <c r="D1800" s="7">
        <v>100</v>
      </c>
      <c r="E1800" s="6" t="s">
        <v>4121</v>
      </c>
      <c r="F1800" s="6" t="s">
        <v>4508</v>
      </c>
      <c r="G1800" s="6" t="s">
        <v>25</v>
      </c>
      <c r="H1800" s="8">
        <v>411378</v>
      </c>
      <c r="I1800" s="8"/>
      <c r="J1800" s="6" t="s">
        <v>3744</v>
      </c>
      <c r="K1800" s="6" t="s">
        <v>258</v>
      </c>
      <c r="L1800" s="6" t="s">
        <v>4510</v>
      </c>
      <c r="M1800" s="6" t="s">
        <v>4511</v>
      </c>
      <c r="N1800" s="6" t="s">
        <v>258</v>
      </c>
      <c r="O1800" s="29">
        <f t="shared" si="39"/>
        <v>0</v>
      </c>
      <c r="Q1800" s="30" t="s">
        <v>258</v>
      </c>
      <c r="R1800" s="31">
        <v>0</v>
      </c>
    </row>
    <row r="1801" s="1" customFormat="1" ht="16.35" hidden="1" customHeight="1" spans="1:18">
      <c r="A1801" s="6" t="s">
        <v>4506</v>
      </c>
      <c r="B1801" s="6">
        <v>2019</v>
      </c>
      <c r="C1801" s="6">
        <v>12</v>
      </c>
      <c r="D1801" s="7">
        <v>100</v>
      </c>
      <c r="E1801" s="6" t="s">
        <v>4121</v>
      </c>
      <c r="F1801" s="6" t="s">
        <v>4508</v>
      </c>
      <c r="G1801" s="6" t="s">
        <v>25</v>
      </c>
      <c r="H1801" s="8">
        <v>394923</v>
      </c>
      <c r="I1801" s="8"/>
      <c r="J1801" s="6" t="s">
        <v>3758</v>
      </c>
      <c r="K1801" s="6" t="s">
        <v>264</v>
      </c>
      <c r="L1801" s="6" t="s">
        <v>4510</v>
      </c>
      <c r="M1801" s="6" t="s">
        <v>4511</v>
      </c>
      <c r="N1801" s="6" t="s">
        <v>264</v>
      </c>
      <c r="O1801" s="29">
        <f t="shared" si="39"/>
        <v>0</v>
      </c>
      <c r="Q1801" s="30" t="s">
        <v>264</v>
      </c>
      <c r="R1801" s="31">
        <v>0</v>
      </c>
    </row>
    <row r="1802" s="1" customFormat="1" ht="16.35" hidden="1" customHeight="1" spans="1:18">
      <c r="A1802" s="6" t="s">
        <v>4506</v>
      </c>
      <c r="B1802" s="6">
        <v>2019</v>
      </c>
      <c r="C1802" s="6">
        <v>12</v>
      </c>
      <c r="D1802" s="7">
        <v>100</v>
      </c>
      <c r="E1802" s="6" t="s">
        <v>4121</v>
      </c>
      <c r="F1802" s="6" t="s">
        <v>4508</v>
      </c>
      <c r="G1802" s="6" t="s">
        <v>25</v>
      </c>
      <c r="H1802" s="8">
        <v>345391</v>
      </c>
      <c r="I1802" s="8"/>
      <c r="J1802" s="6" t="s">
        <v>3762</v>
      </c>
      <c r="K1802" s="6" t="s">
        <v>268</v>
      </c>
      <c r="L1802" s="6" t="s">
        <v>4510</v>
      </c>
      <c r="M1802" s="6" t="s">
        <v>4511</v>
      </c>
      <c r="N1802" s="6" t="s">
        <v>268</v>
      </c>
      <c r="O1802" s="29">
        <f t="shared" si="39"/>
        <v>0</v>
      </c>
      <c r="Q1802" s="30" t="s">
        <v>268</v>
      </c>
      <c r="R1802" s="31">
        <v>0</v>
      </c>
    </row>
    <row r="1803" s="1" customFormat="1" ht="16.35" hidden="1" customHeight="1" spans="1:18">
      <c r="A1803" s="6" t="s">
        <v>4506</v>
      </c>
      <c r="B1803" s="6">
        <v>2019</v>
      </c>
      <c r="C1803" s="6">
        <v>12</v>
      </c>
      <c r="D1803" s="7">
        <v>100</v>
      </c>
      <c r="E1803" s="6" t="s">
        <v>4121</v>
      </c>
      <c r="F1803" s="6" t="s">
        <v>4508</v>
      </c>
      <c r="G1803" s="6" t="s">
        <v>25</v>
      </c>
      <c r="H1803" s="8">
        <v>366142</v>
      </c>
      <c r="I1803" s="8"/>
      <c r="J1803" s="6" t="s">
        <v>3766</v>
      </c>
      <c r="K1803" s="6" t="s">
        <v>303</v>
      </c>
      <c r="L1803" s="6" t="s">
        <v>4510</v>
      </c>
      <c r="M1803" s="6" t="s">
        <v>4511</v>
      </c>
      <c r="N1803" s="6" t="s">
        <v>303</v>
      </c>
      <c r="O1803" s="29">
        <f t="shared" si="39"/>
        <v>0</v>
      </c>
      <c r="Q1803" s="30" t="s">
        <v>303</v>
      </c>
      <c r="R1803" s="31">
        <v>0</v>
      </c>
    </row>
    <row r="1804" s="1" customFormat="1" ht="16.35" hidden="1" customHeight="1" spans="1:18">
      <c r="A1804" s="6" t="s">
        <v>4506</v>
      </c>
      <c r="B1804" s="6">
        <v>2019</v>
      </c>
      <c r="C1804" s="6">
        <v>12</v>
      </c>
      <c r="D1804" s="7">
        <v>100</v>
      </c>
      <c r="E1804" s="6" t="s">
        <v>4121</v>
      </c>
      <c r="F1804" s="6" t="s">
        <v>4508</v>
      </c>
      <c r="G1804" s="6" t="s">
        <v>25</v>
      </c>
      <c r="H1804" s="8">
        <v>337978</v>
      </c>
      <c r="I1804" s="8"/>
      <c r="J1804" s="6" t="s">
        <v>3768</v>
      </c>
      <c r="K1804" s="6" t="s">
        <v>317</v>
      </c>
      <c r="L1804" s="6" t="s">
        <v>4510</v>
      </c>
      <c r="M1804" s="6" t="s">
        <v>4511</v>
      </c>
      <c r="N1804" s="6" t="s">
        <v>317</v>
      </c>
      <c r="O1804" s="29">
        <f t="shared" si="39"/>
        <v>0</v>
      </c>
      <c r="Q1804" s="30" t="s">
        <v>317</v>
      </c>
      <c r="R1804" s="31">
        <v>0</v>
      </c>
    </row>
    <row r="1805" s="1" customFormat="1" ht="16.35" hidden="1" customHeight="1" spans="1:18">
      <c r="A1805" s="6" t="s">
        <v>4506</v>
      </c>
      <c r="B1805" s="6">
        <v>2019</v>
      </c>
      <c r="C1805" s="6">
        <v>12</v>
      </c>
      <c r="D1805" s="7">
        <v>100</v>
      </c>
      <c r="E1805" s="6" t="s">
        <v>4121</v>
      </c>
      <c r="F1805" s="6" t="s">
        <v>4508</v>
      </c>
      <c r="G1805" s="6" t="s">
        <v>25</v>
      </c>
      <c r="H1805" s="8">
        <v>357406</v>
      </c>
      <c r="I1805" s="8"/>
      <c r="J1805" s="6" t="s">
        <v>3771</v>
      </c>
      <c r="K1805" s="6" t="s">
        <v>328</v>
      </c>
      <c r="L1805" s="6" t="s">
        <v>4510</v>
      </c>
      <c r="M1805" s="6" t="s">
        <v>4511</v>
      </c>
      <c r="N1805" s="6" t="s">
        <v>328</v>
      </c>
      <c r="O1805" s="29">
        <f t="shared" si="39"/>
        <v>0</v>
      </c>
      <c r="Q1805" s="30" t="s">
        <v>328</v>
      </c>
      <c r="R1805" s="31">
        <v>0</v>
      </c>
    </row>
    <row r="1806" s="1" customFormat="1" ht="16.35" hidden="1" customHeight="1" spans="1:18">
      <c r="A1806" s="6" t="s">
        <v>4506</v>
      </c>
      <c r="B1806" s="6">
        <v>2019</v>
      </c>
      <c r="C1806" s="6">
        <v>12</v>
      </c>
      <c r="D1806" s="7">
        <v>100</v>
      </c>
      <c r="E1806" s="6" t="s">
        <v>4121</v>
      </c>
      <c r="F1806" s="6" t="s">
        <v>4508</v>
      </c>
      <c r="G1806" s="6" t="s">
        <v>25</v>
      </c>
      <c r="H1806" s="8">
        <v>350554</v>
      </c>
      <c r="I1806" s="8"/>
      <c r="J1806" s="6" t="s">
        <v>3773</v>
      </c>
      <c r="K1806" s="6" t="s">
        <v>332</v>
      </c>
      <c r="L1806" s="6" t="s">
        <v>4510</v>
      </c>
      <c r="M1806" s="6" t="s">
        <v>4511</v>
      </c>
      <c r="N1806" s="6" t="s">
        <v>332</v>
      </c>
      <c r="O1806" s="29">
        <f t="shared" si="39"/>
        <v>0</v>
      </c>
      <c r="Q1806" s="30" t="s">
        <v>332</v>
      </c>
      <c r="R1806" s="31">
        <v>0</v>
      </c>
    </row>
    <row r="1807" s="1" customFormat="1" ht="16.35" hidden="1" customHeight="1" spans="1:18">
      <c r="A1807" s="6" t="s">
        <v>4506</v>
      </c>
      <c r="B1807" s="6">
        <v>2019</v>
      </c>
      <c r="C1807" s="6">
        <v>12</v>
      </c>
      <c r="D1807" s="7">
        <v>100</v>
      </c>
      <c r="E1807" s="6" t="s">
        <v>4121</v>
      </c>
      <c r="F1807" s="6" t="s">
        <v>4508</v>
      </c>
      <c r="G1807" s="6" t="s">
        <v>25</v>
      </c>
      <c r="H1807" s="8">
        <v>305736</v>
      </c>
      <c r="I1807" s="8"/>
      <c r="J1807" s="6" t="s">
        <v>3776</v>
      </c>
      <c r="K1807" s="6" t="s">
        <v>340</v>
      </c>
      <c r="L1807" s="6" t="s">
        <v>4510</v>
      </c>
      <c r="M1807" s="6" t="s">
        <v>4511</v>
      </c>
      <c r="N1807" s="6" t="s">
        <v>340</v>
      </c>
      <c r="O1807" s="29">
        <f t="shared" si="39"/>
        <v>0</v>
      </c>
      <c r="Q1807" s="30" t="s">
        <v>340</v>
      </c>
      <c r="R1807" s="31">
        <v>0</v>
      </c>
    </row>
    <row r="1808" s="1" customFormat="1" ht="16.35" hidden="1" customHeight="1" spans="1:18">
      <c r="A1808" s="6" t="s">
        <v>4506</v>
      </c>
      <c r="B1808" s="6">
        <v>2019</v>
      </c>
      <c r="C1808" s="6">
        <v>12</v>
      </c>
      <c r="D1808" s="7">
        <v>100</v>
      </c>
      <c r="E1808" s="6" t="s">
        <v>4121</v>
      </c>
      <c r="F1808" s="6" t="s">
        <v>4508</v>
      </c>
      <c r="G1808" s="6" t="s">
        <v>25</v>
      </c>
      <c r="H1808" s="8">
        <v>307780</v>
      </c>
      <c r="I1808" s="8"/>
      <c r="J1808" s="6" t="s">
        <v>3778</v>
      </c>
      <c r="K1808" s="6" t="s">
        <v>342</v>
      </c>
      <c r="L1808" s="6" t="s">
        <v>4510</v>
      </c>
      <c r="M1808" s="6" t="s">
        <v>4511</v>
      </c>
      <c r="N1808" s="6" t="s">
        <v>342</v>
      </c>
      <c r="O1808" s="29">
        <f t="shared" si="39"/>
        <v>0</v>
      </c>
      <c r="Q1808" s="30" t="s">
        <v>342</v>
      </c>
      <c r="R1808" s="31">
        <v>0</v>
      </c>
    </row>
    <row r="1809" s="1" customFormat="1" ht="16.35" hidden="1" customHeight="1" spans="1:18">
      <c r="A1809" s="6" t="s">
        <v>4506</v>
      </c>
      <c r="B1809" s="6">
        <v>2019</v>
      </c>
      <c r="C1809" s="6">
        <v>12</v>
      </c>
      <c r="D1809" s="7">
        <v>100</v>
      </c>
      <c r="E1809" s="6" t="s">
        <v>4121</v>
      </c>
      <c r="F1809" s="6" t="s">
        <v>4508</v>
      </c>
      <c r="G1809" s="6" t="s">
        <v>25</v>
      </c>
      <c r="H1809" s="8">
        <v>452590</v>
      </c>
      <c r="I1809" s="8"/>
      <c r="J1809" s="6" t="s">
        <v>3784</v>
      </c>
      <c r="K1809" s="6" t="s">
        <v>376</v>
      </c>
      <c r="L1809" s="6" t="s">
        <v>4510</v>
      </c>
      <c r="M1809" s="6" t="s">
        <v>4511</v>
      </c>
      <c r="N1809" s="6" t="s">
        <v>376</v>
      </c>
      <c r="O1809" s="29">
        <f t="shared" si="39"/>
        <v>0</v>
      </c>
      <c r="Q1809" s="30" t="s">
        <v>376</v>
      </c>
      <c r="R1809" s="31">
        <v>0</v>
      </c>
    </row>
    <row r="1810" s="1" customFormat="1" ht="16.35" hidden="1" customHeight="1" spans="1:18">
      <c r="A1810" s="6" t="s">
        <v>4506</v>
      </c>
      <c r="B1810" s="6">
        <v>2019</v>
      </c>
      <c r="C1810" s="6">
        <v>12</v>
      </c>
      <c r="D1810" s="7">
        <v>100</v>
      </c>
      <c r="E1810" s="6" t="s">
        <v>4121</v>
      </c>
      <c r="F1810" s="6" t="s">
        <v>4508</v>
      </c>
      <c r="G1810" s="6" t="s">
        <v>25</v>
      </c>
      <c r="H1810" s="8">
        <v>400223</v>
      </c>
      <c r="I1810" s="8"/>
      <c r="J1810" s="6" t="s">
        <v>3787</v>
      </c>
      <c r="K1810" s="6" t="s">
        <v>378</v>
      </c>
      <c r="L1810" s="6" t="s">
        <v>4510</v>
      </c>
      <c r="M1810" s="6" t="s">
        <v>4511</v>
      </c>
      <c r="N1810" s="6" t="s">
        <v>378</v>
      </c>
      <c r="O1810" s="29">
        <f t="shared" si="39"/>
        <v>0</v>
      </c>
      <c r="Q1810" s="30" t="s">
        <v>378</v>
      </c>
      <c r="R1810" s="31">
        <v>0</v>
      </c>
    </row>
    <row r="1811" s="1" customFormat="1" ht="16.35" hidden="1" customHeight="1" spans="1:18">
      <c r="A1811" s="6" t="s">
        <v>4506</v>
      </c>
      <c r="B1811" s="6">
        <v>2019</v>
      </c>
      <c r="C1811" s="6">
        <v>12</v>
      </c>
      <c r="D1811" s="7">
        <v>100</v>
      </c>
      <c r="E1811" s="6" t="s">
        <v>4121</v>
      </c>
      <c r="F1811" s="6" t="s">
        <v>4508</v>
      </c>
      <c r="G1811" s="6" t="s">
        <v>25</v>
      </c>
      <c r="H1811" s="8">
        <v>142900</v>
      </c>
      <c r="I1811" s="8"/>
      <c r="J1811" s="6" t="s">
        <v>3789</v>
      </c>
      <c r="K1811" s="6" t="s">
        <v>380</v>
      </c>
      <c r="L1811" s="6" t="s">
        <v>4510</v>
      </c>
      <c r="M1811" s="6" t="s">
        <v>4511</v>
      </c>
      <c r="N1811" s="6" t="s">
        <v>380</v>
      </c>
      <c r="O1811" s="29">
        <f t="shared" si="39"/>
        <v>0</v>
      </c>
      <c r="Q1811" s="30" t="s">
        <v>380</v>
      </c>
      <c r="R1811" s="31">
        <v>0</v>
      </c>
    </row>
    <row r="1812" s="1" customFormat="1" ht="16.35" hidden="1" customHeight="1" spans="1:18">
      <c r="A1812" s="6" t="s">
        <v>4506</v>
      </c>
      <c r="B1812" s="6">
        <v>2019</v>
      </c>
      <c r="C1812" s="6">
        <v>12</v>
      </c>
      <c r="D1812" s="7">
        <v>100</v>
      </c>
      <c r="E1812" s="6" t="s">
        <v>4121</v>
      </c>
      <c r="F1812" s="6" t="s">
        <v>4508</v>
      </c>
      <c r="G1812" s="6" t="s">
        <v>25</v>
      </c>
      <c r="H1812" s="8">
        <v>324246</v>
      </c>
      <c r="I1812" s="8"/>
      <c r="J1812" s="6" t="s">
        <v>3791</v>
      </c>
      <c r="K1812" s="6" t="s">
        <v>384</v>
      </c>
      <c r="L1812" s="6" t="s">
        <v>4510</v>
      </c>
      <c r="M1812" s="6" t="s">
        <v>4511</v>
      </c>
      <c r="N1812" s="6" t="s">
        <v>384</v>
      </c>
      <c r="O1812" s="29">
        <f t="shared" si="39"/>
        <v>0</v>
      </c>
      <c r="Q1812" s="30" t="s">
        <v>384</v>
      </c>
      <c r="R1812" s="31">
        <v>0</v>
      </c>
    </row>
    <row r="1813" s="1" customFormat="1" ht="16.35" hidden="1" customHeight="1" spans="1:18">
      <c r="A1813" s="6" t="s">
        <v>4506</v>
      </c>
      <c r="B1813" s="6">
        <v>2019</v>
      </c>
      <c r="C1813" s="6">
        <v>12</v>
      </c>
      <c r="D1813" s="7">
        <v>100</v>
      </c>
      <c r="E1813" s="6" t="s">
        <v>4121</v>
      </c>
      <c r="F1813" s="6" t="s">
        <v>4508</v>
      </c>
      <c r="G1813" s="6" t="s">
        <v>25</v>
      </c>
      <c r="H1813" s="8">
        <v>110137.74</v>
      </c>
      <c r="I1813" s="8"/>
      <c r="J1813" s="6" t="s">
        <v>3797</v>
      </c>
      <c r="K1813" s="6" t="s">
        <v>422</v>
      </c>
      <c r="L1813" s="6" t="s">
        <v>4510</v>
      </c>
      <c r="M1813" s="6" t="s">
        <v>4511</v>
      </c>
      <c r="N1813" s="6" t="s">
        <v>422</v>
      </c>
      <c r="O1813" s="29">
        <f t="shared" si="39"/>
        <v>0</v>
      </c>
      <c r="Q1813" s="30" t="s">
        <v>422</v>
      </c>
      <c r="R1813" s="31">
        <v>0</v>
      </c>
    </row>
    <row r="1814" s="1" customFormat="1" ht="16.35" hidden="1" customHeight="1" spans="1:18">
      <c r="A1814" s="6" t="s">
        <v>4506</v>
      </c>
      <c r="B1814" s="6">
        <v>2019</v>
      </c>
      <c r="C1814" s="6">
        <v>12</v>
      </c>
      <c r="D1814" s="7">
        <v>100</v>
      </c>
      <c r="E1814" s="6" t="s">
        <v>4121</v>
      </c>
      <c r="F1814" s="6" t="s">
        <v>4508</v>
      </c>
      <c r="G1814" s="6" t="s">
        <v>25</v>
      </c>
      <c r="H1814" s="8">
        <v>288833</v>
      </c>
      <c r="I1814" s="8"/>
      <c r="J1814" s="6" t="s">
        <v>3799</v>
      </c>
      <c r="K1814" s="6" t="s">
        <v>838</v>
      </c>
      <c r="L1814" s="6" t="s">
        <v>4510</v>
      </c>
      <c r="M1814" s="6" t="s">
        <v>4511</v>
      </c>
      <c r="N1814" s="6" t="s">
        <v>838</v>
      </c>
      <c r="O1814" s="29">
        <f t="shared" si="39"/>
        <v>0</v>
      </c>
      <c r="Q1814" s="30" t="s">
        <v>838</v>
      </c>
      <c r="R1814" s="31">
        <v>0</v>
      </c>
    </row>
    <row r="1815" s="1" customFormat="1" ht="16.35" hidden="1" customHeight="1" spans="1:18">
      <c r="A1815" s="6" t="s">
        <v>4506</v>
      </c>
      <c r="B1815" s="6">
        <v>2019</v>
      </c>
      <c r="C1815" s="6">
        <v>12</v>
      </c>
      <c r="D1815" s="7">
        <v>100</v>
      </c>
      <c r="E1815" s="6" t="s">
        <v>4121</v>
      </c>
      <c r="F1815" s="6" t="s">
        <v>4508</v>
      </c>
      <c r="G1815" s="6" t="s">
        <v>25</v>
      </c>
      <c r="H1815" s="8">
        <v>193605</v>
      </c>
      <c r="I1815" s="8"/>
      <c r="J1815" s="6" t="s">
        <v>4821</v>
      </c>
      <c r="K1815" s="6" t="s">
        <v>744</v>
      </c>
      <c r="L1815" s="6" t="s">
        <v>4510</v>
      </c>
      <c r="M1815" s="6" t="s">
        <v>4511</v>
      </c>
      <c r="N1815" s="6" t="s">
        <v>744</v>
      </c>
      <c r="O1815" s="29">
        <f t="shared" si="39"/>
        <v>0</v>
      </c>
      <c r="Q1815" s="30" t="s">
        <v>744</v>
      </c>
      <c r="R1815" s="31">
        <v>0</v>
      </c>
    </row>
    <row r="1816" s="1" customFormat="1" ht="16.35" hidden="1" customHeight="1" spans="1:18">
      <c r="A1816" s="6" t="s">
        <v>4506</v>
      </c>
      <c r="B1816" s="6">
        <v>2019</v>
      </c>
      <c r="C1816" s="6">
        <v>12</v>
      </c>
      <c r="D1816" s="7">
        <v>100</v>
      </c>
      <c r="E1816" s="6" t="s">
        <v>4121</v>
      </c>
      <c r="F1816" s="6" t="s">
        <v>4508</v>
      </c>
      <c r="G1816" s="6" t="s">
        <v>25</v>
      </c>
      <c r="H1816" s="8">
        <v>1417286</v>
      </c>
      <c r="I1816" s="8"/>
      <c r="J1816" s="6" t="s">
        <v>3810</v>
      </c>
      <c r="K1816" s="6" t="s">
        <v>4832</v>
      </c>
      <c r="L1816" s="6" t="s">
        <v>4510</v>
      </c>
      <c r="M1816" s="6" t="s">
        <v>4511</v>
      </c>
      <c r="N1816" s="6" t="s">
        <v>4832</v>
      </c>
      <c r="O1816" s="29">
        <f t="shared" si="39"/>
        <v>0</v>
      </c>
      <c r="Q1816" s="30" t="s">
        <v>4832</v>
      </c>
      <c r="R1816" s="31">
        <v>0</v>
      </c>
    </row>
    <row r="1817" s="1" customFormat="1" ht="16.35" hidden="1" customHeight="1" spans="1:18">
      <c r="A1817" s="6" t="s">
        <v>4506</v>
      </c>
      <c r="B1817" s="6">
        <v>2019</v>
      </c>
      <c r="C1817" s="6">
        <v>12</v>
      </c>
      <c r="D1817" s="7">
        <v>100</v>
      </c>
      <c r="E1817" s="6" t="s">
        <v>4121</v>
      </c>
      <c r="F1817" s="6" t="s">
        <v>4508</v>
      </c>
      <c r="G1817" s="6" t="s">
        <v>25</v>
      </c>
      <c r="H1817" s="8">
        <v>205692</v>
      </c>
      <c r="I1817" s="8"/>
      <c r="J1817" s="6" t="s">
        <v>3812</v>
      </c>
      <c r="K1817" s="6" t="s">
        <v>517</v>
      </c>
      <c r="L1817" s="6" t="s">
        <v>4510</v>
      </c>
      <c r="M1817" s="6" t="s">
        <v>4511</v>
      </c>
      <c r="N1817" s="6" t="s">
        <v>517</v>
      </c>
      <c r="O1817" s="29">
        <f t="shared" ref="O1817:O1880" si="40">I1817*1.05</f>
        <v>0</v>
      </c>
      <c r="Q1817" s="30" t="s">
        <v>517</v>
      </c>
      <c r="R1817" s="31">
        <v>0</v>
      </c>
    </row>
    <row r="1818" s="1" customFormat="1" ht="16.35" hidden="1" customHeight="1" spans="1:18">
      <c r="A1818" s="6" t="s">
        <v>4506</v>
      </c>
      <c r="B1818" s="6">
        <v>2019</v>
      </c>
      <c r="C1818" s="6">
        <v>12</v>
      </c>
      <c r="D1818" s="7">
        <v>100</v>
      </c>
      <c r="E1818" s="6" t="s">
        <v>4121</v>
      </c>
      <c r="F1818" s="6" t="s">
        <v>4508</v>
      </c>
      <c r="G1818" s="6" t="s">
        <v>25</v>
      </c>
      <c r="H1818" s="8">
        <v>183629</v>
      </c>
      <c r="I1818" s="8"/>
      <c r="J1818" s="6" t="s">
        <v>3816</v>
      </c>
      <c r="K1818" s="6" t="s">
        <v>757</v>
      </c>
      <c r="L1818" s="6" t="s">
        <v>4510</v>
      </c>
      <c r="M1818" s="6" t="s">
        <v>4511</v>
      </c>
      <c r="N1818" s="6" t="s">
        <v>757</v>
      </c>
      <c r="O1818" s="29">
        <f t="shared" si="40"/>
        <v>0</v>
      </c>
      <c r="Q1818" s="30" t="s">
        <v>757</v>
      </c>
      <c r="R1818" s="31">
        <v>0</v>
      </c>
    </row>
    <row r="1819" s="1" customFormat="1" ht="16.35" hidden="1" customHeight="1" spans="1:18">
      <c r="A1819" s="6" t="s">
        <v>4506</v>
      </c>
      <c r="B1819" s="6">
        <v>2019</v>
      </c>
      <c r="C1819" s="6">
        <v>12</v>
      </c>
      <c r="D1819" s="7">
        <v>100</v>
      </c>
      <c r="E1819" s="6" t="s">
        <v>4121</v>
      </c>
      <c r="F1819" s="6" t="s">
        <v>4508</v>
      </c>
      <c r="G1819" s="6" t="s">
        <v>25</v>
      </c>
      <c r="H1819" s="8">
        <v>203448</v>
      </c>
      <c r="I1819" s="8"/>
      <c r="J1819" s="6" t="s">
        <v>3821</v>
      </c>
      <c r="K1819" s="6" t="s">
        <v>752</v>
      </c>
      <c r="L1819" s="6" t="s">
        <v>4510</v>
      </c>
      <c r="M1819" s="6" t="s">
        <v>4511</v>
      </c>
      <c r="N1819" s="6" t="s">
        <v>752</v>
      </c>
      <c r="O1819" s="29">
        <f t="shared" si="40"/>
        <v>0</v>
      </c>
      <c r="Q1819" s="30" t="s">
        <v>752</v>
      </c>
      <c r="R1819" s="31">
        <v>0</v>
      </c>
    </row>
    <row r="1820" s="1" customFormat="1" ht="16.35" hidden="1" customHeight="1" spans="1:18">
      <c r="A1820" s="6" t="s">
        <v>4506</v>
      </c>
      <c r="B1820" s="6">
        <v>2019</v>
      </c>
      <c r="C1820" s="6">
        <v>12</v>
      </c>
      <c r="D1820" s="7">
        <v>100</v>
      </c>
      <c r="E1820" s="6" t="s">
        <v>4121</v>
      </c>
      <c r="F1820" s="6" t="s">
        <v>4508</v>
      </c>
      <c r="G1820" s="6" t="s">
        <v>25</v>
      </c>
      <c r="H1820" s="8">
        <v>127983</v>
      </c>
      <c r="I1820" s="8"/>
      <c r="J1820" s="6" t="s">
        <v>3831</v>
      </c>
      <c r="K1820" s="6" t="s">
        <v>386</v>
      </c>
      <c r="L1820" s="6" t="s">
        <v>4510</v>
      </c>
      <c r="M1820" s="6" t="s">
        <v>4511</v>
      </c>
      <c r="N1820" s="6" t="s">
        <v>386</v>
      </c>
      <c r="O1820" s="29">
        <f t="shared" si="40"/>
        <v>0</v>
      </c>
      <c r="Q1820" s="30" t="s">
        <v>386</v>
      </c>
      <c r="R1820" s="31">
        <v>0</v>
      </c>
    </row>
    <row r="1821" s="1" customFormat="1" ht="16.35" hidden="1" customHeight="1" spans="1:18">
      <c r="A1821" s="6" t="s">
        <v>4506</v>
      </c>
      <c r="B1821" s="6">
        <v>2019</v>
      </c>
      <c r="C1821" s="6">
        <v>12</v>
      </c>
      <c r="D1821" s="7">
        <v>100</v>
      </c>
      <c r="E1821" s="6" t="s">
        <v>4121</v>
      </c>
      <c r="F1821" s="6" t="s">
        <v>4508</v>
      </c>
      <c r="G1821" s="6" t="s">
        <v>25</v>
      </c>
      <c r="H1821" s="8">
        <v>256142</v>
      </c>
      <c r="I1821" s="8"/>
      <c r="J1821" s="6" t="s">
        <v>3829</v>
      </c>
      <c r="K1821" s="6" t="s">
        <v>128</v>
      </c>
      <c r="L1821" s="6" t="s">
        <v>4510</v>
      </c>
      <c r="M1821" s="6" t="s">
        <v>4511</v>
      </c>
      <c r="N1821" s="6" t="s">
        <v>128</v>
      </c>
      <c r="O1821" s="29">
        <f t="shared" si="40"/>
        <v>0</v>
      </c>
      <c r="Q1821" s="30" t="s">
        <v>128</v>
      </c>
      <c r="R1821" s="31">
        <v>0</v>
      </c>
    </row>
    <row r="1822" s="1" customFormat="1" ht="16.35" hidden="1" customHeight="1" spans="1:18">
      <c r="A1822" s="6" t="s">
        <v>4506</v>
      </c>
      <c r="B1822" s="6">
        <v>2019</v>
      </c>
      <c r="C1822" s="6">
        <v>12</v>
      </c>
      <c r="D1822" s="7">
        <v>100</v>
      </c>
      <c r="E1822" s="6" t="s">
        <v>4121</v>
      </c>
      <c r="F1822" s="6" t="s">
        <v>4508</v>
      </c>
      <c r="G1822" s="6" t="s">
        <v>25</v>
      </c>
      <c r="H1822" s="8">
        <v>283191</v>
      </c>
      <c r="I1822" s="8"/>
      <c r="J1822" s="6" t="s">
        <v>3836</v>
      </c>
      <c r="K1822" s="6" t="s">
        <v>122</v>
      </c>
      <c r="L1822" s="6" t="s">
        <v>4510</v>
      </c>
      <c r="M1822" s="6" t="s">
        <v>4511</v>
      </c>
      <c r="N1822" s="6" t="s">
        <v>122</v>
      </c>
      <c r="O1822" s="29">
        <f t="shared" si="40"/>
        <v>0</v>
      </c>
      <c r="Q1822" s="30" t="s">
        <v>122</v>
      </c>
      <c r="R1822" s="31">
        <v>0</v>
      </c>
    </row>
    <row r="1823" s="1" customFormat="1" ht="16.35" hidden="1" customHeight="1" spans="1:18">
      <c r="A1823" s="6" t="s">
        <v>4506</v>
      </c>
      <c r="B1823" s="6">
        <v>2019</v>
      </c>
      <c r="C1823" s="6">
        <v>12</v>
      </c>
      <c r="D1823" s="7">
        <v>100</v>
      </c>
      <c r="E1823" s="6" t="s">
        <v>4121</v>
      </c>
      <c r="F1823" s="6" t="s">
        <v>4508</v>
      </c>
      <c r="G1823" s="6" t="s">
        <v>25</v>
      </c>
      <c r="H1823" s="8">
        <v>287099</v>
      </c>
      <c r="I1823" s="8"/>
      <c r="J1823" s="6" t="s">
        <v>3839</v>
      </c>
      <c r="K1823" s="6" t="s">
        <v>884</v>
      </c>
      <c r="L1823" s="6" t="s">
        <v>4510</v>
      </c>
      <c r="M1823" s="6" t="s">
        <v>4511</v>
      </c>
      <c r="N1823" s="6" t="s">
        <v>884</v>
      </c>
      <c r="O1823" s="29">
        <f t="shared" si="40"/>
        <v>0</v>
      </c>
      <c r="Q1823" s="30" t="s">
        <v>884</v>
      </c>
      <c r="R1823" s="31">
        <v>0</v>
      </c>
    </row>
    <row r="1824" s="1" customFormat="1" ht="16.35" hidden="1" customHeight="1" spans="1:18">
      <c r="A1824" s="6" t="s">
        <v>4506</v>
      </c>
      <c r="B1824" s="6">
        <v>2019</v>
      </c>
      <c r="C1824" s="6">
        <v>12</v>
      </c>
      <c r="D1824" s="7">
        <v>100</v>
      </c>
      <c r="E1824" s="6" t="s">
        <v>4121</v>
      </c>
      <c r="F1824" s="6" t="s">
        <v>4508</v>
      </c>
      <c r="G1824" s="6" t="s">
        <v>25</v>
      </c>
      <c r="H1824" s="8">
        <v>120000</v>
      </c>
      <c r="I1824" s="8"/>
      <c r="J1824" s="6" t="s">
        <v>4846</v>
      </c>
      <c r="K1824" s="6" t="s">
        <v>742</v>
      </c>
      <c r="L1824" s="6" t="s">
        <v>4510</v>
      </c>
      <c r="M1824" s="6" t="s">
        <v>4511</v>
      </c>
      <c r="N1824" s="6" t="s">
        <v>742</v>
      </c>
      <c r="O1824" s="29">
        <f t="shared" si="40"/>
        <v>0</v>
      </c>
      <c r="Q1824" s="30" t="s">
        <v>742</v>
      </c>
      <c r="R1824" s="31">
        <v>0</v>
      </c>
    </row>
    <row r="1825" s="1" customFormat="1" ht="16.35" hidden="1" customHeight="1" spans="1:18">
      <c r="A1825" s="6" t="s">
        <v>4506</v>
      </c>
      <c r="B1825" s="6">
        <v>2019</v>
      </c>
      <c r="C1825" s="6">
        <v>12</v>
      </c>
      <c r="D1825" s="7">
        <v>100</v>
      </c>
      <c r="E1825" s="6" t="s">
        <v>4121</v>
      </c>
      <c r="F1825" s="6" t="s">
        <v>4508</v>
      </c>
      <c r="G1825" s="6" t="s">
        <v>25</v>
      </c>
      <c r="H1825" s="8">
        <v>1150466</v>
      </c>
      <c r="I1825" s="8"/>
      <c r="J1825" s="6" t="s">
        <v>3844</v>
      </c>
      <c r="K1825" s="6" t="s">
        <v>5628</v>
      </c>
      <c r="L1825" s="6" t="s">
        <v>4510</v>
      </c>
      <c r="M1825" s="6" t="s">
        <v>4511</v>
      </c>
      <c r="N1825" s="6" t="s">
        <v>660</v>
      </c>
      <c r="O1825" s="29">
        <f t="shared" si="40"/>
        <v>0</v>
      </c>
      <c r="Q1825" s="30" t="s">
        <v>660</v>
      </c>
      <c r="R1825" s="31">
        <v>0</v>
      </c>
    </row>
    <row r="1826" s="1" customFormat="1" ht="16.35" hidden="1" customHeight="1" spans="1:18">
      <c r="A1826" s="6" t="s">
        <v>4506</v>
      </c>
      <c r="B1826" s="6">
        <v>2019</v>
      </c>
      <c r="C1826" s="6">
        <v>12</v>
      </c>
      <c r="D1826" s="7">
        <v>100</v>
      </c>
      <c r="E1826" s="6" t="s">
        <v>4121</v>
      </c>
      <c r="F1826" s="6" t="s">
        <v>4508</v>
      </c>
      <c r="G1826" s="6" t="s">
        <v>25</v>
      </c>
      <c r="H1826" s="8">
        <v>112986</v>
      </c>
      <c r="I1826" s="8"/>
      <c r="J1826" s="6" t="s">
        <v>3866</v>
      </c>
      <c r="K1826" s="6" t="s">
        <v>957</v>
      </c>
      <c r="L1826" s="6" t="s">
        <v>4510</v>
      </c>
      <c r="M1826" s="6" t="s">
        <v>4511</v>
      </c>
      <c r="N1826" s="6" t="s">
        <v>957</v>
      </c>
      <c r="O1826" s="29">
        <f t="shared" si="40"/>
        <v>0</v>
      </c>
      <c r="Q1826" s="30" t="s">
        <v>957</v>
      </c>
      <c r="R1826" s="31">
        <v>0</v>
      </c>
    </row>
    <row r="1827" s="1" customFormat="1" ht="16.35" hidden="1" customHeight="1" spans="1:18">
      <c r="A1827" s="6" t="s">
        <v>4506</v>
      </c>
      <c r="B1827" s="6">
        <v>2019</v>
      </c>
      <c r="C1827" s="6">
        <v>12</v>
      </c>
      <c r="D1827" s="7">
        <v>100</v>
      </c>
      <c r="E1827" s="6" t="s">
        <v>4121</v>
      </c>
      <c r="F1827" s="6" t="s">
        <v>4508</v>
      </c>
      <c r="G1827" s="6" t="s">
        <v>25</v>
      </c>
      <c r="H1827" s="8">
        <v>156873</v>
      </c>
      <c r="I1827" s="8"/>
      <c r="J1827" s="6" t="s">
        <v>4891</v>
      </c>
      <c r="K1827" s="6" t="s">
        <v>919</v>
      </c>
      <c r="L1827" s="6" t="s">
        <v>4510</v>
      </c>
      <c r="M1827" s="6" t="s">
        <v>4511</v>
      </c>
      <c r="N1827" s="6" t="s">
        <v>919</v>
      </c>
      <c r="O1827" s="29">
        <f t="shared" si="40"/>
        <v>0</v>
      </c>
      <c r="Q1827" s="30" t="s">
        <v>919</v>
      </c>
      <c r="R1827" s="31">
        <v>0</v>
      </c>
    </row>
    <row r="1828" s="1" customFormat="1" ht="16.35" hidden="1" customHeight="1" spans="1:18">
      <c r="A1828" s="6" t="s">
        <v>4506</v>
      </c>
      <c r="B1828" s="6">
        <v>2019</v>
      </c>
      <c r="C1828" s="6">
        <v>12</v>
      </c>
      <c r="D1828" s="7">
        <v>100</v>
      </c>
      <c r="E1828" s="6" t="s">
        <v>4121</v>
      </c>
      <c r="F1828" s="6" t="s">
        <v>4508</v>
      </c>
      <c r="G1828" s="6" t="s">
        <v>25</v>
      </c>
      <c r="H1828" s="8">
        <v>111671</v>
      </c>
      <c r="I1828" s="8"/>
      <c r="J1828" s="6" t="s">
        <v>3864</v>
      </c>
      <c r="K1828" s="6" t="s">
        <v>962</v>
      </c>
      <c r="L1828" s="6" t="s">
        <v>4510</v>
      </c>
      <c r="M1828" s="6" t="s">
        <v>4511</v>
      </c>
      <c r="N1828" s="6" t="s">
        <v>962</v>
      </c>
      <c r="O1828" s="29">
        <f t="shared" si="40"/>
        <v>0</v>
      </c>
      <c r="Q1828" s="30" t="s">
        <v>962</v>
      </c>
      <c r="R1828" s="31">
        <v>0</v>
      </c>
    </row>
    <row r="1829" s="1" customFormat="1" ht="16.35" hidden="1" customHeight="1" spans="1:18">
      <c r="A1829" s="6" t="s">
        <v>4506</v>
      </c>
      <c r="B1829" s="6">
        <v>2019</v>
      </c>
      <c r="C1829" s="6">
        <v>12</v>
      </c>
      <c r="D1829" s="7">
        <v>100</v>
      </c>
      <c r="E1829" s="6" t="s">
        <v>4121</v>
      </c>
      <c r="F1829" s="6" t="s">
        <v>4508</v>
      </c>
      <c r="G1829" s="6" t="s">
        <v>25</v>
      </c>
      <c r="H1829" s="8">
        <v>151198</v>
      </c>
      <c r="I1829" s="8"/>
      <c r="J1829" s="6" t="s">
        <v>3834</v>
      </c>
      <c r="K1829" s="6" t="s">
        <v>960</v>
      </c>
      <c r="L1829" s="6" t="s">
        <v>4510</v>
      </c>
      <c r="M1829" s="6" t="s">
        <v>4511</v>
      </c>
      <c r="N1829" s="6" t="s">
        <v>960</v>
      </c>
      <c r="O1829" s="29">
        <f t="shared" si="40"/>
        <v>0</v>
      </c>
      <c r="Q1829" s="30" t="s">
        <v>960</v>
      </c>
      <c r="R1829" s="31">
        <v>0</v>
      </c>
    </row>
    <row r="1830" s="1" customFormat="1" ht="16.35" hidden="1" customHeight="1" spans="1:18">
      <c r="A1830" s="6" t="s">
        <v>4506</v>
      </c>
      <c r="B1830" s="6">
        <v>2019</v>
      </c>
      <c r="C1830" s="6">
        <v>12</v>
      </c>
      <c r="D1830" s="7">
        <v>100</v>
      </c>
      <c r="E1830" s="6" t="s">
        <v>4121</v>
      </c>
      <c r="F1830" s="6" t="s">
        <v>4508</v>
      </c>
      <c r="G1830" s="6" t="s">
        <v>25</v>
      </c>
      <c r="H1830" s="8">
        <v>160210</v>
      </c>
      <c r="I1830" s="8"/>
      <c r="J1830" s="6" t="s">
        <v>4918</v>
      </c>
      <c r="K1830" s="6" t="s">
        <v>933</v>
      </c>
      <c r="L1830" s="6" t="s">
        <v>4510</v>
      </c>
      <c r="M1830" s="6" t="s">
        <v>4511</v>
      </c>
      <c r="N1830" s="6" t="s">
        <v>933</v>
      </c>
      <c r="O1830" s="29">
        <f t="shared" si="40"/>
        <v>0</v>
      </c>
      <c r="Q1830" s="30" t="s">
        <v>933</v>
      </c>
      <c r="R1830" s="31">
        <v>0</v>
      </c>
    </row>
    <row r="1831" s="1" customFormat="1" ht="16.35" hidden="1" customHeight="1" spans="1:18">
      <c r="A1831" s="6" t="s">
        <v>4506</v>
      </c>
      <c r="B1831" s="6">
        <v>2019</v>
      </c>
      <c r="C1831" s="6">
        <v>12</v>
      </c>
      <c r="D1831" s="7">
        <v>100</v>
      </c>
      <c r="E1831" s="6" t="s">
        <v>4121</v>
      </c>
      <c r="F1831" s="6" t="s">
        <v>4508</v>
      </c>
      <c r="G1831" s="6" t="s">
        <v>25</v>
      </c>
      <c r="H1831" s="8">
        <v>290544</v>
      </c>
      <c r="I1831" s="8"/>
      <c r="J1831" s="6" t="s">
        <v>3871</v>
      </c>
      <c r="K1831" s="6" t="s">
        <v>98</v>
      </c>
      <c r="L1831" s="6" t="s">
        <v>4510</v>
      </c>
      <c r="M1831" s="6" t="s">
        <v>4511</v>
      </c>
      <c r="N1831" s="6" t="s">
        <v>98</v>
      </c>
      <c r="O1831" s="29">
        <f t="shared" si="40"/>
        <v>0</v>
      </c>
      <c r="Q1831" s="30" t="s">
        <v>98</v>
      </c>
      <c r="R1831" s="31">
        <v>0</v>
      </c>
    </row>
    <row r="1832" s="1" customFormat="1" ht="16.35" hidden="1" customHeight="1" spans="1:18">
      <c r="A1832" s="6" t="s">
        <v>4506</v>
      </c>
      <c r="B1832" s="6">
        <v>2019</v>
      </c>
      <c r="C1832" s="6">
        <v>12</v>
      </c>
      <c r="D1832" s="7">
        <v>100</v>
      </c>
      <c r="E1832" s="6" t="s">
        <v>4121</v>
      </c>
      <c r="F1832" s="6" t="s">
        <v>4508</v>
      </c>
      <c r="G1832" s="6" t="s">
        <v>25</v>
      </c>
      <c r="H1832" s="8">
        <v>116683</v>
      </c>
      <c r="I1832" s="8"/>
      <c r="J1832" s="6" t="s">
        <v>3873</v>
      </c>
      <c r="K1832" s="6" t="s">
        <v>923</v>
      </c>
      <c r="L1832" s="6" t="s">
        <v>4510</v>
      </c>
      <c r="M1832" s="6" t="s">
        <v>4511</v>
      </c>
      <c r="N1832" s="6" t="s">
        <v>923</v>
      </c>
      <c r="O1832" s="29">
        <f t="shared" si="40"/>
        <v>0</v>
      </c>
      <c r="Q1832" s="30" t="s">
        <v>923</v>
      </c>
      <c r="R1832" s="31">
        <v>0</v>
      </c>
    </row>
    <row r="1833" s="1" customFormat="1" ht="16.35" hidden="1" customHeight="1" spans="1:18">
      <c r="A1833" s="6" t="s">
        <v>4506</v>
      </c>
      <c r="B1833" s="6">
        <v>2019</v>
      </c>
      <c r="C1833" s="6">
        <v>12</v>
      </c>
      <c r="D1833" s="7">
        <v>100</v>
      </c>
      <c r="E1833" s="6" t="s">
        <v>4121</v>
      </c>
      <c r="F1833" s="6" t="s">
        <v>4508</v>
      </c>
      <c r="G1833" s="6" t="s">
        <v>25</v>
      </c>
      <c r="H1833" s="8">
        <v>156903</v>
      </c>
      <c r="I1833" s="8"/>
      <c r="J1833" s="6" t="s">
        <v>3875</v>
      </c>
      <c r="K1833" s="6" t="s">
        <v>925</v>
      </c>
      <c r="L1833" s="6" t="s">
        <v>4510</v>
      </c>
      <c r="M1833" s="6" t="s">
        <v>4511</v>
      </c>
      <c r="N1833" s="6" t="s">
        <v>925</v>
      </c>
      <c r="O1833" s="29">
        <f t="shared" si="40"/>
        <v>0</v>
      </c>
      <c r="Q1833" s="30" t="s">
        <v>925</v>
      </c>
      <c r="R1833" s="31">
        <v>0</v>
      </c>
    </row>
    <row r="1834" s="1" customFormat="1" ht="16.35" hidden="1" customHeight="1" spans="1:18">
      <c r="A1834" s="6" t="s">
        <v>4506</v>
      </c>
      <c r="B1834" s="6">
        <v>2019</v>
      </c>
      <c r="C1834" s="6">
        <v>12</v>
      </c>
      <c r="D1834" s="7">
        <v>100</v>
      </c>
      <c r="E1834" s="6" t="s">
        <v>4121</v>
      </c>
      <c r="F1834" s="6" t="s">
        <v>4508</v>
      </c>
      <c r="G1834" s="6" t="s">
        <v>25</v>
      </c>
      <c r="H1834" s="8">
        <v>442583</v>
      </c>
      <c r="I1834" s="8"/>
      <c r="J1834" s="6" t="s">
        <v>3881</v>
      </c>
      <c r="K1834" s="6" t="s">
        <v>666</v>
      </c>
      <c r="L1834" s="6" t="s">
        <v>4510</v>
      </c>
      <c r="M1834" s="6" t="s">
        <v>4511</v>
      </c>
      <c r="N1834" s="6" t="s">
        <v>666</v>
      </c>
      <c r="O1834" s="29">
        <f t="shared" si="40"/>
        <v>0</v>
      </c>
      <c r="Q1834" s="30" t="s">
        <v>666</v>
      </c>
      <c r="R1834" s="31">
        <v>0</v>
      </c>
    </row>
    <row r="1835" s="1" customFormat="1" ht="16.35" hidden="1" customHeight="1" spans="1:18">
      <c r="A1835" s="6" t="s">
        <v>4506</v>
      </c>
      <c r="B1835" s="6">
        <v>2019</v>
      </c>
      <c r="C1835" s="6">
        <v>12</v>
      </c>
      <c r="D1835" s="7">
        <v>100</v>
      </c>
      <c r="E1835" s="6" t="s">
        <v>4121</v>
      </c>
      <c r="F1835" s="6" t="s">
        <v>4508</v>
      </c>
      <c r="G1835" s="6" t="s">
        <v>25</v>
      </c>
      <c r="H1835" s="8">
        <v>1129865</v>
      </c>
      <c r="I1835" s="8"/>
      <c r="J1835" s="6" t="s">
        <v>3895</v>
      </c>
      <c r="K1835" s="6" t="s">
        <v>665</v>
      </c>
      <c r="L1835" s="6" t="s">
        <v>4510</v>
      </c>
      <c r="M1835" s="6" t="s">
        <v>4511</v>
      </c>
      <c r="N1835" s="6" t="s">
        <v>665</v>
      </c>
      <c r="O1835" s="29">
        <f t="shared" si="40"/>
        <v>0</v>
      </c>
      <c r="Q1835" s="30" t="s">
        <v>665</v>
      </c>
      <c r="R1835" s="31">
        <v>0</v>
      </c>
    </row>
    <row r="1836" s="1" customFormat="1" ht="16.35" hidden="1" customHeight="1" spans="1:18">
      <c r="A1836" s="6" t="s">
        <v>4506</v>
      </c>
      <c r="B1836" s="6">
        <v>2019</v>
      </c>
      <c r="C1836" s="6">
        <v>12</v>
      </c>
      <c r="D1836" s="7">
        <v>100</v>
      </c>
      <c r="E1836" s="6" t="s">
        <v>4121</v>
      </c>
      <c r="F1836" s="6" t="s">
        <v>4508</v>
      </c>
      <c r="G1836" s="6" t="s">
        <v>25</v>
      </c>
      <c r="H1836" s="8">
        <v>142858</v>
      </c>
      <c r="I1836" s="8"/>
      <c r="J1836" s="6" t="s">
        <v>3909</v>
      </c>
      <c r="K1836" s="6" t="s">
        <v>733</v>
      </c>
      <c r="L1836" s="6" t="s">
        <v>4510</v>
      </c>
      <c r="M1836" s="6" t="s">
        <v>4511</v>
      </c>
      <c r="N1836" s="6" t="s">
        <v>733</v>
      </c>
      <c r="O1836" s="29">
        <f t="shared" si="40"/>
        <v>0</v>
      </c>
      <c r="Q1836" s="30" t="s">
        <v>733</v>
      </c>
      <c r="R1836" s="31">
        <v>0</v>
      </c>
    </row>
    <row r="1837" s="1" customFormat="1" ht="16.35" hidden="1" customHeight="1" spans="1:18">
      <c r="A1837" s="6" t="s">
        <v>4506</v>
      </c>
      <c r="B1837" s="6">
        <v>2019</v>
      </c>
      <c r="C1837" s="6">
        <v>12</v>
      </c>
      <c r="D1837" s="7">
        <v>100</v>
      </c>
      <c r="E1837" s="6" t="s">
        <v>4121</v>
      </c>
      <c r="F1837" s="6" t="s">
        <v>4508</v>
      </c>
      <c r="G1837" s="6" t="s">
        <v>25</v>
      </c>
      <c r="H1837" s="8">
        <v>277441</v>
      </c>
      <c r="I1837" s="8"/>
      <c r="J1837" s="6" t="s">
        <v>3920</v>
      </c>
      <c r="K1837" s="6" t="s">
        <v>4943</v>
      </c>
      <c r="L1837" s="6" t="s">
        <v>4510</v>
      </c>
      <c r="M1837" s="6" t="s">
        <v>4511</v>
      </c>
      <c r="N1837" s="6" t="s">
        <v>4944</v>
      </c>
      <c r="O1837" s="29">
        <f t="shared" si="40"/>
        <v>0</v>
      </c>
      <c r="Q1837" s="30" t="s">
        <v>4944</v>
      </c>
      <c r="R1837" s="31">
        <v>0</v>
      </c>
    </row>
    <row r="1838" s="1" customFormat="1" ht="16.35" hidden="1" customHeight="1" spans="1:18">
      <c r="A1838" s="6" t="s">
        <v>4506</v>
      </c>
      <c r="B1838" s="6">
        <v>2019</v>
      </c>
      <c r="C1838" s="6">
        <v>12</v>
      </c>
      <c r="D1838" s="7">
        <v>100</v>
      </c>
      <c r="E1838" s="6" t="s">
        <v>4121</v>
      </c>
      <c r="F1838" s="6" t="s">
        <v>4508</v>
      </c>
      <c r="G1838" s="6" t="s">
        <v>25</v>
      </c>
      <c r="H1838" s="8">
        <v>438095</v>
      </c>
      <c r="I1838" s="8"/>
      <c r="J1838" s="6" t="s">
        <v>4947</v>
      </c>
      <c r="K1838" s="6" t="s">
        <v>396</v>
      </c>
      <c r="L1838" s="6" t="s">
        <v>4510</v>
      </c>
      <c r="M1838" s="6" t="s">
        <v>4511</v>
      </c>
      <c r="N1838" s="6" t="s">
        <v>396</v>
      </c>
      <c r="O1838" s="29">
        <f t="shared" si="40"/>
        <v>0</v>
      </c>
      <c r="Q1838" s="30" t="s">
        <v>396</v>
      </c>
      <c r="R1838" s="31">
        <v>0</v>
      </c>
    </row>
    <row r="1839" s="1" customFormat="1" ht="16.35" hidden="1" customHeight="1" spans="1:18">
      <c r="A1839" s="6" t="s">
        <v>4506</v>
      </c>
      <c r="B1839" s="6">
        <v>2019</v>
      </c>
      <c r="C1839" s="6">
        <v>12</v>
      </c>
      <c r="D1839" s="7">
        <v>100</v>
      </c>
      <c r="E1839" s="6" t="s">
        <v>4121</v>
      </c>
      <c r="F1839" s="6" t="s">
        <v>4508</v>
      </c>
      <c r="G1839" s="6" t="s">
        <v>25</v>
      </c>
      <c r="H1839" s="8">
        <v>206757</v>
      </c>
      <c r="I1839" s="8"/>
      <c r="J1839" s="6" t="s">
        <v>4951</v>
      </c>
      <c r="K1839" s="6" t="s">
        <v>697</v>
      </c>
      <c r="L1839" s="6" t="s">
        <v>4510</v>
      </c>
      <c r="M1839" s="6" t="s">
        <v>4511</v>
      </c>
      <c r="N1839" s="6" t="s">
        <v>697</v>
      </c>
      <c r="O1839" s="29">
        <f t="shared" si="40"/>
        <v>0</v>
      </c>
      <c r="Q1839" s="30" t="s">
        <v>697</v>
      </c>
      <c r="R1839" s="31">
        <v>0</v>
      </c>
    </row>
    <row r="1840" s="1" customFormat="1" ht="16.35" hidden="1" customHeight="1" spans="1:18">
      <c r="A1840" s="6" t="s">
        <v>4506</v>
      </c>
      <c r="B1840" s="6">
        <v>2019</v>
      </c>
      <c r="C1840" s="6">
        <v>12</v>
      </c>
      <c r="D1840" s="7">
        <v>100</v>
      </c>
      <c r="E1840" s="6" t="s">
        <v>4121</v>
      </c>
      <c r="F1840" s="6" t="s">
        <v>4508</v>
      </c>
      <c r="G1840" s="6" t="s">
        <v>25</v>
      </c>
      <c r="H1840" s="8">
        <v>160770</v>
      </c>
      <c r="I1840" s="8"/>
      <c r="J1840" s="6" t="s">
        <v>4954</v>
      </c>
      <c r="K1840" s="6" t="s">
        <v>932</v>
      </c>
      <c r="L1840" s="6" t="s">
        <v>4510</v>
      </c>
      <c r="M1840" s="6" t="s">
        <v>4511</v>
      </c>
      <c r="N1840" s="6" t="s">
        <v>932</v>
      </c>
      <c r="O1840" s="29">
        <f t="shared" si="40"/>
        <v>0</v>
      </c>
      <c r="Q1840" s="30" t="s">
        <v>932</v>
      </c>
      <c r="R1840" s="31">
        <v>0</v>
      </c>
    </row>
    <row r="1841" s="1" customFormat="1" ht="16.35" hidden="1" customHeight="1" spans="1:18">
      <c r="A1841" s="6" t="s">
        <v>4506</v>
      </c>
      <c r="B1841" s="6">
        <v>2019</v>
      </c>
      <c r="C1841" s="6">
        <v>12</v>
      </c>
      <c r="D1841" s="7">
        <v>100</v>
      </c>
      <c r="E1841" s="6" t="s">
        <v>4121</v>
      </c>
      <c r="F1841" s="6" t="s">
        <v>4508</v>
      </c>
      <c r="G1841" s="6" t="s">
        <v>25</v>
      </c>
      <c r="H1841" s="8">
        <v>119559</v>
      </c>
      <c r="I1841" s="8"/>
      <c r="J1841" s="6" t="s">
        <v>4956</v>
      </c>
      <c r="K1841" s="6" t="s">
        <v>930</v>
      </c>
      <c r="L1841" s="6" t="s">
        <v>4510</v>
      </c>
      <c r="M1841" s="6" t="s">
        <v>4511</v>
      </c>
      <c r="N1841" s="6" t="s">
        <v>930</v>
      </c>
      <c r="O1841" s="29">
        <f t="shared" si="40"/>
        <v>0</v>
      </c>
      <c r="Q1841" s="30" t="s">
        <v>930</v>
      </c>
      <c r="R1841" s="31">
        <v>0</v>
      </c>
    </row>
    <row r="1842" s="1" customFormat="1" ht="16.35" hidden="1" customHeight="1" spans="1:18">
      <c r="A1842" s="6" t="s">
        <v>4506</v>
      </c>
      <c r="B1842" s="6">
        <v>2019</v>
      </c>
      <c r="C1842" s="6">
        <v>12</v>
      </c>
      <c r="D1842" s="7">
        <v>100</v>
      </c>
      <c r="E1842" s="6" t="s">
        <v>4121</v>
      </c>
      <c r="F1842" s="6" t="s">
        <v>4508</v>
      </c>
      <c r="G1842" s="6" t="s">
        <v>25</v>
      </c>
      <c r="H1842" s="8">
        <v>119149</v>
      </c>
      <c r="I1842" s="8"/>
      <c r="J1842" s="6" t="s">
        <v>4959</v>
      </c>
      <c r="K1842" s="6" t="s">
        <v>921</v>
      </c>
      <c r="L1842" s="6" t="s">
        <v>4510</v>
      </c>
      <c r="M1842" s="6" t="s">
        <v>4511</v>
      </c>
      <c r="N1842" s="6" t="s">
        <v>921</v>
      </c>
      <c r="O1842" s="29">
        <f t="shared" si="40"/>
        <v>0</v>
      </c>
      <c r="Q1842" s="30" t="s">
        <v>921</v>
      </c>
      <c r="R1842" s="31">
        <v>0</v>
      </c>
    </row>
    <row r="1843" s="1" customFormat="1" ht="16.35" hidden="1" customHeight="1" spans="1:19">
      <c r="A1843" s="6" t="s">
        <v>4506</v>
      </c>
      <c r="B1843" s="6">
        <v>2019</v>
      </c>
      <c r="C1843" s="6">
        <v>12</v>
      </c>
      <c r="D1843" s="7">
        <v>100</v>
      </c>
      <c r="E1843" s="6" t="s">
        <v>4121</v>
      </c>
      <c r="F1843" s="6" t="s">
        <v>4508</v>
      </c>
      <c r="G1843" s="6" t="s">
        <v>25</v>
      </c>
      <c r="H1843" s="8">
        <v>279145</v>
      </c>
      <c r="I1843" s="8"/>
      <c r="J1843" s="6" t="s">
        <v>4961</v>
      </c>
      <c r="K1843" s="6" t="s">
        <v>769</v>
      </c>
      <c r="L1843" s="6" t="s">
        <v>4510</v>
      </c>
      <c r="M1843" s="6" t="s">
        <v>4511</v>
      </c>
      <c r="N1843" s="6" t="s">
        <v>769</v>
      </c>
      <c r="O1843" s="29">
        <f t="shared" si="40"/>
        <v>0</v>
      </c>
      <c r="Q1843" s="30" t="s">
        <v>769</v>
      </c>
      <c r="R1843" s="31">
        <v>0</v>
      </c>
      <c r="S1843" s="1" t="s">
        <v>5629</v>
      </c>
    </row>
    <row r="1844" s="1" customFormat="1" ht="16.35" hidden="1" customHeight="1" spans="1:18">
      <c r="A1844" s="6" t="s">
        <v>4506</v>
      </c>
      <c r="B1844" s="6">
        <v>2019</v>
      </c>
      <c r="C1844" s="6">
        <v>12</v>
      </c>
      <c r="D1844" s="7">
        <v>100</v>
      </c>
      <c r="E1844" s="6" t="s">
        <v>4121</v>
      </c>
      <c r="F1844" s="6" t="s">
        <v>4508</v>
      </c>
      <c r="G1844" s="6" t="s">
        <v>25</v>
      </c>
      <c r="H1844" s="8">
        <v>119559</v>
      </c>
      <c r="I1844" s="8"/>
      <c r="J1844" s="6" t="s">
        <v>4966</v>
      </c>
      <c r="K1844" s="6" t="s">
        <v>916</v>
      </c>
      <c r="L1844" s="6" t="s">
        <v>4510</v>
      </c>
      <c r="M1844" s="6" t="s">
        <v>4511</v>
      </c>
      <c r="N1844" s="6" t="s">
        <v>916</v>
      </c>
      <c r="O1844" s="29">
        <f t="shared" si="40"/>
        <v>0</v>
      </c>
      <c r="Q1844" s="30" t="s">
        <v>916</v>
      </c>
      <c r="R1844" s="31">
        <v>0</v>
      </c>
    </row>
    <row r="1845" s="1" customFormat="1" ht="16.35" hidden="1" customHeight="1" spans="1:18">
      <c r="A1845" s="6" t="s">
        <v>4506</v>
      </c>
      <c r="B1845" s="6">
        <v>2019</v>
      </c>
      <c r="C1845" s="6">
        <v>12</v>
      </c>
      <c r="D1845" s="7">
        <v>100</v>
      </c>
      <c r="E1845" s="6" t="s">
        <v>4121</v>
      </c>
      <c r="F1845" s="6" t="s">
        <v>4508</v>
      </c>
      <c r="G1845" s="6" t="s">
        <v>25</v>
      </c>
      <c r="H1845" s="8">
        <v>160770</v>
      </c>
      <c r="I1845" s="8"/>
      <c r="J1845" s="6" t="s">
        <v>4968</v>
      </c>
      <c r="K1845" s="6" t="s">
        <v>918</v>
      </c>
      <c r="L1845" s="6" t="s">
        <v>4510</v>
      </c>
      <c r="M1845" s="6" t="s">
        <v>4511</v>
      </c>
      <c r="N1845" s="6" t="s">
        <v>918</v>
      </c>
      <c r="O1845" s="29">
        <f t="shared" si="40"/>
        <v>0</v>
      </c>
      <c r="Q1845" s="30" t="s">
        <v>918</v>
      </c>
      <c r="R1845" s="31">
        <v>0</v>
      </c>
    </row>
    <row r="1846" s="1" customFormat="1" ht="16.35" hidden="1" customHeight="1" spans="1:18">
      <c r="A1846" s="6" t="s">
        <v>4506</v>
      </c>
      <c r="B1846" s="6">
        <v>2019</v>
      </c>
      <c r="C1846" s="6">
        <v>12</v>
      </c>
      <c r="D1846" s="7">
        <v>100</v>
      </c>
      <c r="E1846" s="6" t="s">
        <v>4121</v>
      </c>
      <c r="F1846" s="6" t="s">
        <v>4508</v>
      </c>
      <c r="G1846" s="6" t="s">
        <v>25</v>
      </c>
      <c r="H1846" s="8">
        <v>120792</v>
      </c>
      <c r="I1846" s="8"/>
      <c r="J1846" s="6" t="s">
        <v>4973</v>
      </c>
      <c r="K1846" s="6" t="s">
        <v>949</v>
      </c>
      <c r="L1846" s="6" t="s">
        <v>4510</v>
      </c>
      <c r="M1846" s="6" t="s">
        <v>4511</v>
      </c>
      <c r="N1846" s="6" t="s">
        <v>949</v>
      </c>
      <c r="O1846" s="29">
        <f t="shared" si="40"/>
        <v>0</v>
      </c>
      <c r="Q1846" s="30" t="s">
        <v>949</v>
      </c>
      <c r="R1846" s="31">
        <v>0</v>
      </c>
    </row>
    <row r="1847" s="1" customFormat="1" ht="16.35" hidden="1" customHeight="1" spans="1:18">
      <c r="A1847" s="6" t="s">
        <v>4506</v>
      </c>
      <c r="B1847" s="6">
        <v>2019</v>
      </c>
      <c r="C1847" s="6">
        <v>12</v>
      </c>
      <c r="D1847" s="7">
        <v>100</v>
      </c>
      <c r="E1847" s="6" t="s">
        <v>4121</v>
      </c>
      <c r="F1847" s="6" t="s">
        <v>4508</v>
      </c>
      <c r="G1847" s="6" t="s">
        <v>25</v>
      </c>
      <c r="H1847" s="8">
        <v>285924</v>
      </c>
      <c r="I1847" s="8"/>
      <c r="J1847" s="6" t="s">
        <v>3931</v>
      </c>
      <c r="K1847" s="6" t="s">
        <v>830</v>
      </c>
      <c r="L1847" s="6" t="s">
        <v>4510</v>
      </c>
      <c r="M1847" s="6" t="s">
        <v>4511</v>
      </c>
      <c r="N1847" s="6" t="s">
        <v>830</v>
      </c>
      <c r="O1847" s="29">
        <f t="shared" si="40"/>
        <v>0</v>
      </c>
      <c r="Q1847" s="30" t="s">
        <v>830</v>
      </c>
      <c r="R1847" s="31">
        <v>0</v>
      </c>
    </row>
    <row r="1848" s="1" customFormat="1" ht="16.35" hidden="1" customHeight="1" spans="1:18">
      <c r="A1848" s="6" t="s">
        <v>4506</v>
      </c>
      <c r="B1848" s="6">
        <v>2019</v>
      </c>
      <c r="C1848" s="6">
        <v>12</v>
      </c>
      <c r="D1848" s="7">
        <v>100</v>
      </c>
      <c r="E1848" s="6" t="s">
        <v>4121</v>
      </c>
      <c r="F1848" s="6" t="s">
        <v>4508</v>
      </c>
      <c r="G1848" s="6" t="s">
        <v>25</v>
      </c>
      <c r="H1848" s="8">
        <v>182944</v>
      </c>
      <c r="I1848" s="8"/>
      <c r="J1848" s="6" t="s">
        <v>3933</v>
      </c>
      <c r="K1848" s="6" t="s">
        <v>705</v>
      </c>
      <c r="L1848" s="6" t="s">
        <v>4510</v>
      </c>
      <c r="M1848" s="6" t="s">
        <v>4511</v>
      </c>
      <c r="N1848" s="6" t="s">
        <v>705</v>
      </c>
      <c r="O1848" s="29">
        <f t="shared" si="40"/>
        <v>0</v>
      </c>
      <c r="Q1848" s="30" t="s">
        <v>705</v>
      </c>
      <c r="R1848" s="31">
        <v>0</v>
      </c>
    </row>
    <row r="1849" s="1" customFormat="1" ht="16.35" hidden="1" customHeight="1" spans="1:18">
      <c r="A1849" s="6" t="s">
        <v>4506</v>
      </c>
      <c r="B1849" s="6">
        <v>2019</v>
      </c>
      <c r="C1849" s="6">
        <v>12</v>
      </c>
      <c r="D1849" s="7">
        <v>100</v>
      </c>
      <c r="E1849" s="6" t="s">
        <v>4121</v>
      </c>
      <c r="F1849" s="6" t="s">
        <v>4508</v>
      </c>
      <c r="G1849" s="6" t="s">
        <v>25</v>
      </c>
      <c r="H1849" s="8">
        <v>120381</v>
      </c>
      <c r="I1849" s="8"/>
      <c r="J1849" s="6" t="s">
        <v>3941</v>
      </c>
      <c r="K1849" s="6" t="s">
        <v>942</v>
      </c>
      <c r="L1849" s="6" t="s">
        <v>4510</v>
      </c>
      <c r="M1849" s="6" t="s">
        <v>4511</v>
      </c>
      <c r="N1849" s="6" t="s">
        <v>942</v>
      </c>
      <c r="O1849" s="29">
        <f t="shared" si="40"/>
        <v>0</v>
      </c>
      <c r="Q1849" s="30" t="s">
        <v>942</v>
      </c>
      <c r="R1849" s="31">
        <v>0</v>
      </c>
    </row>
    <row r="1850" s="1" customFormat="1" ht="16.35" hidden="1" customHeight="1" spans="1:18">
      <c r="A1850" s="6" t="s">
        <v>4506</v>
      </c>
      <c r="B1850" s="6">
        <v>2019</v>
      </c>
      <c r="C1850" s="6">
        <v>12</v>
      </c>
      <c r="D1850" s="7">
        <v>100</v>
      </c>
      <c r="E1850" s="6" t="s">
        <v>4121</v>
      </c>
      <c r="F1850" s="6" t="s">
        <v>4508</v>
      </c>
      <c r="G1850" s="6" t="s">
        <v>25</v>
      </c>
      <c r="H1850" s="8">
        <v>151931</v>
      </c>
      <c r="I1850" s="8"/>
      <c r="J1850" s="6" t="s">
        <v>3947</v>
      </c>
      <c r="K1850" s="6" t="s">
        <v>959</v>
      </c>
      <c r="L1850" s="6" t="s">
        <v>4510</v>
      </c>
      <c r="M1850" s="6" t="s">
        <v>4511</v>
      </c>
      <c r="N1850" s="6" t="s">
        <v>959</v>
      </c>
      <c r="O1850" s="29">
        <f t="shared" si="40"/>
        <v>0</v>
      </c>
      <c r="Q1850" s="30" t="s">
        <v>959</v>
      </c>
      <c r="R1850" s="31">
        <v>0</v>
      </c>
    </row>
    <row r="1851" s="1" customFormat="1" ht="16.35" hidden="1" customHeight="1" spans="1:18">
      <c r="A1851" s="6" t="s">
        <v>4506</v>
      </c>
      <c r="B1851" s="6">
        <v>2019</v>
      </c>
      <c r="C1851" s="6">
        <v>12</v>
      </c>
      <c r="D1851" s="7">
        <v>100</v>
      </c>
      <c r="E1851" s="6" t="s">
        <v>4121</v>
      </c>
      <c r="F1851" s="6" t="s">
        <v>4508</v>
      </c>
      <c r="G1851" s="6" t="s">
        <v>25</v>
      </c>
      <c r="H1851" s="8">
        <v>160544</v>
      </c>
      <c r="I1851" s="8"/>
      <c r="J1851" s="6" t="s">
        <v>3951</v>
      </c>
      <c r="K1851" s="6" t="s">
        <v>940</v>
      </c>
      <c r="L1851" s="6" t="s">
        <v>4510</v>
      </c>
      <c r="M1851" s="6" t="s">
        <v>4511</v>
      </c>
      <c r="N1851" s="6" t="s">
        <v>940</v>
      </c>
      <c r="O1851" s="29">
        <f t="shared" si="40"/>
        <v>0</v>
      </c>
      <c r="Q1851" s="30" t="s">
        <v>940</v>
      </c>
      <c r="R1851" s="31">
        <v>0</v>
      </c>
    </row>
    <row r="1852" s="1" customFormat="1" ht="16.35" hidden="1" customHeight="1" spans="1:18">
      <c r="A1852" s="6" t="s">
        <v>4506</v>
      </c>
      <c r="B1852" s="6">
        <v>2019</v>
      </c>
      <c r="C1852" s="6">
        <v>12</v>
      </c>
      <c r="D1852" s="7">
        <v>100</v>
      </c>
      <c r="E1852" s="6" t="s">
        <v>4121</v>
      </c>
      <c r="F1852" s="6" t="s">
        <v>4508</v>
      </c>
      <c r="G1852" s="6" t="s">
        <v>25</v>
      </c>
      <c r="H1852" s="8">
        <v>119395</v>
      </c>
      <c r="I1852" s="8"/>
      <c r="J1852" s="6" t="s">
        <v>3953</v>
      </c>
      <c r="K1852" s="6" t="s">
        <v>955</v>
      </c>
      <c r="L1852" s="6" t="s">
        <v>4510</v>
      </c>
      <c r="M1852" s="6" t="s">
        <v>4511</v>
      </c>
      <c r="N1852" s="6" t="s">
        <v>955</v>
      </c>
      <c r="O1852" s="29">
        <f t="shared" si="40"/>
        <v>0</v>
      </c>
      <c r="Q1852" s="30" t="s">
        <v>955</v>
      </c>
      <c r="R1852" s="31">
        <v>0</v>
      </c>
    </row>
    <row r="1853" s="1" customFormat="1" ht="16.35" hidden="1" customHeight="1" spans="1:18">
      <c r="A1853" s="6" t="s">
        <v>4506</v>
      </c>
      <c r="B1853" s="6">
        <v>2019</v>
      </c>
      <c r="C1853" s="6">
        <v>12</v>
      </c>
      <c r="D1853" s="7">
        <v>100</v>
      </c>
      <c r="E1853" s="6" t="s">
        <v>4121</v>
      </c>
      <c r="F1853" s="6" t="s">
        <v>4508</v>
      </c>
      <c r="G1853" s="6" t="s">
        <v>25</v>
      </c>
      <c r="H1853" s="8">
        <v>119560</v>
      </c>
      <c r="I1853" s="8"/>
      <c r="J1853" s="6" t="s">
        <v>3959</v>
      </c>
      <c r="K1853" s="6" t="s">
        <v>935</v>
      </c>
      <c r="L1853" s="6" t="s">
        <v>4510</v>
      </c>
      <c r="M1853" s="6" t="s">
        <v>4511</v>
      </c>
      <c r="N1853" s="6" t="s">
        <v>935</v>
      </c>
      <c r="O1853" s="29">
        <f t="shared" si="40"/>
        <v>0</v>
      </c>
      <c r="Q1853" s="30" t="s">
        <v>935</v>
      </c>
      <c r="R1853" s="31">
        <v>0</v>
      </c>
    </row>
    <row r="1854" s="1" customFormat="1" ht="16.35" hidden="1" customHeight="1" spans="1:18">
      <c r="A1854" s="6" t="s">
        <v>4506</v>
      </c>
      <c r="B1854" s="6">
        <v>2019</v>
      </c>
      <c r="C1854" s="6">
        <v>12</v>
      </c>
      <c r="D1854" s="7">
        <v>100</v>
      </c>
      <c r="E1854" s="6" t="s">
        <v>4121</v>
      </c>
      <c r="F1854" s="6" t="s">
        <v>4508</v>
      </c>
      <c r="G1854" s="6" t="s">
        <v>25</v>
      </c>
      <c r="H1854" s="8">
        <v>190816</v>
      </c>
      <c r="I1854" s="8"/>
      <c r="J1854" s="6" t="s">
        <v>3962</v>
      </c>
      <c r="K1854" s="6" t="s">
        <v>707</v>
      </c>
      <c r="L1854" s="6" t="s">
        <v>4510</v>
      </c>
      <c r="M1854" s="6" t="s">
        <v>4511</v>
      </c>
      <c r="N1854" s="6" t="s">
        <v>707</v>
      </c>
      <c r="O1854" s="29">
        <f t="shared" si="40"/>
        <v>0</v>
      </c>
      <c r="Q1854" s="30" t="s">
        <v>707</v>
      </c>
      <c r="R1854" s="31">
        <v>0</v>
      </c>
    </row>
    <row r="1855" s="1" customFormat="1" ht="16.35" hidden="1" customHeight="1" spans="1:18">
      <c r="A1855" s="6" t="s">
        <v>4506</v>
      </c>
      <c r="B1855" s="6">
        <v>2019</v>
      </c>
      <c r="C1855" s="6">
        <v>12</v>
      </c>
      <c r="D1855" s="7">
        <v>100</v>
      </c>
      <c r="E1855" s="6" t="s">
        <v>4121</v>
      </c>
      <c r="F1855" s="6" t="s">
        <v>4508</v>
      </c>
      <c r="G1855" s="6" t="s">
        <v>25</v>
      </c>
      <c r="H1855" s="8">
        <v>168506</v>
      </c>
      <c r="I1855" s="8"/>
      <c r="J1855" s="6" t="s">
        <v>3969</v>
      </c>
      <c r="K1855" s="6" t="s">
        <v>903</v>
      </c>
      <c r="L1855" s="6" t="s">
        <v>4510</v>
      </c>
      <c r="M1855" s="6" t="s">
        <v>4511</v>
      </c>
      <c r="N1855" s="6" t="s">
        <v>903</v>
      </c>
      <c r="O1855" s="29">
        <f t="shared" si="40"/>
        <v>0</v>
      </c>
      <c r="Q1855" s="30" t="s">
        <v>903</v>
      </c>
      <c r="R1855" s="31">
        <v>0</v>
      </c>
    </row>
    <row r="1856" s="1" customFormat="1" ht="16.35" hidden="1" customHeight="1" spans="1:18">
      <c r="A1856" s="6" t="s">
        <v>4506</v>
      </c>
      <c r="B1856" s="6">
        <v>2019</v>
      </c>
      <c r="C1856" s="6">
        <v>12</v>
      </c>
      <c r="D1856" s="7">
        <v>100</v>
      </c>
      <c r="E1856" s="6" t="s">
        <v>4121</v>
      </c>
      <c r="F1856" s="6" t="s">
        <v>4508</v>
      </c>
      <c r="G1856" s="6" t="s">
        <v>25</v>
      </c>
      <c r="H1856" s="8">
        <v>160544</v>
      </c>
      <c r="I1856" s="8"/>
      <c r="J1856" s="6" t="s">
        <v>3972</v>
      </c>
      <c r="K1856" s="6" t="s">
        <v>947</v>
      </c>
      <c r="L1856" s="6" t="s">
        <v>4510</v>
      </c>
      <c r="M1856" s="6" t="s">
        <v>4511</v>
      </c>
      <c r="N1856" s="6" t="s">
        <v>947</v>
      </c>
      <c r="O1856" s="29">
        <f t="shared" si="40"/>
        <v>0</v>
      </c>
      <c r="Q1856" s="30" t="s">
        <v>947</v>
      </c>
      <c r="R1856" s="31">
        <v>0</v>
      </c>
    </row>
    <row r="1857" s="1" customFormat="1" ht="16.35" hidden="1" customHeight="1" spans="1:18">
      <c r="A1857" s="6" t="s">
        <v>4506</v>
      </c>
      <c r="B1857" s="6">
        <v>2019</v>
      </c>
      <c r="C1857" s="6">
        <v>12</v>
      </c>
      <c r="D1857" s="7">
        <v>100</v>
      </c>
      <c r="E1857" s="6" t="s">
        <v>4121</v>
      </c>
      <c r="F1857" s="6" t="s">
        <v>4508</v>
      </c>
      <c r="G1857" s="6" t="s">
        <v>25</v>
      </c>
      <c r="H1857" s="8">
        <v>118738</v>
      </c>
      <c r="I1857" s="8"/>
      <c r="J1857" s="6" t="s">
        <v>3993</v>
      </c>
      <c r="K1857" s="6" t="s">
        <v>944</v>
      </c>
      <c r="L1857" s="6" t="s">
        <v>4510</v>
      </c>
      <c r="M1857" s="6" t="s">
        <v>4511</v>
      </c>
      <c r="N1857" s="6" t="s">
        <v>944</v>
      </c>
      <c r="O1857" s="29">
        <f t="shared" si="40"/>
        <v>0</v>
      </c>
      <c r="Q1857" s="30" t="s">
        <v>944</v>
      </c>
      <c r="R1857" s="31">
        <v>0</v>
      </c>
    </row>
    <row r="1858" s="1" customFormat="1" ht="16.35" hidden="1" customHeight="1" spans="1:18">
      <c r="A1858" s="6" t="s">
        <v>4506</v>
      </c>
      <c r="B1858" s="6">
        <v>2019</v>
      </c>
      <c r="C1858" s="6">
        <v>12</v>
      </c>
      <c r="D1858" s="7">
        <v>100</v>
      </c>
      <c r="E1858" s="6" t="s">
        <v>4121</v>
      </c>
      <c r="F1858" s="6" t="s">
        <v>4508</v>
      </c>
      <c r="G1858" s="6" t="s">
        <v>25</v>
      </c>
      <c r="H1858" s="8">
        <v>159666</v>
      </c>
      <c r="I1858" s="8"/>
      <c r="J1858" s="6" t="s">
        <v>3992</v>
      </c>
      <c r="K1858" s="6" t="s">
        <v>946</v>
      </c>
      <c r="L1858" s="6" t="s">
        <v>4510</v>
      </c>
      <c r="M1858" s="6" t="s">
        <v>4511</v>
      </c>
      <c r="N1858" s="6" t="s">
        <v>946</v>
      </c>
      <c r="O1858" s="29">
        <f t="shared" si="40"/>
        <v>0</v>
      </c>
      <c r="Q1858" s="30" t="s">
        <v>946</v>
      </c>
      <c r="R1858" s="31">
        <v>0</v>
      </c>
    </row>
    <row r="1859" s="1" customFormat="1" ht="16.35" hidden="1" customHeight="1" spans="1:18">
      <c r="A1859" s="6" t="s">
        <v>4506</v>
      </c>
      <c r="B1859" s="6">
        <v>2019</v>
      </c>
      <c r="C1859" s="6">
        <v>12</v>
      </c>
      <c r="D1859" s="7">
        <v>100</v>
      </c>
      <c r="E1859" s="6" t="s">
        <v>4121</v>
      </c>
      <c r="F1859" s="6" t="s">
        <v>4508</v>
      </c>
      <c r="G1859" s="6" t="s">
        <v>25</v>
      </c>
      <c r="H1859" s="8">
        <v>459020</v>
      </c>
      <c r="I1859" s="8"/>
      <c r="J1859" s="6" t="s">
        <v>3981</v>
      </c>
      <c r="K1859" s="6" t="s">
        <v>400</v>
      </c>
      <c r="L1859" s="6" t="s">
        <v>4510</v>
      </c>
      <c r="M1859" s="6" t="s">
        <v>4511</v>
      </c>
      <c r="N1859" s="6" t="s">
        <v>400</v>
      </c>
      <c r="O1859" s="29">
        <f t="shared" si="40"/>
        <v>0</v>
      </c>
      <c r="Q1859" s="30" t="s">
        <v>400</v>
      </c>
      <c r="R1859" s="31">
        <v>0</v>
      </c>
    </row>
    <row r="1860" s="1" customFormat="1" ht="16.35" hidden="1" customHeight="1" spans="1:18">
      <c r="A1860" s="6" t="s">
        <v>4506</v>
      </c>
      <c r="B1860" s="6">
        <v>2019</v>
      </c>
      <c r="C1860" s="6">
        <v>12</v>
      </c>
      <c r="D1860" s="7">
        <v>100</v>
      </c>
      <c r="E1860" s="6" t="s">
        <v>4121</v>
      </c>
      <c r="F1860" s="6" t="s">
        <v>4508</v>
      </c>
      <c r="G1860" s="6" t="s">
        <v>25</v>
      </c>
      <c r="H1860" s="8">
        <v>119148</v>
      </c>
      <c r="I1860" s="8"/>
      <c r="J1860" s="6" t="s">
        <v>3983</v>
      </c>
      <c r="K1860" s="6" t="s">
        <v>928</v>
      </c>
      <c r="L1860" s="6" t="s">
        <v>4510</v>
      </c>
      <c r="M1860" s="6" t="s">
        <v>4511</v>
      </c>
      <c r="N1860" s="6" t="s">
        <v>928</v>
      </c>
      <c r="O1860" s="29">
        <f t="shared" si="40"/>
        <v>0</v>
      </c>
      <c r="Q1860" s="30" t="s">
        <v>928</v>
      </c>
      <c r="R1860" s="31">
        <v>0</v>
      </c>
    </row>
    <row r="1861" s="1" customFormat="1" ht="16.35" hidden="1" customHeight="1" spans="1:18">
      <c r="A1861" s="6" t="s">
        <v>4506</v>
      </c>
      <c r="B1861" s="6">
        <v>2019</v>
      </c>
      <c r="C1861" s="6">
        <v>12</v>
      </c>
      <c r="D1861" s="7">
        <v>100</v>
      </c>
      <c r="E1861" s="6" t="s">
        <v>4121</v>
      </c>
      <c r="F1861" s="6" t="s">
        <v>4508</v>
      </c>
      <c r="G1861" s="6" t="s">
        <v>25</v>
      </c>
      <c r="H1861" s="8">
        <v>192674.95</v>
      </c>
      <c r="I1861" s="8"/>
      <c r="J1861" s="6" t="s">
        <v>3985</v>
      </c>
      <c r="K1861" s="6" t="s">
        <v>699</v>
      </c>
      <c r="L1861" s="6" t="s">
        <v>4510</v>
      </c>
      <c r="M1861" s="6" t="s">
        <v>4511</v>
      </c>
      <c r="N1861" s="6" t="s">
        <v>699</v>
      </c>
      <c r="O1861" s="29">
        <f t="shared" si="40"/>
        <v>0</v>
      </c>
      <c r="Q1861" s="30" t="s">
        <v>699</v>
      </c>
      <c r="R1861" s="31">
        <v>0</v>
      </c>
    </row>
    <row r="1862" s="1" customFormat="1" ht="16.35" hidden="1" customHeight="1" spans="1:18">
      <c r="A1862" s="6" t="s">
        <v>4506</v>
      </c>
      <c r="B1862" s="6">
        <v>2019</v>
      </c>
      <c r="C1862" s="6">
        <v>12</v>
      </c>
      <c r="D1862" s="7">
        <v>100</v>
      </c>
      <c r="E1862" s="6" t="s">
        <v>4121</v>
      </c>
      <c r="F1862" s="6" t="s">
        <v>4508</v>
      </c>
      <c r="G1862" s="6" t="s">
        <v>25</v>
      </c>
      <c r="H1862" s="8">
        <v>471548</v>
      </c>
      <c r="I1862" s="8"/>
      <c r="J1862" s="6" t="s">
        <v>3975</v>
      </c>
      <c r="K1862" s="6" t="s">
        <v>406</v>
      </c>
      <c r="L1862" s="6" t="s">
        <v>4510</v>
      </c>
      <c r="M1862" s="6" t="s">
        <v>4511</v>
      </c>
      <c r="N1862" s="6" t="s">
        <v>406</v>
      </c>
      <c r="O1862" s="29">
        <f t="shared" si="40"/>
        <v>0</v>
      </c>
      <c r="Q1862" s="30" t="s">
        <v>406</v>
      </c>
      <c r="R1862" s="31">
        <v>0</v>
      </c>
    </row>
    <row r="1863" s="1" customFormat="1" ht="16.35" hidden="1" customHeight="1" spans="1:18">
      <c r="A1863" s="6" t="s">
        <v>4506</v>
      </c>
      <c r="B1863" s="6">
        <v>2019</v>
      </c>
      <c r="C1863" s="6">
        <v>12</v>
      </c>
      <c r="D1863" s="7">
        <v>100</v>
      </c>
      <c r="E1863" s="6" t="s">
        <v>4121</v>
      </c>
      <c r="F1863" s="6" t="s">
        <v>4508</v>
      </c>
      <c r="G1863" s="6" t="s">
        <v>25</v>
      </c>
      <c r="H1863" s="8">
        <v>110314</v>
      </c>
      <c r="I1863" s="8"/>
      <c r="J1863" s="6" t="s">
        <v>3976</v>
      </c>
      <c r="K1863" s="6" t="s">
        <v>846</v>
      </c>
      <c r="L1863" s="6" t="s">
        <v>4510</v>
      </c>
      <c r="M1863" s="6" t="s">
        <v>4511</v>
      </c>
      <c r="N1863" s="6" t="s">
        <v>846</v>
      </c>
      <c r="O1863" s="29">
        <f t="shared" si="40"/>
        <v>0</v>
      </c>
      <c r="Q1863" s="30" t="s">
        <v>846</v>
      </c>
      <c r="R1863" s="31">
        <v>0</v>
      </c>
    </row>
    <row r="1864" s="1" customFormat="1" ht="16.35" hidden="1" customHeight="1" spans="1:18">
      <c r="A1864" s="6" t="s">
        <v>4506</v>
      </c>
      <c r="B1864" s="6">
        <v>2019</v>
      </c>
      <c r="C1864" s="6">
        <v>12</v>
      </c>
      <c r="D1864" s="7">
        <v>100</v>
      </c>
      <c r="E1864" s="6" t="s">
        <v>4121</v>
      </c>
      <c r="F1864" s="6" t="s">
        <v>4508</v>
      </c>
      <c r="G1864" s="6" t="s">
        <v>25</v>
      </c>
      <c r="H1864" s="8">
        <v>280952</v>
      </c>
      <c r="I1864" s="8"/>
      <c r="J1864" s="6" t="s">
        <v>3977</v>
      </c>
      <c r="K1864" s="6" t="s">
        <v>362</v>
      </c>
      <c r="L1864" s="6" t="s">
        <v>4510</v>
      </c>
      <c r="M1864" s="6" t="s">
        <v>4511</v>
      </c>
      <c r="N1864" s="6" t="s">
        <v>362</v>
      </c>
      <c r="O1864" s="29">
        <f t="shared" si="40"/>
        <v>0</v>
      </c>
      <c r="Q1864" s="30" t="s">
        <v>362</v>
      </c>
      <c r="R1864" s="31">
        <v>0</v>
      </c>
    </row>
    <row r="1865" s="1" customFormat="1" ht="16.35" hidden="1" customHeight="1" spans="1:18">
      <c r="A1865" s="6" t="s">
        <v>4506</v>
      </c>
      <c r="B1865" s="6">
        <v>2019</v>
      </c>
      <c r="C1865" s="6">
        <v>12</v>
      </c>
      <c r="D1865" s="7">
        <v>100</v>
      </c>
      <c r="E1865" s="6" t="s">
        <v>4121</v>
      </c>
      <c r="F1865" s="6" t="s">
        <v>4508</v>
      </c>
      <c r="G1865" s="6" t="s">
        <v>25</v>
      </c>
      <c r="H1865" s="8">
        <v>431038</v>
      </c>
      <c r="I1865" s="8"/>
      <c r="J1865" s="6" t="s">
        <v>3988</v>
      </c>
      <c r="K1865" s="6" t="s">
        <v>404</v>
      </c>
      <c r="L1865" s="6" t="s">
        <v>4510</v>
      </c>
      <c r="M1865" s="6" t="s">
        <v>4511</v>
      </c>
      <c r="N1865" s="6" t="s">
        <v>404</v>
      </c>
      <c r="O1865" s="29">
        <f t="shared" si="40"/>
        <v>0</v>
      </c>
      <c r="Q1865" s="30" t="s">
        <v>404</v>
      </c>
      <c r="R1865" s="31">
        <v>0</v>
      </c>
    </row>
    <row r="1866" s="1" customFormat="1" ht="16.35" hidden="1" customHeight="1" spans="1:18">
      <c r="A1866" s="6" t="s">
        <v>4506</v>
      </c>
      <c r="B1866" s="6">
        <v>2019</v>
      </c>
      <c r="C1866" s="6">
        <v>12</v>
      </c>
      <c r="D1866" s="7">
        <v>100</v>
      </c>
      <c r="E1866" s="6" t="s">
        <v>4121</v>
      </c>
      <c r="F1866" s="6" t="s">
        <v>4508</v>
      </c>
      <c r="G1866" s="6" t="s">
        <v>25</v>
      </c>
      <c r="H1866" s="8">
        <v>135227</v>
      </c>
      <c r="I1866" s="8"/>
      <c r="J1866" s="6" t="s">
        <v>3990</v>
      </c>
      <c r="K1866" s="6" t="s">
        <v>410</v>
      </c>
      <c r="L1866" s="6" t="s">
        <v>4510</v>
      </c>
      <c r="M1866" s="6" t="s">
        <v>4511</v>
      </c>
      <c r="N1866" s="6" t="s">
        <v>410</v>
      </c>
      <c r="O1866" s="29">
        <f t="shared" si="40"/>
        <v>0</v>
      </c>
      <c r="Q1866" s="30" t="s">
        <v>410</v>
      </c>
      <c r="R1866" s="31">
        <v>0</v>
      </c>
    </row>
    <row r="1867" s="1" customFormat="1" ht="16.35" hidden="1" customHeight="1" spans="1:18">
      <c r="A1867" s="6" t="s">
        <v>4506</v>
      </c>
      <c r="B1867" s="6">
        <v>2019</v>
      </c>
      <c r="C1867" s="6">
        <v>12</v>
      </c>
      <c r="D1867" s="7">
        <v>100</v>
      </c>
      <c r="E1867" s="6" t="s">
        <v>4121</v>
      </c>
      <c r="F1867" s="6" t="s">
        <v>4508</v>
      </c>
      <c r="G1867" s="6" t="s">
        <v>25</v>
      </c>
      <c r="H1867" s="8">
        <v>381019</v>
      </c>
      <c r="I1867" s="8"/>
      <c r="J1867" s="6" t="s">
        <v>3995</v>
      </c>
      <c r="K1867" s="6" t="s">
        <v>412</v>
      </c>
      <c r="L1867" s="6" t="s">
        <v>4510</v>
      </c>
      <c r="M1867" s="6" t="s">
        <v>4511</v>
      </c>
      <c r="N1867" s="6" t="s">
        <v>412</v>
      </c>
      <c r="O1867" s="29">
        <f t="shared" si="40"/>
        <v>0</v>
      </c>
      <c r="Q1867" s="30" t="s">
        <v>412</v>
      </c>
      <c r="R1867" s="31">
        <v>0</v>
      </c>
    </row>
    <row r="1868" s="1" customFormat="1" ht="16.35" hidden="1" customHeight="1" spans="1:18">
      <c r="A1868" s="6" t="s">
        <v>4506</v>
      </c>
      <c r="B1868" s="6">
        <v>2019</v>
      </c>
      <c r="C1868" s="6">
        <v>12</v>
      </c>
      <c r="D1868" s="7">
        <v>100</v>
      </c>
      <c r="E1868" s="6" t="s">
        <v>4121</v>
      </c>
      <c r="F1868" s="6" t="s">
        <v>4508</v>
      </c>
      <c r="G1868" s="6" t="s">
        <v>25</v>
      </c>
      <c r="H1868" s="8">
        <v>124601</v>
      </c>
      <c r="I1868" s="8"/>
      <c r="J1868" s="6" t="s">
        <v>3997</v>
      </c>
      <c r="K1868" s="6" t="s">
        <v>416</v>
      </c>
      <c r="L1868" s="6" t="s">
        <v>4510</v>
      </c>
      <c r="M1868" s="6" t="s">
        <v>4511</v>
      </c>
      <c r="N1868" s="6" t="s">
        <v>416</v>
      </c>
      <c r="O1868" s="29">
        <f t="shared" si="40"/>
        <v>0</v>
      </c>
      <c r="Q1868" s="30" t="s">
        <v>416</v>
      </c>
      <c r="R1868" s="31">
        <v>0</v>
      </c>
    </row>
    <row r="1869" s="1" customFormat="1" ht="16.35" hidden="1" customHeight="1" spans="1:18">
      <c r="A1869" s="6" t="s">
        <v>4506</v>
      </c>
      <c r="B1869" s="6">
        <v>2019</v>
      </c>
      <c r="C1869" s="6">
        <v>12</v>
      </c>
      <c r="D1869" s="7">
        <v>100</v>
      </c>
      <c r="E1869" s="6" t="s">
        <v>4121</v>
      </c>
      <c r="F1869" s="6" t="s">
        <v>4508</v>
      </c>
      <c r="G1869" s="6" t="s">
        <v>25</v>
      </c>
      <c r="H1869" s="8">
        <v>246777</v>
      </c>
      <c r="I1869" s="8"/>
      <c r="J1869" s="6" t="s">
        <v>4042</v>
      </c>
      <c r="K1869" s="6" t="s">
        <v>565</v>
      </c>
      <c r="L1869" s="6" t="s">
        <v>4510</v>
      </c>
      <c r="M1869" s="6" t="s">
        <v>4511</v>
      </c>
      <c r="N1869" s="6" t="s">
        <v>565</v>
      </c>
      <c r="O1869" s="29">
        <f t="shared" si="40"/>
        <v>0</v>
      </c>
      <c r="Q1869" s="30" t="s">
        <v>565</v>
      </c>
      <c r="R1869" s="31">
        <v>0</v>
      </c>
    </row>
    <row r="1870" s="1" customFormat="1" ht="16.35" hidden="1" customHeight="1" spans="1:18">
      <c r="A1870" s="6" t="s">
        <v>4506</v>
      </c>
      <c r="B1870" s="6">
        <v>2019</v>
      </c>
      <c r="C1870" s="6">
        <v>12</v>
      </c>
      <c r="D1870" s="7">
        <v>100</v>
      </c>
      <c r="E1870" s="6" t="s">
        <v>4121</v>
      </c>
      <c r="F1870" s="6" t="s">
        <v>4508</v>
      </c>
      <c r="G1870" s="6" t="s">
        <v>25</v>
      </c>
      <c r="H1870" s="8">
        <v>313804</v>
      </c>
      <c r="I1870" s="8"/>
      <c r="J1870" s="6" t="s">
        <v>4001</v>
      </c>
      <c r="K1870" s="6" t="s">
        <v>656</v>
      </c>
      <c r="L1870" s="6" t="s">
        <v>4510</v>
      </c>
      <c r="M1870" s="6" t="s">
        <v>4511</v>
      </c>
      <c r="N1870" s="6" t="s">
        <v>656</v>
      </c>
      <c r="O1870" s="29">
        <f t="shared" si="40"/>
        <v>0</v>
      </c>
      <c r="Q1870" s="30" t="s">
        <v>656</v>
      </c>
      <c r="R1870" s="31">
        <v>0</v>
      </c>
    </row>
    <row r="1871" s="1" customFormat="1" ht="16.35" hidden="1" customHeight="1" spans="1:18">
      <c r="A1871" s="6" t="s">
        <v>4506</v>
      </c>
      <c r="B1871" s="6">
        <v>2019</v>
      </c>
      <c r="C1871" s="6">
        <v>12</v>
      </c>
      <c r="D1871" s="7">
        <v>100</v>
      </c>
      <c r="E1871" s="6" t="s">
        <v>4121</v>
      </c>
      <c r="F1871" s="6" t="s">
        <v>4508</v>
      </c>
      <c r="G1871" s="6" t="s">
        <v>25</v>
      </c>
      <c r="H1871" s="8">
        <v>19048</v>
      </c>
      <c r="I1871" s="8"/>
      <c r="J1871" s="6" t="s">
        <v>4006</v>
      </c>
      <c r="K1871" s="6" t="s">
        <v>285</v>
      </c>
      <c r="L1871" s="6" t="s">
        <v>4510</v>
      </c>
      <c r="M1871" s="6" t="s">
        <v>4511</v>
      </c>
      <c r="N1871" s="6" t="s">
        <v>285</v>
      </c>
      <c r="O1871" s="29">
        <f t="shared" si="40"/>
        <v>0</v>
      </c>
      <c r="Q1871" s="30" t="s">
        <v>285</v>
      </c>
      <c r="R1871" s="31">
        <v>0</v>
      </c>
    </row>
    <row r="1872" s="1" customFormat="1" ht="16.35" hidden="1" customHeight="1" spans="1:18">
      <c r="A1872" s="6" t="s">
        <v>4506</v>
      </c>
      <c r="B1872" s="6">
        <v>2019</v>
      </c>
      <c r="C1872" s="6">
        <v>12</v>
      </c>
      <c r="D1872" s="7">
        <v>100</v>
      </c>
      <c r="E1872" s="6" t="s">
        <v>4121</v>
      </c>
      <c r="F1872" s="6" t="s">
        <v>4508</v>
      </c>
      <c r="G1872" s="6" t="s">
        <v>25</v>
      </c>
      <c r="H1872" s="8">
        <v>175532</v>
      </c>
      <c r="I1872" s="8"/>
      <c r="J1872" s="6" t="s">
        <v>4019</v>
      </c>
      <c r="K1872" s="6" t="s">
        <v>748</v>
      </c>
      <c r="L1872" s="6" t="s">
        <v>4510</v>
      </c>
      <c r="M1872" s="6" t="s">
        <v>4511</v>
      </c>
      <c r="N1872" s="6" t="s">
        <v>748</v>
      </c>
      <c r="O1872" s="29">
        <f t="shared" si="40"/>
        <v>0</v>
      </c>
      <c r="Q1872" s="30" t="s">
        <v>748</v>
      </c>
      <c r="R1872" s="31">
        <v>0</v>
      </c>
    </row>
    <row r="1873" s="1" customFormat="1" ht="16.35" hidden="1" customHeight="1" spans="1:18">
      <c r="A1873" s="6" t="s">
        <v>4506</v>
      </c>
      <c r="B1873" s="6">
        <v>2019</v>
      </c>
      <c r="C1873" s="6">
        <v>12</v>
      </c>
      <c r="D1873" s="7">
        <v>100</v>
      </c>
      <c r="E1873" s="6" t="s">
        <v>4121</v>
      </c>
      <c r="F1873" s="6" t="s">
        <v>4508</v>
      </c>
      <c r="G1873" s="6" t="s">
        <v>25</v>
      </c>
      <c r="H1873" s="8">
        <v>22915</v>
      </c>
      <c r="I1873" s="8"/>
      <c r="J1873" s="6" t="s">
        <v>4021</v>
      </c>
      <c r="K1873" s="6" t="s">
        <v>779</v>
      </c>
      <c r="L1873" s="6" t="s">
        <v>4510</v>
      </c>
      <c r="M1873" s="6" t="s">
        <v>4511</v>
      </c>
      <c r="N1873" s="6" t="s">
        <v>779</v>
      </c>
      <c r="O1873" s="29">
        <f t="shared" si="40"/>
        <v>0</v>
      </c>
      <c r="Q1873" s="30" t="s">
        <v>779</v>
      </c>
      <c r="R1873" s="31">
        <f>O1873</f>
        <v>0</v>
      </c>
    </row>
    <row r="1874" s="1" customFormat="1" ht="16.35" hidden="1" customHeight="1" spans="1:18">
      <c r="A1874" s="6" t="s">
        <v>4506</v>
      </c>
      <c r="B1874" s="6">
        <v>2019</v>
      </c>
      <c r="C1874" s="6">
        <v>12</v>
      </c>
      <c r="D1874" s="7">
        <v>100</v>
      </c>
      <c r="E1874" s="6" t="s">
        <v>4121</v>
      </c>
      <c r="F1874" s="6" t="s">
        <v>4508</v>
      </c>
      <c r="G1874" s="6" t="s">
        <v>25</v>
      </c>
      <c r="H1874" s="8">
        <v>9524</v>
      </c>
      <c r="I1874" s="8"/>
      <c r="J1874" s="6" t="s">
        <v>4029</v>
      </c>
      <c r="K1874" s="6" t="s">
        <v>5007</v>
      </c>
      <c r="L1874" s="6" t="s">
        <v>4510</v>
      </c>
      <c r="M1874" s="6" t="s">
        <v>4511</v>
      </c>
      <c r="N1874" s="6" t="s">
        <v>5007</v>
      </c>
      <c r="O1874" s="29">
        <f t="shared" si="40"/>
        <v>0</v>
      </c>
      <c r="Q1874" s="30" t="s">
        <v>5007</v>
      </c>
      <c r="R1874" s="31">
        <v>0</v>
      </c>
    </row>
    <row r="1875" s="1" customFormat="1" ht="16.35" hidden="1" customHeight="1" spans="1:18">
      <c r="A1875" s="6" t="s">
        <v>4506</v>
      </c>
      <c r="B1875" s="6">
        <v>2019</v>
      </c>
      <c r="C1875" s="6">
        <v>12</v>
      </c>
      <c r="D1875" s="7">
        <v>100</v>
      </c>
      <c r="E1875" s="6" t="s">
        <v>4121</v>
      </c>
      <c r="F1875" s="6" t="s">
        <v>4508</v>
      </c>
      <c r="G1875" s="6" t="s">
        <v>25</v>
      </c>
      <c r="H1875" s="8">
        <v>121203</v>
      </c>
      <c r="I1875" s="8"/>
      <c r="J1875" s="6" t="s">
        <v>4031</v>
      </c>
      <c r="K1875" s="6" t="s">
        <v>951</v>
      </c>
      <c r="L1875" s="6" t="s">
        <v>4510</v>
      </c>
      <c r="M1875" s="6" t="s">
        <v>4511</v>
      </c>
      <c r="N1875" s="6" t="s">
        <v>951</v>
      </c>
      <c r="O1875" s="29">
        <f t="shared" si="40"/>
        <v>0</v>
      </c>
      <c r="Q1875" s="30" t="s">
        <v>951</v>
      </c>
      <c r="R1875" s="31">
        <v>0</v>
      </c>
    </row>
    <row r="1876" s="1" customFormat="1" ht="16.35" hidden="1" customHeight="1" spans="1:18">
      <c r="A1876" s="6" t="s">
        <v>4506</v>
      </c>
      <c r="B1876" s="6">
        <v>2019</v>
      </c>
      <c r="C1876" s="6">
        <v>12</v>
      </c>
      <c r="D1876" s="7">
        <v>100</v>
      </c>
      <c r="E1876" s="6" t="s">
        <v>4121</v>
      </c>
      <c r="F1876" s="6" t="s">
        <v>4508</v>
      </c>
      <c r="G1876" s="6" t="s">
        <v>25</v>
      </c>
      <c r="H1876" s="8">
        <v>133708</v>
      </c>
      <c r="I1876" s="8"/>
      <c r="J1876" s="6" t="s">
        <v>4034</v>
      </c>
      <c r="K1876" s="6" t="s">
        <v>5013</v>
      </c>
      <c r="L1876" s="6" t="s">
        <v>4510</v>
      </c>
      <c r="M1876" s="6" t="s">
        <v>4511</v>
      </c>
      <c r="N1876" s="6" t="s">
        <v>5013</v>
      </c>
      <c r="O1876" s="29">
        <f t="shared" si="40"/>
        <v>0</v>
      </c>
      <c r="Q1876" s="30" t="s">
        <v>5013</v>
      </c>
      <c r="R1876" s="31">
        <v>0</v>
      </c>
    </row>
    <row r="1877" s="1" customFormat="1" ht="16.35" hidden="1" customHeight="1" spans="1:18">
      <c r="A1877" s="6" t="s">
        <v>4506</v>
      </c>
      <c r="B1877" s="6">
        <v>2019</v>
      </c>
      <c r="C1877" s="6">
        <v>12</v>
      </c>
      <c r="D1877" s="7">
        <v>100</v>
      </c>
      <c r="E1877" s="6" t="s">
        <v>4121</v>
      </c>
      <c r="F1877" s="6" t="s">
        <v>4508</v>
      </c>
      <c r="G1877" s="6" t="s">
        <v>25</v>
      </c>
      <c r="H1877" s="8">
        <v>150476</v>
      </c>
      <c r="I1877" s="8"/>
      <c r="J1877" s="6" t="s">
        <v>4036</v>
      </c>
      <c r="K1877" s="6" t="s">
        <v>939</v>
      </c>
      <c r="L1877" s="6" t="s">
        <v>4510</v>
      </c>
      <c r="M1877" s="6" t="s">
        <v>4511</v>
      </c>
      <c r="N1877" s="6" t="s">
        <v>939</v>
      </c>
      <c r="O1877" s="29">
        <f t="shared" si="40"/>
        <v>0</v>
      </c>
      <c r="Q1877" s="30" t="s">
        <v>939</v>
      </c>
      <c r="R1877" s="31">
        <v>0</v>
      </c>
    </row>
    <row r="1878" s="1" customFormat="1" ht="16.35" hidden="1" customHeight="1" spans="1:18">
      <c r="A1878" s="6" t="s">
        <v>4506</v>
      </c>
      <c r="B1878" s="6">
        <v>2019</v>
      </c>
      <c r="C1878" s="6">
        <v>12</v>
      </c>
      <c r="D1878" s="7">
        <v>100</v>
      </c>
      <c r="E1878" s="6" t="s">
        <v>4121</v>
      </c>
      <c r="F1878" s="6" t="s">
        <v>4508</v>
      </c>
      <c r="G1878" s="6" t="s">
        <v>25</v>
      </c>
      <c r="H1878" s="8">
        <v>196062</v>
      </c>
      <c r="I1878" s="8"/>
      <c r="J1878" s="6" t="s">
        <v>4038</v>
      </c>
      <c r="K1878" s="6" t="s">
        <v>721</v>
      </c>
      <c r="L1878" s="6" t="s">
        <v>4510</v>
      </c>
      <c r="M1878" s="6" t="s">
        <v>4511</v>
      </c>
      <c r="N1878" s="6" t="s">
        <v>721</v>
      </c>
      <c r="O1878" s="29">
        <f t="shared" si="40"/>
        <v>0</v>
      </c>
      <c r="Q1878" s="30" t="s">
        <v>721</v>
      </c>
      <c r="R1878" s="31">
        <v>0</v>
      </c>
    </row>
    <row r="1879" s="1" customFormat="1" ht="16.35" hidden="1" customHeight="1" spans="1:18">
      <c r="A1879" s="6" t="s">
        <v>4506</v>
      </c>
      <c r="B1879" s="6">
        <v>2019</v>
      </c>
      <c r="C1879" s="6">
        <v>12</v>
      </c>
      <c r="D1879" s="7">
        <v>100</v>
      </c>
      <c r="E1879" s="6" t="s">
        <v>4121</v>
      </c>
      <c r="F1879" s="6" t="s">
        <v>4508</v>
      </c>
      <c r="G1879" s="6" t="s">
        <v>25</v>
      </c>
      <c r="H1879" s="8">
        <v>198391</v>
      </c>
      <c r="I1879" s="8"/>
      <c r="J1879" s="6" t="s">
        <v>4044</v>
      </c>
      <c r="K1879" s="6" t="s">
        <v>723</v>
      </c>
      <c r="L1879" s="6" t="s">
        <v>4510</v>
      </c>
      <c r="M1879" s="6" t="s">
        <v>4511</v>
      </c>
      <c r="N1879" s="6" t="s">
        <v>723</v>
      </c>
      <c r="O1879" s="29">
        <f t="shared" si="40"/>
        <v>0</v>
      </c>
      <c r="Q1879" s="30" t="s">
        <v>723</v>
      </c>
      <c r="R1879" s="31">
        <v>0</v>
      </c>
    </row>
    <row r="1880" s="1" customFormat="1" ht="16.35" hidden="1" customHeight="1" spans="1:18">
      <c r="A1880" s="6" t="s">
        <v>4506</v>
      </c>
      <c r="B1880" s="6">
        <v>2019</v>
      </c>
      <c r="C1880" s="6">
        <v>12</v>
      </c>
      <c r="D1880" s="7">
        <v>100</v>
      </c>
      <c r="E1880" s="6" t="s">
        <v>4121</v>
      </c>
      <c r="F1880" s="6" t="s">
        <v>4508</v>
      </c>
      <c r="G1880" s="6" t="s">
        <v>25</v>
      </c>
      <c r="H1880" s="8">
        <v>119148</v>
      </c>
      <c r="I1880" s="8"/>
      <c r="J1880" s="6" t="s">
        <v>3999</v>
      </c>
      <c r="K1880" s="6" t="s">
        <v>899</v>
      </c>
      <c r="L1880" s="6" t="s">
        <v>4510</v>
      </c>
      <c r="M1880" s="6" t="s">
        <v>4511</v>
      </c>
      <c r="N1880" s="6" t="s">
        <v>899</v>
      </c>
      <c r="O1880" s="29">
        <f t="shared" si="40"/>
        <v>0</v>
      </c>
      <c r="Q1880" s="30" t="s">
        <v>899</v>
      </c>
      <c r="R1880" s="31">
        <v>0</v>
      </c>
    </row>
    <row r="1881" s="1" customFormat="1" ht="16.35" hidden="1" customHeight="1" spans="1:18">
      <c r="A1881" s="6" t="s">
        <v>4506</v>
      </c>
      <c r="B1881" s="6">
        <v>2019</v>
      </c>
      <c r="C1881" s="6">
        <v>12</v>
      </c>
      <c r="D1881" s="7">
        <v>100</v>
      </c>
      <c r="E1881" s="6" t="s">
        <v>4121</v>
      </c>
      <c r="F1881" s="6" t="s">
        <v>4508</v>
      </c>
      <c r="G1881" s="6" t="s">
        <v>25</v>
      </c>
      <c r="H1881" s="8">
        <v>762</v>
      </c>
      <c r="I1881" s="8"/>
      <c r="J1881" s="6" t="s">
        <v>4046</v>
      </c>
      <c r="K1881" s="6" t="s">
        <v>892</v>
      </c>
      <c r="L1881" s="6" t="s">
        <v>4510</v>
      </c>
      <c r="M1881" s="6" t="s">
        <v>4511</v>
      </c>
      <c r="N1881" s="6" t="s">
        <v>892</v>
      </c>
      <c r="O1881" s="29">
        <f t="shared" ref="O1881:O1896" si="41">I1881*1.05</f>
        <v>0</v>
      </c>
      <c r="Q1881" s="30" t="s">
        <v>892</v>
      </c>
      <c r="R1881" s="31">
        <v>0</v>
      </c>
    </row>
    <row r="1882" s="1" customFormat="1" ht="16.35" hidden="1" customHeight="1" spans="1:18">
      <c r="A1882" s="6" t="s">
        <v>4506</v>
      </c>
      <c r="B1882" s="6">
        <v>2019</v>
      </c>
      <c r="C1882" s="6">
        <v>12</v>
      </c>
      <c r="D1882" s="7">
        <v>100</v>
      </c>
      <c r="E1882" s="6" t="s">
        <v>4121</v>
      </c>
      <c r="F1882" s="6" t="s">
        <v>4508</v>
      </c>
      <c r="G1882" s="6" t="s">
        <v>25</v>
      </c>
      <c r="H1882" s="8">
        <v>197676</v>
      </c>
      <c r="I1882" s="8"/>
      <c r="J1882" s="6" t="s">
        <v>4058</v>
      </c>
      <c r="K1882" s="6" t="s">
        <v>740</v>
      </c>
      <c r="L1882" s="6" t="s">
        <v>4510</v>
      </c>
      <c r="M1882" s="6" t="s">
        <v>4511</v>
      </c>
      <c r="N1882" s="6" t="s">
        <v>740</v>
      </c>
      <c r="O1882" s="29">
        <f t="shared" si="41"/>
        <v>0</v>
      </c>
      <c r="Q1882" s="30" t="s">
        <v>740</v>
      </c>
      <c r="R1882" s="31">
        <v>0</v>
      </c>
    </row>
    <row r="1883" s="1" customFormat="1" ht="16.35" hidden="1" customHeight="1" spans="1:18">
      <c r="A1883" s="6" t="s">
        <v>4506</v>
      </c>
      <c r="B1883" s="6">
        <v>2019</v>
      </c>
      <c r="C1883" s="6">
        <v>12</v>
      </c>
      <c r="D1883" s="7">
        <v>100</v>
      </c>
      <c r="E1883" s="6" t="s">
        <v>4121</v>
      </c>
      <c r="F1883" s="6" t="s">
        <v>4508</v>
      </c>
      <c r="G1883" s="6" t="s">
        <v>25</v>
      </c>
      <c r="H1883" s="8">
        <v>200535</v>
      </c>
      <c r="I1883" s="8"/>
      <c r="J1883" s="6" t="s">
        <v>4062</v>
      </c>
      <c r="K1883" s="6" t="s">
        <v>731</v>
      </c>
      <c r="L1883" s="6" t="s">
        <v>4510</v>
      </c>
      <c r="M1883" s="6" t="s">
        <v>4511</v>
      </c>
      <c r="N1883" s="6" t="s">
        <v>731</v>
      </c>
      <c r="O1883" s="29">
        <f t="shared" si="41"/>
        <v>0</v>
      </c>
      <c r="Q1883" s="30" t="s">
        <v>731</v>
      </c>
      <c r="R1883" s="31">
        <v>0</v>
      </c>
    </row>
    <row r="1884" s="1" customFormat="1" ht="16.35" hidden="1" customHeight="1" spans="1:18">
      <c r="A1884" s="6" t="s">
        <v>4506</v>
      </c>
      <c r="B1884" s="6">
        <v>2019</v>
      </c>
      <c r="C1884" s="6">
        <v>12</v>
      </c>
      <c r="D1884" s="7">
        <v>100</v>
      </c>
      <c r="E1884" s="6" t="s">
        <v>4121</v>
      </c>
      <c r="F1884" s="6" t="s">
        <v>4508</v>
      </c>
      <c r="G1884" s="6" t="s">
        <v>25</v>
      </c>
      <c r="H1884" s="8">
        <v>196062</v>
      </c>
      <c r="I1884" s="8"/>
      <c r="J1884" s="6" t="s">
        <v>4066</v>
      </c>
      <c r="K1884" s="6" t="s">
        <v>713</v>
      </c>
      <c r="L1884" s="6" t="s">
        <v>4510</v>
      </c>
      <c r="M1884" s="6" t="s">
        <v>4511</v>
      </c>
      <c r="N1884" s="6" t="s">
        <v>713</v>
      </c>
      <c r="O1884" s="29">
        <f t="shared" si="41"/>
        <v>0</v>
      </c>
      <c r="Q1884" s="30" t="s">
        <v>713</v>
      </c>
      <c r="R1884" s="31">
        <v>0</v>
      </c>
    </row>
    <row r="1885" s="1" customFormat="1" ht="16.35" hidden="1" customHeight="1" spans="1:18">
      <c r="A1885" s="6" t="s">
        <v>4506</v>
      </c>
      <c r="B1885" s="6">
        <v>2019</v>
      </c>
      <c r="C1885" s="6">
        <v>12</v>
      </c>
      <c r="D1885" s="7">
        <v>100</v>
      </c>
      <c r="E1885" s="6" t="s">
        <v>4121</v>
      </c>
      <c r="F1885" s="6" t="s">
        <v>4508</v>
      </c>
      <c r="G1885" s="6" t="s">
        <v>25</v>
      </c>
      <c r="H1885" s="8">
        <v>195064</v>
      </c>
      <c r="I1885" s="8"/>
      <c r="J1885" s="6" t="s">
        <v>4068</v>
      </c>
      <c r="K1885" s="6" t="s">
        <v>746</v>
      </c>
      <c r="L1885" s="6" t="s">
        <v>4510</v>
      </c>
      <c r="M1885" s="6" t="s">
        <v>4511</v>
      </c>
      <c r="N1885" s="6" t="s">
        <v>746</v>
      </c>
      <c r="O1885" s="29">
        <f t="shared" si="41"/>
        <v>0</v>
      </c>
      <c r="Q1885" s="30" t="s">
        <v>746</v>
      </c>
      <c r="R1885" s="31">
        <v>0</v>
      </c>
    </row>
    <row r="1886" s="1" customFormat="1" ht="16.35" hidden="1" customHeight="1" spans="1:18">
      <c r="A1886" s="6" t="s">
        <v>4506</v>
      </c>
      <c r="B1886" s="6">
        <v>2019</v>
      </c>
      <c r="C1886" s="6">
        <v>12</v>
      </c>
      <c r="D1886" s="7">
        <v>100</v>
      </c>
      <c r="E1886" s="6" t="s">
        <v>4121</v>
      </c>
      <c r="F1886" s="6" t="s">
        <v>4508</v>
      </c>
      <c r="G1886" s="6" t="s">
        <v>25</v>
      </c>
      <c r="H1886" s="8">
        <v>196489</v>
      </c>
      <c r="I1886" s="8"/>
      <c r="J1886" s="6" t="s">
        <v>4071</v>
      </c>
      <c r="K1886" s="6" t="s">
        <v>754</v>
      </c>
      <c r="L1886" s="6" t="s">
        <v>4510</v>
      </c>
      <c r="M1886" s="6" t="s">
        <v>4511</v>
      </c>
      <c r="N1886" s="6" t="s">
        <v>754</v>
      </c>
      <c r="O1886" s="29">
        <f t="shared" si="41"/>
        <v>0</v>
      </c>
      <c r="Q1886" s="30" t="s">
        <v>754</v>
      </c>
      <c r="R1886" s="31">
        <v>0</v>
      </c>
    </row>
    <row r="1887" s="1" customFormat="1" ht="16.35" hidden="1" customHeight="1" spans="1:18">
      <c r="A1887" s="6" t="s">
        <v>4506</v>
      </c>
      <c r="B1887" s="6">
        <v>2019</v>
      </c>
      <c r="C1887" s="6">
        <v>12</v>
      </c>
      <c r="D1887" s="7">
        <v>100</v>
      </c>
      <c r="E1887" s="6" t="s">
        <v>4121</v>
      </c>
      <c r="F1887" s="6" t="s">
        <v>4508</v>
      </c>
      <c r="G1887" s="6" t="s">
        <v>25</v>
      </c>
      <c r="H1887" s="8">
        <v>193160</v>
      </c>
      <c r="I1887" s="8"/>
      <c r="J1887" s="6" t="s">
        <v>4073</v>
      </c>
      <c r="K1887" s="6" t="s">
        <v>737</v>
      </c>
      <c r="L1887" s="6" t="s">
        <v>4510</v>
      </c>
      <c r="M1887" s="6" t="s">
        <v>4511</v>
      </c>
      <c r="N1887" s="6" t="s">
        <v>737</v>
      </c>
      <c r="O1887" s="29">
        <f t="shared" si="41"/>
        <v>0</v>
      </c>
      <c r="Q1887" s="30" t="s">
        <v>737</v>
      </c>
      <c r="R1887" s="31">
        <v>0</v>
      </c>
    </row>
    <row r="1888" s="1" customFormat="1" ht="16.35" hidden="1" customHeight="1" spans="1:19">
      <c r="A1888" s="6" t="s">
        <v>4506</v>
      </c>
      <c r="B1888" s="6">
        <v>2019</v>
      </c>
      <c r="C1888" s="6">
        <v>12</v>
      </c>
      <c r="D1888" s="7">
        <v>100</v>
      </c>
      <c r="E1888" s="6" t="s">
        <v>4121</v>
      </c>
      <c r="F1888" s="6" t="s">
        <v>4508</v>
      </c>
      <c r="G1888" s="6" t="s">
        <v>25</v>
      </c>
      <c r="H1888" s="8">
        <v>727448</v>
      </c>
      <c r="I1888" s="8"/>
      <c r="J1888" s="6" t="s">
        <v>4094</v>
      </c>
      <c r="K1888" s="6" t="s">
        <v>5079</v>
      </c>
      <c r="L1888" s="6" t="s">
        <v>4510</v>
      </c>
      <c r="M1888" s="6" t="s">
        <v>4511</v>
      </c>
      <c r="N1888" s="6" t="s">
        <v>5079</v>
      </c>
      <c r="O1888" s="29">
        <f t="shared" si="41"/>
        <v>0</v>
      </c>
      <c r="Q1888" s="30" t="s">
        <v>5079</v>
      </c>
      <c r="R1888" s="31">
        <v>0</v>
      </c>
      <c r="S1888" s="1">
        <f>R1888-I1888</f>
        <v>0</v>
      </c>
    </row>
    <row r="1889" s="1" customFormat="1" ht="16.35" hidden="1" customHeight="1" spans="1:18">
      <c r="A1889" s="6" t="s">
        <v>4506</v>
      </c>
      <c r="B1889" s="6">
        <v>2019</v>
      </c>
      <c r="C1889" s="6">
        <v>12</v>
      </c>
      <c r="D1889" s="7">
        <v>100</v>
      </c>
      <c r="E1889" s="6" t="s">
        <v>4121</v>
      </c>
      <c r="F1889" s="6" t="s">
        <v>4508</v>
      </c>
      <c r="G1889" s="6" t="s">
        <v>25</v>
      </c>
      <c r="H1889" s="8">
        <v>285714</v>
      </c>
      <c r="I1889" s="8"/>
      <c r="J1889" s="6" t="s">
        <v>5033</v>
      </c>
      <c r="K1889" s="6" t="s">
        <v>5034</v>
      </c>
      <c r="L1889" s="6" t="s">
        <v>4510</v>
      </c>
      <c r="M1889" s="6" t="s">
        <v>4511</v>
      </c>
      <c r="N1889" s="6" t="s">
        <v>5034</v>
      </c>
      <c r="O1889" s="29">
        <f t="shared" si="41"/>
        <v>0</v>
      </c>
      <c r="Q1889" s="30" t="s">
        <v>5034</v>
      </c>
      <c r="R1889" s="31">
        <v>0</v>
      </c>
    </row>
    <row r="1890" s="1" customFormat="1" ht="16.35" hidden="1" customHeight="1" spans="1:18">
      <c r="A1890" s="6" t="s">
        <v>4506</v>
      </c>
      <c r="B1890" s="6">
        <v>2019</v>
      </c>
      <c r="C1890" s="6">
        <v>12</v>
      </c>
      <c r="D1890" s="7">
        <v>100</v>
      </c>
      <c r="E1890" s="6" t="s">
        <v>4121</v>
      </c>
      <c r="F1890" s="6" t="s">
        <v>4508</v>
      </c>
      <c r="G1890" s="6" t="s">
        <v>25</v>
      </c>
      <c r="H1890" s="8">
        <v>79838</v>
      </c>
      <c r="I1890" s="8"/>
      <c r="J1890" s="6" t="s">
        <v>5121</v>
      </c>
      <c r="K1890" s="6" t="s">
        <v>681</v>
      </c>
      <c r="L1890" s="6" t="s">
        <v>4510</v>
      </c>
      <c r="M1890" s="6" t="s">
        <v>4511</v>
      </c>
      <c r="N1890" s="6" t="s">
        <v>681</v>
      </c>
      <c r="O1890" s="29">
        <f t="shared" si="41"/>
        <v>0</v>
      </c>
      <c r="Q1890" s="30" t="s">
        <v>681</v>
      </c>
      <c r="R1890" s="31">
        <v>0</v>
      </c>
    </row>
    <row r="1891" s="1" customFormat="1" ht="16.35" hidden="1" customHeight="1" spans="1:18">
      <c r="A1891" s="6" t="s">
        <v>4506</v>
      </c>
      <c r="B1891" s="6">
        <v>2019</v>
      </c>
      <c r="C1891" s="6">
        <v>12</v>
      </c>
      <c r="D1891" s="7">
        <v>100</v>
      </c>
      <c r="E1891" s="6" t="s">
        <v>4121</v>
      </c>
      <c r="F1891" s="6" t="s">
        <v>4508</v>
      </c>
      <c r="G1891" s="6" t="s">
        <v>25</v>
      </c>
      <c r="H1891" s="8">
        <v>899778</v>
      </c>
      <c r="I1891" s="8"/>
      <c r="J1891" s="6" t="s">
        <v>5181</v>
      </c>
      <c r="K1891" s="6" t="s">
        <v>672</v>
      </c>
      <c r="L1891" s="6" t="s">
        <v>4510</v>
      </c>
      <c r="M1891" s="6" t="s">
        <v>4511</v>
      </c>
      <c r="N1891" s="6" t="s">
        <v>672</v>
      </c>
      <c r="O1891" s="29">
        <f t="shared" si="41"/>
        <v>0</v>
      </c>
      <c r="Q1891" s="30" t="s">
        <v>672</v>
      </c>
      <c r="R1891" s="31">
        <v>0</v>
      </c>
    </row>
    <row r="1892" s="1" customFormat="1" ht="16.35" hidden="1" customHeight="1" spans="1:18">
      <c r="A1892" s="6" t="s">
        <v>4506</v>
      </c>
      <c r="B1892" s="6">
        <v>2019</v>
      </c>
      <c r="C1892" s="6">
        <v>12</v>
      </c>
      <c r="D1892" s="7">
        <v>100</v>
      </c>
      <c r="E1892" s="6" t="s">
        <v>4121</v>
      </c>
      <c r="F1892" s="6" t="s">
        <v>4508</v>
      </c>
      <c r="G1892" s="6" t="s">
        <v>25</v>
      </c>
      <c r="H1892" s="8">
        <v>9524</v>
      </c>
      <c r="I1892" s="8"/>
      <c r="J1892" s="6" t="s">
        <v>5229</v>
      </c>
      <c r="K1892" s="6" t="s">
        <v>5230</v>
      </c>
      <c r="L1892" s="6" t="s">
        <v>4510</v>
      </c>
      <c r="M1892" s="6" t="s">
        <v>4511</v>
      </c>
      <c r="N1892" s="6" t="s">
        <v>5230</v>
      </c>
      <c r="O1892" s="29">
        <f t="shared" si="41"/>
        <v>0</v>
      </c>
      <c r="Q1892" s="30" t="s">
        <v>5230</v>
      </c>
      <c r="R1892" s="31">
        <v>0</v>
      </c>
    </row>
    <row r="1893" s="1" customFormat="1" ht="16.35" hidden="1" customHeight="1" spans="1:18">
      <c r="A1893" s="6" t="s">
        <v>4506</v>
      </c>
      <c r="B1893" s="6">
        <v>2019</v>
      </c>
      <c r="C1893" s="6">
        <v>12</v>
      </c>
      <c r="D1893" s="7">
        <v>100</v>
      </c>
      <c r="E1893" s="6" t="s">
        <v>4121</v>
      </c>
      <c r="F1893" s="6" t="s">
        <v>4508</v>
      </c>
      <c r="G1893" s="6" t="s">
        <v>25</v>
      </c>
      <c r="H1893" s="8">
        <v>542857.14</v>
      </c>
      <c r="I1893" s="8"/>
      <c r="J1893" s="6" t="s">
        <v>5070</v>
      </c>
      <c r="K1893" s="6" t="s">
        <v>5071</v>
      </c>
      <c r="L1893" s="6" t="s">
        <v>4510</v>
      </c>
      <c r="M1893" s="6" t="s">
        <v>4511</v>
      </c>
      <c r="N1893" s="6" t="s">
        <v>5071</v>
      </c>
      <c r="O1893" s="29">
        <f t="shared" si="41"/>
        <v>0</v>
      </c>
      <c r="Q1893" s="30" t="s">
        <v>5071</v>
      </c>
      <c r="R1893" s="31">
        <v>0</v>
      </c>
    </row>
    <row r="1894" s="1" customFormat="1" ht="16.35" hidden="1" customHeight="1" spans="1:18">
      <c r="A1894" s="6" t="s">
        <v>4506</v>
      </c>
      <c r="B1894" s="6">
        <v>2019</v>
      </c>
      <c r="C1894" s="6">
        <v>12</v>
      </c>
      <c r="D1894" s="7">
        <v>100</v>
      </c>
      <c r="E1894" s="6" t="s">
        <v>4121</v>
      </c>
      <c r="F1894" s="6" t="s">
        <v>4508</v>
      </c>
      <c r="G1894" s="6" t="s">
        <v>25</v>
      </c>
      <c r="H1894" s="8">
        <v>809523</v>
      </c>
      <c r="I1894" s="8"/>
      <c r="J1894" s="6" t="s">
        <v>5417</v>
      </c>
      <c r="K1894" s="6" t="s">
        <v>676</v>
      </c>
      <c r="L1894" s="6" t="s">
        <v>4510</v>
      </c>
      <c r="M1894" s="6" t="s">
        <v>4511</v>
      </c>
      <c r="N1894" s="6" t="s">
        <v>676</v>
      </c>
      <c r="O1894" s="29">
        <f t="shared" si="41"/>
        <v>0</v>
      </c>
      <c r="Q1894" s="30" t="s">
        <v>676</v>
      </c>
      <c r="R1894" s="31">
        <v>0</v>
      </c>
    </row>
    <row r="1895" s="1" customFormat="1" ht="16.35" hidden="1" customHeight="1" spans="1:18">
      <c r="A1895" s="6" t="s">
        <v>4506</v>
      </c>
      <c r="B1895" s="6">
        <v>2019</v>
      </c>
      <c r="C1895" s="6">
        <v>12</v>
      </c>
      <c r="D1895" s="7">
        <v>100</v>
      </c>
      <c r="E1895" s="6" t="s">
        <v>4121</v>
      </c>
      <c r="F1895" s="6" t="s">
        <v>4508</v>
      </c>
      <c r="G1895" s="6" t="s">
        <v>25</v>
      </c>
      <c r="H1895" s="8">
        <v>292741</v>
      </c>
      <c r="I1895" s="8"/>
      <c r="J1895" s="6" t="s">
        <v>5419</v>
      </c>
      <c r="K1895" s="6" t="s">
        <v>767</v>
      </c>
      <c r="L1895" s="6" t="s">
        <v>4510</v>
      </c>
      <c r="M1895" s="6" t="s">
        <v>4511</v>
      </c>
      <c r="N1895" s="6" t="s">
        <v>767</v>
      </c>
      <c r="O1895" s="29">
        <f t="shared" si="41"/>
        <v>0</v>
      </c>
      <c r="Q1895" s="30" t="s">
        <v>767</v>
      </c>
      <c r="R1895" s="31">
        <v>0</v>
      </c>
    </row>
    <row r="1896" s="1" customFormat="1" ht="16.35" hidden="1" customHeight="1" spans="1:18">
      <c r="A1896" s="6" t="s">
        <v>4506</v>
      </c>
      <c r="B1896" s="6">
        <v>2019</v>
      </c>
      <c r="C1896" s="6">
        <v>12</v>
      </c>
      <c r="D1896" s="7">
        <v>100</v>
      </c>
      <c r="E1896" s="6" t="s">
        <v>4121</v>
      </c>
      <c r="F1896" s="6" t="s">
        <v>4508</v>
      </c>
      <c r="G1896" s="6" t="s">
        <v>25</v>
      </c>
      <c r="H1896" s="8">
        <v>190476</v>
      </c>
      <c r="I1896" s="8"/>
      <c r="J1896" s="6" t="s">
        <v>5321</v>
      </c>
      <c r="K1896" s="6" t="s">
        <v>5322</v>
      </c>
      <c r="L1896" s="6" t="s">
        <v>4510</v>
      </c>
      <c r="M1896" s="6" t="s">
        <v>4511</v>
      </c>
      <c r="N1896" s="6" t="s">
        <v>5322</v>
      </c>
      <c r="O1896" s="29">
        <f t="shared" si="41"/>
        <v>0</v>
      </c>
      <c r="Q1896" s="30" t="s">
        <v>5322</v>
      </c>
      <c r="R1896" s="31">
        <v>0</v>
      </c>
    </row>
    <row r="1897" s="1" customFormat="1" ht="16.35" hidden="1" customHeight="1" spans="1:18">
      <c r="A1897" s="6"/>
      <c r="B1897" s="6" t="s">
        <v>4123</v>
      </c>
      <c r="C1897" s="6" t="s">
        <v>4124</v>
      </c>
      <c r="D1897" s="7">
        <v>25</v>
      </c>
      <c r="E1897" s="6" t="s">
        <v>5630</v>
      </c>
      <c r="F1897" s="6" t="s">
        <v>5631</v>
      </c>
      <c r="G1897" s="6" t="s">
        <v>5632</v>
      </c>
      <c r="H1897" s="8"/>
      <c r="I1897" s="8">
        <v>30382</v>
      </c>
      <c r="J1897" s="6"/>
      <c r="K1897" s="6" t="s">
        <v>2184</v>
      </c>
      <c r="L1897" s="6"/>
      <c r="M1897" s="6"/>
      <c r="N1897" s="6" t="s">
        <v>2184</v>
      </c>
      <c r="O1897" s="29">
        <f>I1897</f>
        <v>30382</v>
      </c>
      <c r="Q1897" s="30" t="s">
        <v>2184</v>
      </c>
      <c r="R1897" s="31">
        <v>30382</v>
      </c>
    </row>
    <row r="1898" s="1" customFormat="1" ht="16.35" hidden="1" customHeight="1" spans="1:19">
      <c r="A1898" s="6"/>
      <c r="B1898" s="6" t="s">
        <v>4123</v>
      </c>
      <c r="C1898" s="6" t="s">
        <v>4124</v>
      </c>
      <c r="D1898" s="7">
        <v>4</v>
      </c>
      <c r="E1898" s="6" t="s">
        <v>5633</v>
      </c>
      <c r="F1898" s="6" t="s">
        <v>5631</v>
      </c>
      <c r="G1898" s="6" t="s">
        <v>5632</v>
      </c>
      <c r="H1898" s="8"/>
      <c r="I1898" s="8">
        <v>900000</v>
      </c>
      <c r="J1898" s="6"/>
      <c r="K1898" s="6" t="s">
        <v>5079</v>
      </c>
      <c r="L1898" s="6"/>
      <c r="M1898" s="6"/>
      <c r="N1898" s="6" t="s">
        <v>5079</v>
      </c>
      <c r="O1898" s="29">
        <f>I1898</f>
        <v>900000</v>
      </c>
      <c r="Q1898" s="30" t="s">
        <v>5079</v>
      </c>
      <c r="R1898" s="31">
        <v>900000</v>
      </c>
      <c r="S1898" s="1">
        <f>R1898-I1898</f>
        <v>0</v>
      </c>
    </row>
    <row r="1899" s="1" customFormat="1" ht="16.35" hidden="1" customHeight="1" spans="1:18">
      <c r="A1899" s="6"/>
      <c r="B1899" s="6" t="s">
        <v>4123</v>
      </c>
      <c r="C1899" s="6" t="s">
        <v>4124</v>
      </c>
      <c r="D1899" s="7">
        <v>18</v>
      </c>
      <c r="E1899" s="6" t="s">
        <v>5634</v>
      </c>
      <c r="F1899" s="6" t="s">
        <v>5631</v>
      </c>
      <c r="G1899" s="6" t="s">
        <v>5632</v>
      </c>
      <c r="H1899" s="8"/>
      <c r="I1899" s="8">
        <v>1000</v>
      </c>
      <c r="J1899" s="6"/>
      <c r="K1899" s="6" t="s">
        <v>2091</v>
      </c>
      <c r="L1899" s="6"/>
      <c r="M1899" s="6"/>
      <c r="N1899" s="6" t="s">
        <v>2091</v>
      </c>
      <c r="O1899" s="29">
        <f t="shared" ref="O1899:O1939" si="42">I1899</f>
        <v>1000</v>
      </c>
      <c r="Q1899" s="30" t="s">
        <v>2091</v>
      </c>
      <c r="R1899" s="31">
        <v>1000</v>
      </c>
    </row>
    <row r="1900" s="1" customFormat="1" ht="16.35" hidden="1" customHeight="1" spans="1:18">
      <c r="A1900" s="6"/>
      <c r="B1900" s="6" t="s">
        <v>4123</v>
      </c>
      <c r="C1900" s="6" t="s">
        <v>4124</v>
      </c>
      <c r="D1900" s="7">
        <v>7</v>
      </c>
      <c r="E1900" s="6" t="s">
        <v>5635</v>
      </c>
      <c r="F1900" s="6" t="s">
        <v>5631</v>
      </c>
      <c r="G1900" s="6" t="s">
        <v>5632</v>
      </c>
      <c r="H1900" s="8"/>
      <c r="I1900" s="8">
        <v>69800</v>
      </c>
      <c r="J1900" s="6"/>
      <c r="K1900" s="6" t="s">
        <v>2115</v>
      </c>
      <c r="L1900" s="6"/>
      <c r="M1900" s="6"/>
      <c r="N1900" s="6" t="s">
        <v>2115</v>
      </c>
      <c r="O1900" s="29">
        <f t="shared" si="42"/>
        <v>69800</v>
      </c>
      <c r="Q1900" s="30" t="s">
        <v>2115</v>
      </c>
      <c r="R1900" s="31">
        <v>69800</v>
      </c>
    </row>
    <row r="1901" s="1" customFormat="1" ht="16.35" hidden="1" customHeight="1" spans="1:18">
      <c r="A1901" s="6"/>
      <c r="B1901" s="6" t="s">
        <v>4123</v>
      </c>
      <c r="C1901" s="6" t="s">
        <v>4124</v>
      </c>
      <c r="D1901" s="7">
        <v>13</v>
      </c>
      <c r="E1901" s="6" t="s">
        <v>5636</v>
      </c>
      <c r="F1901" s="6" t="s">
        <v>5631</v>
      </c>
      <c r="G1901" s="6" t="s">
        <v>5632</v>
      </c>
      <c r="H1901" s="8"/>
      <c r="I1901" s="8">
        <v>50000</v>
      </c>
      <c r="J1901" s="6"/>
      <c r="K1901" s="6" t="s">
        <v>2265</v>
      </c>
      <c r="L1901" s="6"/>
      <c r="M1901" s="6"/>
      <c r="N1901" s="6" t="s">
        <v>2265</v>
      </c>
      <c r="O1901" s="29">
        <f t="shared" si="42"/>
        <v>50000</v>
      </c>
      <c r="Q1901" s="30" t="s">
        <v>2265</v>
      </c>
      <c r="R1901" s="31">
        <v>50000</v>
      </c>
    </row>
    <row r="1902" s="1" customFormat="1" ht="16.35" hidden="1" customHeight="1" spans="1:18">
      <c r="A1902" s="6"/>
      <c r="B1902" s="6" t="s">
        <v>4123</v>
      </c>
      <c r="C1902" s="6" t="s">
        <v>4124</v>
      </c>
      <c r="D1902" s="7">
        <v>21</v>
      </c>
      <c r="E1902" s="6" t="s">
        <v>5636</v>
      </c>
      <c r="F1902" s="6" t="s">
        <v>5631</v>
      </c>
      <c r="G1902" s="6" t="s">
        <v>5632</v>
      </c>
      <c r="H1902" s="8"/>
      <c r="I1902" s="8">
        <v>12644</v>
      </c>
      <c r="J1902" s="6"/>
      <c r="K1902" s="6" t="s">
        <v>2265</v>
      </c>
      <c r="L1902" s="6"/>
      <c r="M1902" s="6"/>
      <c r="N1902" s="6" t="s">
        <v>2265</v>
      </c>
      <c r="O1902" s="29">
        <f t="shared" si="42"/>
        <v>12644</v>
      </c>
      <c r="Q1902" s="30" t="s">
        <v>2265</v>
      </c>
      <c r="R1902" s="31">
        <v>12644</v>
      </c>
    </row>
    <row r="1903" s="1" customFormat="1" ht="16.35" hidden="1" customHeight="1" spans="1:18">
      <c r="A1903" s="6"/>
      <c r="B1903" s="6" t="s">
        <v>4123</v>
      </c>
      <c r="C1903" s="6" t="s">
        <v>4124</v>
      </c>
      <c r="D1903" s="7">
        <v>20</v>
      </c>
      <c r="E1903" s="6" t="s">
        <v>5637</v>
      </c>
      <c r="F1903" s="6" t="s">
        <v>5631</v>
      </c>
      <c r="G1903" s="6" t="s">
        <v>5632</v>
      </c>
      <c r="H1903" s="8"/>
      <c r="I1903" s="8">
        <v>151520</v>
      </c>
      <c r="J1903" s="6"/>
      <c r="K1903" s="6" t="s">
        <v>2312</v>
      </c>
      <c r="L1903" s="6"/>
      <c r="M1903" s="6"/>
      <c r="N1903" s="6" t="s">
        <v>2312</v>
      </c>
      <c r="O1903" s="29">
        <f t="shared" si="42"/>
        <v>151520</v>
      </c>
      <c r="Q1903" s="30" t="s">
        <v>2312</v>
      </c>
      <c r="R1903" s="31">
        <v>151520</v>
      </c>
    </row>
    <row r="1904" s="1" customFormat="1" ht="16.35" hidden="1" customHeight="1" spans="1:18">
      <c r="A1904" s="6"/>
      <c r="B1904" s="6" t="s">
        <v>4123</v>
      </c>
      <c r="C1904" s="6" t="s">
        <v>4124</v>
      </c>
      <c r="D1904" s="7">
        <v>10</v>
      </c>
      <c r="E1904" s="6" t="s">
        <v>5638</v>
      </c>
      <c r="F1904" s="6" t="s">
        <v>5631</v>
      </c>
      <c r="G1904" s="6" t="s">
        <v>5632</v>
      </c>
      <c r="H1904" s="8"/>
      <c r="I1904" s="8">
        <v>30850</v>
      </c>
      <c r="J1904" s="6"/>
      <c r="K1904" s="6" t="s">
        <v>2000</v>
      </c>
      <c r="L1904" s="6"/>
      <c r="M1904" s="6"/>
      <c r="N1904" s="6" t="s">
        <v>2000</v>
      </c>
      <c r="O1904" s="29">
        <f t="shared" si="42"/>
        <v>30850</v>
      </c>
      <c r="Q1904" s="30" t="s">
        <v>2000</v>
      </c>
      <c r="R1904" s="31">
        <v>30850</v>
      </c>
    </row>
    <row r="1905" s="1" customFormat="1" ht="16.35" hidden="1" customHeight="1" spans="1:18">
      <c r="A1905" s="6"/>
      <c r="B1905" s="6" t="s">
        <v>4123</v>
      </c>
      <c r="C1905" s="6" t="s">
        <v>4124</v>
      </c>
      <c r="D1905" s="7">
        <v>14</v>
      </c>
      <c r="E1905" s="6" t="s">
        <v>5639</v>
      </c>
      <c r="F1905" s="6" t="s">
        <v>5631</v>
      </c>
      <c r="G1905" s="6" t="s">
        <v>5632</v>
      </c>
      <c r="H1905" s="8"/>
      <c r="I1905" s="8">
        <v>10000</v>
      </c>
      <c r="J1905" s="6"/>
      <c r="K1905" s="6" t="s">
        <v>2000</v>
      </c>
      <c r="L1905" s="6"/>
      <c r="M1905" s="6"/>
      <c r="N1905" s="6" t="s">
        <v>2000</v>
      </c>
      <c r="O1905" s="29">
        <f t="shared" si="42"/>
        <v>10000</v>
      </c>
      <c r="Q1905" s="30" t="s">
        <v>2000</v>
      </c>
      <c r="R1905" s="31">
        <v>10000</v>
      </c>
    </row>
    <row r="1906" s="1" customFormat="1" ht="16.35" hidden="1" customHeight="1" spans="1:18">
      <c r="A1906" s="6"/>
      <c r="B1906" s="6" t="s">
        <v>4123</v>
      </c>
      <c r="C1906" s="6" t="s">
        <v>4124</v>
      </c>
      <c r="D1906" s="7">
        <v>5</v>
      </c>
      <c r="E1906" s="6" t="s">
        <v>5640</v>
      </c>
      <c r="F1906" s="6" t="s">
        <v>5631</v>
      </c>
      <c r="G1906" s="6" t="s">
        <v>5632</v>
      </c>
      <c r="H1906" s="8"/>
      <c r="I1906" s="8">
        <v>17100</v>
      </c>
      <c r="J1906" s="6"/>
      <c r="K1906" s="6" t="s">
        <v>2031</v>
      </c>
      <c r="L1906" s="6"/>
      <c r="M1906" s="6"/>
      <c r="N1906" s="6" t="s">
        <v>2031</v>
      </c>
      <c r="O1906" s="29">
        <f t="shared" si="42"/>
        <v>17100</v>
      </c>
      <c r="Q1906" s="30" t="s">
        <v>2031</v>
      </c>
      <c r="R1906" s="31">
        <v>17100</v>
      </c>
    </row>
    <row r="1907" s="1" customFormat="1" ht="16.35" hidden="1" customHeight="1" spans="1:18">
      <c r="A1907" s="6"/>
      <c r="B1907" s="6" t="s">
        <v>4123</v>
      </c>
      <c r="C1907" s="6" t="s">
        <v>4124</v>
      </c>
      <c r="D1907" s="7">
        <v>6</v>
      </c>
      <c r="E1907" s="6" t="s">
        <v>5641</v>
      </c>
      <c r="F1907" s="6" t="s">
        <v>5631</v>
      </c>
      <c r="G1907" s="6" t="s">
        <v>5632</v>
      </c>
      <c r="H1907" s="8"/>
      <c r="I1907" s="8">
        <v>43000</v>
      </c>
      <c r="J1907" s="6"/>
      <c r="K1907" s="6" t="s">
        <v>2031</v>
      </c>
      <c r="L1907" s="6"/>
      <c r="M1907" s="6"/>
      <c r="N1907" s="6" t="s">
        <v>2031</v>
      </c>
      <c r="O1907" s="29">
        <f t="shared" si="42"/>
        <v>43000</v>
      </c>
      <c r="Q1907" s="30" t="s">
        <v>2031</v>
      </c>
      <c r="R1907" s="31">
        <v>43000</v>
      </c>
    </row>
    <row r="1908" s="1" customFormat="1" ht="16.35" hidden="1" customHeight="1" spans="1:18">
      <c r="A1908" s="6"/>
      <c r="B1908" s="6" t="s">
        <v>4123</v>
      </c>
      <c r="C1908" s="6" t="s">
        <v>4124</v>
      </c>
      <c r="D1908" s="7">
        <v>9</v>
      </c>
      <c r="E1908" s="6" t="s">
        <v>5642</v>
      </c>
      <c r="F1908" s="6" t="s">
        <v>5631</v>
      </c>
      <c r="G1908" s="6" t="s">
        <v>5632</v>
      </c>
      <c r="H1908" s="8"/>
      <c r="I1908" s="8">
        <v>52</v>
      </c>
      <c r="J1908" s="6"/>
      <c r="K1908" s="6" t="s">
        <v>2031</v>
      </c>
      <c r="L1908" s="6"/>
      <c r="M1908" s="6"/>
      <c r="N1908" s="6" t="s">
        <v>2031</v>
      </c>
      <c r="O1908" s="29">
        <f t="shared" si="42"/>
        <v>52</v>
      </c>
      <c r="Q1908" s="30" t="s">
        <v>2031</v>
      </c>
      <c r="R1908" s="31">
        <v>52</v>
      </c>
    </row>
    <row r="1909" s="1" customFormat="1" ht="16.35" hidden="1" customHeight="1" spans="1:18">
      <c r="A1909" s="6"/>
      <c r="B1909" s="6" t="s">
        <v>4123</v>
      </c>
      <c r="C1909" s="6" t="s">
        <v>4124</v>
      </c>
      <c r="D1909" s="7">
        <v>16</v>
      </c>
      <c r="E1909" s="6" t="s">
        <v>5643</v>
      </c>
      <c r="F1909" s="6" t="s">
        <v>5631</v>
      </c>
      <c r="G1909" s="6" t="s">
        <v>5632</v>
      </c>
      <c r="H1909" s="8"/>
      <c r="I1909" s="8">
        <v>136932</v>
      </c>
      <c r="J1909" s="6"/>
      <c r="K1909" s="6" t="s">
        <v>2760</v>
      </c>
      <c r="L1909" s="6"/>
      <c r="M1909" s="6"/>
      <c r="N1909" s="6" t="s">
        <v>2760</v>
      </c>
      <c r="O1909" s="29">
        <f t="shared" si="42"/>
        <v>136932</v>
      </c>
      <c r="Q1909" s="30" t="s">
        <v>2760</v>
      </c>
      <c r="R1909" s="31">
        <v>136932</v>
      </c>
    </row>
    <row r="1910" s="1" customFormat="1" ht="16.35" hidden="1" customHeight="1" spans="1:18">
      <c r="A1910" s="6"/>
      <c r="B1910" s="6" t="s">
        <v>4123</v>
      </c>
      <c r="C1910" s="6" t="s">
        <v>4124</v>
      </c>
      <c r="D1910" s="7">
        <v>12</v>
      </c>
      <c r="E1910" s="6" t="s">
        <v>5644</v>
      </c>
      <c r="F1910" s="6" t="s">
        <v>5631</v>
      </c>
      <c r="G1910" s="6" t="s">
        <v>5632</v>
      </c>
      <c r="H1910" s="8"/>
      <c r="I1910" s="8">
        <v>107990</v>
      </c>
      <c r="J1910" s="6"/>
      <c r="K1910" s="6" t="s">
        <v>2043</v>
      </c>
      <c r="L1910" s="6"/>
      <c r="M1910" s="6"/>
      <c r="N1910" s="6" t="s">
        <v>2043</v>
      </c>
      <c r="O1910" s="29">
        <f t="shared" si="42"/>
        <v>107990</v>
      </c>
      <c r="Q1910" s="30" t="s">
        <v>2043</v>
      </c>
      <c r="R1910" s="31">
        <v>107990</v>
      </c>
    </row>
    <row r="1911" s="1" customFormat="1" ht="16.35" hidden="1" customHeight="1" spans="1:18">
      <c r="A1911" s="6"/>
      <c r="B1911" s="6" t="s">
        <v>4123</v>
      </c>
      <c r="C1911" s="6" t="s">
        <v>4124</v>
      </c>
      <c r="D1911" s="7">
        <v>19</v>
      </c>
      <c r="E1911" s="6" t="s">
        <v>5645</v>
      </c>
      <c r="F1911" s="6" t="s">
        <v>5631</v>
      </c>
      <c r="G1911" s="6" t="s">
        <v>5632</v>
      </c>
      <c r="H1911" s="8"/>
      <c r="I1911" s="8">
        <v>2000</v>
      </c>
      <c r="J1911" s="6"/>
      <c r="K1911" s="6" t="s">
        <v>2239</v>
      </c>
      <c r="L1911" s="6"/>
      <c r="M1911" s="6"/>
      <c r="N1911" s="6" t="s">
        <v>2239</v>
      </c>
      <c r="O1911" s="29">
        <f t="shared" si="42"/>
        <v>2000</v>
      </c>
      <c r="Q1911" s="30" t="s">
        <v>2239</v>
      </c>
      <c r="R1911" s="31">
        <v>2000</v>
      </c>
    </row>
    <row r="1912" s="1" customFormat="1" ht="16.35" hidden="1" customHeight="1" spans="1:18">
      <c r="A1912" s="6"/>
      <c r="B1912" s="6" t="s">
        <v>4123</v>
      </c>
      <c r="C1912" s="6" t="s">
        <v>4124</v>
      </c>
      <c r="D1912" s="7">
        <v>23</v>
      </c>
      <c r="E1912" s="6" t="s">
        <v>5646</v>
      </c>
      <c r="F1912" s="6" t="s">
        <v>5631</v>
      </c>
      <c r="G1912" s="6" t="s">
        <v>5632</v>
      </c>
      <c r="H1912" s="8"/>
      <c r="I1912" s="8">
        <v>52644</v>
      </c>
      <c r="J1912" s="6"/>
      <c r="K1912" s="6" t="s">
        <v>2204</v>
      </c>
      <c r="L1912" s="6"/>
      <c r="M1912" s="6"/>
      <c r="N1912" s="6" t="s">
        <v>2204</v>
      </c>
      <c r="O1912" s="29">
        <f t="shared" si="42"/>
        <v>52644</v>
      </c>
      <c r="Q1912" s="30" t="s">
        <v>2204</v>
      </c>
      <c r="R1912" s="31">
        <v>52644</v>
      </c>
    </row>
    <row r="1913" s="1" customFormat="1" ht="16.35" hidden="1" customHeight="1" spans="1:18">
      <c r="A1913" s="6"/>
      <c r="B1913" s="6" t="s">
        <v>4123</v>
      </c>
      <c r="C1913" s="6" t="s">
        <v>4124</v>
      </c>
      <c r="D1913" s="7">
        <v>1</v>
      </c>
      <c r="E1913" s="6" t="s">
        <v>5647</v>
      </c>
      <c r="F1913" s="6" t="s">
        <v>5631</v>
      </c>
      <c r="G1913" s="6" t="s">
        <v>5632</v>
      </c>
      <c r="H1913" s="8"/>
      <c r="I1913" s="8">
        <v>4520</v>
      </c>
      <c r="J1913" s="6"/>
      <c r="K1913" s="6" t="s">
        <v>2356</v>
      </c>
      <c r="L1913" s="6"/>
      <c r="M1913" s="6"/>
      <c r="N1913" s="6" t="s">
        <v>2356</v>
      </c>
      <c r="O1913" s="29">
        <f t="shared" si="42"/>
        <v>4520</v>
      </c>
      <c r="Q1913" s="30" t="s">
        <v>2356</v>
      </c>
      <c r="R1913" s="31">
        <v>4520</v>
      </c>
    </row>
    <row r="1914" s="1" customFormat="1" ht="16.35" hidden="1" customHeight="1" spans="1:18">
      <c r="A1914" s="6"/>
      <c r="B1914" s="6" t="s">
        <v>4123</v>
      </c>
      <c r="C1914" s="6" t="s">
        <v>4124</v>
      </c>
      <c r="D1914" s="7">
        <v>11</v>
      </c>
      <c r="E1914" s="6" t="s">
        <v>5648</v>
      </c>
      <c r="F1914" s="6" t="s">
        <v>5631</v>
      </c>
      <c r="G1914" s="6" t="s">
        <v>5632</v>
      </c>
      <c r="H1914" s="8"/>
      <c r="I1914" s="8">
        <v>4000</v>
      </c>
      <c r="J1914" s="6"/>
      <c r="K1914" s="6" t="s">
        <v>2356</v>
      </c>
      <c r="L1914" s="6"/>
      <c r="M1914" s="6"/>
      <c r="N1914" s="6" t="s">
        <v>2356</v>
      </c>
      <c r="O1914" s="29">
        <f t="shared" si="42"/>
        <v>4000</v>
      </c>
      <c r="Q1914" s="30" t="s">
        <v>2356</v>
      </c>
      <c r="R1914" s="31">
        <v>4000</v>
      </c>
    </row>
    <row r="1915" s="1" customFormat="1" ht="16.35" hidden="1" customHeight="1" spans="1:18">
      <c r="A1915" s="6"/>
      <c r="B1915" s="6" t="s">
        <v>4123</v>
      </c>
      <c r="C1915" s="6" t="s">
        <v>4124</v>
      </c>
      <c r="D1915" s="7">
        <v>24</v>
      </c>
      <c r="E1915" s="6" t="s">
        <v>5649</v>
      </c>
      <c r="F1915" s="6" t="s">
        <v>5631</v>
      </c>
      <c r="G1915" s="6" t="s">
        <v>5632</v>
      </c>
      <c r="H1915" s="8"/>
      <c r="I1915" s="8">
        <v>70000</v>
      </c>
      <c r="J1915" s="6"/>
      <c r="K1915" s="6" t="s">
        <v>2356</v>
      </c>
      <c r="L1915" s="6"/>
      <c r="M1915" s="6"/>
      <c r="N1915" s="6" t="s">
        <v>2356</v>
      </c>
      <c r="O1915" s="29">
        <f t="shared" si="42"/>
        <v>70000</v>
      </c>
      <c r="Q1915" s="30" t="s">
        <v>2356</v>
      </c>
      <c r="R1915" s="31">
        <v>70000</v>
      </c>
    </row>
    <row r="1916" s="1" customFormat="1" ht="16.35" hidden="1" customHeight="1" spans="1:18">
      <c r="A1916" s="6"/>
      <c r="B1916" s="6" t="s">
        <v>4123</v>
      </c>
      <c r="C1916" s="6" t="s">
        <v>4124</v>
      </c>
      <c r="D1916" s="7">
        <v>8</v>
      </c>
      <c r="E1916" s="6" t="s">
        <v>5650</v>
      </c>
      <c r="F1916" s="6" t="s">
        <v>5631</v>
      </c>
      <c r="G1916" s="6" t="s">
        <v>5632</v>
      </c>
      <c r="H1916" s="8"/>
      <c r="I1916" s="8">
        <v>370000</v>
      </c>
      <c r="J1916" s="6"/>
      <c r="K1916" s="6" t="s">
        <v>2762</v>
      </c>
      <c r="L1916" s="6"/>
      <c r="M1916" s="6"/>
      <c r="N1916" s="6" t="s">
        <v>2762</v>
      </c>
      <c r="O1916" s="29">
        <f t="shared" si="42"/>
        <v>370000</v>
      </c>
      <c r="Q1916" s="30" t="s">
        <v>2762</v>
      </c>
      <c r="R1916" s="31">
        <v>370000</v>
      </c>
    </row>
    <row r="1917" s="1" customFormat="1" ht="16.35" hidden="1" customHeight="1" spans="1:18">
      <c r="A1917" s="6"/>
      <c r="B1917" s="6" t="s">
        <v>4123</v>
      </c>
      <c r="C1917" s="6" t="s">
        <v>4124</v>
      </c>
      <c r="D1917" s="7">
        <v>2</v>
      </c>
      <c r="E1917" s="6" t="s">
        <v>5651</v>
      </c>
      <c r="F1917" s="6" t="s">
        <v>5631</v>
      </c>
      <c r="G1917" s="6" t="s">
        <v>5632</v>
      </c>
      <c r="H1917" s="8"/>
      <c r="I1917" s="8">
        <v>180000</v>
      </c>
      <c r="J1917" s="6"/>
      <c r="K1917" s="6" t="s">
        <v>2135</v>
      </c>
      <c r="L1917" s="6"/>
      <c r="M1917" s="6"/>
      <c r="N1917" s="6" t="s">
        <v>2135</v>
      </c>
      <c r="O1917" s="29">
        <f t="shared" si="42"/>
        <v>180000</v>
      </c>
      <c r="Q1917" s="30" t="s">
        <v>2135</v>
      </c>
      <c r="R1917" s="31">
        <v>180000</v>
      </c>
    </row>
    <row r="1918" s="1" customFormat="1" ht="16.35" hidden="1" customHeight="1" spans="1:18">
      <c r="A1918" s="6"/>
      <c r="B1918" s="6" t="s">
        <v>4123</v>
      </c>
      <c r="C1918" s="6" t="s">
        <v>4124</v>
      </c>
      <c r="D1918" s="7">
        <v>3</v>
      </c>
      <c r="E1918" s="6" t="s">
        <v>5652</v>
      </c>
      <c r="F1918" s="6" t="s">
        <v>5631</v>
      </c>
      <c r="G1918" s="6" t="s">
        <v>5632</v>
      </c>
      <c r="H1918" s="8"/>
      <c r="I1918" s="8">
        <v>130000</v>
      </c>
      <c r="J1918" s="6"/>
      <c r="K1918" s="6" t="s">
        <v>2795</v>
      </c>
      <c r="L1918" s="6"/>
      <c r="M1918" s="6"/>
      <c r="N1918" s="6" t="s">
        <v>2795</v>
      </c>
      <c r="O1918" s="29">
        <f t="shared" si="42"/>
        <v>130000</v>
      </c>
      <c r="Q1918" s="30" t="s">
        <v>2795</v>
      </c>
      <c r="R1918" s="31">
        <v>130000</v>
      </c>
    </row>
    <row r="1919" s="1" customFormat="1" ht="16.35" hidden="1" customHeight="1" spans="1:18">
      <c r="A1919" s="6"/>
      <c r="B1919" s="6" t="s">
        <v>4123</v>
      </c>
      <c r="C1919" s="6" t="s">
        <v>4124</v>
      </c>
      <c r="D1919" s="7">
        <v>15</v>
      </c>
      <c r="E1919" s="6" t="s">
        <v>5653</v>
      </c>
      <c r="F1919" s="6" t="s">
        <v>5631</v>
      </c>
      <c r="G1919" s="6" t="s">
        <v>5632</v>
      </c>
      <c r="H1919" s="8"/>
      <c r="I1919" s="8">
        <v>13000</v>
      </c>
      <c r="J1919" s="6"/>
      <c r="K1919" s="6" t="s">
        <v>2283</v>
      </c>
      <c r="L1919" s="6"/>
      <c r="M1919" s="6"/>
      <c r="N1919" s="6" t="s">
        <v>2283</v>
      </c>
      <c r="O1919" s="29">
        <f t="shared" si="42"/>
        <v>13000</v>
      </c>
      <c r="Q1919" s="30" t="s">
        <v>2283</v>
      </c>
      <c r="R1919" s="31">
        <v>13000</v>
      </c>
    </row>
    <row r="1920" s="1" customFormat="1" ht="16.35" hidden="1" customHeight="1" spans="1:18">
      <c r="A1920" s="6"/>
      <c r="B1920" s="6" t="s">
        <v>4123</v>
      </c>
      <c r="C1920" s="6" t="s">
        <v>4124</v>
      </c>
      <c r="D1920" s="7">
        <v>22</v>
      </c>
      <c r="E1920" s="6" t="s">
        <v>5653</v>
      </c>
      <c r="F1920" s="6" t="s">
        <v>5631</v>
      </c>
      <c r="G1920" s="6" t="s">
        <v>5632</v>
      </c>
      <c r="H1920" s="8"/>
      <c r="I1920" s="8">
        <v>49644</v>
      </c>
      <c r="J1920" s="6"/>
      <c r="K1920" s="6" t="s">
        <v>2283</v>
      </c>
      <c r="L1920" s="6"/>
      <c r="M1920" s="6"/>
      <c r="N1920" s="6" t="s">
        <v>2283</v>
      </c>
      <c r="O1920" s="29">
        <f t="shared" si="42"/>
        <v>49644</v>
      </c>
      <c r="Q1920" s="30" t="s">
        <v>2283</v>
      </c>
      <c r="R1920" s="31">
        <v>49644</v>
      </c>
    </row>
    <row r="1921" s="1" customFormat="1" ht="16.35" hidden="1" customHeight="1" spans="1:18">
      <c r="A1921" s="6"/>
      <c r="B1921" s="6" t="s">
        <v>4123</v>
      </c>
      <c r="C1921" s="6" t="s">
        <v>4124</v>
      </c>
      <c r="D1921" s="7">
        <v>17</v>
      </c>
      <c r="E1921" s="6" t="s">
        <v>5654</v>
      </c>
      <c r="F1921" s="6" t="s">
        <v>5631</v>
      </c>
      <c r="G1921" s="6" t="s">
        <v>5632</v>
      </c>
      <c r="H1921" s="8"/>
      <c r="I1921" s="8">
        <v>49923</v>
      </c>
      <c r="J1921" s="6"/>
      <c r="K1921" s="6" t="s">
        <v>2279</v>
      </c>
      <c r="L1921" s="6"/>
      <c r="M1921" s="6"/>
      <c r="N1921" s="6" t="s">
        <v>2279</v>
      </c>
      <c r="O1921" s="29">
        <f t="shared" si="42"/>
        <v>49923</v>
      </c>
      <c r="Q1921" s="30" t="s">
        <v>2279</v>
      </c>
      <c r="R1921" s="31">
        <v>49923</v>
      </c>
    </row>
    <row r="1922" s="1" customFormat="1" ht="16.35" hidden="1" customHeight="1" spans="1:18">
      <c r="A1922" s="6"/>
      <c r="B1922" s="6" t="s">
        <v>4123</v>
      </c>
      <c r="C1922" s="6" t="s">
        <v>4279</v>
      </c>
      <c r="D1922" s="7">
        <v>1</v>
      </c>
      <c r="E1922" s="6" t="s">
        <v>5655</v>
      </c>
      <c r="F1922" s="6" t="s">
        <v>5631</v>
      </c>
      <c r="G1922" s="6" t="s">
        <v>5632</v>
      </c>
      <c r="H1922" s="8"/>
      <c r="I1922" s="8">
        <v>140000</v>
      </c>
      <c r="J1922" s="6"/>
      <c r="K1922" s="6" t="s">
        <v>2243</v>
      </c>
      <c r="L1922" s="6"/>
      <c r="M1922" s="6"/>
      <c r="N1922" s="6" t="s">
        <v>2243</v>
      </c>
      <c r="O1922" s="29">
        <f t="shared" si="42"/>
        <v>140000</v>
      </c>
      <c r="Q1922" s="30" t="s">
        <v>2243</v>
      </c>
      <c r="R1922" s="31">
        <v>140000</v>
      </c>
    </row>
    <row r="1923" s="1" customFormat="1" ht="16.35" hidden="1" customHeight="1" spans="1:18">
      <c r="A1923" s="6"/>
      <c r="B1923" s="6" t="s">
        <v>4123</v>
      </c>
      <c r="C1923" s="6" t="s">
        <v>4279</v>
      </c>
      <c r="D1923" s="7">
        <v>5</v>
      </c>
      <c r="E1923" s="6" t="s">
        <v>5656</v>
      </c>
      <c r="F1923" s="6" t="s">
        <v>5631</v>
      </c>
      <c r="G1923" s="6" t="s">
        <v>5632</v>
      </c>
      <c r="H1923" s="8"/>
      <c r="I1923" s="8">
        <v>180000</v>
      </c>
      <c r="J1923" s="6"/>
      <c r="K1923" s="6" t="s">
        <v>2362</v>
      </c>
      <c r="L1923" s="6"/>
      <c r="M1923" s="6"/>
      <c r="N1923" s="6" t="s">
        <v>2362</v>
      </c>
      <c r="O1923" s="29">
        <f t="shared" si="42"/>
        <v>180000</v>
      </c>
      <c r="Q1923" s="30" t="s">
        <v>2362</v>
      </c>
      <c r="R1923" s="31">
        <v>180000</v>
      </c>
    </row>
    <row r="1924" s="1" customFormat="1" ht="16.35" hidden="1" customHeight="1" spans="1:18">
      <c r="A1924" s="6"/>
      <c r="B1924" s="6" t="s">
        <v>4123</v>
      </c>
      <c r="C1924" s="6" t="s">
        <v>4279</v>
      </c>
      <c r="D1924" s="7">
        <v>3</v>
      </c>
      <c r="E1924" s="6" t="s">
        <v>5657</v>
      </c>
      <c r="F1924" s="6" t="s">
        <v>5631</v>
      </c>
      <c r="G1924" s="6" t="s">
        <v>5632</v>
      </c>
      <c r="H1924" s="8"/>
      <c r="I1924" s="8">
        <v>160000</v>
      </c>
      <c r="J1924" s="6"/>
      <c r="K1924" s="6" t="s">
        <v>2043</v>
      </c>
      <c r="L1924" s="6"/>
      <c r="M1924" s="6"/>
      <c r="N1924" s="6" t="s">
        <v>2043</v>
      </c>
      <c r="O1924" s="29">
        <f t="shared" si="42"/>
        <v>160000</v>
      </c>
      <c r="Q1924" s="30" t="s">
        <v>2043</v>
      </c>
      <c r="R1924" s="31">
        <v>160000</v>
      </c>
    </row>
    <row r="1925" s="1" customFormat="1" ht="16.35" hidden="1" customHeight="1" spans="1:18">
      <c r="A1925" s="6"/>
      <c r="B1925" s="6" t="s">
        <v>4123</v>
      </c>
      <c r="C1925" s="6" t="s">
        <v>4279</v>
      </c>
      <c r="D1925" s="7">
        <v>8</v>
      </c>
      <c r="E1925" s="6" t="s">
        <v>5658</v>
      </c>
      <c r="F1925" s="6" t="s">
        <v>5631</v>
      </c>
      <c r="G1925" s="6" t="s">
        <v>5632</v>
      </c>
      <c r="H1925" s="8"/>
      <c r="I1925" s="8">
        <v>60000</v>
      </c>
      <c r="J1925" s="6"/>
      <c r="K1925" s="6" t="s">
        <v>2125</v>
      </c>
      <c r="L1925" s="6"/>
      <c r="M1925" s="6"/>
      <c r="N1925" s="6" t="s">
        <v>2125</v>
      </c>
      <c r="O1925" s="29">
        <f t="shared" si="42"/>
        <v>60000</v>
      </c>
      <c r="Q1925" s="30" t="s">
        <v>2125</v>
      </c>
      <c r="R1925" s="31">
        <v>60000</v>
      </c>
    </row>
    <row r="1926" s="1" customFormat="1" ht="16.35" hidden="1" customHeight="1" spans="1:18">
      <c r="A1926" s="6"/>
      <c r="B1926" s="6" t="s">
        <v>4123</v>
      </c>
      <c r="C1926" s="6" t="s">
        <v>4279</v>
      </c>
      <c r="D1926" s="7">
        <v>2</v>
      </c>
      <c r="E1926" s="6" t="s">
        <v>5659</v>
      </c>
      <c r="F1926" s="6" t="s">
        <v>5631</v>
      </c>
      <c r="G1926" s="6" t="s">
        <v>5632</v>
      </c>
      <c r="H1926" s="8"/>
      <c r="I1926" s="8">
        <v>100000</v>
      </c>
      <c r="J1926" s="6"/>
      <c r="K1926" s="6" t="s">
        <v>2877</v>
      </c>
      <c r="L1926" s="6"/>
      <c r="M1926" s="6"/>
      <c r="N1926" s="6" t="s">
        <v>2877</v>
      </c>
      <c r="O1926" s="29">
        <f t="shared" si="42"/>
        <v>100000</v>
      </c>
      <c r="Q1926" s="30" t="s">
        <v>2877</v>
      </c>
      <c r="R1926" s="31">
        <v>100000</v>
      </c>
    </row>
    <row r="1927" s="1" customFormat="1" ht="16.35" hidden="1" customHeight="1" spans="1:18">
      <c r="A1927" s="6"/>
      <c r="B1927" s="6" t="s">
        <v>4123</v>
      </c>
      <c r="C1927" s="6" t="s">
        <v>4279</v>
      </c>
      <c r="D1927" s="7">
        <v>6</v>
      </c>
      <c r="E1927" s="6" t="s">
        <v>5660</v>
      </c>
      <c r="F1927" s="6" t="s">
        <v>5631</v>
      </c>
      <c r="G1927" s="6" t="s">
        <v>5632</v>
      </c>
      <c r="H1927" s="8"/>
      <c r="I1927" s="8">
        <v>160000</v>
      </c>
      <c r="J1927" s="6"/>
      <c r="K1927" s="6" t="s">
        <v>2295</v>
      </c>
      <c r="L1927" s="6"/>
      <c r="M1927" s="6"/>
      <c r="N1927" s="6" t="s">
        <v>2295</v>
      </c>
      <c r="O1927" s="29">
        <f t="shared" si="42"/>
        <v>160000</v>
      </c>
      <c r="Q1927" s="30" t="s">
        <v>2295</v>
      </c>
      <c r="R1927" s="31">
        <v>160000</v>
      </c>
    </row>
    <row r="1928" s="1" customFormat="1" ht="16.35" hidden="1" customHeight="1" spans="1:18">
      <c r="A1928" s="6"/>
      <c r="B1928" s="6" t="s">
        <v>4123</v>
      </c>
      <c r="C1928" s="6" t="s">
        <v>4279</v>
      </c>
      <c r="D1928" s="7">
        <v>4</v>
      </c>
      <c r="E1928" s="6" t="s">
        <v>5661</v>
      </c>
      <c r="F1928" s="6" t="s">
        <v>5631</v>
      </c>
      <c r="G1928" s="6" t="s">
        <v>5632</v>
      </c>
      <c r="H1928" s="8"/>
      <c r="I1928" s="8">
        <v>130000</v>
      </c>
      <c r="J1928" s="6"/>
      <c r="K1928" s="6" t="s">
        <v>2025</v>
      </c>
      <c r="L1928" s="6"/>
      <c r="M1928" s="6"/>
      <c r="N1928" s="6" t="s">
        <v>2025</v>
      </c>
      <c r="O1928" s="29">
        <f t="shared" si="42"/>
        <v>130000</v>
      </c>
      <c r="Q1928" s="30" t="s">
        <v>2025</v>
      </c>
      <c r="R1928" s="31">
        <v>130000</v>
      </c>
    </row>
    <row r="1929" s="1" customFormat="1" ht="16.35" hidden="1" customHeight="1" spans="1:18">
      <c r="A1929" s="6"/>
      <c r="B1929" s="6" t="s">
        <v>4123</v>
      </c>
      <c r="C1929" s="6" t="s">
        <v>4279</v>
      </c>
      <c r="D1929" s="7">
        <v>7</v>
      </c>
      <c r="E1929" s="6" t="s">
        <v>5662</v>
      </c>
      <c r="F1929" s="6" t="s">
        <v>5631</v>
      </c>
      <c r="G1929" s="6" t="s">
        <v>5632</v>
      </c>
      <c r="H1929" s="8"/>
      <c r="I1929" s="8">
        <v>120000</v>
      </c>
      <c r="J1929" s="6"/>
      <c r="K1929" s="6" t="s">
        <v>2770</v>
      </c>
      <c r="L1929" s="6"/>
      <c r="M1929" s="6"/>
      <c r="N1929" s="6" t="s">
        <v>2770</v>
      </c>
      <c r="O1929" s="29">
        <f t="shared" si="42"/>
        <v>120000</v>
      </c>
      <c r="Q1929" s="30" t="s">
        <v>2770</v>
      </c>
      <c r="R1929" s="31">
        <v>120000</v>
      </c>
    </row>
    <row r="1930" s="1" customFormat="1" ht="16.35" hidden="1" customHeight="1" spans="1:18">
      <c r="A1930" s="6"/>
      <c r="B1930" s="6" t="s">
        <v>4123</v>
      </c>
      <c r="C1930" s="6" t="s">
        <v>4130</v>
      </c>
      <c r="D1930" s="7">
        <v>9</v>
      </c>
      <c r="E1930" s="6" t="s">
        <v>5663</v>
      </c>
      <c r="F1930" s="6" t="s">
        <v>5631</v>
      </c>
      <c r="G1930" s="6" t="s">
        <v>5632</v>
      </c>
      <c r="H1930" s="8"/>
      <c r="I1930" s="8">
        <v>4000</v>
      </c>
      <c r="J1930" s="6"/>
      <c r="K1930" s="6" t="s">
        <v>1955</v>
      </c>
      <c r="L1930" s="6"/>
      <c r="M1930" s="6"/>
      <c r="N1930" s="6" t="s">
        <v>1955</v>
      </c>
      <c r="O1930" s="29">
        <f t="shared" si="42"/>
        <v>4000</v>
      </c>
      <c r="Q1930" s="30" t="s">
        <v>1955</v>
      </c>
      <c r="R1930" s="31">
        <v>4000</v>
      </c>
    </row>
    <row r="1931" s="1" customFormat="1" ht="16.35" hidden="1" customHeight="1" spans="1:18">
      <c r="A1931" s="6"/>
      <c r="B1931" s="6" t="s">
        <v>4123</v>
      </c>
      <c r="C1931" s="6" t="s">
        <v>4130</v>
      </c>
      <c r="D1931" s="7">
        <v>13</v>
      </c>
      <c r="E1931" s="6" t="s">
        <v>5664</v>
      </c>
      <c r="F1931" s="6" t="s">
        <v>5631</v>
      </c>
      <c r="G1931" s="6" t="s">
        <v>5632</v>
      </c>
      <c r="H1931" s="8"/>
      <c r="I1931" s="8">
        <v>128000</v>
      </c>
      <c r="J1931" s="6"/>
      <c r="K1931" s="6" t="s">
        <v>2055</v>
      </c>
      <c r="L1931" s="6"/>
      <c r="M1931" s="6"/>
      <c r="N1931" s="6" t="s">
        <v>2055</v>
      </c>
      <c r="O1931" s="29">
        <f t="shared" si="42"/>
        <v>128000</v>
      </c>
      <c r="Q1931" s="30" t="s">
        <v>2055</v>
      </c>
      <c r="R1931" s="31">
        <v>128000</v>
      </c>
    </row>
    <row r="1932" s="1" customFormat="1" ht="16.35" hidden="1" customHeight="1" spans="1:18">
      <c r="A1932" s="6"/>
      <c r="B1932" s="6" t="s">
        <v>4123</v>
      </c>
      <c r="C1932" s="6" t="s">
        <v>4130</v>
      </c>
      <c r="D1932" s="7">
        <v>22</v>
      </c>
      <c r="E1932" s="6" t="s">
        <v>5665</v>
      </c>
      <c r="F1932" s="6" t="s">
        <v>5631</v>
      </c>
      <c r="G1932" s="6" t="s">
        <v>5632</v>
      </c>
      <c r="H1932" s="8"/>
      <c r="I1932" s="8">
        <v>5000</v>
      </c>
      <c r="J1932" s="6"/>
      <c r="K1932" s="6" t="s">
        <v>2015</v>
      </c>
      <c r="L1932" s="6"/>
      <c r="M1932" s="6"/>
      <c r="N1932" s="6" t="s">
        <v>2015</v>
      </c>
      <c r="O1932" s="29">
        <f t="shared" si="42"/>
        <v>5000</v>
      </c>
      <c r="Q1932" s="30" t="s">
        <v>2015</v>
      </c>
      <c r="R1932" s="31">
        <v>5000</v>
      </c>
    </row>
    <row r="1933" s="1" customFormat="1" ht="16.35" hidden="1" customHeight="1" spans="1:18">
      <c r="A1933" s="6"/>
      <c r="B1933" s="6" t="s">
        <v>4123</v>
      </c>
      <c r="C1933" s="6" t="s">
        <v>4130</v>
      </c>
      <c r="D1933" s="7">
        <v>3</v>
      </c>
      <c r="E1933" s="6" t="s">
        <v>5666</v>
      </c>
      <c r="F1933" s="6" t="s">
        <v>5631</v>
      </c>
      <c r="G1933" s="6" t="s">
        <v>5632</v>
      </c>
      <c r="H1933" s="8"/>
      <c r="I1933" s="8">
        <v>30000</v>
      </c>
      <c r="J1933" s="6"/>
      <c r="K1933" s="6" t="s">
        <v>2184</v>
      </c>
      <c r="L1933" s="6"/>
      <c r="M1933" s="6"/>
      <c r="N1933" s="6" t="s">
        <v>2184</v>
      </c>
      <c r="O1933" s="29">
        <f t="shared" si="42"/>
        <v>30000</v>
      </c>
      <c r="Q1933" s="30" t="s">
        <v>2184</v>
      </c>
      <c r="R1933" s="31">
        <v>30000</v>
      </c>
    </row>
    <row r="1934" s="1" customFormat="1" ht="16.35" hidden="1" customHeight="1" spans="1:18">
      <c r="A1934" s="6"/>
      <c r="B1934" s="6" t="s">
        <v>4123</v>
      </c>
      <c r="C1934" s="6" t="s">
        <v>4130</v>
      </c>
      <c r="D1934" s="7">
        <v>24</v>
      </c>
      <c r="E1934" s="6" t="s">
        <v>5667</v>
      </c>
      <c r="F1934" s="6" t="s">
        <v>5631</v>
      </c>
      <c r="G1934" s="6" t="s">
        <v>5632</v>
      </c>
      <c r="H1934" s="8"/>
      <c r="I1934" s="8">
        <v>2644</v>
      </c>
      <c r="J1934" s="6"/>
      <c r="K1934" s="6" t="s">
        <v>2223</v>
      </c>
      <c r="L1934" s="6"/>
      <c r="M1934" s="6"/>
      <c r="N1934" s="6" t="s">
        <v>2223</v>
      </c>
      <c r="O1934" s="29">
        <f t="shared" si="42"/>
        <v>2644</v>
      </c>
      <c r="Q1934" s="30" t="s">
        <v>2223</v>
      </c>
      <c r="R1934" s="31">
        <v>2644</v>
      </c>
    </row>
    <row r="1935" s="1" customFormat="1" ht="16.35" hidden="1" customHeight="1" spans="1:18">
      <c r="A1935" s="6"/>
      <c r="B1935" s="6" t="s">
        <v>4123</v>
      </c>
      <c r="C1935" s="6" t="s">
        <v>4130</v>
      </c>
      <c r="D1935" s="7">
        <v>26</v>
      </c>
      <c r="E1935" s="6" t="s">
        <v>5668</v>
      </c>
      <c r="F1935" s="6" t="s">
        <v>5631</v>
      </c>
      <c r="G1935" s="6" t="s">
        <v>5632</v>
      </c>
      <c r="H1935" s="8"/>
      <c r="I1935" s="8">
        <v>50000</v>
      </c>
      <c r="J1935" s="6"/>
      <c r="K1935" s="6" t="s">
        <v>2223</v>
      </c>
      <c r="L1935" s="6"/>
      <c r="M1935" s="6"/>
      <c r="N1935" s="6" t="s">
        <v>2223</v>
      </c>
      <c r="O1935" s="29">
        <f t="shared" si="42"/>
        <v>50000</v>
      </c>
      <c r="Q1935" s="30" t="s">
        <v>2223</v>
      </c>
      <c r="R1935" s="31">
        <v>50000</v>
      </c>
    </row>
    <row r="1936" s="1" customFormat="1" ht="16.35" hidden="1" customHeight="1" spans="1:18">
      <c r="A1936" s="6"/>
      <c r="B1936" s="6" t="s">
        <v>4123</v>
      </c>
      <c r="C1936" s="6" t="s">
        <v>4130</v>
      </c>
      <c r="D1936" s="7">
        <v>1</v>
      </c>
      <c r="E1936" s="6" t="s">
        <v>5669</v>
      </c>
      <c r="F1936" s="6" t="s">
        <v>5631</v>
      </c>
      <c r="G1936" s="6" t="s">
        <v>5632</v>
      </c>
      <c r="H1936" s="8"/>
      <c r="I1936" s="8">
        <v>500</v>
      </c>
      <c r="J1936" s="6"/>
      <c r="K1936" s="6" t="s">
        <v>2314</v>
      </c>
      <c r="L1936" s="6"/>
      <c r="M1936" s="6"/>
      <c r="N1936" s="6" t="s">
        <v>2314</v>
      </c>
      <c r="O1936" s="29">
        <f t="shared" si="42"/>
        <v>500</v>
      </c>
      <c r="Q1936" s="30" t="s">
        <v>2314</v>
      </c>
      <c r="R1936" s="31">
        <v>500</v>
      </c>
    </row>
    <row r="1937" s="1" customFormat="1" ht="16.35" hidden="1" customHeight="1" spans="1:18">
      <c r="A1937" s="6"/>
      <c r="B1937" s="6" t="s">
        <v>4123</v>
      </c>
      <c r="C1937" s="6" t="s">
        <v>4130</v>
      </c>
      <c r="D1937" s="7">
        <v>21</v>
      </c>
      <c r="E1937" s="6" t="s">
        <v>5670</v>
      </c>
      <c r="F1937" s="6" t="s">
        <v>5631</v>
      </c>
      <c r="G1937" s="6" t="s">
        <v>5632</v>
      </c>
      <c r="H1937" s="8"/>
      <c r="I1937" s="8">
        <v>10000</v>
      </c>
      <c r="J1937" s="6"/>
      <c r="K1937" s="6" t="s">
        <v>2314</v>
      </c>
      <c r="L1937" s="6"/>
      <c r="M1937" s="6"/>
      <c r="N1937" s="6" t="s">
        <v>2314</v>
      </c>
      <c r="O1937" s="29">
        <f t="shared" si="42"/>
        <v>10000</v>
      </c>
      <c r="Q1937" s="30" t="s">
        <v>2314</v>
      </c>
      <c r="R1937" s="31">
        <v>10000</v>
      </c>
    </row>
    <row r="1938" s="1" customFormat="1" ht="16.35" hidden="1" customHeight="1" spans="1:18">
      <c r="A1938" s="6"/>
      <c r="B1938" s="6" t="s">
        <v>4123</v>
      </c>
      <c r="C1938" s="6" t="s">
        <v>4130</v>
      </c>
      <c r="D1938" s="7">
        <v>10</v>
      </c>
      <c r="E1938" s="6" t="s">
        <v>5671</v>
      </c>
      <c r="F1938" s="6" t="s">
        <v>5631</v>
      </c>
      <c r="G1938" s="6" t="s">
        <v>5632</v>
      </c>
      <c r="H1938" s="8"/>
      <c r="I1938" s="8">
        <v>10000</v>
      </c>
      <c r="J1938" s="6"/>
      <c r="K1938" s="6" t="s">
        <v>2309</v>
      </c>
      <c r="L1938" s="6"/>
      <c r="M1938" s="6"/>
      <c r="N1938" s="6" t="s">
        <v>2309</v>
      </c>
      <c r="O1938" s="29">
        <f t="shared" si="42"/>
        <v>10000</v>
      </c>
      <c r="Q1938" s="30" t="s">
        <v>2309</v>
      </c>
      <c r="R1938" s="31">
        <v>10000</v>
      </c>
    </row>
    <row r="1939" s="1" customFormat="1" ht="16.35" hidden="1" customHeight="1" spans="1:18">
      <c r="A1939" s="6"/>
      <c r="B1939" s="6" t="s">
        <v>4123</v>
      </c>
      <c r="C1939" s="6" t="s">
        <v>4130</v>
      </c>
      <c r="D1939" s="7">
        <v>41</v>
      </c>
      <c r="E1939" s="6" t="s">
        <v>5672</v>
      </c>
      <c r="F1939" s="6" t="s">
        <v>5631</v>
      </c>
      <c r="G1939" s="6" t="s">
        <v>5632</v>
      </c>
      <c r="H1939" s="8"/>
      <c r="I1939" s="8">
        <v>670000</v>
      </c>
      <c r="J1939" s="6"/>
      <c r="K1939" s="6" t="s">
        <v>672</v>
      </c>
      <c r="L1939" s="6"/>
      <c r="M1939" s="6"/>
      <c r="N1939" s="6" t="s">
        <v>672</v>
      </c>
      <c r="O1939" s="29">
        <f t="shared" si="42"/>
        <v>670000</v>
      </c>
      <c r="Q1939" s="30" t="s">
        <v>672</v>
      </c>
      <c r="R1939" s="31">
        <v>670000</v>
      </c>
    </row>
    <row r="1940" s="1" customFormat="1" ht="16.35" hidden="1" customHeight="1" spans="1:18">
      <c r="A1940" s="6"/>
      <c r="B1940" s="6" t="s">
        <v>4123</v>
      </c>
      <c r="C1940" s="6" t="s">
        <v>4130</v>
      </c>
      <c r="D1940" s="7">
        <v>14</v>
      </c>
      <c r="E1940" s="6" t="s">
        <v>5673</v>
      </c>
      <c r="F1940" s="6" t="s">
        <v>5631</v>
      </c>
      <c r="G1940" s="6" t="s">
        <v>5632</v>
      </c>
      <c r="H1940" s="8"/>
      <c r="I1940" s="8">
        <v>59434</v>
      </c>
      <c r="J1940" s="6"/>
      <c r="K1940" s="6" t="s">
        <v>2091</v>
      </c>
      <c r="L1940" s="6"/>
      <c r="M1940" s="6"/>
      <c r="N1940" s="6" t="s">
        <v>2091</v>
      </c>
      <c r="O1940" s="29">
        <f t="shared" ref="O1940:O1975" si="43">I1940</f>
        <v>59434</v>
      </c>
      <c r="Q1940" s="30" t="s">
        <v>2091</v>
      </c>
      <c r="R1940" s="31">
        <v>59434</v>
      </c>
    </row>
    <row r="1941" s="1" customFormat="1" ht="16.35" hidden="1" customHeight="1" spans="1:18">
      <c r="A1941" s="6"/>
      <c r="B1941" s="6" t="s">
        <v>4123</v>
      </c>
      <c r="C1941" s="6" t="s">
        <v>4130</v>
      </c>
      <c r="D1941" s="7">
        <v>12</v>
      </c>
      <c r="E1941" s="6" t="s">
        <v>5674</v>
      </c>
      <c r="F1941" s="6" t="s">
        <v>5631</v>
      </c>
      <c r="G1941" s="6" t="s">
        <v>5632</v>
      </c>
      <c r="H1941" s="8"/>
      <c r="I1941" s="8">
        <v>70000</v>
      </c>
      <c r="J1941" s="6"/>
      <c r="K1941" s="6" t="s">
        <v>2780</v>
      </c>
      <c r="L1941" s="6"/>
      <c r="M1941" s="6"/>
      <c r="N1941" s="6" t="s">
        <v>2780</v>
      </c>
      <c r="O1941" s="29">
        <f t="shared" si="43"/>
        <v>70000</v>
      </c>
      <c r="Q1941" s="30" t="s">
        <v>2780</v>
      </c>
      <c r="R1941" s="31">
        <v>70000</v>
      </c>
    </row>
    <row r="1942" s="1" customFormat="1" ht="16.35" hidden="1" customHeight="1" spans="1:18">
      <c r="A1942" s="6"/>
      <c r="B1942" s="6" t="s">
        <v>4123</v>
      </c>
      <c r="C1942" s="6" t="s">
        <v>4130</v>
      </c>
      <c r="D1942" s="7">
        <v>20</v>
      </c>
      <c r="E1942" s="6" t="s">
        <v>5675</v>
      </c>
      <c r="F1942" s="6" t="s">
        <v>5631</v>
      </c>
      <c r="G1942" s="6" t="s">
        <v>5632</v>
      </c>
      <c r="H1942" s="8"/>
      <c r="I1942" s="8">
        <v>56894</v>
      </c>
      <c r="J1942" s="6"/>
      <c r="K1942" s="6" t="s">
        <v>2079</v>
      </c>
      <c r="L1942" s="6"/>
      <c r="M1942" s="6"/>
      <c r="N1942" s="6" t="s">
        <v>2079</v>
      </c>
      <c r="O1942" s="29">
        <f t="shared" si="43"/>
        <v>56894</v>
      </c>
      <c r="Q1942" s="30" t="s">
        <v>2079</v>
      </c>
      <c r="R1942" s="31">
        <v>56894</v>
      </c>
    </row>
    <row r="1943" s="1" customFormat="1" ht="16.35" hidden="1" customHeight="1" spans="1:18">
      <c r="A1943" s="6"/>
      <c r="B1943" s="6" t="s">
        <v>4123</v>
      </c>
      <c r="C1943" s="6" t="s">
        <v>4130</v>
      </c>
      <c r="D1943" s="7">
        <v>27</v>
      </c>
      <c r="E1943" s="6" t="s">
        <v>5676</v>
      </c>
      <c r="F1943" s="6" t="s">
        <v>5631</v>
      </c>
      <c r="G1943" s="6" t="s">
        <v>5632</v>
      </c>
      <c r="H1943" s="8"/>
      <c r="I1943" s="8">
        <v>500</v>
      </c>
      <c r="J1943" s="6"/>
      <c r="K1943" s="6" t="s">
        <v>2079</v>
      </c>
      <c r="L1943" s="6"/>
      <c r="M1943" s="6"/>
      <c r="N1943" s="6" t="s">
        <v>2079</v>
      </c>
      <c r="O1943" s="29">
        <f t="shared" si="43"/>
        <v>500</v>
      </c>
      <c r="Q1943" s="30" t="s">
        <v>2079</v>
      </c>
      <c r="R1943" s="31">
        <v>500</v>
      </c>
    </row>
    <row r="1944" s="1" customFormat="1" ht="16.35" hidden="1" customHeight="1" spans="1:18">
      <c r="A1944" s="6"/>
      <c r="B1944" s="6" t="s">
        <v>4123</v>
      </c>
      <c r="C1944" s="6" t="s">
        <v>4130</v>
      </c>
      <c r="D1944" s="7">
        <v>4</v>
      </c>
      <c r="E1944" s="6" t="s">
        <v>5677</v>
      </c>
      <c r="F1944" s="6" t="s">
        <v>5631</v>
      </c>
      <c r="G1944" s="6" t="s">
        <v>5632</v>
      </c>
      <c r="H1944" s="8"/>
      <c r="I1944" s="8">
        <v>64018</v>
      </c>
      <c r="J1944" s="6"/>
      <c r="K1944" s="6" t="s">
        <v>2202</v>
      </c>
      <c r="L1944" s="6"/>
      <c r="M1944" s="6"/>
      <c r="N1944" s="6" t="s">
        <v>2202</v>
      </c>
      <c r="O1944" s="29">
        <f t="shared" si="43"/>
        <v>64018</v>
      </c>
      <c r="Q1944" s="30" t="s">
        <v>2202</v>
      </c>
      <c r="R1944" s="31">
        <v>64018</v>
      </c>
    </row>
    <row r="1945" s="1" customFormat="1" ht="16.35" hidden="1" customHeight="1" spans="1:18">
      <c r="A1945" s="6"/>
      <c r="B1945" s="6" t="s">
        <v>4123</v>
      </c>
      <c r="C1945" s="6" t="s">
        <v>4130</v>
      </c>
      <c r="D1945" s="7">
        <v>5</v>
      </c>
      <c r="E1945" s="6" t="s">
        <v>5678</v>
      </c>
      <c r="F1945" s="6" t="s">
        <v>5631</v>
      </c>
      <c r="G1945" s="6" t="s">
        <v>5632</v>
      </c>
      <c r="H1945" s="8"/>
      <c r="I1945" s="8">
        <v>50820</v>
      </c>
      <c r="J1945" s="6"/>
      <c r="K1945" s="6" t="s">
        <v>2257</v>
      </c>
      <c r="L1945" s="6"/>
      <c r="M1945" s="6"/>
      <c r="N1945" s="6" t="s">
        <v>2257</v>
      </c>
      <c r="O1945" s="29">
        <f t="shared" si="43"/>
        <v>50820</v>
      </c>
      <c r="Q1945" s="30" t="s">
        <v>2257</v>
      </c>
      <c r="R1945" s="31">
        <v>50820</v>
      </c>
    </row>
    <row r="1946" s="1" customFormat="1" ht="16.35" hidden="1" customHeight="1" spans="1:18">
      <c r="A1946" s="6"/>
      <c r="B1946" s="6" t="s">
        <v>4123</v>
      </c>
      <c r="C1946" s="6" t="s">
        <v>4130</v>
      </c>
      <c r="D1946" s="7">
        <v>8</v>
      </c>
      <c r="E1946" s="6" t="s">
        <v>5679</v>
      </c>
      <c r="F1946" s="6" t="s">
        <v>5631</v>
      </c>
      <c r="G1946" s="6" t="s">
        <v>5632</v>
      </c>
      <c r="H1946" s="8"/>
      <c r="I1946" s="8">
        <v>53018</v>
      </c>
      <c r="J1946" s="6"/>
      <c r="K1946" s="6" t="s">
        <v>2307</v>
      </c>
      <c r="L1946" s="6"/>
      <c r="M1946" s="6"/>
      <c r="N1946" s="6" t="s">
        <v>2307</v>
      </c>
      <c r="O1946" s="29">
        <f t="shared" si="43"/>
        <v>53018</v>
      </c>
      <c r="Q1946" s="30" t="s">
        <v>2307</v>
      </c>
      <c r="R1946" s="31">
        <v>53018</v>
      </c>
    </row>
    <row r="1947" s="1" customFormat="1" ht="16.35" hidden="1" customHeight="1" spans="1:18">
      <c r="A1947" s="6"/>
      <c r="B1947" s="6" t="s">
        <v>4123</v>
      </c>
      <c r="C1947" s="6" t="s">
        <v>4130</v>
      </c>
      <c r="D1947" s="7">
        <v>17</v>
      </c>
      <c r="E1947" s="6" t="s">
        <v>5680</v>
      </c>
      <c r="F1947" s="6" t="s">
        <v>5631</v>
      </c>
      <c r="G1947" s="6" t="s">
        <v>5632</v>
      </c>
      <c r="H1947" s="8"/>
      <c r="I1947" s="8">
        <v>40000</v>
      </c>
      <c r="J1947" s="6"/>
      <c r="K1947" s="6" t="s">
        <v>2873</v>
      </c>
      <c r="L1947" s="6"/>
      <c r="M1947" s="6"/>
      <c r="N1947" s="6" t="s">
        <v>2873</v>
      </c>
      <c r="O1947" s="29">
        <f t="shared" si="43"/>
        <v>40000</v>
      </c>
      <c r="Q1947" s="30" t="s">
        <v>2873</v>
      </c>
      <c r="R1947" s="31">
        <v>40000</v>
      </c>
    </row>
    <row r="1948" s="1" customFormat="1" ht="16.35" hidden="1" customHeight="1" spans="1:18">
      <c r="A1948" s="6"/>
      <c r="B1948" s="6" t="s">
        <v>4123</v>
      </c>
      <c r="C1948" s="6" t="s">
        <v>4130</v>
      </c>
      <c r="D1948" s="7">
        <v>18</v>
      </c>
      <c r="E1948" s="6" t="s">
        <v>5681</v>
      </c>
      <c r="F1948" s="6" t="s">
        <v>5631</v>
      </c>
      <c r="G1948" s="6" t="s">
        <v>5632</v>
      </c>
      <c r="H1948" s="8"/>
      <c r="I1948" s="8">
        <v>10000</v>
      </c>
      <c r="J1948" s="6"/>
      <c r="K1948" s="6" t="s">
        <v>2097</v>
      </c>
      <c r="L1948" s="6"/>
      <c r="M1948" s="6"/>
      <c r="N1948" s="6" t="s">
        <v>2097</v>
      </c>
      <c r="O1948" s="29">
        <f t="shared" si="43"/>
        <v>10000</v>
      </c>
      <c r="Q1948" s="30" t="s">
        <v>2097</v>
      </c>
      <c r="R1948" s="31">
        <v>10000</v>
      </c>
    </row>
    <row r="1949" s="1" customFormat="1" ht="16.35" hidden="1" customHeight="1" spans="1:18">
      <c r="A1949" s="6"/>
      <c r="B1949" s="6" t="s">
        <v>4123</v>
      </c>
      <c r="C1949" s="6" t="s">
        <v>4130</v>
      </c>
      <c r="D1949" s="7">
        <v>28</v>
      </c>
      <c r="E1949" s="6" t="s">
        <v>5682</v>
      </c>
      <c r="F1949" s="6" t="s">
        <v>5631</v>
      </c>
      <c r="G1949" s="6" t="s">
        <v>5632</v>
      </c>
      <c r="H1949" s="8"/>
      <c r="I1949" s="8">
        <v>140000</v>
      </c>
      <c r="J1949" s="6"/>
      <c r="K1949" s="6" t="s">
        <v>2000</v>
      </c>
      <c r="L1949" s="6"/>
      <c r="M1949" s="6"/>
      <c r="N1949" s="6" t="s">
        <v>2000</v>
      </c>
      <c r="O1949" s="29">
        <f t="shared" si="43"/>
        <v>140000</v>
      </c>
      <c r="Q1949" s="30" t="s">
        <v>2000</v>
      </c>
      <c r="R1949" s="31">
        <v>140000</v>
      </c>
    </row>
    <row r="1950" s="1" customFormat="1" ht="16.35" hidden="1" customHeight="1" spans="1:18">
      <c r="A1950" s="6"/>
      <c r="B1950" s="6" t="s">
        <v>4123</v>
      </c>
      <c r="C1950" s="6" t="s">
        <v>4130</v>
      </c>
      <c r="D1950" s="7">
        <v>2</v>
      </c>
      <c r="E1950" s="6" t="s">
        <v>5683</v>
      </c>
      <c r="F1950" s="6" t="s">
        <v>5631</v>
      </c>
      <c r="G1950" s="6" t="s">
        <v>5632</v>
      </c>
      <c r="H1950" s="8"/>
      <c r="I1950" s="8">
        <v>98569</v>
      </c>
      <c r="J1950" s="6"/>
      <c r="K1950" s="6" t="s">
        <v>2167</v>
      </c>
      <c r="L1950" s="6"/>
      <c r="M1950" s="6"/>
      <c r="N1950" s="6" t="s">
        <v>2167</v>
      </c>
      <c r="O1950" s="29">
        <f t="shared" si="43"/>
        <v>98569</v>
      </c>
      <c r="Q1950" s="30" t="s">
        <v>2167</v>
      </c>
      <c r="R1950" s="31">
        <v>98569</v>
      </c>
    </row>
    <row r="1951" s="1" customFormat="1" ht="16.35" hidden="1" customHeight="1" spans="1:18">
      <c r="A1951" s="6"/>
      <c r="B1951" s="6" t="s">
        <v>4123</v>
      </c>
      <c r="C1951" s="6" t="s">
        <v>4130</v>
      </c>
      <c r="D1951" s="7">
        <v>19</v>
      </c>
      <c r="E1951" s="6" t="s">
        <v>5684</v>
      </c>
      <c r="F1951" s="6" t="s">
        <v>5631</v>
      </c>
      <c r="G1951" s="6" t="s">
        <v>5632</v>
      </c>
      <c r="H1951" s="8"/>
      <c r="I1951" s="8">
        <v>40000</v>
      </c>
      <c r="J1951" s="6"/>
      <c r="K1951" s="6" t="s">
        <v>2153</v>
      </c>
      <c r="L1951" s="6"/>
      <c r="M1951" s="6"/>
      <c r="N1951" s="6" t="s">
        <v>2153</v>
      </c>
      <c r="O1951" s="29">
        <f t="shared" si="43"/>
        <v>40000</v>
      </c>
      <c r="Q1951" s="30" t="s">
        <v>2153</v>
      </c>
      <c r="R1951" s="31">
        <v>40000</v>
      </c>
    </row>
    <row r="1952" s="1" customFormat="1" ht="16.35" hidden="1" customHeight="1" spans="1:18">
      <c r="A1952" s="6"/>
      <c r="B1952" s="6" t="s">
        <v>4123</v>
      </c>
      <c r="C1952" s="6" t="s">
        <v>4130</v>
      </c>
      <c r="D1952" s="7">
        <v>25</v>
      </c>
      <c r="E1952" s="6" t="s">
        <v>5685</v>
      </c>
      <c r="F1952" s="6" t="s">
        <v>5631</v>
      </c>
      <c r="G1952" s="6" t="s">
        <v>5632</v>
      </c>
      <c r="H1952" s="8"/>
      <c r="I1952" s="8">
        <v>2206</v>
      </c>
      <c r="J1952" s="6"/>
      <c r="K1952" s="6" t="s">
        <v>2153</v>
      </c>
      <c r="L1952" s="6"/>
      <c r="M1952" s="6"/>
      <c r="N1952" s="6" t="s">
        <v>2153</v>
      </c>
      <c r="O1952" s="29">
        <f t="shared" si="43"/>
        <v>2206</v>
      </c>
      <c r="Q1952" s="30" t="s">
        <v>2153</v>
      </c>
      <c r="R1952" s="31">
        <v>2206</v>
      </c>
    </row>
    <row r="1953" s="1" customFormat="1" ht="16.35" hidden="1" customHeight="1" spans="1:18">
      <c r="A1953" s="6"/>
      <c r="B1953" s="6" t="s">
        <v>4123</v>
      </c>
      <c r="C1953" s="6" t="s">
        <v>4130</v>
      </c>
      <c r="D1953" s="7">
        <v>32</v>
      </c>
      <c r="E1953" s="6" t="s">
        <v>5686</v>
      </c>
      <c r="F1953" s="6" t="s">
        <v>5631</v>
      </c>
      <c r="G1953" s="6" t="s">
        <v>5632</v>
      </c>
      <c r="H1953" s="8"/>
      <c r="I1953" s="8">
        <v>5000</v>
      </c>
      <c r="J1953" s="6"/>
      <c r="K1953" s="6" t="s">
        <v>2197</v>
      </c>
      <c r="L1953" s="6"/>
      <c r="M1953" s="6"/>
      <c r="N1953" s="6" t="s">
        <v>2197</v>
      </c>
      <c r="O1953" s="29">
        <f t="shared" si="43"/>
        <v>5000</v>
      </c>
      <c r="Q1953" s="30" t="s">
        <v>2197</v>
      </c>
      <c r="R1953" s="31">
        <v>5000</v>
      </c>
    </row>
    <row r="1954" s="1" customFormat="1" ht="16.35" hidden="1" customHeight="1" spans="1:18">
      <c r="A1954" s="6"/>
      <c r="B1954" s="6" t="s">
        <v>4123</v>
      </c>
      <c r="C1954" s="6" t="s">
        <v>4130</v>
      </c>
      <c r="D1954" s="7">
        <v>56</v>
      </c>
      <c r="E1954" s="6" t="s">
        <v>5687</v>
      </c>
      <c r="F1954" s="6" t="s">
        <v>5631</v>
      </c>
      <c r="G1954" s="6" t="s">
        <v>5632</v>
      </c>
      <c r="H1954" s="8"/>
      <c r="I1954" s="8">
        <v>190000</v>
      </c>
      <c r="J1954" s="6"/>
      <c r="K1954" s="6" t="s">
        <v>2356</v>
      </c>
      <c r="L1954" s="6"/>
      <c r="M1954" s="6"/>
      <c r="N1954" s="6" t="s">
        <v>2356</v>
      </c>
      <c r="O1954" s="29">
        <f t="shared" si="43"/>
        <v>190000</v>
      </c>
      <c r="Q1954" s="30" t="s">
        <v>2356</v>
      </c>
      <c r="R1954" s="31">
        <v>190000</v>
      </c>
    </row>
    <row r="1955" s="1" customFormat="1" ht="16.35" hidden="1" customHeight="1" spans="1:18">
      <c r="A1955" s="6"/>
      <c r="B1955" s="6" t="s">
        <v>4123</v>
      </c>
      <c r="C1955" s="6" t="s">
        <v>4130</v>
      </c>
      <c r="D1955" s="7">
        <v>57</v>
      </c>
      <c r="E1955" s="6" t="s">
        <v>5688</v>
      </c>
      <c r="F1955" s="6" t="s">
        <v>5631</v>
      </c>
      <c r="G1955" s="6" t="s">
        <v>5632</v>
      </c>
      <c r="H1955" s="8"/>
      <c r="I1955" s="8">
        <v>190000</v>
      </c>
      <c r="J1955" s="6"/>
      <c r="K1955" s="6" t="s">
        <v>2358</v>
      </c>
      <c r="L1955" s="6"/>
      <c r="M1955" s="6"/>
      <c r="N1955" s="6" t="s">
        <v>2358</v>
      </c>
      <c r="O1955" s="29">
        <f t="shared" si="43"/>
        <v>190000</v>
      </c>
      <c r="Q1955" s="30" t="s">
        <v>2358</v>
      </c>
      <c r="R1955" s="31">
        <v>190000</v>
      </c>
    </row>
    <row r="1956" s="1" customFormat="1" ht="16.35" hidden="1" customHeight="1" spans="1:18">
      <c r="A1956" s="6"/>
      <c r="B1956" s="6" t="s">
        <v>4123</v>
      </c>
      <c r="C1956" s="6" t="s">
        <v>4130</v>
      </c>
      <c r="D1956" s="7">
        <v>30</v>
      </c>
      <c r="E1956" s="6" t="s">
        <v>5689</v>
      </c>
      <c r="F1956" s="6" t="s">
        <v>5631</v>
      </c>
      <c r="G1956" s="6" t="s">
        <v>5632</v>
      </c>
      <c r="H1956" s="8"/>
      <c r="I1956" s="8">
        <v>110000</v>
      </c>
      <c r="J1956" s="6"/>
      <c r="K1956" s="6" t="s">
        <v>2748</v>
      </c>
      <c r="L1956" s="6"/>
      <c r="M1956" s="6"/>
      <c r="N1956" s="6" t="s">
        <v>2748</v>
      </c>
      <c r="O1956" s="29">
        <f t="shared" si="43"/>
        <v>110000</v>
      </c>
      <c r="Q1956" s="30" t="s">
        <v>2748</v>
      </c>
      <c r="R1956" s="31">
        <v>110000</v>
      </c>
    </row>
    <row r="1957" s="1" customFormat="1" ht="16.35" hidden="1" customHeight="1" spans="1:18">
      <c r="A1957" s="6"/>
      <c r="B1957" s="6" t="s">
        <v>4123</v>
      </c>
      <c r="C1957" s="6" t="s">
        <v>4130</v>
      </c>
      <c r="D1957" s="7">
        <v>6</v>
      </c>
      <c r="E1957" s="6" t="s">
        <v>5690</v>
      </c>
      <c r="F1957" s="6" t="s">
        <v>5631</v>
      </c>
      <c r="G1957" s="6" t="s">
        <v>5632</v>
      </c>
      <c r="H1957" s="8"/>
      <c r="I1957" s="8">
        <v>155202</v>
      </c>
      <c r="J1957" s="6"/>
      <c r="K1957" s="6" t="s">
        <v>2789</v>
      </c>
      <c r="L1957" s="6"/>
      <c r="M1957" s="6"/>
      <c r="N1957" s="6" t="s">
        <v>2789</v>
      </c>
      <c r="O1957" s="29">
        <f t="shared" si="43"/>
        <v>155202</v>
      </c>
      <c r="Q1957" s="30" t="s">
        <v>2789</v>
      </c>
      <c r="R1957" s="31">
        <v>155202</v>
      </c>
    </row>
    <row r="1958" s="1" customFormat="1" ht="16.35" hidden="1" customHeight="1" spans="1:18">
      <c r="A1958" s="6"/>
      <c r="B1958" s="6" t="s">
        <v>4123</v>
      </c>
      <c r="C1958" s="6" t="s">
        <v>4130</v>
      </c>
      <c r="D1958" s="7">
        <v>34</v>
      </c>
      <c r="E1958" s="6" t="s">
        <v>5691</v>
      </c>
      <c r="F1958" s="6" t="s">
        <v>5631</v>
      </c>
      <c r="G1958" s="6" t="s">
        <v>5632</v>
      </c>
      <c r="H1958" s="8"/>
      <c r="I1958" s="8">
        <v>38314</v>
      </c>
      <c r="J1958" s="6"/>
      <c r="K1958" s="6" t="s">
        <v>2009</v>
      </c>
      <c r="L1958" s="6"/>
      <c r="M1958" s="6"/>
      <c r="N1958" s="6" t="s">
        <v>2009</v>
      </c>
      <c r="O1958" s="29">
        <f t="shared" si="43"/>
        <v>38314</v>
      </c>
      <c r="Q1958" s="30" t="s">
        <v>2009</v>
      </c>
      <c r="R1958" s="31">
        <v>38314</v>
      </c>
    </row>
    <row r="1959" s="1" customFormat="1" ht="16.35" hidden="1" customHeight="1" spans="1:18">
      <c r="A1959" s="6"/>
      <c r="B1959" s="6" t="s">
        <v>4123</v>
      </c>
      <c r="C1959" s="6" t="s">
        <v>4130</v>
      </c>
      <c r="D1959" s="7">
        <v>35</v>
      </c>
      <c r="E1959" s="6" t="s">
        <v>5692</v>
      </c>
      <c r="F1959" s="6" t="s">
        <v>5631</v>
      </c>
      <c r="G1959" s="6" t="s">
        <v>5632</v>
      </c>
      <c r="H1959" s="8"/>
      <c r="I1959" s="8">
        <v>100000</v>
      </c>
      <c r="J1959" s="6"/>
      <c r="K1959" s="6" t="s">
        <v>2813</v>
      </c>
      <c r="L1959" s="6"/>
      <c r="M1959" s="6"/>
      <c r="N1959" s="6" t="s">
        <v>2813</v>
      </c>
      <c r="O1959" s="29">
        <f t="shared" si="43"/>
        <v>100000</v>
      </c>
      <c r="Q1959" s="30" t="s">
        <v>2813</v>
      </c>
      <c r="R1959" s="31">
        <v>100000</v>
      </c>
    </row>
    <row r="1960" s="1" customFormat="1" ht="16.35" hidden="1" customHeight="1" spans="1:18">
      <c r="A1960" s="6"/>
      <c r="B1960" s="6" t="s">
        <v>4123</v>
      </c>
      <c r="C1960" s="6" t="s">
        <v>4130</v>
      </c>
      <c r="D1960" s="7">
        <v>36</v>
      </c>
      <c r="E1960" s="6" t="s">
        <v>5693</v>
      </c>
      <c r="F1960" s="6" t="s">
        <v>5631</v>
      </c>
      <c r="G1960" s="6" t="s">
        <v>5632</v>
      </c>
      <c r="H1960" s="8"/>
      <c r="I1960" s="8">
        <v>40000</v>
      </c>
      <c r="J1960" s="6"/>
      <c r="K1960" s="6" t="s">
        <v>2235</v>
      </c>
      <c r="L1960" s="6"/>
      <c r="M1960" s="6"/>
      <c r="N1960" s="6" t="s">
        <v>2235</v>
      </c>
      <c r="O1960" s="29">
        <f t="shared" si="43"/>
        <v>40000</v>
      </c>
      <c r="Q1960" s="30" t="s">
        <v>2235</v>
      </c>
      <c r="R1960" s="31">
        <v>40000</v>
      </c>
    </row>
    <row r="1961" s="1" customFormat="1" ht="16.35" hidden="1" customHeight="1" spans="1:18">
      <c r="A1961" s="6"/>
      <c r="B1961" s="6" t="s">
        <v>4123</v>
      </c>
      <c r="C1961" s="6" t="s">
        <v>4130</v>
      </c>
      <c r="D1961" s="7">
        <v>40</v>
      </c>
      <c r="E1961" s="6" t="s">
        <v>5694</v>
      </c>
      <c r="F1961" s="6" t="s">
        <v>5631</v>
      </c>
      <c r="G1961" s="6" t="s">
        <v>5632</v>
      </c>
      <c r="H1961" s="8"/>
      <c r="I1961" s="8">
        <v>10000</v>
      </c>
      <c r="J1961" s="6"/>
      <c r="K1961" s="6" t="s">
        <v>2247</v>
      </c>
      <c r="L1961" s="6"/>
      <c r="M1961" s="6"/>
      <c r="N1961" s="6" t="s">
        <v>2247</v>
      </c>
      <c r="O1961" s="29">
        <f t="shared" si="43"/>
        <v>10000</v>
      </c>
      <c r="Q1961" s="30" t="s">
        <v>2247</v>
      </c>
      <c r="R1961" s="31">
        <v>10000</v>
      </c>
    </row>
    <row r="1962" s="1" customFormat="1" ht="16.35" hidden="1" customHeight="1" spans="1:18">
      <c r="A1962" s="6"/>
      <c r="B1962" s="6" t="s">
        <v>4123</v>
      </c>
      <c r="C1962" s="6" t="s">
        <v>4130</v>
      </c>
      <c r="D1962" s="7">
        <v>7</v>
      </c>
      <c r="E1962" s="6" t="s">
        <v>5695</v>
      </c>
      <c r="F1962" s="6" t="s">
        <v>5631</v>
      </c>
      <c r="G1962" s="6" t="s">
        <v>5632</v>
      </c>
      <c r="H1962" s="8"/>
      <c r="I1962" s="8">
        <v>10000</v>
      </c>
      <c r="J1962" s="6"/>
      <c r="K1962" s="6" t="s">
        <v>2772</v>
      </c>
      <c r="L1962" s="6"/>
      <c r="M1962" s="6"/>
      <c r="N1962" s="6" t="s">
        <v>2772</v>
      </c>
      <c r="O1962" s="29">
        <f t="shared" si="43"/>
        <v>10000</v>
      </c>
      <c r="Q1962" s="30" t="s">
        <v>2772</v>
      </c>
      <c r="R1962" s="31">
        <v>10000</v>
      </c>
    </row>
    <row r="1963" s="1" customFormat="1" ht="16.35" hidden="1" customHeight="1" spans="1:18">
      <c r="A1963" s="6"/>
      <c r="B1963" s="6" t="s">
        <v>4123</v>
      </c>
      <c r="C1963" s="6" t="s">
        <v>4130</v>
      </c>
      <c r="D1963" s="7">
        <v>39</v>
      </c>
      <c r="E1963" s="6" t="s">
        <v>5696</v>
      </c>
      <c r="F1963" s="6" t="s">
        <v>5631</v>
      </c>
      <c r="G1963" s="6" t="s">
        <v>5632</v>
      </c>
      <c r="H1963" s="8"/>
      <c r="I1963" s="8">
        <v>40000</v>
      </c>
      <c r="J1963" s="6"/>
      <c r="K1963" s="6" t="s">
        <v>2795</v>
      </c>
      <c r="L1963" s="6"/>
      <c r="M1963" s="6"/>
      <c r="N1963" s="6" t="s">
        <v>2795</v>
      </c>
      <c r="O1963" s="29">
        <f t="shared" si="43"/>
        <v>40000</v>
      </c>
      <c r="Q1963" s="30" t="s">
        <v>2795</v>
      </c>
      <c r="R1963" s="31">
        <v>40000</v>
      </c>
    </row>
    <row r="1964" s="1" customFormat="1" ht="16.35" hidden="1" customHeight="1" spans="1:18">
      <c r="A1964" s="6"/>
      <c r="B1964" s="6" t="s">
        <v>4123</v>
      </c>
      <c r="C1964" s="6" t="s">
        <v>4130</v>
      </c>
      <c r="D1964" s="7">
        <v>11</v>
      </c>
      <c r="E1964" s="6" t="s">
        <v>5697</v>
      </c>
      <c r="F1964" s="6" t="s">
        <v>5631</v>
      </c>
      <c r="G1964" s="6" t="s">
        <v>5632</v>
      </c>
      <c r="H1964" s="8"/>
      <c r="I1964" s="8">
        <v>10000</v>
      </c>
      <c r="J1964" s="6"/>
      <c r="K1964" s="6" t="s">
        <v>2165</v>
      </c>
      <c r="L1964" s="6"/>
      <c r="M1964" s="6"/>
      <c r="N1964" s="6" t="s">
        <v>2165</v>
      </c>
      <c r="O1964" s="29">
        <f t="shared" si="43"/>
        <v>10000</v>
      </c>
      <c r="Q1964" s="30" t="s">
        <v>2165</v>
      </c>
      <c r="R1964" s="31">
        <v>10000</v>
      </c>
    </row>
    <row r="1965" s="1" customFormat="1" ht="16.35" hidden="1" customHeight="1" spans="1:18">
      <c r="A1965" s="6"/>
      <c r="B1965" s="6" t="s">
        <v>4123</v>
      </c>
      <c r="C1965" s="6" t="s">
        <v>4130</v>
      </c>
      <c r="D1965" s="7">
        <v>15</v>
      </c>
      <c r="E1965" s="6" t="s">
        <v>5698</v>
      </c>
      <c r="F1965" s="6" t="s">
        <v>5631</v>
      </c>
      <c r="G1965" s="6" t="s">
        <v>5632</v>
      </c>
      <c r="H1965" s="8"/>
      <c r="I1965" s="8">
        <v>50771</v>
      </c>
      <c r="J1965" s="6"/>
      <c r="K1965" s="6" t="s">
        <v>2165</v>
      </c>
      <c r="L1965" s="6"/>
      <c r="M1965" s="6"/>
      <c r="N1965" s="6" t="s">
        <v>2165</v>
      </c>
      <c r="O1965" s="29">
        <f t="shared" si="43"/>
        <v>50771</v>
      </c>
      <c r="Q1965" s="30" t="s">
        <v>2165</v>
      </c>
      <c r="R1965" s="31">
        <v>50771</v>
      </c>
    </row>
    <row r="1966" s="1" customFormat="1" ht="16.35" hidden="1" customHeight="1" spans="1:18">
      <c r="A1966" s="6"/>
      <c r="B1966" s="6" t="s">
        <v>4123</v>
      </c>
      <c r="C1966" s="6" t="s">
        <v>4130</v>
      </c>
      <c r="D1966" s="7">
        <v>16</v>
      </c>
      <c r="E1966" s="6" t="s">
        <v>5699</v>
      </c>
      <c r="F1966" s="6" t="s">
        <v>5631</v>
      </c>
      <c r="G1966" s="6" t="s">
        <v>5632</v>
      </c>
      <c r="H1966" s="8"/>
      <c r="I1966" s="8">
        <v>3000</v>
      </c>
      <c r="J1966" s="6"/>
      <c r="K1966" s="6" t="s">
        <v>2121</v>
      </c>
      <c r="L1966" s="6"/>
      <c r="M1966" s="6"/>
      <c r="N1966" s="6" t="s">
        <v>2121</v>
      </c>
      <c r="O1966" s="29">
        <f t="shared" si="43"/>
        <v>3000</v>
      </c>
      <c r="Q1966" s="30" t="s">
        <v>2121</v>
      </c>
      <c r="R1966" s="31">
        <v>3000</v>
      </c>
    </row>
    <row r="1967" s="1" customFormat="1" ht="16.35" hidden="1" customHeight="1" spans="1:18">
      <c r="A1967" s="6"/>
      <c r="B1967" s="6" t="s">
        <v>4123</v>
      </c>
      <c r="C1967" s="6" t="s">
        <v>4130</v>
      </c>
      <c r="D1967" s="7">
        <v>23</v>
      </c>
      <c r="E1967" s="6" t="s">
        <v>5700</v>
      </c>
      <c r="F1967" s="6" t="s">
        <v>5631</v>
      </c>
      <c r="G1967" s="6" t="s">
        <v>5632</v>
      </c>
      <c r="H1967" s="8"/>
      <c r="I1967" s="8">
        <v>59100</v>
      </c>
      <c r="J1967" s="6"/>
      <c r="K1967" s="6" t="s">
        <v>2121</v>
      </c>
      <c r="L1967" s="6"/>
      <c r="M1967" s="6"/>
      <c r="N1967" s="6" t="s">
        <v>2121</v>
      </c>
      <c r="O1967" s="29">
        <f t="shared" si="43"/>
        <v>59100</v>
      </c>
      <c r="Q1967" s="30" t="s">
        <v>2121</v>
      </c>
      <c r="R1967" s="31">
        <v>59100</v>
      </c>
    </row>
    <row r="1968" s="1" customFormat="1" ht="16.35" hidden="1" customHeight="1" spans="1:18">
      <c r="A1968" s="6"/>
      <c r="B1968" s="6" t="s">
        <v>4123</v>
      </c>
      <c r="C1968" s="6" t="s">
        <v>4130</v>
      </c>
      <c r="D1968" s="7">
        <v>33</v>
      </c>
      <c r="E1968" s="6" t="s">
        <v>5701</v>
      </c>
      <c r="F1968" s="6" t="s">
        <v>5631</v>
      </c>
      <c r="G1968" s="6" t="s">
        <v>5632</v>
      </c>
      <c r="H1968" s="8"/>
      <c r="I1968" s="8">
        <v>80014</v>
      </c>
      <c r="J1968" s="6"/>
      <c r="K1968" s="6" t="s">
        <v>2105</v>
      </c>
      <c r="L1968" s="6"/>
      <c r="M1968" s="6"/>
      <c r="N1968" s="6" t="s">
        <v>2105</v>
      </c>
      <c r="O1968" s="29">
        <f t="shared" si="43"/>
        <v>80014</v>
      </c>
      <c r="Q1968" s="30" t="s">
        <v>2105</v>
      </c>
      <c r="R1968" s="31">
        <v>80014</v>
      </c>
    </row>
    <row r="1969" s="1" customFormat="1" ht="16.35" hidden="1" customHeight="1" spans="1:18">
      <c r="A1969" s="6"/>
      <c r="B1969" s="6" t="s">
        <v>4123</v>
      </c>
      <c r="C1969" s="6" t="s">
        <v>4130</v>
      </c>
      <c r="D1969" s="7">
        <v>37</v>
      </c>
      <c r="E1969" s="6" t="s">
        <v>5702</v>
      </c>
      <c r="F1969" s="6" t="s">
        <v>5631</v>
      </c>
      <c r="G1969" s="6" t="s">
        <v>5632</v>
      </c>
      <c r="H1969" s="8"/>
      <c r="I1969" s="8">
        <v>172000</v>
      </c>
      <c r="J1969" s="6"/>
      <c r="K1969" s="6" t="s">
        <v>2161</v>
      </c>
      <c r="L1969" s="6"/>
      <c r="M1969" s="6"/>
      <c r="N1969" s="6" t="s">
        <v>2161</v>
      </c>
      <c r="O1969" s="29">
        <f t="shared" si="43"/>
        <v>172000</v>
      </c>
      <c r="Q1969" s="30" t="s">
        <v>2161</v>
      </c>
      <c r="R1969" s="31">
        <v>172000</v>
      </c>
    </row>
    <row r="1970" s="1" customFormat="1" ht="16.35" hidden="1" customHeight="1" spans="1:18">
      <c r="A1970" s="6"/>
      <c r="B1970" s="6" t="s">
        <v>4123</v>
      </c>
      <c r="C1970" s="6" t="s">
        <v>4130</v>
      </c>
      <c r="D1970" s="7">
        <v>29</v>
      </c>
      <c r="E1970" s="6" t="s">
        <v>5703</v>
      </c>
      <c r="F1970" s="6" t="s">
        <v>5631</v>
      </c>
      <c r="G1970" s="6" t="s">
        <v>5632</v>
      </c>
      <c r="H1970" s="8"/>
      <c r="I1970" s="8">
        <v>160000</v>
      </c>
      <c r="J1970" s="6"/>
      <c r="K1970" s="6" t="s">
        <v>2279</v>
      </c>
      <c r="L1970" s="6"/>
      <c r="M1970" s="6"/>
      <c r="N1970" s="6" t="s">
        <v>2279</v>
      </c>
      <c r="O1970" s="29">
        <f t="shared" si="43"/>
        <v>160000</v>
      </c>
      <c r="Q1970" s="30" t="s">
        <v>2279</v>
      </c>
      <c r="R1970" s="31">
        <v>160000</v>
      </c>
    </row>
    <row r="1971" s="1" customFormat="1" ht="16.35" hidden="1" customHeight="1" spans="1:18">
      <c r="A1971" s="6"/>
      <c r="B1971" s="6" t="s">
        <v>4123</v>
      </c>
      <c r="C1971" s="6" t="s">
        <v>4130</v>
      </c>
      <c r="D1971" s="7">
        <v>31</v>
      </c>
      <c r="E1971" s="6" t="s">
        <v>5704</v>
      </c>
      <c r="F1971" s="6" t="s">
        <v>5631</v>
      </c>
      <c r="G1971" s="6" t="s">
        <v>5632</v>
      </c>
      <c r="H1971" s="8"/>
      <c r="I1971" s="8">
        <v>5000</v>
      </c>
      <c r="J1971" s="6"/>
      <c r="K1971" s="6" t="s">
        <v>2827</v>
      </c>
      <c r="L1971" s="6"/>
      <c r="M1971" s="6"/>
      <c r="N1971" s="6" t="s">
        <v>2827</v>
      </c>
      <c r="O1971" s="29">
        <f t="shared" si="43"/>
        <v>5000</v>
      </c>
      <c r="Q1971" s="30" t="s">
        <v>2827</v>
      </c>
      <c r="R1971" s="31">
        <v>5000</v>
      </c>
    </row>
    <row r="1972" s="1" customFormat="1" ht="16.35" hidden="1" customHeight="1" spans="1:18">
      <c r="A1972" s="6"/>
      <c r="B1972" s="6" t="s">
        <v>4123</v>
      </c>
      <c r="C1972" s="6" t="s">
        <v>4130</v>
      </c>
      <c r="D1972" s="7">
        <v>53</v>
      </c>
      <c r="E1972" s="6" t="s">
        <v>5705</v>
      </c>
      <c r="F1972" s="6" t="s">
        <v>5631</v>
      </c>
      <c r="G1972" s="6" t="s">
        <v>5632</v>
      </c>
      <c r="H1972" s="8"/>
      <c r="I1972" s="8">
        <v>-10000</v>
      </c>
      <c r="J1972" s="6"/>
      <c r="K1972" s="6" t="s">
        <v>2305</v>
      </c>
      <c r="L1972" s="6"/>
      <c r="M1972" s="6"/>
      <c r="N1972" s="6" t="s">
        <v>2305</v>
      </c>
      <c r="O1972" s="29">
        <f t="shared" si="43"/>
        <v>-10000</v>
      </c>
      <c r="Q1972" s="30" t="s">
        <v>2305</v>
      </c>
      <c r="R1972" s="31">
        <v>-10000</v>
      </c>
    </row>
    <row r="1973" s="1" customFormat="1" ht="16.35" hidden="1" customHeight="1" spans="1:18">
      <c r="A1973" s="6"/>
      <c r="B1973" s="6" t="s">
        <v>4123</v>
      </c>
      <c r="C1973" s="6" t="s">
        <v>4130</v>
      </c>
      <c r="D1973" s="7">
        <v>38</v>
      </c>
      <c r="E1973" s="6" t="s">
        <v>5706</v>
      </c>
      <c r="F1973" s="6" t="s">
        <v>5631</v>
      </c>
      <c r="G1973" s="6" t="s">
        <v>5632</v>
      </c>
      <c r="H1973" s="8"/>
      <c r="I1973" s="8">
        <v>2000</v>
      </c>
      <c r="J1973" s="6"/>
      <c r="K1973" s="6" t="s">
        <v>2360</v>
      </c>
      <c r="L1973" s="6"/>
      <c r="M1973" s="6"/>
      <c r="N1973" s="6" t="s">
        <v>2360</v>
      </c>
      <c r="O1973" s="29">
        <f t="shared" si="43"/>
        <v>2000</v>
      </c>
      <c r="Q1973" s="30" t="s">
        <v>2360</v>
      </c>
      <c r="R1973" s="31">
        <v>2000</v>
      </c>
    </row>
    <row r="1974" s="1" customFormat="1" ht="16.35" hidden="1" customHeight="1" spans="1:18">
      <c r="A1974" s="6"/>
      <c r="B1974" s="6" t="s">
        <v>4123</v>
      </c>
      <c r="C1974" s="6" t="s">
        <v>4150</v>
      </c>
      <c r="D1974" s="7">
        <v>36</v>
      </c>
      <c r="E1974" s="6" t="s">
        <v>5707</v>
      </c>
      <c r="F1974" s="6" t="s">
        <v>5631</v>
      </c>
      <c r="G1974" s="6" t="s">
        <v>5632</v>
      </c>
      <c r="H1974" s="8"/>
      <c r="I1974" s="8">
        <v>9000</v>
      </c>
      <c r="J1974" s="6"/>
      <c r="K1974" s="6" t="s">
        <v>1955</v>
      </c>
      <c r="L1974" s="6"/>
      <c r="M1974" s="6"/>
      <c r="N1974" s="6" t="s">
        <v>1955</v>
      </c>
      <c r="O1974" s="29">
        <f t="shared" si="43"/>
        <v>9000</v>
      </c>
      <c r="Q1974" s="30" t="s">
        <v>1955</v>
      </c>
      <c r="R1974" s="31">
        <v>9000</v>
      </c>
    </row>
    <row r="1975" s="1" customFormat="1" ht="16.35" hidden="1" customHeight="1" spans="1:18">
      <c r="A1975" s="6"/>
      <c r="B1975" s="6" t="s">
        <v>4123</v>
      </c>
      <c r="C1975" s="6" t="s">
        <v>4150</v>
      </c>
      <c r="D1975" s="7">
        <v>26</v>
      </c>
      <c r="E1975" s="6" t="s">
        <v>5708</v>
      </c>
      <c r="F1975" s="6" t="s">
        <v>5631</v>
      </c>
      <c r="G1975" s="6" t="s">
        <v>5632</v>
      </c>
      <c r="H1975" s="8"/>
      <c r="I1975" s="8">
        <v>120000</v>
      </c>
      <c r="J1975" s="6"/>
      <c r="K1975" s="6" t="s">
        <v>2055</v>
      </c>
      <c r="L1975" s="6"/>
      <c r="M1975" s="6"/>
      <c r="N1975" s="6" t="s">
        <v>2055</v>
      </c>
      <c r="O1975" s="29">
        <f t="shared" si="43"/>
        <v>120000</v>
      </c>
      <c r="Q1975" s="30" t="s">
        <v>2055</v>
      </c>
      <c r="R1975" s="31">
        <v>120000</v>
      </c>
    </row>
    <row r="1976" s="1" customFormat="1" ht="16.35" hidden="1" customHeight="1" spans="1:18">
      <c r="A1976" s="6"/>
      <c r="B1976" s="6" t="s">
        <v>4123</v>
      </c>
      <c r="C1976" s="6" t="s">
        <v>4150</v>
      </c>
      <c r="D1976" s="7">
        <v>1</v>
      </c>
      <c r="E1976" s="6" t="s">
        <v>5665</v>
      </c>
      <c r="F1976" s="6" t="s">
        <v>5631</v>
      </c>
      <c r="G1976" s="6" t="s">
        <v>5632</v>
      </c>
      <c r="H1976" s="8"/>
      <c r="I1976" s="8">
        <v>59000</v>
      </c>
      <c r="J1976" s="6"/>
      <c r="K1976" s="6" t="s">
        <v>2015</v>
      </c>
      <c r="L1976" s="6"/>
      <c r="M1976" s="6"/>
      <c r="N1976" s="6" t="s">
        <v>2015</v>
      </c>
      <c r="O1976" s="29">
        <f t="shared" ref="O1976:O1987" si="44">I1976</f>
        <v>59000</v>
      </c>
      <c r="Q1976" s="30" t="s">
        <v>2015</v>
      </c>
      <c r="R1976" s="31">
        <v>59000</v>
      </c>
    </row>
    <row r="1977" s="1" customFormat="1" ht="16.35" hidden="1" customHeight="1" spans="1:18">
      <c r="A1977" s="6"/>
      <c r="B1977" s="6" t="s">
        <v>4123</v>
      </c>
      <c r="C1977" s="6" t="s">
        <v>4150</v>
      </c>
      <c r="D1977" s="7">
        <v>29</v>
      </c>
      <c r="E1977" s="6" t="s">
        <v>5709</v>
      </c>
      <c r="F1977" s="6" t="s">
        <v>5631</v>
      </c>
      <c r="G1977" s="6" t="s">
        <v>5632</v>
      </c>
      <c r="H1977" s="8"/>
      <c r="I1977" s="8">
        <v>30820</v>
      </c>
      <c r="J1977" s="6"/>
      <c r="K1977" s="6" t="s">
        <v>2015</v>
      </c>
      <c r="L1977" s="6"/>
      <c r="M1977" s="6"/>
      <c r="N1977" s="6" t="s">
        <v>2015</v>
      </c>
      <c r="O1977" s="29">
        <f t="shared" si="44"/>
        <v>30820</v>
      </c>
      <c r="Q1977" s="30" t="s">
        <v>2015</v>
      </c>
      <c r="R1977" s="31">
        <v>30820</v>
      </c>
    </row>
    <row r="1978" s="1" customFormat="1" ht="16.35" hidden="1" customHeight="1" spans="1:18">
      <c r="A1978" s="6"/>
      <c r="B1978" s="6" t="s">
        <v>4123</v>
      </c>
      <c r="C1978" s="6" t="s">
        <v>4150</v>
      </c>
      <c r="D1978" s="7">
        <v>14</v>
      </c>
      <c r="E1978" s="6" t="s">
        <v>5710</v>
      </c>
      <c r="F1978" s="6" t="s">
        <v>5631</v>
      </c>
      <c r="G1978" s="6" t="s">
        <v>5632</v>
      </c>
      <c r="H1978" s="8"/>
      <c r="I1978" s="8">
        <v>17990</v>
      </c>
      <c r="J1978" s="6"/>
      <c r="K1978" s="6" t="s">
        <v>2049</v>
      </c>
      <c r="L1978" s="6"/>
      <c r="M1978" s="6"/>
      <c r="N1978" s="6" t="s">
        <v>2049</v>
      </c>
      <c r="O1978" s="29">
        <f t="shared" si="44"/>
        <v>17990</v>
      </c>
      <c r="Q1978" s="30" t="s">
        <v>2049</v>
      </c>
      <c r="R1978" s="31">
        <v>17990</v>
      </c>
    </row>
    <row r="1979" s="1" customFormat="1" ht="16.35" hidden="1" customHeight="1" spans="1:18">
      <c r="A1979" s="6"/>
      <c r="B1979" s="6" t="s">
        <v>4123</v>
      </c>
      <c r="C1979" s="6" t="s">
        <v>4150</v>
      </c>
      <c r="D1979" s="7">
        <v>51</v>
      </c>
      <c r="E1979" s="6" t="s">
        <v>5710</v>
      </c>
      <c r="F1979" s="6" t="s">
        <v>5631</v>
      </c>
      <c r="G1979" s="6" t="s">
        <v>5632</v>
      </c>
      <c r="H1979" s="8"/>
      <c r="I1979" s="8">
        <v>50000</v>
      </c>
      <c r="J1979" s="6"/>
      <c r="K1979" s="6" t="s">
        <v>2049</v>
      </c>
      <c r="L1979" s="6"/>
      <c r="M1979" s="6"/>
      <c r="N1979" s="6" t="s">
        <v>2049</v>
      </c>
      <c r="O1979" s="29">
        <f t="shared" si="44"/>
        <v>50000</v>
      </c>
      <c r="Q1979" s="30" t="s">
        <v>2049</v>
      </c>
      <c r="R1979" s="31">
        <v>50000</v>
      </c>
    </row>
    <row r="1980" s="1" customFormat="1" ht="16.35" hidden="1" customHeight="1" spans="1:18">
      <c r="A1980" s="6"/>
      <c r="B1980" s="6" t="s">
        <v>4123</v>
      </c>
      <c r="C1980" s="6" t="s">
        <v>4150</v>
      </c>
      <c r="D1980" s="7">
        <v>55</v>
      </c>
      <c r="E1980" s="6" t="s">
        <v>5711</v>
      </c>
      <c r="F1980" s="6" t="s">
        <v>5631</v>
      </c>
      <c r="G1980" s="6" t="s">
        <v>5632</v>
      </c>
      <c r="H1980" s="8"/>
      <c r="I1980" s="8">
        <v>140000</v>
      </c>
      <c r="J1980" s="6"/>
      <c r="K1980" s="6" t="s">
        <v>2184</v>
      </c>
      <c r="L1980" s="6"/>
      <c r="M1980" s="6"/>
      <c r="N1980" s="6" t="s">
        <v>2184</v>
      </c>
      <c r="O1980" s="29">
        <f t="shared" si="44"/>
        <v>140000</v>
      </c>
      <c r="Q1980" s="30" t="s">
        <v>2184</v>
      </c>
      <c r="R1980" s="31">
        <v>140000</v>
      </c>
    </row>
    <row r="1981" s="1" customFormat="1" ht="16.35" hidden="1" customHeight="1" spans="1:18">
      <c r="A1981" s="6"/>
      <c r="B1981" s="6" t="s">
        <v>4123</v>
      </c>
      <c r="C1981" s="6" t="s">
        <v>4150</v>
      </c>
      <c r="D1981" s="7">
        <v>42</v>
      </c>
      <c r="E1981" s="6" t="s">
        <v>5712</v>
      </c>
      <c r="F1981" s="6" t="s">
        <v>5631</v>
      </c>
      <c r="G1981" s="6" t="s">
        <v>5632</v>
      </c>
      <c r="H1981" s="8"/>
      <c r="I1981" s="8">
        <v>227000</v>
      </c>
      <c r="J1981" s="6"/>
      <c r="K1981" s="6" t="s">
        <v>2805</v>
      </c>
      <c r="L1981" s="6"/>
      <c r="M1981" s="6"/>
      <c r="N1981" s="6" t="s">
        <v>2805</v>
      </c>
      <c r="O1981" s="29">
        <f t="shared" si="44"/>
        <v>227000</v>
      </c>
      <c r="Q1981" s="30" t="s">
        <v>2805</v>
      </c>
      <c r="R1981" s="31">
        <v>227000</v>
      </c>
    </row>
    <row r="1982" s="1" customFormat="1" ht="16.35" hidden="1" customHeight="1" spans="1:18">
      <c r="A1982" s="6"/>
      <c r="B1982" s="6" t="s">
        <v>4123</v>
      </c>
      <c r="C1982" s="6" t="s">
        <v>4150</v>
      </c>
      <c r="D1982" s="7">
        <v>75</v>
      </c>
      <c r="E1982" s="6" t="s">
        <v>5713</v>
      </c>
      <c r="F1982" s="6" t="s">
        <v>5631</v>
      </c>
      <c r="G1982" s="6" t="s">
        <v>5632</v>
      </c>
      <c r="H1982" s="8"/>
      <c r="I1982" s="8">
        <v>280000</v>
      </c>
      <c r="J1982" s="6"/>
      <c r="K1982" s="6" t="s">
        <v>2137</v>
      </c>
      <c r="L1982" s="6"/>
      <c r="M1982" s="6"/>
      <c r="N1982" s="6" t="s">
        <v>2137</v>
      </c>
      <c r="O1982" s="29">
        <f t="shared" si="44"/>
        <v>280000</v>
      </c>
      <c r="Q1982" s="30" t="s">
        <v>2137</v>
      </c>
      <c r="R1982" s="31">
        <v>280000</v>
      </c>
    </row>
    <row r="1983" s="1" customFormat="1" ht="16.35" hidden="1" customHeight="1" spans="1:18">
      <c r="A1983" s="6"/>
      <c r="B1983" s="6" t="s">
        <v>4123</v>
      </c>
      <c r="C1983" s="6" t="s">
        <v>4150</v>
      </c>
      <c r="D1983" s="7">
        <v>52</v>
      </c>
      <c r="E1983" s="6" t="s">
        <v>5714</v>
      </c>
      <c r="F1983" s="6" t="s">
        <v>5631</v>
      </c>
      <c r="G1983" s="6" t="s">
        <v>5632</v>
      </c>
      <c r="H1983" s="8"/>
      <c r="I1983" s="8">
        <v>140000</v>
      </c>
      <c r="J1983" s="6"/>
      <c r="K1983" s="6" t="s">
        <v>2223</v>
      </c>
      <c r="L1983" s="6"/>
      <c r="M1983" s="6"/>
      <c r="N1983" s="6" t="s">
        <v>2223</v>
      </c>
      <c r="O1983" s="29">
        <f t="shared" si="44"/>
        <v>140000</v>
      </c>
      <c r="Q1983" s="30" t="s">
        <v>2223</v>
      </c>
      <c r="R1983" s="31">
        <v>140000</v>
      </c>
    </row>
    <row r="1984" s="1" customFormat="1" ht="16.35" hidden="1" customHeight="1" spans="1:18">
      <c r="A1984" s="6"/>
      <c r="B1984" s="6" t="s">
        <v>4123</v>
      </c>
      <c r="C1984" s="6" t="s">
        <v>4150</v>
      </c>
      <c r="D1984" s="7">
        <v>6</v>
      </c>
      <c r="E1984" s="6" t="s">
        <v>5669</v>
      </c>
      <c r="F1984" s="6" t="s">
        <v>5631</v>
      </c>
      <c r="G1984" s="6" t="s">
        <v>5632</v>
      </c>
      <c r="H1984" s="8"/>
      <c r="I1984" s="8">
        <v>32</v>
      </c>
      <c r="J1984" s="6"/>
      <c r="K1984" s="6" t="s">
        <v>2314</v>
      </c>
      <c r="L1984" s="6"/>
      <c r="M1984" s="6"/>
      <c r="N1984" s="6" t="s">
        <v>2314</v>
      </c>
      <c r="O1984" s="29">
        <f t="shared" si="44"/>
        <v>32</v>
      </c>
      <c r="Q1984" s="30" t="s">
        <v>2314</v>
      </c>
      <c r="R1984" s="31">
        <v>32</v>
      </c>
    </row>
    <row r="1985" s="1" customFormat="1" ht="16.35" hidden="1" customHeight="1" spans="1:18">
      <c r="A1985" s="6"/>
      <c r="B1985" s="6" t="s">
        <v>4123</v>
      </c>
      <c r="C1985" s="6" t="s">
        <v>4150</v>
      </c>
      <c r="D1985" s="7">
        <v>11</v>
      </c>
      <c r="E1985" s="6" t="s">
        <v>5670</v>
      </c>
      <c r="F1985" s="6" t="s">
        <v>5631</v>
      </c>
      <c r="G1985" s="6" t="s">
        <v>5632</v>
      </c>
      <c r="H1985" s="8"/>
      <c r="I1985" s="8">
        <v>48438</v>
      </c>
      <c r="J1985" s="6"/>
      <c r="K1985" s="6" t="s">
        <v>2314</v>
      </c>
      <c r="L1985" s="6"/>
      <c r="M1985" s="6"/>
      <c r="N1985" s="6" t="s">
        <v>2314</v>
      </c>
      <c r="O1985" s="29">
        <f t="shared" si="44"/>
        <v>48438</v>
      </c>
      <c r="Q1985" s="30" t="s">
        <v>2314</v>
      </c>
      <c r="R1985" s="31">
        <v>48438</v>
      </c>
    </row>
    <row r="1986" s="1" customFormat="1" ht="16.35" hidden="1" customHeight="1" spans="1:18">
      <c r="A1986" s="6"/>
      <c r="B1986" s="6" t="s">
        <v>4123</v>
      </c>
      <c r="C1986" s="6" t="s">
        <v>4150</v>
      </c>
      <c r="D1986" s="7">
        <v>45</v>
      </c>
      <c r="E1986" s="6" t="s">
        <v>5715</v>
      </c>
      <c r="F1986" s="6" t="s">
        <v>5631</v>
      </c>
      <c r="G1986" s="6" t="s">
        <v>5632</v>
      </c>
      <c r="H1986" s="8"/>
      <c r="I1986" s="8">
        <v>184000</v>
      </c>
      <c r="J1986" s="6"/>
      <c r="K1986" s="6" t="s">
        <v>2314</v>
      </c>
      <c r="L1986" s="6"/>
      <c r="M1986" s="6"/>
      <c r="N1986" s="6" t="s">
        <v>2314</v>
      </c>
      <c r="O1986" s="29">
        <f t="shared" si="44"/>
        <v>184000</v>
      </c>
      <c r="Q1986" s="30" t="s">
        <v>2314</v>
      </c>
      <c r="R1986" s="31">
        <v>184000</v>
      </c>
    </row>
    <row r="1987" s="1" customFormat="1" ht="16.35" hidden="1" customHeight="1" spans="1:18">
      <c r="A1987" s="6"/>
      <c r="B1987" s="6" t="s">
        <v>4123</v>
      </c>
      <c r="C1987" s="6" t="s">
        <v>4150</v>
      </c>
      <c r="D1987" s="7">
        <v>80</v>
      </c>
      <c r="E1987" s="6" t="s">
        <v>5716</v>
      </c>
      <c r="F1987" s="6" t="s">
        <v>5631</v>
      </c>
      <c r="G1987" s="6" t="s">
        <v>5632</v>
      </c>
      <c r="H1987" s="8"/>
      <c r="I1987" s="8">
        <v>100000</v>
      </c>
      <c r="J1987" s="6"/>
      <c r="K1987" s="6" t="s">
        <v>890</v>
      </c>
      <c r="L1987" s="6"/>
      <c r="M1987" s="6"/>
      <c r="N1987" s="6" t="s">
        <v>890</v>
      </c>
      <c r="O1987" s="29">
        <f t="shared" si="44"/>
        <v>100000</v>
      </c>
      <c r="Q1987" s="30" t="s">
        <v>890</v>
      </c>
      <c r="R1987" s="31">
        <v>100000</v>
      </c>
    </row>
    <row r="1988" s="1" customFormat="1" ht="16.35" hidden="1" customHeight="1" spans="1:18">
      <c r="A1988" s="6"/>
      <c r="B1988" s="6" t="s">
        <v>4123</v>
      </c>
      <c r="C1988" s="6" t="s">
        <v>4150</v>
      </c>
      <c r="D1988" s="7">
        <v>13</v>
      </c>
      <c r="E1988" s="6" t="s">
        <v>5717</v>
      </c>
      <c r="F1988" s="6" t="s">
        <v>5631</v>
      </c>
      <c r="G1988" s="6" t="s">
        <v>5632</v>
      </c>
      <c r="H1988" s="8"/>
      <c r="I1988" s="8">
        <v>20000</v>
      </c>
      <c r="J1988" s="6"/>
      <c r="K1988" s="6" t="s">
        <v>2027</v>
      </c>
      <c r="L1988" s="6"/>
      <c r="M1988" s="6"/>
      <c r="N1988" s="6" t="s">
        <v>2027</v>
      </c>
      <c r="O1988" s="29">
        <f t="shared" ref="O1988:O2033" si="45">I1988</f>
        <v>20000</v>
      </c>
      <c r="Q1988" s="30" t="s">
        <v>2027</v>
      </c>
      <c r="R1988" s="31">
        <v>20000</v>
      </c>
    </row>
    <row r="1989" s="1" customFormat="1" ht="16.35" hidden="1" customHeight="1" spans="1:18">
      <c r="A1989" s="6"/>
      <c r="B1989" s="6" t="s">
        <v>4123</v>
      </c>
      <c r="C1989" s="6" t="s">
        <v>4150</v>
      </c>
      <c r="D1989" s="7">
        <v>33</v>
      </c>
      <c r="E1989" s="6" t="s">
        <v>5718</v>
      </c>
      <c r="F1989" s="6" t="s">
        <v>5631</v>
      </c>
      <c r="G1989" s="6" t="s">
        <v>5632</v>
      </c>
      <c r="H1989" s="8"/>
      <c r="I1989" s="8">
        <v>53873</v>
      </c>
      <c r="J1989" s="6"/>
      <c r="K1989" s="6" t="s">
        <v>1968</v>
      </c>
      <c r="L1989" s="6"/>
      <c r="M1989" s="6"/>
      <c r="N1989" s="6" t="s">
        <v>1968</v>
      </c>
      <c r="O1989" s="29">
        <f t="shared" si="45"/>
        <v>53873</v>
      </c>
      <c r="Q1989" s="30" t="s">
        <v>1968</v>
      </c>
      <c r="R1989" s="31">
        <v>53873</v>
      </c>
    </row>
    <row r="1990" s="1" customFormat="1" ht="16.35" hidden="1" customHeight="1" spans="1:18">
      <c r="A1990" s="6"/>
      <c r="B1990" s="6" t="s">
        <v>4123</v>
      </c>
      <c r="C1990" s="6" t="s">
        <v>4150</v>
      </c>
      <c r="D1990" s="7">
        <v>71</v>
      </c>
      <c r="E1990" s="6" t="s">
        <v>5719</v>
      </c>
      <c r="F1990" s="6" t="s">
        <v>5631</v>
      </c>
      <c r="G1990" s="6" t="s">
        <v>5632</v>
      </c>
      <c r="H1990" s="8"/>
      <c r="I1990" s="8">
        <v>146000</v>
      </c>
      <c r="J1990" s="6"/>
      <c r="K1990" s="6" t="s">
        <v>1968</v>
      </c>
      <c r="L1990" s="6"/>
      <c r="M1990" s="6"/>
      <c r="N1990" s="6" t="s">
        <v>1968</v>
      </c>
      <c r="O1990" s="29">
        <f t="shared" si="45"/>
        <v>146000</v>
      </c>
      <c r="Q1990" s="30" t="s">
        <v>1968</v>
      </c>
      <c r="R1990" s="31">
        <v>146000</v>
      </c>
    </row>
    <row r="1991" s="1" customFormat="1" ht="16.35" hidden="1" customHeight="1" spans="1:18">
      <c r="A1991" s="6"/>
      <c r="B1991" s="6" t="s">
        <v>4123</v>
      </c>
      <c r="C1991" s="6" t="s">
        <v>4150</v>
      </c>
      <c r="D1991" s="7">
        <v>7</v>
      </c>
      <c r="E1991" s="6" t="s">
        <v>5720</v>
      </c>
      <c r="F1991" s="6" t="s">
        <v>5631</v>
      </c>
      <c r="G1991" s="6" t="s">
        <v>5632</v>
      </c>
      <c r="H1991" s="8"/>
      <c r="I1991" s="8">
        <v>140000</v>
      </c>
      <c r="J1991" s="6"/>
      <c r="K1991" s="6" t="s">
        <v>2091</v>
      </c>
      <c r="L1991" s="6"/>
      <c r="M1991" s="6"/>
      <c r="N1991" s="6" t="s">
        <v>2091</v>
      </c>
      <c r="O1991" s="29">
        <f t="shared" si="45"/>
        <v>140000</v>
      </c>
      <c r="Q1991" s="30" t="s">
        <v>2091</v>
      </c>
      <c r="R1991" s="31">
        <v>140000</v>
      </c>
    </row>
    <row r="1992" s="1" customFormat="1" ht="16.35" hidden="1" customHeight="1" spans="1:18">
      <c r="A1992" s="6"/>
      <c r="B1992" s="6" t="s">
        <v>4123</v>
      </c>
      <c r="C1992" s="6" t="s">
        <v>4150</v>
      </c>
      <c r="D1992" s="7">
        <v>9</v>
      </c>
      <c r="E1992" s="6" t="s">
        <v>5721</v>
      </c>
      <c r="F1992" s="6" t="s">
        <v>5631</v>
      </c>
      <c r="G1992" s="6" t="s">
        <v>5632</v>
      </c>
      <c r="H1992" s="8"/>
      <c r="I1992" s="8">
        <v>130000</v>
      </c>
      <c r="J1992" s="6"/>
      <c r="K1992" s="6" t="s">
        <v>2079</v>
      </c>
      <c r="L1992" s="6"/>
      <c r="M1992" s="6"/>
      <c r="N1992" s="6" t="s">
        <v>2079</v>
      </c>
      <c r="O1992" s="29">
        <f t="shared" si="45"/>
        <v>130000</v>
      </c>
      <c r="Q1992" s="30" t="s">
        <v>2079</v>
      </c>
      <c r="R1992" s="31">
        <v>130000</v>
      </c>
    </row>
    <row r="1993" s="1" customFormat="1" ht="16.35" hidden="1" customHeight="1" spans="1:18">
      <c r="A1993" s="6"/>
      <c r="B1993" s="6" t="s">
        <v>4123</v>
      </c>
      <c r="C1993" s="6" t="s">
        <v>4150</v>
      </c>
      <c r="D1993" s="7">
        <v>27</v>
      </c>
      <c r="E1993" s="6" t="s">
        <v>5722</v>
      </c>
      <c r="F1993" s="6" t="s">
        <v>5631</v>
      </c>
      <c r="G1993" s="6" t="s">
        <v>5632</v>
      </c>
      <c r="H1993" s="8"/>
      <c r="I1993" s="8">
        <v>55000</v>
      </c>
      <c r="J1993" s="6"/>
      <c r="K1993" s="6" t="s">
        <v>2002</v>
      </c>
      <c r="L1993" s="6"/>
      <c r="M1993" s="6"/>
      <c r="N1993" s="6" t="s">
        <v>2002</v>
      </c>
      <c r="O1993" s="29">
        <f t="shared" si="45"/>
        <v>55000</v>
      </c>
      <c r="Q1993" s="30" t="s">
        <v>2002</v>
      </c>
      <c r="R1993" s="31">
        <v>55000</v>
      </c>
    </row>
    <row r="1994" s="1" customFormat="1" ht="16.35" hidden="1" customHeight="1" spans="1:18">
      <c r="A1994" s="6"/>
      <c r="B1994" s="6" t="s">
        <v>4123</v>
      </c>
      <c r="C1994" s="6" t="s">
        <v>4150</v>
      </c>
      <c r="D1994" s="7">
        <v>28</v>
      </c>
      <c r="E1994" s="6" t="s">
        <v>5723</v>
      </c>
      <c r="F1994" s="6" t="s">
        <v>5631</v>
      </c>
      <c r="G1994" s="6" t="s">
        <v>5632</v>
      </c>
      <c r="H1994" s="8"/>
      <c r="I1994" s="8">
        <v>150000</v>
      </c>
      <c r="J1994" s="6"/>
      <c r="K1994" s="6" t="s">
        <v>2115</v>
      </c>
      <c r="L1994" s="6"/>
      <c r="M1994" s="6"/>
      <c r="N1994" s="6" t="s">
        <v>2115</v>
      </c>
      <c r="O1994" s="29">
        <f t="shared" si="45"/>
        <v>150000</v>
      </c>
      <c r="Q1994" s="30" t="s">
        <v>2115</v>
      </c>
      <c r="R1994" s="31">
        <v>150000</v>
      </c>
    </row>
    <row r="1995" s="1" customFormat="1" ht="16.35" hidden="1" customHeight="1" spans="1:18">
      <c r="A1995" s="6"/>
      <c r="B1995" s="6" t="s">
        <v>4123</v>
      </c>
      <c r="C1995" s="6" t="s">
        <v>4150</v>
      </c>
      <c r="D1995" s="7">
        <v>15</v>
      </c>
      <c r="E1995" s="6" t="s">
        <v>5724</v>
      </c>
      <c r="F1995" s="6" t="s">
        <v>5631</v>
      </c>
      <c r="G1995" s="6" t="s">
        <v>5632</v>
      </c>
      <c r="H1995" s="8"/>
      <c r="I1995" s="8">
        <v>445000</v>
      </c>
      <c r="J1995" s="6"/>
      <c r="K1995" s="6" t="s">
        <v>2793</v>
      </c>
      <c r="L1995" s="6"/>
      <c r="M1995" s="6"/>
      <c r="N1995" s="6" t="s">
        <v>2793</v>
      </c>
      <c r="O1995" s="29">
        <f t="shared" si="45"/>
        <v>445000</v>
      </c>
      <c r="Q1995" s="30" t="s">
        <v>2793</v>
      </c>
      <c r="R1995" s="31">
        <v>445000</v>
      </c>
    </row>
    <row r="1996" s="1" customFormat="1" ht="16.35" hidden="1" customHeight="1" spans="1:18">
      <c r="A1996" s="6"/>
      <c r="B1996" s="6" t="s">
        <v>4123</v>
      </c>
      <c r="C1996" s="6" t="s">
        <v>4150</v>
      </c>
      <c r="D1996" s="7">
        <v>121</v>
      </c>
      <c r="E1996" s="6" t="s">
        <v>5725</v>
      </c>
      <c r="F1996" s="6" t="s">
        <v>5631</v>
      </c>
      <c r="G1996" s="6" t="s">
        <v>5632</v>
      </c>
      <c r="H1996" s="8"/>
      <c r="I1996" s="8">
        <v>140000</v>
      </c>
      <c r="J1996" s="6"/>
      <c r="K1996" s="6" t="s">
        <v>2265</v>
      </c>
      <c r="L1996" s="6"/>
      <c r="M1996" s="6"/>
      <c r="N1996" s="6" t="s">
        <v>2265</v>
      </c>
      <c r="O1996" s="29">
        <f t="shared" si="45"/>
        <v>140000</v>
      </c>
      <c r="Q1996" s="30" t="s">
        <v>2265</v>
      </c>
      <c r="R1996" s="31">
        <v>140000</v>
      </c>
    </row>
    <row r="1997" s="1" customFormat="1" ht="16.35" hidden="1" customHeight="1" spans="1:18">
      <c r="A1997" s="6"/>
      <c r="B1997" s="6" t="s">
        <v>4123</v>
      </c>
      <c r="C1997" s="6" t="s">
        <v>4150</v>
      </c>
      <c r="D1997" s="7">
        <v>59</v>
      </c>
      <c r="E1997" s="6" t="s">
        <v>5726</v>
      </c>
      <c r="F1997" s="6" t="s">
        <v>5631</v>
      </c>
      <c r="G1997" s="6" t="s">
        <v>5632</v>
      </c>
      <c r="H1997" s="8"/>
      <c r="I1997" s="8">
        <v>163000</v>
      </c>
      <c r="J1997" s="6"/>
      <c r="K1997" s="6" t="s">
        <v>2257</v>
      </c>
      <c r="L1997" s="6"/>
      <c r="M1997" s="6"/>
      <c r="N1997" s="6" t="s">
        <v>2257</v>
      </c>
      <c r="O1997" s="29">
        <f t="shared" si="45"/>
        <v>163000</v>
      </c>
      <c r="Q1997" s="30" t="s">
        <v>2257</v>
      </c>
      <c r="R1997" s="31">
        <v>163000</v>
      </c>
    </row>
    <row r="1998" s="1" customFormat="1" ht="16.35" hidden="1" customHeight="1" spans="1:18">
      <c r="A1998" s="6"/>
      <c r="B1998" s="6" t="s">
        <v>4123</v>
      </c>
      <c r="C1998" s="6" t="s">
        <v>4150</v>
      </c>
      <c r="D1998" s="7">
        <v>8</v>
      </c>
      <c r="E1998" s="6" t="s">
        <v>5727</v>
      </c>
      <c r="F1998" s="6" t="s">
        <v>5631</v>
      </c>
      <c r="G1998" s="6" t="s">
        <v>5632</v>
      </c>
      <c r="H1998" s="8"/>
      <c r="I1998" s="8">
        <v>149000</v>
      </c>
      <c r="J1998" s="6"/>
      <c r="K1998" s="6" t="s">
        <v>2307</v>
      </c>
      <c r="L1998" s="6"/>
      <c r="M1998" s="6"/>
      <c r="N1998" s="6" t="s">
        <v>2307</v>
      </c>
      <c r="O1998" s="29">
        <f t="shared" si="45"/>
        <v>149000</v>
      </c>
      <c r="Q1998" s="30" t="s">
        <v>2307</v>
      </c>
      <c r="R1998" s="31">
        <v>149000</v>
      </c>
    </row>
    <row r="1999" s="1" customFormat="1" ht="16.35" hidden="1" customHeight="1" spans="1:18">
      <c r="A1999" s="6"/>
      <c r="B1999" s="6" t="s">
        <v>4123</v>
      </c>
      <c r="C1999" s="6" t="s">
        <v>4150</v>
      </c>
      <c r="D1999" s="7">
        <v>18</v>
      </c>
      <c r="E1999" s="6" t="s">
        <v>5728</v>
      </c>
      <c r="F1999" s="6" t="s">
        <v>5631</v>
      </c>
      <c r="G1999" s="6" t="s">
        <v>5632</v>
      </c>
      <c r="H1999" s="8"/>
      <c r="I1999" s="8">
        <v>50000</v>
      </c>
      <c r="J1999" s="6"/>
      <c r="K1999" s="6" t="s">
        <v>2255</v>
      </c>
      <c r="L1999" s="6"/>
      <c r="M1999" s="6"/>
      <c r="N1999" s="6" t="s">
        <v>2255</v>
      </c>
      <c r="O1999" s="29">
        <f t="shared" si="45"/>
        <v>50000</v>
      </c>
      <c r="Q1999" s="30" t="s">
        <v>2255</v>
      </c>
      <c r="R1999" s="31">
        <v>50000</v>
      </c>
    </row>
    <row r="2000" s="1" customFormat="1" ht="16.35" hidden="1" customHeight="1" spans="1:18">
      <c r="A2000" s="6"/>
      <c r="B2000" s="6" t="s">
        <v>4123</v>
      </c>
      <c r="C2000" s="6" t="s">
        <v>4150</v>
      </c>
      <c r="D2000" s="7">
        <v>2</v>
      </c>
      <c r="E2000" s="6" t="s">
        <v>5729</v>
      </c>
      <c r="F2000" s="6" t="s">
        <v>5631</v>
      </c>
      <c r="G2000" s="6" t="s">
        <v>5632</v>
      </c>
      <c r="H2000" s="8"/>
      <c r="I2000" s="8">
        <v>5790</v>
      </c>
      <c r="J2000" s="6"/>
      <c r="K2000" s="6" t="s">
        <v>2255</v>
      </c>
      <c r="L2000" s="6"/>
      <c r="M2000" s="6"/>
      <c r="N2000" s="6" t="s">
        <v>2255</v>
      </c>
      <c r="O2000" s="29">
        <f t="shared" si="45"/>
        <v>5790</v>
      </c>
      <c r="Q2000" s="30" t="s">
        <v>2255</v>
      </c>
      <c r="R2000" s="31">
        <v>5790</v>
      </c>
    </row>
    <row r="2001" s="1" customFormat="1" ht="16.35" hidden="1" customHeight="1" spans="1:18">
      <c r="A2001" s="6"/>
      <c r="B2001" s="6" t="s">
        <v>4123</v>
      </c>
      <c r="C2001" s="6" t="s">
        <v>4150</v>
      </c>
      <c r="D2001" s="7">
        <v>58</v>
      </c>
      <c r="E2001" s="6" t="s">
        <v>5730</v>
      </c>
      <c r="F2001" s="6" t="s">
        <v>5631</v>
      </c>
      <c r="G2001" s="6" t="s">
        <v>5632</v>
      </c>
      <c r="H2001" s="8"/>
      <c r="I2001" s="8">
        <v>170000</v>
      </c>
      <c r="J2001" s="6"/>
      <c r="K2001" s="6" t="s">
        <v>2255</v>
      </c>
      <c r="L2001" s="6"/>
      <c r="M2001" s="6"/>
      <c r="N2001" s="6" t="s">
        <v>2255</v>
      </c>
      <c r="O2001" s="29">
        <f t="shared" si="45"/>
        <v>170000</v>
      </c>
      <c r="Q2001" s="30" t="s">
        <v>2255</v>
      </c>
      <c r="R2001" s="31">
        <v>170000</v>
      </c>
    </row>
    <row r="2002" s="1" customFormat="1" ht="16.35" hidden="1" customHeight="1" spans="1:18">
      <c r="A2002" s="6"/>
      <c r="B2002" s="6" t="s">
        <v>4123</v>
      </c>
      <c r="C2002" s="6" t="s">
        <v>4150</v>
      </c>
      <c r="D2002" s="7">
        <v>32</v>
      </c>
      <c r="E2002" s="6" t="s">
        <v>5731</v>
      </c>
      <c r="F2002" s="6" t="s">
        <v>5631</v>
      </c>
      <c r="G2002" s="6" t="s">
        <v>5632</v>
      </c>
      <c r="H2002" s="8"/>
      <c r="I2002" s="8">
        <v>75000</v>
      </c>
      <c r="J2002" s="6"/>
      <c r="K2002" s="6" t="s">
        <v>2217</v>
      </c>
      <c r="L2002" s="6"/>
      <c r="M2002" s="6"/>
      <c r="N2002" s="6" t="s">
        <v>2217</v>
      </c>
      <c r="O2002" s="29">
        <f t="shared" si="45"/>
        <v>75000</v>
      </c>
      <c r="Q2002" s="30" t="s">
        <v>2217</v>
      </c>
      <c r="R2002" s="31">
        <v>75000</v>
      </c>
    </row>
    <row r="2003" s="1" customFormat="1" ht="16.35" hidden="1" customHeight="1" spans="1:18">
      <c r="A2003" s="6"/>
      <c r="B2003" s="6" t="s">
        <v>4123</v>
      </c>
      <c r="C2003" s="6" t="s">
        <v>4150</v>
      </c>
      <c r="D2003" s="7">
        <v>64</v>
      </c>
      <c r="E2003" s="6" t="s">
        <v>5732</v>
      </c>
      <c r="F2003" s="6" t="s">
        <v>5631</v>
      </c>
      <c r="G2003" s="6" t="s">
        <v>5632</v>
      </c>
      <c r="H2003" s="8"/>
      <c r="I2003" s="8">
        <v>140000</v>
      </c>
      <c r="J2003" s="6"/>
      <c r="K2003" s="6" t="s">
        <v>2217</v>
      </c>
      <c r="L2003" s="6"/>
      <c r="M2003" s="6"/>
      <c r="N2003" s="6" t="s">
        <v>2217</v>
      </c>
      <c r="O2003" s="29">
        <f t="shared" si="45"/>
        <v>140000</v>
      </c>
      <c r="Q2003" s="30" t="s">
        <v>2217</v>
      </c>
      <c r="R2003" s="31">
        <v>140000</v>
      </c>
    </row>
    <row r="2004" s="1" customFormat="1" ht="16.35" hidden="1" customHeight="1" spans="1:18">
      <c r="A2004" s="6"/>
      <c r="B2004" s="6" t="s">
        <v>4123</v>
      </c>
      <c r="C2004" s="6" t="s">
        <v>4150</v>
      </c>
      <c r="D2004" s="7">
        <v>67</v>
      </c>
      <c r="E2004" s="6" t="s">
        <v>5733</v>
      </c>
      <c r="F2004" s="6" t="s">
        <v>5631</v>
      </c>
      <c r="G2004" s="6" t="s">
        <v>5632</v>
      </c>
      <c r="H2004" s="8"/>
      <c r="I2004" s="8">
        <v>10000</v>
      </c>
      <c r="J2004" s="6"/>
      <c r="K2004" s="6" t="s">
        <v>2217</v>
      </c>
      <c r="L2004" s="6"/>
      <c r="M2004" s="6"/>
      <c r="N2004" s="6" t="s">
        <v>2217</v>
      </c>
      <c r="O2004" s="29">
        <f t="shared" si="45"/>
        <v>10000</v>
      </c>
      <c r="Q2004" s="30" t="s">
        <v>2217</v>
      </c>
      <c r="R2004" s="31">
        <v>10000</v>
      </c>
    </row>
    <row r="2005" s="1" customFormat="1" ht="16.35" hidden="1" customHeight="1" spans="1:18">
      <c r="A2005" s="6"/>
      <c r="B2005" s="6" t="s">
        <v>4123</v>
      </c>
      <c r="C2005" s="6" t="s">
        <v>4150</v>
      </c>
      <c r="D2005" s="7">
        <v>38</v>
      </c>
      <c r="E2005" s="6" t="s">
        <v>5734</v>
      </c>
      <c r="F2005" s="6" t="s">
        <v>5631</v>
      </c>
      <c r="G2005" s="6" t="s">
        <v>5632</v>
      </c>
      <c r="H2005" s="8"/>
      <c r="I2005" s="8">
        <v>60404</v>
      </c>
      <c r="J2005" s="6"/>
      <c r="K2005" s="6" t="s">
        <v>2259</v>
      </c>
      <c r="L2005" s="6"/>
      <c r="M2005" s="6"/>
      <c r="N2005" s="6" t="s">
        <v>2259</v>
      </c>
      <c r="O2005" s="29">
        <f t="shared" si="45"/>
        <v>60404</v>
      </c>
      <c r="Q2005" s="30" t="s">
        <v>2259</v>
      </c>
      <c r="R2005" s="31">
        <v>60404</v>
      </c>
    </row>
    <row r="2006" s="1" customFormat="1" ht="16.35" hidden="1" customHeight="1" spans="1:18">
      <c r="A2006" s="6"/>
      <c r="B2006" s="6" t="s">
        <v>4123</v>
      </c>
      <c r="C2006" s="6" t="s">
        <v>4150</v>
      </c>
      <c r="D2006" s="7">
        <v>70</v>
      </c>
      <c r="E2006" s="6" t="s">
        <v>5735</v>
      </c>
      <c r="F2006" s="6" t="s">
        <v>5631</v>
      </c>
      <c r="G2006" s="6" t="s">
        <v>5632</v>
      </c>
      <c r="H2006" s="8"/>
      <c r="I2006" s="8">
        <v>160000</v>
      </c>
      <c r="J2006" s="6"/>
      <c r="K2006" s="6" t="s">
        <v>2259</v>
      </c>
      <c r="L2006" s="6"/>
      <c r="M2006" s="6"/>
      <c r="N2006" s="6" t="s">
        <v>2259</v>
      </c>
      <c r="O2006" s="29">
        <f t="shared" si="45"/>
        <v>160000</v>
      </c>
      <c r="Q2006" s="30" t="s">
        <v>2259</v>
      </c>
      <c r="R2006" s="31">
        <v>160000</v>
      </c>
    </row>
    <row r="2007" s="1" customFormat="1" ht="16.35" hidden="1" customHeight="1" spans="1:18">
      <c r="A2007" s="6"/>
      <c r="B2007" s="6" t="s">
        <v>4123</v>
      </c>
      <c r="C2007" s="6" t="s">
        <v>4150</v>
      </c>
      <c r="D2007" s="7">
        <v>30</v>
      </c>
      <c r="E2007" s="6" t="s">
        <v>5736</v>
      </c>
      <c r="F2007" s="6" t="s">
        <v>5631</v>
      </c>
      <c r="G2007" s="6" t="s">
        <v>5632</v>
      </c>
      <c r="H2007" s="8"/>
      <c r="I2007" s="8">
        <v>70000</v>
      </c>
      <c r="J2007" s="6"/>
      <c r="K2007" s="6" t="s">
        <v>2037</v>
      </c>
      <c r="L2007" s="6"/>
      <c r="M2007" s="6"/>
      <c r="N2007" s="6" t="s">
        <v>2037</v>
      </c>
      <c r="O2007" s="29">
        <f t="shared" si="45"/>
        <v>70000</v>
      </c>
      <c r="Q2007" s="30" t="s">
        <v>2037</v>
      </c>
      <c r="R2007" s="31">
        <v>70000</v>
      </c>
    </row>
    <row r="2008" s="1" customFormat="1" ht="16.35" hidden="1" customHeight="1" spans="1:18">
      <c r="A2008" s="6"/>
      <c r="B2008" s="6" t="s">
        <v>4123</v>
      </c>
      <c r="C2008" s="6" t="s">
        <v>4150</v>
      </c>
      <c r="D2008" s="7">
        <v>74</v>
      </c>
      <c r="E2008" s="6" t="s">
        <v>5737</v>
      </c>
      <c r="F2008" s="6" t="s">
        <v>5631</v>
      </c>
      <c r="G2008" s="6" t="s">
        <v>5632</v>
      </c>
      <c r="H2008" s="8"/>
      <c r="I2008" s="8">
        <v>156057</v>
      </c>
      <c r="J2008" s="6"/>
      <c r="K2008" s="6" t="s">
        <v>2801</v>
      </c>
      <c r="L2008" s="6"/>
      <c r="M2008" s="6"/>
      <c r="N2008" s="6" t="s">
        <v>2801</v>
      </c>
      <c r="O2008" s="29">
        <f t="shared" si="45"/>
        <v>156057</v>
      </c>
      <c r="Q2008" s="30" t="s">
        <v>2801</v>
      </c>
      <c r="R2008" s="31">
        <v>156057</v>
      </c>
    </row>
    <row r="2009" s="1" customFormat="1" ht="16.35" hidden="1" customHeight="1" spans="1:18">
      <c r="A2009" s="6"/>
      <c r="B2009" s="6" t="s">
        <v>4123</v>
      </c>
      <c r="C2009" s="6" t="s">
        <v>4150</v>
      </c>
      <c r="D2009" s="7">
        <v>17</v>
      </c>
      <c r="E2009" s="6" t="s">
        <v>5738</v>
      </c>
      <c r="F2009" s="6" t="s">
        <v>5631</v>
      </c>
      <c r="G2009" s="6" t="s">
        <v>5632</v>
      </c>
      <c r="H2009" s="8"/>
      <c r="I2009" s="8">
        <v>20000</v>
      </c>
      <c r="J2009" s="6"/>
      <c r="K2009" s="6" t="s">
        <v>2000</v>
      </c>
      <c r="L2009" s="6"/>
      <c r="M2009" s="6"/>
      <c r="N2009" s="6" t="s">
        <v>2000</v>
      </c>
      <c r="O2009" s="29">
        <f t="shared" si="45"/>
        <v>20000</v>
      </c>
      <c r="Q2009" s="30" t="s">
        <v>2000</v>
      </c>
      <c r="R2009" s="31">
        <v>20000</v>
      </c>
    </row>
    <row r="2010" s="1" customFormat="1" ht="16.35" hidden="1" customHeight="1" spans="1:18">
      <c r="A2010" s="6"/>
      <c r="B2010" s="6" t="s">
        <v>4123</v>
      </c>
      <c r="C2010" s="6" t="s">
        <v>4150</v>
      </c>
      <c r="D2010" s="7">
        <v>23</v>
      </c>
      <c r="E2010" s="6" t="s">
        <v>5739</v>
      </c>
      <c r="F2010" s="6" t="s">
        <v>5631</v>
      </c>
      <c r="G2010" s="6" t="s">
        <v>5632</v>
      </c>
      <c r="H2010" s="8"/>
      <c r="I2010" s="8">
        <v>135000</v>
      </c>
      <c r="J2010" s="6"/>
      <c r="K2010" s="6" t="s">
        <v>1978</v>
      </c>
      <c r="L2010" s="6"/>
      <c r="M2010" s="6"/>
      <c r="N2010" s="6" t="s">
        <v>1978</v>
      </c>
      <c r="O2010" s="29">
        <f t="shared" si="45"/>
        <v>135000</v>
      </c>
      <c r="Q2010" s="30" t="s">
        <v>1978</v>
      </c>
      <c r="R2010" s="31">
        <v>135000</v>
      </c>
    </row>
    <row r="2011" s="1" customFormat="1" ht="16.35" hidden="1" customHeight="1" spans="1:18">
      <c r="A2011" s="6"/>
      <c r="B2011" s="6" t="s">
        <v>4123</v>
      </c>
      <c r="C2011" s="6" t="s">
        <v>4150</v>
      </c>
      <c r="D2011" s="7">
        <v>50</v>
      </c>
      <c r="E2011" s="6" t="s">
        <v>5740</v>
      </c>
      <c r="F2011" s="6" t="s">
        <v>5631</v>
      </c>
      <c r="G2011" s="6" t="s">
        <v>5632</v>
      </c>
      <c r="H2011" s="8"/>
      <c r="I2011" s="8">
        <v>1000</v>
      </c>
      <c r="J2011" s="6"/>
      <c r="K2011" s="6" t="s">
        <v>1974</v>
      </c>
      <c r="L2011" s="6"/>
      <c r="M2011" s="6"/>
      <c r="N2011" s="6" t="s">
        <v>1974</v>
      </c>
      <c r="O2011" s="29">
        <f t="shared" si="45"/>
        <v>1000</v>
      </c>
      <c r="Q2011" s="30" t="s">
        <v>1974</v>
      </c>
      <c r="R2011" s="31">
        <v>1000</v>
      </c>
    </row>
    <row r="2012" s="1" customFormat="1" ht="16.35" hidden="1" customHeight="1" spans="1:18">
      <c r="A2012" s="6"/>
      <c r="B2012" s="6" t="s">
        <v>4123</v>
      </c>
      <c r="C2012" s="6" t="s">
        <v>4150</v>
      </c>
      <c r="D2012" s="7">
        <v>63</v>
      </c>
      <c r="E2012" s="6" t="s">
        <v>5741</v>
      </c>
      <c r="F2012" s="6" t="s">
        <v>5631</v>
      </c>
      <c r="G2012" s="6" t="s">
        <v>5632</v>
      </c>
      <c r="H2012" s="8"/>
      <c r="I2012" s="8">
        <v>57675</v>
      </c>
      <c r="J2012" s="6"/>
      <c r="K2012" s="6" t="s">
        <v>1974</v>
      </c>
      <c r="L2012" s="6"/>
      <c r="M2012" s="6"/>
      <c r="N2012" s="6" t="s">
        <v>1974</v>
      </c>
      <c r="O2012" s="29">
        <f t="shared" si="45"/>
        <v>57675</v>
      </c>
      <c r="Q2012" s="30" t="s">
        <v>1974</v>
      </c>
      <c r="R2012" s="31">
        <v>57675</v>
      </c>
    </row>
    <row r="2013" s="1" customFormat="1" ht="16.35" hidden="1" customHeight="1" spans="1:18">
      <c r="A2013" s="6"/>
      <c r="B2013" s="6" t="s">
        <v>4123</v>
      </c>
      <c r="C2013" s="6" t="s">
        <v>4150</v>
      </c>
      <c r="D2013" s="7">
        <v>25</v>
      </c>
      <c r="E2013" s="6" t="s">
        <v>5742</v>
      </c>
      <c r="F2013" s="6" t="s">
        <v>5631</v>
      </c>
      <c r="G2013" s="6" t="s">
        <v>5632</v>
      </c>
      <c r="H2013" s="8"/>
      <c r="I2013" s="8">
        <v>140000</v>
      </c>
      <c r="J2013" s="6"/>
      <c r="K2013" s="6" t="s">
        <v>2031</v>
      </c>
      <c r="L2013" s="6"/>
      <c r="M2013" s="6"/>
      <c r="N2013" s="6" t="s">
        <v>2031</v>
      </c>
      <c r="O2013" s="29">
        <f t="shared" si="45"/>
        <v>140000</v>
      </c>
      <c r="Q2013" s="30" t="s">
        <v>2031</v>
      </c>
      <c r="R2013" s="31">
        <v>140000</v>
      </c>
    </row>
    <row r="2014" s="1" customFormat="1" ht="16.35" hidden="1" customHeight="1" spans="1:18">
      <c r="A2014" s="6"/>
      <c r="B2014" s="6" t="s">
        <v>4123</v>
      </c>
      <c r="C2014" s="6" t="s">
        <v>4150</v>
      </c>
      <c r="D2014" s="7">
        <v>73</v>
      </c>
      <c r="E2014" s="6" t="s">
        <v>5743</v>
      </c>
      <c r="F2014" s="6" t="s">
        <v>5631</v>
      </c>
      <c r="G2014" s="6" t="s">
        <v>5632</v>
      </c>
      <c r="H2014" s="8"/>
      <c r="I2014" s="8">
        <v>4000</v>
      </c>
      <c r="J2014" s="6"/>
      <c r="K2014" s="6" t="s">
        <v>2031</v>
      </c>
      <c r="L2014" s="6"/>
      <c r="M2014" s="6"/>
      <c r="N2014" s="6" t="s">
        <v>2031</v>
      </c>
      <c r="O2014" s="29">
        <f t="shared" si="45"/>
        <v>4000</v>
      </c>
      <c r="Q2014" s="30" t="s">
        <v>2031</v>
      </c>
      <c r="R2014" s="31">
        <v>4000</v>
      </c>
    </row>
    <row r="2015" s="1" customFormat="1" ht="16.35" hidden="1" customHeight="1" spans="1:18">
      <c r="A2015" s="6"/>
      <c r="B2015" s="6" t="s">
        <v>4123</v>
      </c>
      <c r="C2015" s="6" t="s">
        <v>4150</v>
      </c>
      <c r="D2015" s="7">
        <v>10</v>
      </c>
      <c r="E2015" s="6" t="s">
        <v>5744</v>
      </c>
      <c r="F2015" s="6" t="s">
        <v>5631</v>
      </c>
      <c r="G2015" s="6" t="s">
        <v>5632</v>
      </c>
      <c r="H2015" s="8"/>
      <c r="I2015" s="8">
        <v>180000</v>
      </c>
      <c r="J2015" s="6"/>
      <c r="K2015" s="6" t="s">
        <v>2167</v>
      </c>
      <c r="L2015" s="6"/>
      <c r="M2015" s="6"/>
      <c r="N2015" s="6" t="s">
        <v>2167</v>
      </c>
      <c r="O2015" s="29">
        <f t="shared" si="45"/>
        <v>180000</v>
      </c>
      <c r="Q2015" s="30" t="s">
        <v>2167</v>
      </c>
      <c r="R2015" s="31">
        <v>180000</v>
      </c>
    </row>
    <row r="2016" s="1" customFormat="1" ht="16.35" hidden="1" customHeight="1" spans="1:18">
      <c r="A2016" s="6"/>
      <c r="B2016" s="6" t="s">
        <v>4123</v>
      </c>
      <c r="C2016" s="6" t="s">
        <v>4150</v>
      </c>
      <c r="D2016" s="7">
        <v>16</v>
      </c>
      <c r="E2016" s="6" t="s">
        <v>5685</v>
      </c>
      <c r="F2016" s="6" t="s">
        <v>5631</v>
      </c>
      <c r="G2016" s="6" t="s">
        <v>5632</v>
      </c>
      <c r="H2016" s="8"/>
      <c r="I2016" s="8">
        <v>5000</v>
      </c>
      <c r="J2016" s="6"/>
      <c r="K2016" s="6" t="s">
        <v>2153</v>
      </c>
      <c r="L2016" s="6"/>
      <c r="M2016" s="6"/>
      <c r="N2016" s="6" t="s">
        <v>2153</v>
      </c>
      <c r="O2016" s="29">
        <f t="shared" si="45"/>
        <v>5000</v>
      </c>
      <c r="Q2016" s="30" t="s">
        <v>2153</v>
      </c>
      <c r="R2016" s="31">
        <v>5000</v>
      </c>
    </row>
    <row r="2017" s="1" customFormat="1" ht="16.35" hidden="1" customHeight="1" spans="1:18">
      <c r="A2017" s="6"/>
      <c r="B2017" s="6" t="s">
        <v>4123</v>
      </c>
      <c r="C2017" s="6" t="s">
        <v>4150</v>
      </c>
      <c r="D2017" s="7">
        <v>49</v>
      </c>
      <c r="E2017" s="6" t="s">
        <v>5745</v>
      </c>
      <c r="F2017" s="6" t="s">
        <v>5631</v>
      </c>
      <c r="G2017" s="6" t="s">
        <v>5632</v>
      </c>
      <c r="H2017" s="8"/>
      <c r="I2017" s="8">
        <v>50000</v>
      </c>
      <c r="J2017" s="6"/>
      <c r="K2017" s="6" t="s">
        <v>2153</v>
      </c>
      <c r="L2017" s="6"/>
      <c r="M2017" s="6"/>
      <c r="N2017" s="6" t="s">
        <v>2153</v>
      </c>
      <c r="O2017" s="29">
        <f t="shared" si="45"/>
        <v>50000</v>
      </c>
      <c r="Q2017" s="30" t="s">
        <v>2153</v>
      </c>
      <c r="R2017" s="31">
        <v>50000</v>
      </c>
    </row>
    <row r="2018" s="1" customFormat="1" ht="16.35" hidden="1" customHeight="1" spans="1:18">
      <c r="A2018" s="6"/>
      <c r="B2018" s="6" t="s">
        <v>4123</v>
      </c>
      <c r="C2018" s="6" t="s">
        <v>4150</v>
      </c>
      <c r="D2018" s="7">
        <v>21</v>
      </c>
      <c r="E2018" s="6" t="s">
        <v>5746</v>
      </c>
      <c r="F2018" s="6" t="s">
        <v>5631</v>
      </c>
      <c r="G2018" s="6" t="s">
        <v>5632</v>
      </c>
      <c r="H2018" s="8"/>
      <c r="I2018" s="8">
        <v>39400</v>
      </c>
      <c r="J2018" s="6"/>
      <c r="K2018" s="6" t="s">
        <v>2239</v>
      </c>
      <c r="L2018" s="6"/>
      <c r="M2018" s="6"/>
      <c r="N2018" s="6" t="s">
        <v>2239</v>
      </c>
      <c r="O2018" s="29">
        <f t="shared" si="45"/>
        <v>39400</v>
      </c>
      <c r="Q2018" s="30" t="s">
        <v>2239</v>
      </c>
      <c r="R2018" s="31">
        <v>39400</v>
      </c>
    </row>
    <row r="2019" s="1" customFormat="1" ht="16.35" hidden="1" customHeight="1" spans="1:18">
      <c r="A2019" s="6"/>
      <c r="B2019" s="6" t="s">
        <v>4123</v>
      </c>
      <c r="C2019" s="6" t="s">
        <v>4150</v>
      </c>
      <c r="D2019" s="7">
        <v>4</v>
      </c>
      <c r="E2019" s="6" t="s">
        <v>5747</v>
      </c>
      <c r="F2019" s="6" t="s">
        <v>5631</v>
      </c>
      <c r="G2019" s="6" t="s">
        <v>5632</v>
      </c>
      <c r="H2019" s="8"/>
      <c r="I2019" s="8">
        <v>26053</v>
      </c>
      <c r="J2019" s="6"/>
      <c r="K2019" s="6" t="s">
        <v>2239</v>
      </c>
      <c r="L2019" s="6"/>
      <c r="M2019" s="6"/>
      <c r="N2019" s="6" t="s">
        <v>2239</v>
      </c>
      <c r="O2019" s="29">
        <f t="shared" si="45"/>
        <v>26053</v>
      </c>
      <c r="Q2019" s="30" t="s">
        <v>2239</v>
      </c>
      <c r="R2019" s="31">
        <v>26053</v>
      </c>
    </row>
    <row r="2020" s="1" customFormat="1" ht="16.35" hidden="1" customHeight="1" spans="1:18">
      <c r="A2020" s="6"/>
      <c r="B2020" s="6" t="s">
        <v>4123</v>
      </c>
      <c r="C2020" s="6" t="s">
        <v>4150</v>
      </c>
      <c r="D2020" s="7">
        <v>65</v>
      </c>
      <c r="E2020" s="6" t="s">
        <v>5748</v>
      </c>
      <c r="F2020" s="6" t="s">
        <v>5631</v>
      </c>
      <c r="G2020" s="6" t="s">
        <v>5632</v>
      </c>
      <c r="H2020" s="8"/>
      <c r="I2020" s="8">
        <v>150000</v>
      </c>
      <c r="J2020" s="6"/>
      <c r="K2020" s="6" t="s">
        <v>2239</v>
      </c>
      <c r="L2020" s="6"/>
      <c r="M2020" s="6"/>
      <c r="N2020" s="6" t="s">
        <v>2239</v>
      </c>
      <c r="O2020" s="29">
        <f t="shared" si="45"/>
        <v>150000</v>
      </c>
      <c r="Q2020" s="30" t="s">
        <v>2239</v>
      </c>
      <c r="R2020" s="31">
        <v>150000</v>
      </c>
    </row>
    <row r="2021" s="1" customFormat="1" ht="16.35" hidden="1" customHeight="1" spans="1:18">
      <c r="A2021" s="6"/>
      <c r="B2021" s="6" t="s">
        <v>4123</v>
      </c>
      <c r="C2021" s="6" t="s">
        <v>4150</v>
      </c>
      <c r="D2021" s="7">
        <v>56</v>
      </c>
      <c r="E2021" s="6" t="s">
        <v>5749</v>
      </c>
      <c r="F2021" s="6" t="s">
        <v>5631</v>
      </c>
      <c r="G2021" s="6" t="s">
        <v>5632</v>
      </c>
      <c r="H2021" s="8"/>
      <c r="I2021" s="8">
        <v>140000</v>
      </c>
      <c r="J2021" s="6"/>
      <c r="K2021" s="6" t="s">
        <v>2204</v>
      </c>
      <c r="L2021" s="6"/>
      <c r="M2021" s="6"/>
      <c r="N2021" s="6" t="s">
        <v>2204</v>
      </c>
      <c r="O2021" s="29">
        <f t="shared" si="45"/>
        <v>140000</v>
      </c>
      <c r="Q2021" s="30" t="s">
        <v>2204</v>
      </c>
      <c r="R2021" s="31">
        <v>140000</v>
      </c>
    </row>
    <row r="2022" s="1" customFormat="1" ht="16.35" hidden="1" customHeight="1" spans="1:18">
      <c r="A2022" s="6"/>
      <c r="B2022" s="6" t="s">
        <v>4123</v>
      </c>
      <c r="C2022" s="6" t="s">
        <v>4150</v>
      </c>
      <c r="D2022" s="7">
        <v>53</v>
      </c>
      <c r="E2022" s="6" t="s">
        <v>5750</v>
      </c>
      <c r="F2022" s="6" t="s">
        <v>5631</v>
      </c>
      <c r="G2022" s="6" t="s">
        <v>5632</v>
      </c>
      <c r="H2022" s="8"/>
      <c r="I2022" s="8">
        <v>10000</v>
      </c>
      <c r="J2022" s="6"/>
      <c r="K2022" s="6" t="s">
        <v>2204</v>
      </c>
      <c r="L2022" s="6"/>
      <c r="M2022" s="6"/>
      <c r="N2022" s="6" t="s">
        <v>2204</v>
      </c>
      <c r="O2022" s="29">
        <f t="shared" si="45"/>
        <v>10000</v>
      </c>
      <c r="Q2022" s="30" t="s">
        <v>2204</v>
      </c>
      <c r="R2022" s="31">
        <v>10000</v>
      </c>
    </row>
    <row r="2023" s="1" customFormat="1" ht="16.35" hidden="1" customHeight="1" spans="1:18">
      <c r="A2023" s="6"/>
      <c r="B2023" s="6" t="s">
        <v>4123</v>
      </c>
      <c r="C2023" s="6" t="s">
        <v>4150</v>
      </c>
      <c r="D2023" s="7">
        <v>19</v>
      </c>
      <c r="E2023" s="6" t="s">
        <v>5751</v>
      </c>
      <c r="F2023" s="6" t="s">
        <v>5631</v>
      </c>
      <c r="G2023" s="6" t="s">
        <v>5632</v>
      </c>
      <c r="H2023" s="8"/>
      <c r="I2023" s="8">
        <v>45000</v>
      </c>
      <c r="J2023" s="6"/>
      <c r="K2023" s="6" t="s">
        <v>2197</v>
      </c>
      <c r="L2023" s="6"/>
      <c r="M2023" s="6"/>
      <c r="N2023" s="6" t="s">
        <v>2197</v>
      </c>
      <c r="O2023" s="29">
        <f t="shared" si="45"/>
        <v>45000</v>
      </c>
      <c r="Q2023" s="30" t="s">
        <v>2197</v>
      </c>
      <c r="R2023" s="31">
        <v>45000</v>
      </c>
    </row>
    <row r="2024" s="1" customFormat="1" ht="16.35" hidden="1" customHeight="1" spans="1:18">
      <c r="A2024" s="6"/>
      <c r="B2024" s="6" t="s">
        <v>4123</v>
      </c>
      <c r="C2024" s="6" t="s">
        <v>4150</v>
      </c>
      <c r="D2024" s="7">
        <v>5</v>
      </c>
      <c r="E2024" s="6" t="s">
        <v>5686</v>
      </c>
      <c r="F2024" s="6" t="s">
        <v>5631</v>
      </c>
      <c r="G2024" s="6" t="s">
        <v>5632</v>
      </c>
      <c r="H2024" s="8"/>
      <c r="I2024" s="8">
        <v>923</v>
      </c>
      <c r="J2024" s="6"/>
      <c r="K2024" s="6" t="s">
        <v>2197</v>
      </c>
      <c r="L2024" s="6"/>
      <c r="M2024" s="6"/>
      <c r="N2024" s="6" t="s">
        <v>2197</v>
      </c>
      <c r="O2024" s="29">
        <f t="shared" si="45"/>
        <v>923</v>
      </c>
      <c r="Q2024" s="30" t="s">
        <v>2197</v>
      </c>
      <c r="R2024" s="31">
        <v>923</v>
      </c>
    </row>
    <row r="2025" s="1" customFormat="1" ht="16.35" hidden="1" customHeight="1" spans="1:18">
      <c r="A2025" s="6"/>
      <c r="B2025" s="6" t="s">
        <v>4123</v>
      </c>
      <c r="C2025" s="6" t="s">
        <v>4150</v>
      </c>
      <c r="D2025" s="7">
        <v>60</v>
      </c>
      <c r="E2025" s="6" t="s">
        <v>5752</v>
      </c>
      <c r="F2025" s="6" t="s">
        <v>5631</v>
      </c>
      <c r="G2025" s="6" t="s">
        <v>5632</v>
      </c>
      <c r="H2025" s="8"/>
      <c r="I2025" s="8">
        <v>160000</v>
      </c>
      <c r="J2025" s="6"/>
      <c r="K2025" s="6" t="s">
        <v>2197</v>
      </c>
      <c r="L2025" s="6"/>
      <c r="M2025" s="6"/>
      <c r="N2025" s="6" t="s">
        <v>2197</v>
      </c>
      <c r="O2025" s="29">
        <f t="shared" si="45"/>
        <v>160000</v>
      </c>
      <c r="Q2025" s="30" t="s">
        <v>2197</v>
      </c>
      <c r="R2025" s="31">
        <v>160000</v>
      </c>
    </row>
    <row r="2026" s="1" customFormat="1" ht="16.35" hidden="1" customHeight="1" spans="1:18">
      <c r="A2026" s="6"/>
      <c r="B2026" s="6" t="s">
        <v>4123</v>
      </c>
      <c r="C2026" s="6" t="s">
        <v>4150</v>
      </c>
      <c r="D2026" s="7">
        <v>39</v>
      </c>
      <c r="E2026" s="6" t="s">
        <v>5753</v>
      </c>
      <c r="F2026" s="6" t="s">
        <v>5631</v>
      </c>
      <c r="G2026" s="6" t="s">
        <v>5632</v>
      </c>
      <c r="H2026" s="8"/>
      <c r="I2026" s="8">
        <v>76550</v>
      </c>
      <c r="J2026" s="6"/>
      <c r="K2026" s="6" t="s">
        <v>2364</v>
      </c>
      <c r="L2026" s="6"/>
      <c r="M2026" s="6"/>
      <c r="N2026" s="6" t="s">
        <v>2364</v>
      </c>
      <c r="O2026" s="29">
        <f t="shared" si="45"/>
        <v>76550</v>
      </c>
      <c r="Q2026" s="30" t="s">
        <v>2364</v>
      </c>
      <c r="R2026" s="31">
        <v>76550</v>
      </c>
    </row>
    <row r="2027" s="1" customFormat="1" ht="16.35" hidden="1" customHeight="1" spans="1:18">
      <c r="A2027" s="6"/>
      <c r="B2027" s="6" t="s">
        <v>4123</v>
      </c>
      <c r="C2027" s="6" t="s">
        <v>4150</v>
      </c>
      <c r="D2027" s="7">
        <v>69</v>
      </c>
      <c r="E2027" s="6" t="s">
        <v>5754</v>
      </c>
      <c r="F2027" s="6" t="s">
        <v>5631</v>
      </c>
      <c r="G2027" s="6" t="s">
        <v>5632</v>
      </c>
      <c r="H2027" s="8"/>
      <c r="I2027" s="8">
        <v>178000</v>
      </c>
      <c r="J2027" s="6"/>
      <c r="K2027" s="6" t="s">
        <v>2364</v>
      </c>
      <c r="L2027" s="6"/>
      <c r="M2027" s="6"/>
      <c r="N2027" s="6" t="s">
        <v>2364</v>
      </c>
      <c r="O2027" s="29">
        <f t="shared" si="45"/>
        <v>178000</v>
      </c>
      <c r="Q2027" s="30" t="s">
        <v>2364</v>
      </c>
      <c r="R2027" s="31">
        <v>178000</v>
      </c>
    </row>
    <row r="2028" s="1" customFormat="1" ht="16.35" hidden="1" customHeight="1" spans="1:18">
      <c r="A2028" s="6"/>
      <c r="B2028" s="6" t="s">
        <v>4123</v>
      </c>
      <c r="C2028" s="6" t="s">
        <v>4150</v>
      </c>
      <c r="D2028" s="7">
        <v>43</v>
      </c>
      <c r="E2028" s="6" t="s">
        <v>5755</v>
      </c>
      <c r="F2028" s="6" t="s">
        <v>5631</v>
      </c>
      <c r="G2028" s="6" t="s">
        <v>5632</v>
      </c>
      <c r="H2028" s="8"/>
      <c r="I2028" s="8">
        <v>56432</v>
      </c>
      <c r="J2028" s="6"/>
      <c r="K2028" s="6" t="s">
        <v>2366</v>
      </c>
      <c r="L2028" s="6"/>
      <c r="M2028" s="6"/>
      <c r="N2028" s="6" t="s">
        <v>2366</v>
      </c>
      <c r="O2028" s="29">
        <f t="shared" si="45"/>
        <v>56432</v>
      </c>
      <c r="Q2028" s="30" t="s">
        <v>2366</v>
      </c>
      <c r="R2028" s="31">
        <v>56432</v>
      </c>
    </row>
    <row r="2029" s="1" customFormat="1" ht="16.35" hidden="1" customHeight="1" spans="1:18">
      <c r="A2029" s="6"/>
      <c r="B2029" s="6" t="s">
        <v>4123</v>
      </c>
      <c r="C2029" s="6" t="s">
        <v>4150</v>
      </c>
      <c r="D2029" s="7">
        <v>68</v>
      </c>
      <c r="E2029" s="6" t="s">
        <v>5756</v>
      </c>
      <c r="F2029" s="6" t="s">
        <v>5631</v>
      </c>
      <c r="G2029" s="6" t="s">
        <v>5632</v>
      </c>
      <c r="H2029" s="8"/>
      <c r="I2029" s="8">
        <v>178000</v>
      </c>
      <c r="J2029" s="6"/>
      <c r="K2029" s="6" t="s">
        <v>2366</v>
      </c>
      <c r="L2029" s="6"/>
      <c r="M2029" s="6"/>
      <c r="N2029" s="6" t="s">
        <v>2366</v>
      </c>
      <c r="O2029" s="29">
        <f t="shared" si="45"/>
        <v>178000</v>
      </c>
      <c r="Q2029" s="30" t="s">
        <v>2366</v>
      </c>
      <c r="R2029" s="31">
        <v>178000</v>
      </c>
    </row>
    <row r="2030" s="1" customFormat="1" ht="16.35" hidden="1" customHeight="1" spans="1:18">
      <c r="A2030" s="6"/>
      <c r="B2030" s="6" t="s">
        <v>4123</v>
      </c>
      <c r="C2030" s="6" t="s">
        <v>4150</v>
      </c>
      <c r="D2030" s="7">
        <v>54</v>
      </c>
      <c r="E2030" s="6" t="s">
        <v>5757</v>
      </c>
      <c r="F2030" s="6" t="s">
        <v>5631</v>
      </c>
      <c r="G2030" s="6" t="s">
        <v>5632</v>
      </c>
      <c r="H2030" s="8"/>
      <c r="I2030" s="8">
        <v>50000</v>
      </c>
      <c r="J2030" s="6"/>
      <c r="K2030" s="6" t="s">
        <v>2858</v>
      </c>
      <c r="L2030" s="6"/>
      <c r="M2030" s="6"/>
      <c r="N2030" s="6" t="s">
        <v>2858</v>
      </c>
      <c r="O2030" s="29">
        <f t="shared" si="45"/>
        <v>50000</v>
      </c>
      <c r="Q2030" s="30" t="s">
        <v>2858</v>
      </c>
      <c r="R2030" s="31">
        <v>50000</v>
      </c>
    </row>
    <row r="2031" s="1" customFormat="1" ht="16.35" hidden="1" customHeight="1" spans="1:18">
      <c r="A2031" s="6"/>
      <c r="B2031" s="6" t="s">
        <v>4123</v>
      </c>
      <c r="C2031" s="6" t="s">
        <v>4150</v>
      </c>
      <c r="D2031" s="7">
        <v>54</v>
      </c>
      <c r="E2031" s="6" t="s">
        <v>5757</v>
      </c>
      <c r="F2031" s="6" t="s">
        <v>5631</v>
      </c>
      <c r="G2031" s="6" t="s">
        <v>5632</v>
      </c>
      <c r="H2031" s="8"/>
      <c r="I2031" s="8">
        <v>50000</v>
      </c>
      <c r="J2031" s="6"/>
      <c r="K2031" s="6" t="s">
        <v>2860</v>
      </c>
      <c r="L2031" s="6"/>
      <c r="M2031" s="6"/>
      <c r="N2031" s="6" t="s">
        <v>2860</v>
      </c>
      <c r="O2031" s="29">
        <f t="shared" si="45"/>
        <v>50000</v>
      </c>
      <c r="Q2031" s="30" t="s">
        <v>2860</v>
      </c>
      <c r="R2031" s="31">
        <v>50000</v>
      </c>
    </row>
    <row r="2032" s="1" customFormat="1" ht="16.35" hidden="1" customHeight="1" spans="1:18">
      <c r="A2032" s="6"/>
      <c r="B2032" s="6" t="s">
        <v>4123</v>
      </c>
      <c r="C2032" s="6" t="s">
        <v>4150</v>
      </c>
      <c r="D2032" s="7">
        <v>77</v>
      </c>
      <c r="E2032" s="6" t="s">
        <v>5758</v>
      </c>
      <c r="F2032" s="6" t="s">
        <v>5631</v>
      </c>
      <c r="G2032" s="6" t="s">
        <v>5632</v>
      </c>
      <c r="H2032" s="8"/>
      <c r="I2032" s="8">
        <v>70000</v>
      </c>
      <c r="J2032" s="6"/>
      <c r="K2032" s="6" t="s">
        <v>666</v>
      </c>
      <c r="L2032" s="6"/>
      <c r="M2032" s="6"/>
      <c r="N2032" s="6" t="s">
        <v>666</v>
      </c>
      <c r="O2032" s="29">
        <f t="shared" si="45"/>
        <v>70000</v>
      </c>
      <c r="Q2032" s="30" t="s">
        <v>666</v>
      </c>
      <c r="R2032" s="31">
        <v>70000</v>
      </c>
    </row>
    <row r="2033" s="1" customFormat="1" ht="16.35" hidden="1" customHeight="1" spans="1:18">
      <c r="A2033" s="6"/>
      <c r="B2033" s="6" t="s">
        <v>4123</v>
      </c>
      <c r="C2033" s="6" t="s">
        <v>4150</v>
      </c>
      <c r="D2033" s="7">
        <v>79</v>
      </c>
      <c r="E2033" s="6" t="s">
        <v>5759</v>
      </c>
      <c r="F2033" s="6" t="s">
        <v>5631</v>
      </c>
      <c r="G2033" s="6" t="s">
        <v>5632</v>
      </c>
      <c r="H2033" s="8"/>
      <c r="I2033" s="8">
        <v>20000</v>
      </c>
      <c r="J2033" s="6"/>
      <c r="K2033" s="6" t="s">
        <v>954</v>
      </c>
      <c r="L2033" s="6"/>
      <c r="M2033" s="6"/>
      <c r="N2033" s="6" t="s">
        <v>954</v>
      </c>
      <c r="O2033" s="29">
        <f t="shared" si="45"/>
        <v>20000</v>
      </c>
      <c r="Q2033" s="30" t="s">
        <v>954</v>
      </c>
      <c r="R2033" s="31">
        <v>20000</v>
      </c>
    </row>
    <row r="2034" s="1" customFormat="1" ht="16.35" hidden="1" customHeight="1" spans="1:18">
      <c r="A2034" s="6"/>
      <c r="B2034" s="6" t="s">
        <v>4123</v>
      </c>
      <c r="C2034" s="6" t="s">
        <v>4150</v>
      </c>
      <c r="D2034" s="7">
        <v>31</v>
      </c>
      <c r="E2034" s="6" t="s">
        <v>5760</v>
      </c>
      <c r="F2034" s="6" t="s">
        <v>5631</v>
      </c>
      <c r="G2034" s="6" t="s">
        <v>5632</v>
      </c>
      <c r="H2034" s="8"/>
      <c r="I2034" s="8">
        <v>174000</v>
      </c>
      <c r="J2034" s="6"/>
      <c r="K2034" s="6" t="s">
        <v>2740</v>
      </c>
      <c r="L2034" s="6"/>
      <c r="M2034" s="6"/>
      <c r="N2034" s="6" t="s">
        <v>2740</v>
      </c>
      <c r="O2034" s="29">
        <f t="shared" ref="O2034:O2056" si="46">I2034</f>
        <v>174000</v>
      </c>
      <c r="Q2034" s="30" t="s">
        <v>2740</v>
      </c>
      <c r="R2034" s="31">
        <v>174000</v>
      </c>
    </row>
    <row r="2035" s="1" customFormat="1" ht="16.35" hidden="1" customHeight="1" spans="1:18">
      <c r="A2035" s="6"/>
      <c r="B2035" s="6" t="s">
        <v>4123</v>
      </c>
      <c r="C2035" s="6" t="s">
        <v>4150</v>
      </c>
      <c r="D2035" s="7">
        <v>61</v>
      </c>
      <c r="E2035" s="6" t="s">
        <v>5761</v>
      </c>
      <c r="F2035" s="6" t="s">
        <v>5631</v>
      </c>
      <c r="G2035" s="6" t="s">
        <v>5632</v>
      </c>
      <c r="H2035" s="8"/>
      <c r="I2035" s="8">
        <v>206000</v>
      </c>
      <c r="J2035" s="6"/>
      <c r="K2035" s="6" t="s">
        <v>2009</v>
      </c>
      <c r="L2035" s="6"/>
      <c r="M2035" s="6"/>
      <c r="N2035" s="6" t="s">
        <v>2009</v>
      </c>
      <c r="O2035" s="29">
        <f t="shared" si="46"/>
        <v>206000</v>
      </c>
      <c r="Q2035" s="30" t="s">
        <v>2009</v>
      </c>
      <c r="R2035" s="31">
        <v>206000</v>
      </c>
    </row>
    <row r="2036" s="1" customFormat="1" ht="16.35" hidden="1" customHeight="1" spans="1:18">
      <c r="A2036" s="6"/>
      <c r="B2036" s="6" t="s">
        <v>4123</v>
      </c>
      <c r="C2036" s="6" t="s">
        <v>4150</v>
      </c>
      <c r="D2036" s="7">
        <v>72</v>
      </c>
      <c r="E2036" s="6" t="s">
        <v>5762</v>
      </c>
      <c r="F2036" s="6" t="s">
        <v>5631</v>
      </c>
      <c r="G2036" s="6" t="s">
        <v>5632</v>
      </c>
      <c r="H2036" s="8"/>
      <c r="I2036" s="8">
        <v>50000</v>
      </c>
      <c r="J2036" s="6"/>
      <c r="K2036" s="6" t="s">
        <v>2009</v>
      </c>
      <c r="L2036" s="6"/>
      <c r="M2036" s="6"/>
      <c r="N2036" s="6" t="s">
        <v>2009</v>
      </c>
      <c r="O2036" s="29">
        <f t="shared" si="46"/>
        <v>50000</v>
      </c>
      <c r="Q2036" s="30" t="s">
        <v>2009</v>
      </c>
      <c r="R2036" s="31">
        <v>50000</v>
      </c>
    </row>
    <row r="2037" s="1" customFormat="1" ht="16.35" hidden="1" customHeight="1" spans="1:18">
      <c r="A2037" s="6"/>
      <c r="B2037" s="6" t="s">
        <v>4123</v>
      </c>
      <c r="C2037" s="6" t="s">
        <v>4150</v>
      </c>
      <c r="D2037" s="7">
        <v>44</v>
      </c>
      <c r="E2037" s="6" t="s">
        <v>5763</v>
      </c>
      <c r="F2037" s="6" t="s">
        <v>5631</v>
      </c>
      <c r="G2037" s="6" t="s">
        <v>5632</v>
      </c>
      <c r="H2037" s="8"/>
      <c r="I2037" s="8">
        <v>168795</v>
      </c>
      <c r="J2037" s="6"/>
      <c r="K2037" s="6" t="s">
        <v>2813</v>
      </c>
      <c r="L2037" s="6"/>
      <c r="M2037" s="6"/>
      <c r="N2037" s="6" t="s">
        <v>2813</v>
      </c>
      <c r="O2037" s="29">
        <f t="shared" si="46"/>
        <v>168795</v>
      </c>
      <c r="Q2037" s="30" t="s">
        <v>2813</v>
      </c>
      <c r="R2037" s="31">
        <v>168795</v>
      </c>
    </row>
    <row r="2038" s="1" customFormat="1" ht="16.35" hidden="1" customHeight="1" spans="1:18">
      <c r="A2038" s="6"/>
      <c r="B2038" s="6" t="s">
        <v>4123</v>
      </c>
      <c r="C2038" s="6" t="s">
        <v>4150</v>
      </c>
      <c r="D2038" s="7">
        <v>57</v>
      </c>
      <c r="E2038" s="6" t="s">
        <v>5764</v>
      </c>
      <c r="F2038" s="6" t="s">
        <v>5631</v>
      </c>
      <c r="G2038" s="6" t="s">
        <v>5632</v>
      </c>
      <c r="H2038" s="8"/>
      <c r="I2038" s="8">
        <v>9933</v>
      </c>
      <c r="J2038" s="6"/>
      <c r="K2038" s="6" t="s">
        <v>2813</v>
      </c>
      <c r="L2038" s="6"/>
      <c r="M2038" s="6"/>
      <c r="N2038" s="6" t="s">
        <v>2813</v>
      </c>
      <c r="O2038" s="29">
        <f t="shared" si="46"/>
        <v>9933</v>
      </c>
      <c r="Q2038" s="30" t="s">
        <v>2813</v>
      </c>
      <c r="R2038" s="31">
        <v>9933</v>
      </c>
    </row>
    <row r="2039" s="1" customFormat="1" ht="16.35" hidden="1" customHeight="1" spans="1:18">
      <c r="A2039" s="6"/>
      <c r="B2039" s="6" t="s">
        <v>4123</v>
      </c>
      <c r="C2039" s="6" t="s">
        <v>4150</v>
      </c>
      <c r="D2039" s="7">
        <v>133</v>
      </c>
      <c r="E2039" s="6" t="s">
        <v>5765</v>
      </c>
      <c r="F2039" s="6" t="s">
        <v>5631</v>
      </c>
      <c r="G2039" s="6" t="s">
        <v>5632</v>
      </c>
      <c r="H2039" s="8"/>
      <c r="I2039" s="8">
        <v>70000</v>
      </c>
      <c r="J2039" s="6"/>
      <c r="K2039" s="6" t="s">
        <v>2762</v>
      </c>
      <c r="L2039" s="6"/>
      <c r="M2039" s="6"/>
      <c r="N2039" s="6" t="s">
        <v>2762</v>
      </c>
      <c r="O2039" s="29">
        <f t="shared" si="46"/>
        <v>70000</v>
      </c>
      <c r="Q2039" s="30" t="s">
        <v>2762</v>
      </c>
      <c r="R2039" s="31">
        <v>70000</v>
      </c>
    </row>
    <row r="2040" s="1" customFormat="1" ht="16.35" hidden="1" customHeight="1" spans="1:18">
      <c r="A2040" s="6"/>
      <c r="B2040" s="6" t="s">
        <v>4123</v>
      </c>
      <c r="C2040" s="6" t="s">
        <v>4150</v>
      </c>
      <c r="D2040" s="7">
        <v>35</v>
      </c>
      <c r="E2040" s="6" t="s">
        <v>5766</v>
      </c>
      <c r="F2040" s="6" t="s">
        <v>5631</v>
      </c>
      <c r="G2040" s="6" t="s">
        <v>5632</v>
      </c>
      <c r="H2040" s="8"/>
      <c r="I2040" s="8">
        <v>34000</v>
      </c>
      <c r="J2040" s="6"/>
      <c r="K2040" s="6" t="s">
        <v>2025</v>
      </c>
      <c r="L2040" s="6"/>
      <c r="M2040" s="6"/>
      <c r="N2040" s="6" t="s">
        <v>2025</v>
      </c>
      <c r="O2040" s="29">
        <f t="shared" si="46"/>
        <v>34000</v>
      </c>
      <c r="Q2040" s="30" t="s">
        <v>2025</v>
      </c>
      <c r="R2040" s="31">
        <v>34000</v>
      </c>
    </row>
    <row r="2041" s="1" customFormat="1" ht="16.35" hidden="1" customHeight="1" spans="1:18">
      <c r="A2041" s="6"/>
      <c r="B2041" s="6" t="s">
        <v>4123</v>
      </c>
      <c r="C2041" s="6" t="s">
        <v>4150</v>
      </c>
      <c r="D2041" s="7">
        <v>48</v>
      </c>
      <c r="E2041" s="6" t="s">
        <v>5695</v>
      </c>
      <c r="F2041" s="6" t="s">
        <v>5631</v>
      </c>
      <c r="G2041" s="6" t="s">
        <v>5632</v>
      </c>
      <c r="H2041" s="8"/>
      <c r="I2041" s="8">
        <v>100000</v>
      </c>
      <c r="J2041" s="6"/>
      <c r="K2041" s="6" t="s">
        <v>2772</v>
      </c>
      <c r="L2041" s="6"/>
      <c r="M2041" s="6"/>
      <c r="N2041" s="6" t="s">
        <v>2772</v>
      </c>
      <c r="O2041" s="29">
        <f t="shared" si="46"/>
        <v>100000</v>
      </c>
      <c r="Q2041" s="30" t="s">
        <v>2772</v>
      </c>
      <c r="R2041" s="31">
        <v>100000</v>
      </c>
    </row>
    <row r="2042" s="1" customFormat="1" ht="16.35" hidden="1" customHeight="1" spans="1:18">
      <c r="A2042" s="6"/>
      <c r="B2042" s="6" t="s">
        <v>4123</v>
      </c>
      <c r="C2042" s="6" t="s">
        <v>4150</v>
      </c>
      <c r="D2042" s="7">
        <v>34</v>
      </c>
      <c r="E2042" s="6" t="s">
        <v>5767</v>
      </c>
      <c r="F2042" s="6" t="s">
        <v>5631</v>
      </c>
      <c r="G2042" s="6" t="s">
        <v>5632</v>
      </c>
      <c r="H2042" s="8"/>
      <c r="I2042" s="8">
        <v>39000</v>
      </c>
      <c r="J2042" s="6"/>
      <c r="K2042" s="6" t="s">
        <v>2795</v>
      </c>
      <c r="L2042" s="6"/>
      <c r="M2042" s="6"/>
      <c r="N2042" s="6" t="s">
        <v>2795</v>
      </c>
      <c r="O2042" s="29">
        <f t="shared" si="46"/>
        <v>39000</v>
      </c>
      <c r="Q2042" s="30" t="s">
        <v>2795</v>
      </c>
      <c r="R2042" s="31">
        <v>39000</v>
      </c>
    </row>
    <row r="2043" s="1" customFormat="1" ht="16.35" hidden="1" customHeight="1" spans="1:18">
      <c r="A2043" s="6"/>
      <c r="B2043" s="6" t="s">
        <v>4123</v>
      </c>
      <c r="C2043" s="6" t="s">
        <v>4150</v>
      </c>
      <c r="D2043" s="7">
        <v>66</v>
      </c>
      <c r="E2043" s="6" t="s">
        <v>5768</v>
      </c>
      <c r="F2043" s="6" t="s">
        <v>5631</v>
      </c>
      <c r="G2043" s="6" t="s">
        <v>5632</v>
      </c>
      <c r="H2043" s="8"/>
      <c r="I2043" s="8">
        <v>169000</v>
      </c>
      <c r="J2043" s="6"/>
      <c r="K2043" s="6" t="s">
        <v>2165</v>
      </c>
      <c r="L2043" s="6"/>
      <c r="M2043" s="6"/>
      <c r="N2043" s="6" t="s">
        <v>2165</v>
      </c>
      <c r="O2043" s="29">
        <f t="shared" si="46"/>
        <v>169000</v>
      </c>
      <c r="Q2043" s="30" t="s">
        <v>2165</v>
      </c>
      <c r="R2043" s="31">
        <v>169000</v>
      </c>
    </row>
    <row r="2044" s="1" customFormat="1" ht="16.35" hidden="1" customHeight="1" spans="1:18">
      <c r="A2044" s="6"/>
      <c r="B2044" s="6" t="s">
        <v>4123</v>
      </c>
      <c r="C2044" s="6" t="s">
        <v>4150</v>
      </c>
      <c r="D2044" s="7">
        <v>47</v>
      </c>
      <c r="E2044" s="6" t="s">
        <v>5769</v>
      </c>
      <c r="F2044" s="6" t="s">
        <v>5631</v>
      </c>
      <c r="G2044" s="6" t="s">
        <v>5632</v>
      </c>
      <c r="H2044" s="8"/>
      <c r="I2044" s="8">
        <v>140000</v>
      </c>
      <c r="J2044" s="6"/>
      <c r="K2044" s="6" t="s">
        <v>2121</v>
      </c>
      <c r="L2044" s="6"/>
      <c r="M2044" s="6"/>
      <c r="N2044" s="6" t="s">
        <v>2121</v>
      </c>
      <c r="O2044" s="29">
        <f t="shared" si="46"/>
        <v>140000</v>
      </c>
      <c r="Q2044" s="30" t="s">
        <v>2121</v>
      </c>
      <c r="R2044" s="31">
        <v>140000</v>
      </c>
    </row>
    <row r="2045" s="1" customFormat="1" ht="16.35" hidden="1" customHeight="1" spans="1:18">
      <c r="A2045" s="6"/>
      <c r="B2045" s="6" t="s">
        <v>4123</v>
      </c>
      <c r="C2045" s="6" t="s">
        <v>4150</v>
      </c>
      <c r="D2045" s="7">
        <v>62</v>
      </c>
      <c r="E2045" s="6" t="s">
        <v>5770</v>
      </c>
      <c r="F2045" s="6" t="s">
        <v>5631</v>
      </c>
      <c r="G2045" s="6" t="s">
        <v>5632</v>
      </c>
      <c r="H2045" s="8"/>
      <c r="I2045" s="8">
        <v>180000</v>
      </c>
      <c r="J2045" s="6"/>
      <c r="K2045" s="6" t="s">
        <v>2105</v>
      </c>
      <c r="L2045" s="6"/>
      <c r="M2045" s="6"/>
      <c r="N2045" s="6" t="s">
        <v>2105</v>
      </c>
      <c r="O2045" s="29">
        <f t="shared" si="46"/>
        <v>180000</v>
      </c>
      <c r="Q2045" s="30" t="s">
        <v>2105</v>
      </c>
      <c r="R2045" s="31">
        <v>180000</v>
      </c>
    </row>
    <row r="2046" s="1" customFormat="1" ht="16.35" hidden="1" customHeight="1" spans="1:18">
      <c r="A2046" s="6"/>
      <c r="B2046" s="6" t="s">
        <v>4123</v>
      </c>
      <c r="C2046" s="6" t="s">
        <v>4150</v>
      </c>
      <c r="D2046" s="7">
        <v>37</v>
      </c>
      <c r="E2046" s="6" t="s">
        <v>5771</v>
      </c>
      <c r="F2046" s="6" t="s">
        <v>5631</v>
      </c>
      <c r="G2046" s="6" t="s">
        <v>5632</v>
      </c>
      <c r="H2046" s="8"/>
      <c r="I2046" s="8">
        <v>140000</v>
      </c>
      <c r="J2046" s="6"/>
      <c r="K2046" s="6" t="s">
        <v>2283</v>
      </c>
      <c r="L2046" s="6"/>
      <c r="M2046" s="6"/>
      <c r="N2046" s="6" t="s">
        <v>2283</v>
      </c>
      <c r="O2046" s="29">
        <f t="shared" si="46"/>
        <v>140000</v>
      </c>
      <c r="Q2046" s="30" t="s">
        <v>2283</v>
      </c>
      <c r="R2046" s="31">
        <v>140000</v>
      </c>
    </row>
    <row r="2047" s="1" customFormat="1" ht="16.35" hidden="1" customHeight="1" spans="1:18">
      <c r="A2047" s="6"/>
      <c r="B2047" s="6" t="s">
        <v>4123</v>
      </c>
      <c r="C2047" s="6" t="s">
        <v>4150</v>
      </c>
      <c r="D2047" s="7">
        <v>76</v>
      </c>
      <c r="E2047" s="6" t="s">
        <v>5772</v>
      </c>
      <c r="F2047" s="6" t="s">
        <v>5631</v>
      </c>
      <c r="G2047" s="6" t="s">
        <v>5632</v>
      </c>
      <c r="H2047" s="8"/>
      <c r="I2047" s="8">
        <v>20000</v>
      </c>
      <c r="J2047" s="6"/>
      <c r="K2047" s="6" t="s">
        <v>2279</v>
      </c>
      <c r="L2047" s="6"/>
      <c r="M2047" s="6"/>
      <c r="N2047" s="6" t="s">
        <v>2279</v>
      </c>
      <c r="O2047" s="29">
        <f t="shared" si="46"/>
        <v>20000</v>
      </c>
      <c r="Q2047" s="30" t="s">
        <v>2279</v>
      </c>
      <c r="R2047" s="31">
        <v>20000</v>
      </c>
    </row>
    <row r="2048" s="1" customFormat="1" ht="16.35" hidden="1" customHeight="1" spans="1:18">
      <c r="A2048" s="6"/>
      <c r="B2048" s="6" t="s">
        <v>4123</v>
      </c>
      <c r="C2048" s="6" t="s">
        <v>4150</v>
      </c>
      <c r="D2048" s="7">
        <v>24</v>
      </c>
      <c r="E2048" s="6" t="s">
        <v>5773</v>
      </c>
      <c r="F2048" s="6" t="s">
        <v>5631</v>
      </c>
      <c r="G2048" s="6" t="s">
        <v>5632</v>
      </c>
      <c r="H2048" s="8"/>
      <c r="I2048" s="8">
        <v>167000</v>
      </c>
      <c r="J2048" s="6"/>
      <c r="K2048" s="6" t="s">
        <v>2305</v>
      </c>
      <c r="L2048" s="6"/>
      <c r="M2048" s="6"/>
      <c r="N2048" s="6" t="s">
        <v>2305</v>
      </c>
      <c r="O2048" s="29">
        <f t="shared" si="46"/>
        <v>167000</v>
      </c>
      <c r="Q2048" s="30" t="s">
        <v>2305</v>
      </c>
      <c r="R2048" s="31">
        <v>167000</v>
      </c>
    </row>
    <row r="2049" s="1" customFormat="1" ht="16.35" hidden="1" customHeight="1" spans="1:18">
      <c r="A2049" s="6"/>
      <c r="B2049" s="6" t="s">
        <v>4123</v>
      </c>
      <c r="C2049" s="6" t="s">
        <v>4150</v>
      </c>
      <c r="D2049" s="7">
        <v>40</v>
      </c>
      <c r="E2049" s="6" t="s">
        <v>5774</v>
      </c>
      <c r="F2049" s="6" t="s">
        <v>5631</v>
      </c>
      <c r="G2049" s="6" t="s">
        <v>5632</v>
      </c>
      <c r="H2049" s="8"/>
      <c r="I2049" s="8">
        <v>6235</v>
      </c>
      <c r="J2049" s="6"/>
      <c r="K2049" s="6" t="s">
        <v>2305</v>
      </c>
      <c r="L2049" s="6"/>
      <c r="M2049" s="6"/>
      <c r="N2049" s="6" t="s">
        <v>2305</v>
      </c>
      <c r="O2049" s="29">
        <f t="shared" si="46"/>
        <v>6235</v>
      </c>
      <c r="Q2049" s="30" t="s">
        <v>2305</v>
      </c>
      <c r="R2049" s="31">
        <v>6235</v>
      </c>
    </row>
    <row r="2050" s="1" customFormat="1" ht="16.35" hidden="1" customHeight="1" spans="1:18">
      <c r="A2050" s="6"/>
      <c r="B2050" s="6" t="s">
        <v>4123</v>
      </c>
      <c r="C2050" s="6" t="s">
        <v>4150</v>
      </c>
      <c r="D2050" s="7">
        <v>41</v>
      </c>
      <c r="E2050" s="6" t="s">
        <v>5774</v>
      </c>
      <c r="F2050" s="6" t="s">
        <v>5631</v>
      </c>
      <c r="G2050" s="6" t="s">
        <v>5632</v>
      </c>
      <c r="H2050" s="8"/>
      <c r="I2050" s="8">
        <v>62644</v>
      </c>
      <c r="J2050" s="6"/>
      <c r="K2050" s="6" t="s">
        <v>2305</v>
      </c>
      <c r="L2050" s="6"/>
      <c r="M2050" s="6"/>
      <c r="N2050" s="6" t="s">
        <v>2305</v>
      </c>
      <c r="O2050" s="29">
        <f t="shared" si="46"/>
        <v>62644</v>
      </c>
      <c r="Q2050" s="30" t="s">
        <v>2305</v>
      </c>
      <c r="R2050" s="31">
        <v>62644</v>
      </c>
    </row>
    <row r="2051" s="1" customFormat="1" ht="16.35" hidden="1" customHeight="1" spans="1:18">
      <c r="A2051" s="6"/>
      <c r="B2051" s="6" t="s">
        <v>4123</v>
      </c>
      <c r="C2051" s="6" t="s">
        <v>4150</v>
      </c>
      <c r="D2051" s="7">
        <v>12</v>
      </c>
      <c r="E2051" s="6" t="s">
        <v>5775</v>
      </c>
      <c r="F2051" s="6" t="s">
        <v>5631</v>
      </c>
      <c r="G2051" s="6" t="s">
        <v>5632</v>
      </c>
      <c r="H2051" s="8"/>
      <c r="I2051" s="8">
        <v>259338</v>
      </c>
      <c r="J2051" s="6"/>
      <c r="K2051" s="6" t="s">
        <v>2360</v>
      </c>
      <c r="L2051" s="6"/>
      <c r="M2051" s="6"/>
      <c r="N2051" s="6" t="s">
        <v>2360</v>
      </c>
      <c r="O2051" s="29">
        <f t="shared" si="46"/>
        <v>259338</v>
      </c>
      <c r="Q2051" s="30" t="s">
        <v>2360</v>
      </c>
      <c r="R2051" s="31">
        <v>259338</v>
      </c>
    </row>
    <row r="2052" s="1" customFormat="1" ht="16.35" hidden="1" customHeight="1" spans="1:18">
      <c r="A2052" s="6"/>
      <c r="B2052" s="6" t="s">
        <v>4123</v>
      </c>
      <c r="C2052" s="6" t="s">
        <v>4150</v>
      </c>
      <c r="D2052" s="7">
        <v>3</v>
      </c>
      <c r="E2052" s="6" t="s">
        <v>5776</v>
      </c>
      <c r="F2052" s="6" t="s">
        <v>5631</v>
      </c>
      <c r="G2052" s="6" t="s">
        <v>5632</v>
      </c>
      <c r="H2052" s="8"/>
      <c r="I2052" s="8">
        <v>2000</v>
      </c>
      <c r="J2052" s="6"/>
      <c r="K2052" s="6" t="s">
        <v>2318</v>
      </c>
      <c r="L2052" s="6"/>
      <c r="M2052" s="6"/>
      <c r="N2052" s="6" t="s">
        <v>2318</v>
      </c>
      <c r="O2052" s="29">
        <f t="shared" si="46"/>
        <v>2000</v>
      </c>
      <c r="Q2052" s="30" t="s">
        <v>2318</v>
      </c>
      <c r="R2052" s="31">
        <v>2000</v>
      </c>
    </row>
    <row r="2053" s="1" customFormat="1" ht="16.35" hidden="1" customHeight="1" spans="1:18">
      <c r="A2053" s="6"/>
      <c r="B2053" s="6" t="s">
        <v>4123</v>
      </c>
      <c r="C2053" s="6" t="s">
        <v>4150</v>
      </c>
      <c r="D2053" s="7">
        <v>22</v>
      </c>
      <c r="E2053" s="6" t="s">
        <v>5777</v>
      </c>
      <c r="F2053" s="6" t="s">
        <v>5631</v>
      </c>
      <c r="G2053" s="6" t="s">
        <v>5632</v>
      </c>
      <c r="H2053" s="8"/>
      <c r="I2053" s="8">
        <v>45432</v>
      </c>
      <c r="J2053" s="6"/>
      <c r="K2053" s="6" t="s">
        <v>2318</v>
      </c>
      <c r="L2053" s="6"/>
      <c r="M2053" s="6"/>
      <c r="N2053" s="6" t="s">
        <v>2318</v>
      </c>
      <c r="O2053" s="29">
        <f t="shared" si="46"/>
        <v>45432</v>
      </c>
      <c r="Q2053" s="30" t="s">
        <v>2318</v>
      </c>
      <c r="R2053" s="31">
        <v>45432</v>
      </c>
    </row>
    <row r="2054" s="1" customFormat="1" ht="16.35" hidden="1" customHeight="1" spans="1:18">
      <c r="A2054" s="6"/>
      <c r="B2054" s="6" t="s">
        <v>4123</v>
      </c>
      <c r="C2054" s="6" t="s">
        <v>4150</v>
      </c>
      <c r="D2054" s="7">
        <v>20</v>
      </c>
      <c r="E2054" s="6" t="s">
        <v>5777</v>
      </c>
      <c r="F2054" s="6" t="s">
        <v>5631</v>
      </c>
      <c r="G2054" s="6" t="s">
        <v>5632</v>
      </c>
      <c r="H2054" s="8"/>
      <c r="I2054" s="8">
        <v>10000</v>
      </c>
      <c r="J2054" s="6"/>
      <c r="K2054" s="6" t="s">
        <v>2318</v>
      </c>
      <c r="L2054" s="6"/>
      <c r="M2054" s="6"/>
      <c r="N2054" s="6" t="s">
        <v>2318</v>
      </c>
      <c r="O2054" s="29">
        <f t="shared" si="46"/>
        <v>10000</v>
      </c>
      <c r="Q2054" s="30" t="s">
        <v>2318</v>
      </c>
      <c r="R2054" s="31">
        <v>10000</v>
      </c>
    </row>
    <row r="2055" s="1" customFormat="1" ht="16.35" hidden="1" customHeight="1" spans="1:18">
      <c r="A2055" s="6"/>
      <c r="B2055" s="6" t="s">
        <v>4123</v>
      </c>
      <c r="C2055" s="6" t="s">
        <v>4150</v>
      </c>
      <c r="D2055" s="7">
        <v>46</v>
      </c>
      <c r="E2055" s="6" t="s">
        <v>5778</v>
      </c>
      <c r="F2055" s="6" t="s">
        <v>5631</v>
      </c>
      <c r="G2055" s="6" t="s">
        <v>5632</v>
      </c>
      <c r="H2055" s="8"/>
      <c r="I2055" s="8">
        <v>177000</v>
      </c>
      <c r="J2055" s="6"/>
      <c r="K2055" s="6" t="s">
        <v>2318</v>
      </c>
      <c r="L2055" s="6"/>
      <c r="M2055" s="6"/>
      <c r="N2055" s="6" t="s">
        <v>2318</v>
      </c>
      <c r="O2055" s="29">
        <f t="shared" si="46"/>
        <v>177000</v>
      </c>
      <c r="Q2055" s="30" t="s">
        <v>2318</v>
      </c>
      <c r="R2055" s="31">
        <v>177000</v>
      </c>
    </row>
    <row r="2056" s="1" customFormat="1" ht="16.35" hidden="1" customHeight="1" spans="1:18">
      <c r="A2056" s="6"/>
      <c r="B2056" s="6" t="s">
        <v>4123</v>
      </c>
      <c r="C2056" s="6" t="s">
        <v>4150</v>
      </c>
      <c r="D2056" s="7">
        <v>78</v>
      </c>
      <c r="E2056" s="6" t="s">
        <v>5779</v>
      </c>
      <c r="F2056" s="6" t="s">
        <v>5631</v>
      </c>
      <c r="G2056" s="6" t="s">
        <v>5632</v>
      </c>
      <c r="H2056" s="8"/>
      <c r="I2056" s="8">
        <v>230000</v>
      </c>
      <c r="J2056" s="6"/>
      <c r="K2056" s="6" t="s">
        <v>5322</v>
      </c>
      <c r="L2056" s="6"/>
      <c r="M2056" s="6"/>
      <c r="N2056" s="6" t="s">
        <v>5322</v>
      </c>
      <c r="O2056" s="29">
        <f t="shared" si="46"/>
        <v>230000</v>
      </c>
      <c r="Q2056" s="30" t="s">
        <v>5322</v>
      </c>
      <c r="R2056" s="31">
        <v>230000</v>
      </c>
    </row>
    <row r="2057" s="1" customFormat="1" ht="16.35" hidden="1" customHeight="1" spans="1:18">
      <c r="A2057" s="6"/>
      <c r="B2057" s="6" t="s">
        <v>4123</v>
      </c>
      <c r="C2057" s="6" t="s">
        <v>4171</v>
      </c>
      <c r="D2057" s="7">
        <v>1</v>
      </c>
      <c r="E2057" s="6" t="s">
        <v>5780</v>
      </c>
      <c r="F2057" s="6" t="s">
        <v>5631</v>
      </c>
      <c r="G2057" s="6" t="s">
        <v>5632</v>
      </c>
      <c r="H2057" s="8"/>
      <c r="I2057" s="8">
        <v>46000</v>
      </c>
      <c r="J2057" s="6"/>
      <c r="K2057" s="6" t="s">
        <v>1955</v>
      </c>
      <c r="L2057" s="6"/>
      <c r="M2057" s="6"/>
      <c r="N2057" s="6" t="s">
        <v>1955</v>
      </c>
      <c r="O2057" s="29">
        <f t="shared" ref="O2057:O2076" si="47">I2057</f>
        <v>46000</v>
      </c>
      <c r="Q2057" s="30" t="s">
        <v>1955</v>
      </c>
      <c r="R2057" s="31">
        <v>46000</v>
      </c>
    </row>
    <row r="2058" s="1" customFormat="1" ht="16.35" hidden="1" customHeight="1" spans="1:18">
      <c r="A2058" s="6"/>
      <c r="B2058" s="6" t="s">
        <v>4123</v>
      </c>
      <c r="C2058" s="6" t="s">
        <v>4171</v>
      </c>
      <c r="D2058" s="7">
        <v>9</v>
      </c>
      <c r="E2058" s="6" t="s">
        <v>5781</v>
      </c>
      <c r="F2058" s="6" t="s">
        <v>5631</v>
      </c>
      <c r="G2058" s="6" t="s">
        <v>5632</v>
      </c>
      <c r="H2058" s="8"/>
      <c r="I2058" s="8">
        <v>1850</v>
      </c>
      <c r="J2058" s="6"/>
      <c r="K2058" s="6" t="s">
        <v>1955</v>
      </c>
      <c r="L2058" s="6"/>
      <c r="M2058" s="6"/>
      <c r="N2058" s="6" t="s">
        <v>1955</v>
      </c>
      <c r="O2058" s="29">
        <f t="shared" si="47"/>
        <v>1850</v>
      </c>
      <c r="Q2058" s="30" t="s">
        <v>1955</v>
      </c>
      <c r="R2058" s="31">
        <v>1850</v>
      </c>
    </row>
    <row r="2059" s="1" customFormat="1" ht="16.35" hidden="1" customHeight="1" spans="1:18">
      <c r="A2059" s="6"/>
      <c r="B2059" s="6" t="s">
        <v>4123</v>
      </c>
      <c r="C2059" s="6" t="s">
        <v>4171</v>
      </c>
      <c r="D2059" s="7">
        <v>22</v>
      </c>
      <c r="E2059" s="6" t="s">
        <v>5782</v>
      </c>
      <c r="F2059" s="6" t="s">
        <v>5631</v>
      </c>
      <c r="G2059" s="6" t="s">
        <v>5632</v>
      </c>
      <c r="H2059" s="8"/>
      <c r="I2059" s="8">
        <v>140000</v>
      </c>
      <c r="J2059" s="6"/>
      <c r="K2059" s="6" t="s">
        <v>1955</v>
      </c>
      <c r="L2059" s="6"/>
      <c r="M2059" s="6"/>
      <c r="N2059" s="6" t="s">
        <v>1955</v>
      </c>
      <c r="O2059" s="29">
        <f t="shared" si="47"/>
        <v>140000</v>
      </c>
      <c r="Q2059" s="30" t="s">
        <v>1955</v>
      </c>
      <c r="R2059" s="31">
        <v>140000</v>
      </c>
    </row>
    <row r="2060" s="1" customFormat="1" ht="16.35" hidden="1" customHeight="1" spans="1:18">
      <c r="A2060" s="6"/>
      <c r="B2060" s="6" t="s">
        <v>4123</v>
      </c>
      <c r="C2060" s="6" t="s">
        <v>4171</v>
      </c>
      <c r="D2060" s="7">
        <v>5</v>
      </c>
      <c r="E2060" s="6" t="s">
        <v>5783</v>
      </c>
      <c r="F2060" s="6" t="s">
        <v>5631</v>
      </c>
      <c r="G2060" s="6" t="s">
        <v>5632</v>
      </c>
      <c r="H2060" s="8"/>
      <c r="I2060" s="8">
        <v>190000</v>
      </c>
      <c r="J2060" s="6"/>
      <c r="K2060" s="6" t="s">
        <v>2015</v>
      </c>
      <c r="L2060" s="6"/>
      <c r="M2060" s="6"/>
      <c r="N2060" s="6" t="s">
        <v>2015</v>
      </c>
      <c r="O2060" s="29">
        <f t="shared" si="47"/>
        <v>190000</v>
      </c>
      <c r="Q2060" s="30" t="s">
        <v>2015</v>
      </c>
      <c r="R2060" s="31">
        <v>190000</v>
      </c>
    </row>
    <row r="2061" s="1" customFormat="1" ht="16.35" hidden="1" customHeight="1" spans="1:18">
      <c r="A2061" s="6"/>
      <c r="B2061" s="6" t="s">
        <v>4123</v>
      </c>
      <c r="C2061" s="6" t="s">
        <v>4171</v>
      </c>
      <c r="D2061" s="7">
        <v>2</v>
      </c>
      <c r="E2061" s="6" t="s">
        <v>5784</v>
      </c>
      <c r="F2061" s="6" t="s">
        <v>5631</v>
      </c>
      <c r="G2061" s="6" t="s">
        <v>5632</v>
      </c>
      <c r="H2061" s="8"/>
      <c r="I2061" s="8">
        <v>61638</v>
      </c>
      <c r="J2061" s="6"/>
      <c r="K2061" s="6" t="s">
        <v>2805</v>
      </c>
      <c r="L2061" s="6"/>
      <c r="M2061" s="6"/>
      <c r="N2061" s="6" t="s">
        <v>2805</v>
      </c>
      <c r="O2061" s="29">
        <f t="shared" si="47"/>
        <v>61638</v>
      </c>
      <c r="Q2061" s="30" t="s">
        <v>2805</v>
      </c>
      <c r="R2061" s="31">
        <v>61638</v>
      </c>
    </row>
    <row r="2062" s="1" customFormat="1" ht="16.35" hidden="1" customHeight="1" spans="1:18">
      <c r="A2062" s="6"/>
      <c r="B2062" s="6" t="s">
        <v>4123</v>
      </c>
      <c r="C2062" s="6" t="s">
        <v>4171</v>
      </c>
      <c r="D2062" s="7">
        <v>24</v>
      </c>
      <c r="E2062" s="6" t="s">
        <v>5785</v>
      </c>
      <c r="F2062" s="6" t="s">
        <v>5631</v>
      </c>
      <c r="G2062" s="6" t="s">
        <v>5632</v>
      </c>
      <c r="H2062" s="8"/>
      <c r="I2062" s="8">
        <v>280000</v>
      </c>
      <c r="J2062" s="6"/>
      <c r="K2062" s="6" t="s">
        <v>2805</v>
      </c>
      <c r="L2062" s="6"/>
      <c r="M2062" s="6"/>
      <c r="N2062" s="6" t="s">
        <v>2805</v>
      </c>
      <c r="O2062" s="29">
        <f t="shared" si="47"/>
        <v>280000</v>
      </c>
      <c r="Q2062" s="30" t="s">
        <v>2805</v>
      </c>
      <c r="R2062" s="31">
        <v>280000</v>
      </c>
    </row>
    <row r="2063" s="1" customFormat="1" ht="16.35" hidden="1" customHeight="1" spans="1:18">
      <c r="A2063" s="6"/>
      <c r="B2063" s="6" t="s">
        <v>4123</v>
      </c>
      <c r="C2063" s="6" t="s">
        <v>4171</v>
      </c>
      <c r="D2063" s="7">
        <v>7</v>
      </c>
      <c r="E2063" s="6" t="s">
        <v>5786</v>
      </c>
      <c r="F2063" s="6" t="s">
        <v>5631</v>
      </c>
      <c r="G2063" s="6" t="s">
        <v>5632</v>
      </c>
      <c r="H2063" s="8"/>
      <c r="I2063" s="8">
        <v>102721</v>
      </c>
      <c r="J2063" s="6"/>
      <c r="K2063" s="6" t="s">
        <v>2277</v>
      </c>
      <c r="L2063" s="6"/>
      <c r="M2063" s="6"/>
      <c r="N2063" s="6" t="s">
        <v>2277</v>
      </c>
      <c r="O2063" s="29">
        <f t="shared" si="47"/>
        <v>102721</v>
      </c>
      <c r="Q2063" s="30" t="s">
        <v>2277</v>
      </c>
      <c r="R2063" s="31">
        <v>102721</v>
      </c>
    </row>
    <row r="2064" s="1" customFormat="1" ht="16.35" hidden="1" customHeight="1" spans="1:18">
      <c r="A2064" s="6"/>
      <c r="B2064" s="6" t="s">
        <v>4123</v>
      </c>
      <c r="C2064" s="6" t="s">
        <v>4171</v>
      </c>
      <c r="D2064" s="7">
        <v>6</v>
      </c>
      <c r="E2064" s="6" t="s">
        <v>5787</v>
      </c>
      <c r="F2064" s="6" t="s">
        <v>5631</v>
      </c>
      <c r="G2064" s="6" t="s">
        <v>5632</v>
      </c>
      <c r="H2064" s="8"/>
      <c r="I2064" s="8">
        <v>18844</v>
      </c>
      <c r="J2064" s="6"/>
      <c r="K2064" s="6" t="s">
        <v>2027</v>
      </c>
      <c r="L2064" s="6"/>
      <c r="M2064" s="6"/>
      <c r="N2064" s="6" t="s">
        <v>2027</v>
      </c>
      <c r="O2064" s="29">
        <f t="shared" si="47"/>
        <v>18844</v>
      </c>
      <c r="Q2064" s="30" t="s">
        <v>2027</v>
      </c>
      <c r="R2064" s="31">
        <v>18844</v>
      </c>
    </row>
    <row r="2065" s="1" customFormat="1" ht="16.35" hidden="1" customHeight="1" spans="1:18">
      <c r="A2065" s="6"/>
      <c r="B2065" s="6" t="s">
        <v>4123</v>
      </c>
      <c r="C2065" s="6" t="s">
        <v>4171</v>
      </c>
      <c r="D2065" s="7">
        <v>18</v>
      </c>
      <c r="E2065" s="6" t="s">
        <v>5788</v>
      </c>
      <c r="F2065" s="6" t="s">
        <v>5631</v>
      </c>
      <c r="G2065" s="6" t="s">
        <v>5632</v>
      </c>
      <c r="H2065" s="8"/>
      <c r="I2065" s="8">
        <v>149000</v>
      </c>
      <c r="J2065" s="6"/>
      <c r="K2065" s="6" t="s">
        <v>2202</v>
      </c>
      <c r="L2065" s="6"/>
      <c r="M2065" s="6"/>
      <c r="N2065" s="6" t="s">
        <v>2202</v>
      </c>
      <c r="O2065" s="29">
        <f t="shared" si="47"/>
        <v>149000</v>
      </c>
      <c r="Q2065" s="30" t="s">
        <v>2202</v>
      </c>
      <c r="R2065" s="31">
        <v>149000</v>
      </c>
    </row>
    <row r="2066" s="1" customFormat="1" ht="16.35" hidden="1" customHeight="1" spans="1:18">
      <c r="A2066" s="6"/>
      <c r="B2066" s="6" t="s">
        <v>4123</v>
      </c>
      <c r="C2066" s="6" t="s">
        <v>4171</v>
      </c>
      <c r="D2066" s="7">
        <v>11</v>
      </c>
      <c r="E2066" s="6" t="s">
        <v>5789</v>
      </c>
      <c r="F2066" s="6" t="s">
        <v>5631</v>
      </c>
      <c r="G2066" s="6" t="s">
        <v>5632</v>
      </c>
      <c r="H2066" s="8"/>
      <c r="I2066" s="8">
        <v>9000</v>
      </c>
      <c r="J2066" s="6"/>
      <c r="K2066" s="6" t="s">
        <v>2259</v>
      </c>
      <c r="L2066" s="6"/>
      <c r="M2066" s="6"/>
      <c r="N2066" s="6" t="s">
        <v>2259</v>
      </c>
      <c r="O2066" s="29">
        <f t="shared" si="47"/>
        <v>9000</v>
      </c>
      <c r="Q2066" s="30" t="s">
        <v>2259</v>
      </c>
      <c r="R2066" s="31">
        <v>9000</v>
      </c>
    </row>
    <row r="2067" s="1" customFormat="1" ht="16.35" hidden="1" customHeight="1" spans="1:18">
      <c r="A2067" s="6"/>
      <c r="B2067" s="6" t="s">
        <v>4123</v>
      </c>
      <c r="C2067" s="6" t="s">
        <v>4171</v>
      </c>
      <c r="D2067" s="7">
        <v>21</v>
      </c>
      <c r="E2067" s="6" t="s">
        <v>5790</v>
      </c>
      <c r="F2067" s="6" t="s">
        <v>5631</v>
      </c>
      <c r="G2067" s="6" t="s">
        <v>5632</v>
      </c>
      <c r="H2067" s="8"/>
      <c r="I2067" s="8">
        <v>50404</v>
      </c>
      <c r="J2067" s="6"/>
      <c r="K2067" s="6" t="s">
        <v>2303</v>
      </c>
      <c r="L2067" s="6"/>
      <c r="M2067" s="6"/>
      <c r="N2067" s="6" t="s">
        <v>2303</v>
      </c>
      <c r="O2067" s="29">
        <f t="shared" si="47"/>
        <v>50404</v>
      </c>
      <c r="Q2067" s="30" t="s">
        <v>2303</v>
      </c>
      <c r="R2067" s="31">
        <v>50404</v>
      </c>
    </row>
    <row r="2068" s="1" customFormat="1" ht="16.35" hidden="1" customHeight="1" spans="1:18">
      <c r="A2068" s="6"/>
      <c r="B2068" s="6" t="s">
        <v>4123</v>
      </c>
      <c r="C2068" s="6" t="s">
        <v>4171</v>
      </c>
      <c r="D2068" s="7">
        <v>17</v>
      </c>
      <c r="E2068" s="6" t="s">
        <v>5791</v>
      </c>
      <c r="F2068" s="6" t="s">
        <v>5631</v>
      </c>
      <c r="G2068" s="6" t="s">
        <v>5632</v>
      </c>
      <c r="H2068" s="8"/>
      <c r="I2068" s="8">
        <v>120000</v>
      </c>
      <c r="J2068" s="6"/>
      <c r="K2068" s="6" t="s">
        <v>2312</v>
      </c>
      <c r="L2068" s="6"/>
      <c r="M2068" s="6"/>
      <c r="N2068" s="6" t="s">
        <v>2312</v>
      </c>
      <c r="O2068" s="29">
        <f t="shared" si="47"/>
        <v>120000</v>
      </c>
      <c r="Q2068" s="30" t="s">
        <v>2312</v>
      </c>
      <c r="R2068" s="31">
        <v>120000</v>
      </c>
    </row>
    <row r="2069" s="1" customFormat="1" ht="16.35" hidden="1" customHeight="1" spans="1:18">
      <c r="A2069" s="6"/>
      <c r="B2069" s="6" t="s">
        <v>4123</v>
      </c>
      <c r="C2069" s="6" t="s">
        <v>4171</v>
      </c>
      <c r="D2069" s="7">
        <v>4</v>
      </c>
      <c r="E2069" s="6" t="s">
        <v>5792</v>
      </c>
      <c r="F2069" s="6" t="s">
        <v>5631</v>
      </c>
      <c r="G2069" s="6" t="s">
        <v>5632</v>
      </c>
      <c r="H2069" s="8"/>
      <c r="I2069" s="8">
        <v>5000</v>
      </c>
      <c r="J2069" s="6"/>
      <c r="K2069" s="6" t="s">
        <v>2097</v>
      </c>
      <c r="L2069" s="6"/>
      <c r="M2069" s="6"/>
      <c r="N2069" s="6" t="s">
        <v>2097</v>
      </c>
      <c r="O2069" s="29">
        <f t="shared" si="47"/>
        <v>5000</v>
      </c>
      <c r="Q2069" s="30" t="s">
        <v>2097</v>
      </c>
      <c r="R2069" s="31">
        <v>5000</v>
      </c>
    </row>
    <row r="2070" s="1" customFormat="1" ht="16.35" hidden="1" customHeight="1" spans="1:18">
      <c r="A2070" s="6"/>
      <c r="B2070" s="6" t="s">
        <v>4123</v>
      </c>
      <c r="C2070" s="6" t="s">
        <v>4171</v>
      </c>
      <c r="D2070" s="7">
        <v>12</v>
      </c>
      <c r="E2070" s="6" t="s">
        <v>5793</v>
      </c>
      <c r="F2070" s="6" t="s">
        <v>5631</v>
      </c>
      <c r="G2070" s="6" t="s">
        <v>5632</v>
      </c>
      <c r="H2070" s="8"/>
      <c r="I2070" s="8">
        <v>70000</v>
      </c>
      <c r="J2070" s="6"/>
      <c r="K2070" s="6" t="s">
        <v>2801</v>
      </c>
      <c r="L2070" s="6"/>
      <c r="M2070" s="6"/>
      <c r="N2070" s="6" t="s">
        <v>2801</v>
      </c>
      <c r="O2070" s="29">
        <f t="shared" si="47"/>
        <v>70000</v>
      </c>
      <c r="Q2070" s="30" t="s">
        <v>2801</v>
      </c>
      <c r="R2070" s="31">
        <v>70000</v>
      </c>
    </row>
    <row r="2071" s="1" customFormat="1" ht="16.35" hidden="1" customHeight="1" spans="1:18">
      <c r="A2071" s="6"/>
      <c r="B2071" s="6" t="s">
        <v>4123</v>
      </c>
      <c r="C2071" s="6" t="s">
        <v>4171</v>
      </c>
      <c r="D2071" s="7">
        <v>8</v>
      </c>
      <c r="E2071" s="6" t="s">
        <v>5794</v>
      </c>
      <c r="F2071" s="6" t="s">
        <v>5631</v>
      </c>
      <c r="G2071" s="6" t="s">
        <v>5632</v>
      </c>
      <c r="H2071" s="8"/>
      <c r="I2071" s="8">
        <v>220000</v>
      </c>
      <c r="J2071" s="6"/>
      <c r="K2071" s="6" t="s">
        <v>2801</v>
      </c>
      <c r="L2071" s="6"/>
      <c r="M2071" s="6"/>
      <c r="N2071" s="6" t="s">
        <v>2801</v>
      </c>
      <c r="O2071" s="29">
        <f t="shared" si="47"/>
        <v>220000</v>
      </c>
      <c r="Q2071" s="30" t="s">
        <v>2801</v>
      </c>
      <c r="R2071" s="31">
        <v>220000</v>
      </c>
    </row>
    <row r="2072" s="1" customFormat="1" ht="16.35" hidden="1" customHeight="1" spans="1:18">
      <c r="A2072" s="6"/>
      <c r="B2072" s="6" t="s">
        <v>4123</v>
      </c>
      <c r="C2072" s="6" t="s">
        <v>4171</v>
      </c>
      <c r="D2072" s="7">
        <v>20</v>
      </c>
      <c r="E2072" s="6" t="s">
        <v>5795</v>
      </c>
      <c r="F2072" s="6" t="s">
        <v>5631</v>
      </c>
      <c r="G2072" s="6" t="s">
        <v>5632</v>
      </c>
      <c r="H2072" s="8"/>
      <c r="I2072" s="8">
        <v>135000</v>
      </c>
      <c r="J2072" s="6"/>
      <c r="K2072" s="6" t="s">
        <v>1974</v>
      </c>
      <c r="L2072" s="6"/>
      <c r="M2072" s="6"/>
      <c r="N2072" s="6" t="s">
        <v>1974</v>
      </c>
      <c r="O2072" s="29">
        <f t="shared" si="47"/>
        <v>135000</v>
      </c>
      <c r="Q2072" s="30" t="s">
        <v>1974</v>
      </c>
      <c r="R2072" s="31">
        <v>135000</v>
      </c>
    </row>
    <row r="2073" s="1" customFormat="1" ht="16.35" hidden="1" customHeight="1" spans="1:18">
      <c r="A2073" s="6"/>
      <c r="B2073" s="6" t="s">
        <v>4123</v>
      </c>
      <c r="C2073" s="6" t="s">
        <v>4171</v>
      </c>
      <c r="D2073" s="7">
        <v>23</v>
      </c>
      <c r="E2073" s="6" t="s">
        <v>5796</v>
      </c>
      <c r="F2073" s="6" t="s">
        <v>5631</v>
      </c>
      <c r="G2073" s="6" t="s">
        <v>5632</v>
      </c>
      <c r="H2073" s="8"/>
      <c r="I2073" s="8">
        <v>20000</v>
      </c>
      <c r="J2073" s="6"/>
      <c r="K2073" s="6" t="s">
        <v>2366</v>
      </c>
      <c r="L2073" s="6"/>
      <c r="M2073" s="6"/>
      <c r="N2073" s="6" t="s">
        <v>2366</v>
      </c>
      <c r="O2073" s="29">
        <f t="shared" si="47"/>
        <v>20000</v>
      </c>
      <c r="Q2073" s="30" t="s">
        <v>2366</v>
      </c>
      <c r="R2073" s="31">
        <v>20000</v>
      </c>
    </row>
    <row r="2074" s="1" customFormat="1" ht="16.35" hidden="1" customHeight="1" spans="1:18">
      <c r="A2074" s="6"/>
      <c r="B2074" s="6" t="s">
        <v>4123</v>
      </c>
      <c r="C2074" s="6" t="s">
        <v>4171</v>
      </c>
      <c r="D2074" s="7">
        <v>10</v>
      </c>
      <c r="E2074" s="6" t="s">
        <v>5797</v>
      </c>
      <c r="F2074" s="6" t="s">
        <v>5631</v>
      </c>
      <c r="G2074" s="6" t="s">
        <v>5632</v>
      </c>
      <c r="H2074" s="8"/>
      <c r="I2074" s="8">
        <v>100000</v>
      </c>
      <c r="J2074" s="6"/>
      <c r="K2074" s="6" t="s">
        <v>2860</v>
      </c>
      <c r="L2074" s="6"/>
      <c r="M2074" s="6"/>
      <c r="N2074" s="6" t="s">
        <v>2860</v>
      </c>
      <c r="O2074" s="29">
        <f t="shared" si="47"/>
        <v>100000</v>
      </c>
      <c r="Q2074" s="30" t="s">
        <v>2860</v>
      </c>
      <c r="R2074" s="31">
        <v>100000</v>
      </c>
    </row>
    <row r="2075" s="1" customFormat="1" ht="16.35" hidden="1" customHeight="1" spans="1:18">
      <c r="A2075" s="6"/>
      <c r="B2075" s="6" t="s">
        <v>4123</v>
      </c>
      <c r="C2075" s="6" t="s">
        <v>4171</v>
      </c>
      <c r="D2075" s="7">
        <v>13</v>
      </c>
      <c r="E2075" s="6" t="s">
        <v>5797</v>
      </c>
      <c r="F2075" s="6" t="s">
        <v>5631</v>
      </c>
      <c r="G2075" s="6" t="s">
        <v>5632</v>
      </c>
      <c r="H2075" s="8"/>
      <c r="I2075" s="8">
        <v>5812</v>
      </c>
      <c r="J2075" s="6"/>
      <c r="K2075" s="6" t="s">
        <v>2860</v>
      </c>
      <c r="L2075" s="6"/>
      <c r="M2075" s="6"/>
      <c r="N2075" s="6" t="s">
        <v>2860</v>
      </c>
      <c r="O2075" s="29">
        <f t="shared" si="47"/>
        <v>5812</v>
      </c>
      <c r="Q2075" s="30" t="s">
        <v>2860</v>
      </c>
      <c r="R2075" s="31">
        <v>5812</v>
      </c>
    </row>
    <row r="2076" s="1" customFormat="1" ht="16.35" hidden="1" customHeight="1" spans="1:18">
      <c r="A2076" s="6"/>
      <c r="B2076" s="6" t="s">
        <v>4123</v>
      </c>
      <c r="C2076" s="6" t="s">
        <v>4171</v>
      </c>
      <c r="D2076" s="7">
        <v>36</v>
      </c>
      <c r="E2076" s="6" t="s">
        <v>5798</v>
      </c>
      <c r="F2076" s="6" t="s">
        <v>5631</v>
      </c>
      <c r="G2076" s="6" t="s">
        <v>5632</v>
      </c>
      <c r="H2076" s="8"/>
      <c r="I2076" s="8">
        <v>70000</v>
      </c>
      <c r="J2076" s="6"/>
      <c r="K2076" s="6" t="s">
        <v>767</v>
      </c>
      <c r="L2076" s="6"/>
      <c r="M2076" s="6"/>
      <c r="N2076" s="6" t="s">
        <v>767</v>
      </c>
      <c r="O2076" s="29">
        <f t="shared" si="47"/>
        <v>70000</v>
      </c>
      <c r="Q2076" s="30" t="s">
        <v>767</v>
      </c>
      <c r="R2076" s="31">
        <v>70000</v>
      </c>
    </row>
    <row r="2077" s="1" customFormat="1" ht="16.35" hidden="1" customHeight="1" spans="1:18">
      <c r="A2077" s="6"/>
      <c r="B2077" s="6" t="s">
        <v>4123</v>
      </c>
      <c r="C2077" s="6" t="s">
        <v>4171</v>
      </c>
      <c r="D2077" s="7">
        <v>19</v>
      </c>
      <c r="E2077" s="6" t="s">
        <v>5799</v>
      </c>
      <c r="F2077" s="6" t="s">
        <v>5631</v>
      </c>
      <c r="G2077" s="6" t="s">
        <v>5632</v>
      </c>
      <c r="H2077" s="8"/>
      <c r="I2077" s="8">
        <v>210000</v>
      </c>
      <c r="J2077" s="6"/>
      <c r="K2077" s="6" t="s">
        <v>2740</v>
      </c>
      <c r="L2077" s="6"/>
      <c r="M2077" s="6"/>
      <c r="N2077" s="6" t="s">
        <v>2740</v>
      </c>
      <c r="O2077" s="29">
        <f t="shared" ref="O2077:O2109" si="48">I2077</f>
        <v>210000</v>
      </c>
      <c r="Q2077" s="30" t="s">
        <v>2740</v>
      </c>
      <c r="R2077" s="31">
        <v>210000</v>
      </c>
    </row>
    <row r="2078" s="1" customFormat="1" ht="16.35" hidden="1" customHeight="1" spans="1:18">
      <c r="A2078" s="6"/>
      <c r="B2078" s="6" t="s">
        <v>4123</v>
      </c>
      <c r="C2078" s="6" t="s">
        <v>4171</v>
      </c>
      <c r="D2078" s="7">
        <v>14</v>
      </c>
      <c r="E2078" s="6" t="s">
        <v>5800</v>
      </c>
      <c r="F2078" s="6" t="s">
        <v>5631</v>
      </c>
      <c r="G2078" s="6" t="s">
        <v>5632</v>
      </c>
      <c r="H2078" s="8"/>
      <c r="I2078" s="8">
        <v>110000</v>
      </c>
      <c r="J2078" s="6"/>
      <c r="K2078" s="6" t="s">
        <v>2235</v>
      </c>
      <c r="L2078" s="6"/>
      <c r="M2078" s="6"/>
      <c r="N2078" s="6" t="s">
        <v>2235</v>
      </c>
      <c r="O2078" s="29">
        <f t="shared" si="48"/>
        <v>110000</v>
      </c>
      <c r="Q2078" s="30" t="s">
        <v>2235</v>
      </c>
      <c r="R2078" s="31">
        <v>110000</v>
      </c>
    </row>
    <row r="2079" s="1" customFormat="1" ht="16.35" hidden="1" customHeight="1" spans="1:18">
      <c r="A2079" s="6"/>
      <c r="B2079" s="6" t="s">
        <v>4123</v>
      </c>
      <c r="C2079" s="6" t="s">
        <v>4171</v>
      </c>
      <c r="D2079" s="7">
        <v>16</v>
      </c>
      <c r="E2079" s="6" t="s">
        <v>5801</v>
      </c>
      <c r="F2079" s="6" t="s">
        <v>5631</v>
      </c>
      <c r="G2079" s="6" t="s">
        <v>5632</v>
      </c>
      <c r="H2079" s="8"/>
      <c r="I2079" s="8">
        <v>20000</v>
      </c>
      <c r="J2079" s="6"/>
      <c r="K2079" s="6" t="s">
        <v>2772</v>
      </c>
      <c r="L2079" s="6"/>
      <c r="M2079" s="6"/>
      <c r="N2079" s="6" t="s">
        <v>2772</v>
      </c>
      <c r="O2079" s="29">
        <f t="shared" si="48"/>
        <v>20000</v>
      </c>
      <c r="Q2079" s="30" t="s">
        <v>2772</v>
      </c>
      <c r="R2079" s="31">
        <v>20000</v>
      </c>
    </row>
    <row r="2080" s="1" customFormat="1" ht="16.35" hidden="1" customHeight="1" spans="1:18">
      <c r="A2080" s="6"/>
      <c r="B2080" s="6" t="s">
        <v>4123</v>
      </c>
      <c r="C2080" s="6" t="s">
        <v>4171</v>
      </c>
      <c r="D2080" s="7">
        <v>25</v>
      </c>
      <c r="E2080" s="6" t="s">
        <v>5802</v>
      </c>
      <c r="F2080" s="6" t="s">
        <v>5631</v>
      </c>
      <c r="G2080" s="6" t="s">
        <v>5632</v>
      </c>
      <c r="H2080" s="8"/>
      <c r="I2080" s="8">
        <v>333000</v>
      </c>
      <c r="J2080" s="6"/>
      <c r="K2080" s="6" t="s">
        <v>2772</v>
      </c>
      <c r="L2080" s="6"/>
      <c r="M2080" s="6"/>
      <c r="N2080" s="6" t="s">
        <v>2772</v>
      </c>
      <c r="O2080" s="29">
        <f t="shared" si="48"/>
        <v>333000</v>
      </c>
      <c r="Q2080" s="30" t="s">
        <v>2772</v>
      </c>
      <c r="R2080" s="31">
        <v>333000</v>
      </c>
    </row>
    <row r="2081" s="1" customFormat="1" ht="16.35" hidden="1" customHeight="1" spans="1:18">
      <c r="A2081" s="6"/>
      <c r="B2081" s="6" t="s">
        <v>4123</v>
      </c>
      <c r="C2081" s="6" t="s">
        <v>4171</v>
      </c>
      <c r="D2081" s="7">
        <v>35</v>
      </c>
      <c r="E2081" s="6" t="s">
        <v>5803</v>
      </c>
      <c r="F2081" s="6" t="s">
        <v>5631</v>
      </c>
      <c r="G2081" s="6" t="s">
        <v>5632</v>
      </c>
      <c r="H2081" s="8"/>
      <c r="I2081" s="8">
        <v>-167000</v>
      </c>
      <c r="J2081" s="6"/>
      <c r="K2081" s="6" t="s">
        <v>2305</v>
      </c>
      <c r="L2081" s="6"/>
      <c r="M2081" s="6"/>
      <c r="N2081" s="6" t="s">
        <v>2305</v>
      </c>
      <c r="O2081" s="29">
        <f t="shared" si="48"/>
        <v>-167000</v>
      </c>
      <c r="Q2081" s="30" t="s">
        <v>2305</v>
      </c>
      <c r="R2081" s="31">
        <v>-167000</v>
      </c>
    </row>
    <row r="2082" s="1" customFormat="1" ht="16.35" hidden="1" customHeight="1" spans="1:18">
      <c r="A2082" s="6"/>
      <c r="B2082" s="6" t="s">
        <v>4123</v>
      </c>
      <c r="C2082" s="6" t="s">
        <v>4171</v>
      </c>
      <c r="D2082" s="7">
        <v>3</v>
      </c>
      <c r="E2082" s="6" t="s">
        <v>5804</v>
      </c>
      <c r="F2082" s="6" t="s">
        <v>5631</v>
      </c>
      <c r="G2082" s="6" t="s">
        <v>5632</v>
      </c>
      <c r="H2082" s="8"/>
      <c r="I2082" s="8">
        <v>694</v>
      </c>
      <c r="J2082" s="6"/>
      <c r="K2082" s="6" t="s">
        <v>2186</v>
      </c>
      <c r="L2082" s="6"/>
      <c r="M2082" s="6"/>
      <c r="N2082" s="6" t="s">
        <v>2186</v>
      </c>
      <c r="O2082" s="29">
        <f t="shared" si="48"/>
        <v>694</v>
      </c>
      <c r="Q2082" s="30" t="s">
        <v>2186</v>
      </c>
      <c r="R2082" s="31">
        <v>694</v>
      </c>
    </row>
    <row r="2083" s="1" customFormat="1" ht="16.35" hidden="1" customHeight="1" spans="1:18">
      <c r="A2083" s="6"/>
      <c r="B2083" s="6" t="s">
        <v>4123</v>
      </c>
      <c r="C2083" s="6" t="s">
        <v>4171</v>
      </c>
      <c r="D2083" s="7">
        <v>15</v>
      </c>
      <c r="E2083" s="6" t="s">
        <v>5805</v>
      </c>
      <c r="F2083" s="6" t="s">
        <v>5631</v>
      </c>
      <c r="G2083" s="6" t="s">
        <v>5632</v>
      </c>
      <c r="H2083" s="8"/>
      <c r="I2083" s="8">
        <v>49404</v>
      </c>
      <c r="J2083" s="6"/>
      <c r="K2083" s="6" t="s">
        <v>2198</v>
      </c>
      <c r="L2083" s="6"/>
      <c r="M2083" s="6"/>
      <c r="N2083" s="6" t="s">
        <v>2198</v>
      </c>
      <c r="O2083" s="29">
        <f t="shared" si="48"/>
        <v>49404</v>
      </c>
      <c r="Q2083" s="30" t="s">
        <v>2198</v>
      </c>
      <c r="R2083" s="31">
        <v>49404</v>
      </c>
    </row>
    <row r="2084" s="1" customFormat="1" ht="16.35" hidden="1" customHeight="1" spans="1:18">
      <c r="A2084" s="6"/>
      <c r="B2084" s="6" t="s">
        <v>4123</v>
      </c>
      <c r="C2084" s="6" t="s">
        <v>4186</v>
      </c>
      <c r="D2084" s="7">
        <v>19</v>
      </c>
      <c r="E2084" s="6" t="s">
        <v>5806</v>
      </c>
      <c r="F2084" s="6" t="s">
        <v>5631</v>
      </c>
      <c r="G2084" s="6" t="s">
        <v>5632</v>
      </c>
      <c r="H2084" s="8"/>
      <c r="I2084" s="8">
        <v>200000</v>
      </c>
      <c r="J2084" s="6"/>
      <c r="K2084" s="6" t="s">
        <v>2049</v>
      </c>
      <c r="L2084" s="6"/>
      <c r="M2084" s="6"/>
      <c r="N2084" s="6" t="s">
        <v>2049</v>
      </c>
      <c r="O2084" s="29">
        <f t="shared" si="48"/>
        <v>200000</v>
      </c>
      <c r="Q2084" s="30" t="s">
        <v>2049</v>
      </c>
      <c r="R2084" s="31">
        <v>200000</v>
      </c>
    </row>
    <row r="2085" s="1" customFormat="1" ht="16.35" hidden="1" customHeight="1" spans="1:18">
      <c r="A2085" s="6"/>
      <c r="B2085" s="6" t="s">
        <v>4123</v>
      </c>
      <c r="C2085" s="6" t="s">
        <v>4186</v>
      </c>
      <c r="D2085" s="7">
        <v>6</v>
      </c>
      <c r="E2085" s="6" t="s">
        <v>5807</v>
      </c>
      <c r="F2085" s="6" t="s">
        <v>5631</v>
      </c>
      <c r="G2085" s="6" t="s">
        <v>5632</v>
      </c>
      <c r="H2085" s="8"/>
      <c r="I2085" s="8">
        <v>140000</v>
      </c>
      <c r="J2085" s="6"/>
      <c r="K2085" s="6" t="s">
        <v>2277</v>
      </c>
      <c r="L2085" s="6"/>
      <c r="M2085" s="6"/>
      <c r="N2085" s="6" t="s">
        <v>2277</v>
      </c>
      <c r="O2085" s="29">
        <f t="shared" si="48"/>
        <v>140000</v>
      </c>
      <c r="Q2085" s="30" t="s">
        <v>2277</v>
      </c>
      <c r="R2085" s="31">
        <v>140000</v>
      </c>
    </row>
    <row r="2086" s="1" customFormat="1" ht="16.35" hidden="1" customHeight="1" spans="1:18">
      <c r="A2086" s="6"/>
      <c r="B2086" s="6" t="s">
        <v>4123</v>
      </c>
      <c r="C2086" s="6" t="s">
        <v>4186</v>
      </c>
      <c r="D2086" s="7">
        <v>14</v>
      </c>
      <c r="E2086" s="6" t="s">
        <v>5808</v>
      </c>
      <c r="F2086" s="6" t="s">
        <v>5631</v>
      </c>
      <c r="G2086" s="6" t="s">
        <v>5632</v>
      </c>
      <c r="H2086" s="8"/>
      <c r="I2086" s="8">
        <v>170000</v>
      </c>
      <c r="J2086" s="6"/>
      <c r="K2086" s="6" t="s">
        <v>2027</v>
      </c>
      <c r="L2086" s="6"/>
      <c r="M2086" s="6"/>
      <c r="N2086" s="6" t="s">
        <v>2027</v>
      </c>
      <c r="O2086" s="29">
        <f t="shared" si="48"/>
        <v>170000</v>
      </c>
      <c r="Q2086" s="30" t="s">
        <v>2027</v>
      </c>
      <c r="R2086" s="31">
        <v>170000</v>
      </c>
    </row>
    <row r="2087" s="1" customFormat="1" ht="16.35" hidden="1" customHeight="1" spans="1:18">
      <c r="A2087" s="6"/>
      <c r="B2087" s="6" t="s">
        <v>4123</v>
      </c>
      <c r="C2087" s="6" t="s">
        <v>4186</v>
      </c>
      <c r="D2087" s="7">
        <v>20</v>
      </c>
      <c r="E2087" s="6" t="s">
        <v>5809</v>
      </c>
      <c r="F2087" s="6" t="s">
        <v>5631</v>
      </c>
      <c r="G2087" s="6" t="s">
        <v>5632</v>
      </c>
      <c r="H2087" s="8"/>
      <c r="I2087" s="8">
        <v>19000</v>
      </c>
      <c r="J2087" s="6"/>
      <c r="K2087" s="6" t="s">
        <v>2027</v>
      </c>
      <c r="L2087" s="6"/>
      <c r="M2087" s="6"/>
      <c r="N2087" s="6" t="s">
        <v>2027</v>
      </c>
      <c r="O2087" s="29">
        <f t="shared" si="48"/>
        <v>19000</v>
      </c>
      <c r="Q2087" s="30" t="s">
        <v>2027</v>
      </c>
      <c r="R2087" s="31">
        <v>19000</v>
      </c>
    </row>
    <row r="2088" s="1" customFormat="1" ht="16.35" hidden="1" customHeight="1" spans="1:18">
      <c r="A2088" s="6"/>
      <c r="B2088" s="6" t="s">
        <v>4123</v>
      </c>
      <c r="C2088" s="6" t="s">
        <v>4186</v>
      </c>
      <c r="D2088" s="7">
        <v>16</v>
      </c>
      <c r="E2088" s="6" t="s">
        <v>5810</v>
      </c>
      <c r="F2088" s="6" t="s">
        <v>5631</v>
      </c>
      <c r="G2088" s="6" t="s">
        <v>5632</v>
      </c>
      <c r="H2088" s="8"/>
      <c r="I2088" s="8">
        <v>20000</v>
      </c>
      <c r="J2088" s="6"/>
      <c r="K2088" s="6" t="s">
        <v>2257</v>
      </c>
      <c r="L2088" s="6"/>
      <c r="M2088" s="6"/>
      <c r="N2088" s="6" t="s">
        <v>2257</v>
      </c>
      <c r="O2088" s="29">
        <f t="shared" si="48"/>
        <v>20000</v>
      </c>
      <c r="Q2088" s="30" t="s">
        <v>2257</v>
      </c>
      <c r="R2088" s="31">
        <v>20000</v>
      </c>
    </row>
    <row r="2089" s="1" customFormat="1" ht="16.35" hidden="1" customHeight="1" spans="1:18">
      <c r="A2089" s="6"/>
      <c r="B2089" s="6" t="s">
        <v>4123</v>
      </c>
      <c r="C2089" s="6" t="s">
        <v>4186</v>
      </c>
      <c r="D2089" s="7">
        <v>3</v>
      </c>
      <c r="E2089" s="6" t="s">
        <v>5811</v>
      </c>
      <c r="F2089" s="6" t="s">
        <v>5631</v>
      </c>
      <c r="G2089" s="6" t="s">
        <v>5632</v>
      </c>
      <c r="H2089" s="8"/>
      <c r="I2089" s="8">
        <v>19000</v>
      </c>
      <c r="J2089" s="6"/>
      <c r="K2089" s="6" t="s">
        <v>2217</v>
      </c>
      <c r="L2089" s="6"/>
      <c r="M2089" s="6"/>
      <c r="N2089" s="6" t="s">
        <v>2217</v>
      </c>
      <c r="O2089" s="29">
        <f t="shared" si="48"/>
        <v>19000</v>
      </c>
      <c r="Q2089" s="30" t="s">
        <v>2217</v>
      </c>
      <c r="R2089" s="31">
        <v>19000</v>
      </c>
    </row>
    <row r="2090" s="1" customFormat="1" ht="16.35" hidden="1" customHeight="1" spans="1:18">
      <c r="A2090" s="6"/>
      <c r="B2090" s="6" t="s">
        <v>4123</v>
      </c>
      <c r="C2090" s="6" t="s">
        <v>4186</v>
      </c>
      <c r="D2090" s="7">
        <v>13</v>
      </c>
      <c r="E2090" s="6" t="s">
        <v>5812</v>
      </c>
      <c r="F2090" s="6" t="s">
        <v>5631</v>
      </c>
      <c r="G2090" s="6" t="s">
        <v>5632</v>
      </c>
      <c r="H2090" s="8"/>
      <c r="I2090" s="8">
        <v>160000</v>
      </c>
      <c r="J2090" s="6"/>
      <c r="K2090" s="6" t="s">
        <v>2303</v>
      </c>
      <c r="L2090" s="6"/>
      <c r="M2090" s="6"/>
      <c r="N2090" s="6" t="s">
        <v>2303</v>
      </c>
      <c r="O2090" s="29">
        <f t="shared" si="48"/>
        <v>160000</v>
      </c>
      <c r="Q2090" s="30" t="s">
        <v>2303</v>
      </c>
      <c r="R2090" s="31">
        <v>160000</v>
      </c>
    </row>
    <row r="2091" s="1" customFormat="1" ht="16.35" hidden="1" customHeight="1" spans="1:18">
      <c r="A2091" s="6"/>
      <c r="B2091" s="6" t="s">
        <v>4123</v>
      </c>
      <c r="C2091" s="6" t="s">
        <v>4186</v>
      </c>
      <c r="D2091" s="7">
        <v>1</v>
      </c>
      <c r="E2091" s="6" t="s">
        <v>5813</v>
      </c>
      <c r="F2091" s="6" t="s">
        <v>5631</v>
      </c>
      <c r="G2091" s="6" t="s">
        <v>5632</v>
      </c>
      <c r="H2091" s="8"/>
      <c r="I2091" s="8">
        <v>135000</v>
      </c>
      <c r="J2091" s="6"/>
      <c r="K2091" s="6" t="s">
        <v>1976</v>
      </c>
      <c r="L2091" s="6"/>
      <c r="M2091" s="6"/>
      <c r="N2091" s="6" t="s">
        <v>1976</v>
      </c>
      <c r="O2091" s="29">
        <f t="shared" si="48"/>
        <v>135000</v>
      </c>
      <c r="Q2091" s="30" t="s">
        <v>1976</v>
      </c>
      <c r="R2091" s="31">
        <v>135000</v>
      </c>
    </row>
    <row r="2092" s="1" customFormat="1" ht="16.35" hidden="1" customHeight="1" spans="1:18">
      <c r="A2092" s="6"/>
      <c r="B2092" s="6" t="s">
        <v>4123</v>
      </c>
      <c r="C2092" s="6" t="s">
        <v>4186</v>
      </c>
      <c r="D2092" s="7">
        <v>1</v>
      </c>
      <c r="E2092" s="6" t="s">
        <v>5813</v>
      </c>
      <c r="F2092" s="6" t="s">
        <v>5631</v>
      </c>
      <c r="G2092" s="6" t="s">
        <v>5632</v>
      </c>
      <c r="H2092" s="8"/>
      <c r="I2092" s="8">
        <v>-135000</v>
      </c>
      <c r="J2092" s="6"/>
      <c r="K2092" s="6" t="s">
        <v>1978</v>
      </c>
      <c r="L2092" s="6"/>
      <c r="M2092" s="6"/>
      <c r="N2092" s="6" t="s">
        <v>1978</v>
      </c>
      <c r="O2092" s="29">
        <f t="shared" si="48"/>
        <v>-135000</v>
      </c>
      <c r="Q2092" s="30" t="s">
        <v>1978</v>
      </c>
      <c r="R2092" s="31">
        <v>-135000</v>
      </c>
    </row>
    <row r="2093" s="1" customFormat="1" ht="16.35" hidden="1" customHeight="1" spans="1:18">
      <c r="A2093" s="6"/>
      <c r="B2093" s="6" t="s">
        <v>4123</v>
      </c>
      <c r="C2093" s="6" t="s">
        <v>4186</v>
      </c>
      <c r="D2093" s="7">
        <v>10</v>
      </c>
      <c r="E2093" s="6" t="s">
        <v>5814</v>
      </c>
      <c r="F2093" s="6" t="s">
        <v>5631</v>
      </c>
      <c r="G2093" s="6" t="s">
        <v>5632</v>
      </c>
      <c r="H2093" s="8"/>
      <c r="I2093" s="8">
        <v>240000</v>
      </c>
      <c r="J2093" s="6"/>
      <c r="K2093" s="6" t="s">
        <v>2760</v>
      </c>
      <c r="L2093" s="6"/>
      <c r="M2093" s="6"/>
      <c r="N2093" s="6" t="s">
        <v>2760</v>
      </c>
      <c r="O2093" s="29">
        <f t="shared" si="48"/>
        <v>240000</v>
      </c>
      <c r="Q2093" s="30" t="s">
        <v>2760</v>
      </c>
      <c r="R2093" s="31">
        <v>240000</v>
      </c>
    </row>
    <row r="2094" s="1" customFormat="1" ht="16.35" hidden="1" customHeight="1" spans="1:18">
      <c r="A2094" s="6"/>
      <c r="B2094" s="6" t="s">
        <v>4123</v>
      </c>
      <c r="C2094" s="6" t="s">
        <v>4186</v>
      </c>
      <c r="D2094" s="7">
        <v>2</v>
      </c>
      <c r="E2094" s="6" t="s">
        <v>5815</v>
      </c>
      <c r="F2094" s="6" t="s">
        <v>5631</v>
      </c>
      <c r="G2094" s="6" t="s">
        <v>5632</v>
      </c>
      <c r="H2094" s="8"/>
      <c r="I2094" s="8">
        <v>3000</v>
      </c>
      <c r="J2094" s="6"/>
      <c r="K2094" s="6" t="s">
        <v>2356</v>
      </c>
      <c r="L2094" s="6"/>
      <c r="M2094" s="6"/>
      <c r="N2094" s="6" t="s">
        <v>2356</v>
      </c>
      <c r="O2094" s="29">
        <f t="shared" si="48"/>
        <v>3000</v>
      </c>
      <c r="Q2094" s="30" t="s">
        <v>2356</v>
      </c>
      <c r="R2094" s="31">
        <v>3000</v>
      </c>
    </row>
    <row r="2095" s="1" customFormat="1" ht="16.35" hidden="1" customHeight="1" spans="1:18">
      <c r="A2095" s="6"/>
      <c r="B2095" s="6" t="s">
        <v>4123</v>
      </c>
      <c r="C2095" s="6" t="s">
        <v>4186</v>
      </c>
      <c r="D2095" s="7">
        <v>7</v>
      </c>
      <c r="E2095" s="6" t="s">
        <v>5816</v>
      </c>
      <c r="F2095" s="6" t="s">
        <v>5631</v>
      </c>
      <c r="G2095" s="6" t="s">
        <v>5632</v>
      </c>
      <c r="H2095" s="8"/>
      <c r="I2095" s="8">
        <v>790</v>
      </c>
      <c r="J2095" s="6"/>
      <c r="K2095" s="6" t="s">
        <v>2190</v>
      </c>
      <c r="L2095" s="6"/>
      <c r="M2095" s="6"/>
      <c r="N2095" s="6" t="s">
        <v>2190</v>
      </c>
      <c r="O2095" s="29">
        <f t="shared" si="48"/>
        <v>790</v>
      </c>
      <c r="Q2095" s="30" t="s">
        <v>2190</v>
      </c>
      <c r="R2095" s="31">
        <v>790</v>
      </c>
    </row>
    <row r="2096" s="1" customFormat="1" ht="16.35" hidden="1" customHeight="1" spans="1:18">
      <c r="A2096" s="6"/>
      <c r="B2096" s="6" t="s">
        <v>4123</v>
      </c>
      <c r="C2096" s="6" t="s">
        <v>4186</v>
      </c>
      <c r="D2096" s="7">
        <v>8</v>
      </c>
      <c r="E2096" s="6" t="s">
        <v>5816</v>
      </c>
      <c r="F2096" s="6" t="s">
        <v>5631</v>
      </c>
      <c r="G2096" s="6" t="s">
        <v>5632</v>
      </c>
      <c r="H2096" s="8"/>
      <c r="I2096" s="8">
        <v>240000</v>
      </c>
      <c r="J2096" s="6"/>
      <c r="K2096" s="6" t="s">
        <v>2190</v>
      </c>
      <c r="L2096" s="6"/>
      <c r="M2096" s="6"/>
      <c r="N2096" s="6" t="s">
        <v>2190</v>
      </c>
      <c r="O2096" s="29">
        <f t="shared" si="48"/>
        <v>240000</v>
      </c>
      <c r="Q2096" s="30" t="s">
        <v>2190</v>
      </c>
      <c r="R2096" s="31">
        <v>240000</v>
      </c>
    </row>
    <row r="2097" s="1" customFormat="1" ht="16.35" hidden="1" customHeight="1" spans="1:18">
      <c r="A2097" s="6"/>
      <c r="B2097" s="6" t="s">
        <v>4123</v>
      </c>
      <c r="C2097" s="6" t="s">
        <v>4186</v>
      </c>
      <c r="D2097" s="7">
        <v>15</v>
      </c>
      <c r="E2097" s="6" t="s">
        <v>5817</v>
      </c>
      <c r="F2097" s="6" t="s">
        <v>5631</v>
      </c>
      <c r="G2097" s="6" t="s">
        <v>5632</v>
      </c>
      <c r="H2097" s="8"/>
      <c r="I2097" s="8">
        <v>120739</v>
      </c>
      <c r="J2097" s="6"/>
      <c r="K2097" s="6" t="s">
        <v>2215</v>
      </c>
      <c r="L2097" s="6"/>
      <c r="M2097" s="6"/>
      <c r="N2097" s="6" t="s">
        <v>2215</v>
      </c>
      <c r="O2097" s="29">
        <f t="shared" si="48"/>
        <v>120739</v>
      </c>
      <c r="Q2097" s="30" t="s">
        <v>2215</v>
      </c>
      <c r="R2097" s="31">
        <v>120739</v>
      </c>
    </row>
    <row r="2098" s="1" customFormat="1" ht="16.35" hidden="1" customHeight="1" spans="1:18">
      <c r="A2098" s="6"/>
      <c r="B2098" s="6" t="s">
        <v>4123</v>
      </c>
      <c r="C2098" s="6" t="s">
        <v>4186</v>
      </c>
      <c r="D2098" s="7">
        <v>9</v>
      </c>
      <c r="E2098" s="6" t="s">
        <v>5818</v>
      </c>
      <c r="F2098" s="6" t="s">
        <v>5631</v>
      </c>
      <c r="G2098" s="6" t="s">
        <v>5632</v>
      </c>
      <c r="H2098" s="8"/>
      <c r="I2098" s="8">
        <v>200000</v>
      </c>
      <c r="J2098" s="6"/>
      <c r="K2098" s="6" t="s">
        <v>2758</v>
      </c>
      <c r="L2098" s="6"/>
      <c r="M2098" s="6"/>
      <c r="N2098" s="6" t="s">
        <v>2758</v>
      </c>
      <c r="O2098" s="29">
        <f t="shared" si="48"/>
        <v>200000</v>
      </c>
      <c r="Q2098" s="30" t="s">
        <v>2758</v>
      </c>
      <c r="R2098" s="31">
        <v>200000</v>
      </c>
    </row>
    <row r="2099" s="1" customFormat="1" ht="16.35" hidden="1" customHeight="1" spans="1:18">
      <c r="A2099" s="6"/>
      <c r="B2099" s="6" t="s">
        <v>4123</v>
      </c>
      <c r="C2099" s="6" t="s">
        <v>4186</v>
      </c>
      <c r="D2099" s="7">
        <v>5</v>
      </c>
      <c r="E2099" s="6" t="s">
        <v>5819</v>
      </c>
      <c r="F2099" s="6" t="s">
        <v>5631</v>
      </c>
      <c r="G2099" s="6" t="s">
        <v>5632</v>
      </c>
      <c r="H2099" s="8"/>
      <c r="I2099" s="8">
        <v>13000</v>
      </c>
      <c r="J2099" s="6"/>
      <c r="K2099" s="6" t="s">
        <v>2165</v>
      </c>
      <c r="L2099" s="6"/>
      <c r="M2099" s="6"/>
      <c r="N2099" s="6" t="s">
        <v>2165</v>
      </c>
      <c r="O2099" s="29">
        <f t="shared" si="48"/>
        <v>13000</v>
      </c>
      <c r="Q2099" s="30" t="s">
        <v>2165</v>
      </c>
      <c r="R2099" s="31">
        <v>13000</v>
      </c>
    </row>
    <row r="2100" s="1" customFormat="1" ht="16.35" hidden="1" customHeight="1" spans="1:18">
      <c r="A2100" s="6"/>
      <c r="B2100" s="6" t="s">
        <v>4123</v>
      </c>
      <c r="C2100" s="6" t="s">
        <v>4186</v>
      </c>
      <c r="D2100" s="7">
        <v>4</v>
      </c>
      <c r="E2100" s="6" t="s">
        <v>5820</v>
      </c>
      <c r="F2100" s="6" t="s">
        <v>5631</v>
      </c>
      <c r="G2100" s="6" t="s">
        <v>5632</v>
      </c>
      <c r="H2100" s="8"/>
      <c r="I2100" s="8">
        <v>27</v>
      </c>
      <c r="J2100" s="6"/>
      <c r="K2100" s="6" t="s">
        <v>2113</v>
      </c>
      <c r="L2100" s="6"/>
      <c r="M2100" s="6"/>
      <c r="N2100" s="6" t="s">
        <v>2113</v>
      </c>
      <c r="O2100" s="29">
        <f t="shared" si="48"/>
        <v>27</v>
      </c>
      <c r="Q2100" s="30" t="s">
        <v>2113</v>
      </c>
      <c r="R2100" s="31">
        <v>27</v>
      </c>
    </row>
    <row r="2101" s="1" customFormat="1" ht="16.35" hidden="1" customHeight="1" spans="1:18">
      <c r="A2101" s="6"/>
      <c r="B2101" s="6" t="s">
        <v>4123</v>
      </c>
      <c r="C2101" s="6" t="s">
        <v>4186</v>
      </c>
      <c r="D2101" s="7">
        <v>11</v>
      </c>
      <c r="E2101" s="6" t="s">
        <v>5821</v>
      </c>
      <c r="F2101" s="6" t="s">
        <v>5631</v>
      </c>
      <c r="G2101" s="6" t="s">
        <v>5632</v>
      </c>
      <c r="H2101" s="8"/>
      <c r="I2101" s="8">
        <v>140000</v>
      </c>
      <c r="J2101" s="6"/>
      <c r="K2101" s="6" t="s">
        <v>2305</v>
      </c>
      <c r="L2101" s="6"/>
      <c r="M2101" s="6"/>
      <c r="N2101" s="6" t="s">
        <v>2305</v>
      </c>
      <c r="O2101" s="29">
        <f t="shared" si="48"/>
        <v>140000</v>
      </c>
      <c r="Q2101" s="30" t="s">
        <v>2305</v>
      </c>
      <c r="R2101" s="31">
        <v>140000</v>
      </c>
    </row>
    <row r="2102" s="1" customFormat="1" ht="16.35" hidden="1" customHeight="1" spans="1:18">
      <c r="A2102" s="6"/>
      <c r="B2102" s="6" t="s">
        <v>4123</v>
      </c>
      <c r="C2102" s="6" t="s">
        <v>4186</v>
      </c>
      <c r="D2102" s="7">
        <v>12</v>
      </c>
      <c r="E2102" s="6" t="s">
        <v>5822</v>
      </c>
      <c r="F2102" s="6" t="s">
        <v>5631</v>
      </c>
      <c r="G2102" s="6" t="s">
        <v>5632</v>
      </c>
      <c r="H2102" s="8"/>
      <c r="I2102" s="8">
        <v>160000</v>
      </c>
      <c r="J2102" s="6"/>
      <c r="K2102" s="6" t="s">
        <v>2198</v>
      </c>
      <c r="L2102" s="6"/>
      <c r="M2102" s="6"/>
      <c r="N2102" s="6" t="s">
        <v>2198</v>
      </c>
      <c r="O2102" s="29">
        <f t="shared" si="48"/>
        <v>160000</v>
      </c>
      <c r="Q2102" s="30" t="s">
        <v>2198</v>
      </c>
      <c r="R2102" s="31">
        <v>160000</v>
      </c>
    </row>
    <row r="2103" s="1" customFormat="1" ht="16.35" hidden="1" customHeight="1" spans="1:18">
      <c r="A2103" s="6"/>
      <c r="B2103" s="6" t="s">
        <v>4123</v>
      </c>
      <c r="C2103" s="6" t="s">
        <v>4186</v>
      </c>
      <c r="D2103" s="7">
        <v>17</v>
      </c>
      <c r="E2103" s="6" t="s">
        <v>5823</v>
      </c>
      <c r="F2103" s="6" t="s">
        <v>5631</v>
      </c>
      <c r="G2103" s="6" t="s">
        <v>5632</v>
      </c>
      <c r="H2103" s="8"/>
      <c r="I2103" s="8">
        <v>11338</v>
      </c>
      <c r="J2103" s="6"/>
      <c r="K2103" s="6" t="s">
        <v>2316</v>
      </c>
      <c r="L2103" s="6"/>
      <c r="M2103" s="6"/>
      <c r="N2103" s="6" t="s">
        <v>2316</v>
      </c>
      <c r="O2103" s="29">
        <f t="shared" si="48"/>
        <v>11338</v>
      </c>
      <c r="Q2103" s="30" t="s">
        <v>2316</v>
      </c>
      <c r="R2103" s="31">
        <v>11338</v>
      </c>
    </row>
    <row r="2104" s="1" customFormat="1" ht="16.35" hidden="1" customHeight="1" spans="1:18">
      <c r="A2104" s="6"/>
      <c r="B2104" s="6" t="s">
        <v>4123</v>
      </c>
      <c r="C2104" s="6" t="s">
        <v>4197</v>
      </c>
      <c r="D2104" s="7">
        <v>59</v>
      </c>
      <c r="E2104" s="6" t="s">
        <v>5787</v>
      </c>
      <c r="F2104" s="6" t="s">
        <v>5631</v>
      </c>
      <c r="G2104" s="6" t="s">
        <v>5632</v>
      </c>
      <c r="H2104" s="8"/>
      <c r="I2104" s="8">
        <v>3000</v>
      </c>
      <c r="J2104" s="6"/>
      <c r="K2104" s="6" t="s">
        <v>2027</v>
      </c>
      <c r="L2104" s="6"/>
      <c r="M2104" s="6"/>
      <c r="N2104" s="6" t="s">
        <v>2027</v>
      </c>
      <c r="O2104" s="29">
        <f t="shared" si="48"/>
        <v>3000</v>
      </c>
      <c r="Q2104" s="30" t="s">
        <v>2027</v>
      </c>
      <c r="R2104" s="31">
        <v>3000</v>
      </c>
    </row>
    <row r="2105" s="1" customFormat="1" ht="16.35" hidden="1" customHeight="1" spans="1:19">
      <c r="A2105" s="6"/>
      <c r="B2105" s="6" t="s">
        <v>4123</v>
      </c>
      <c r="C2105" s="6" t="s">
        <v>4197</v>
      </c>
      <c r="D2105" s="7">
        <v>1</v>
      </c>
      <c r="E2105" s="6" t="s">
        <v>5824</v>
      </c>
      <c r="F2105" s="6" t="s">
        <v>5631</v>
      </c>
      <c r="G2105" s="6" t="s">
        <v>5632</v>
      </c>
      <c r="H2105" s="8"/>
      <c r="I2105" s="8">
        <v>2000</v>
      </c>
      <c r="J2105" s="6"/>
      <c r="K2105" s="6" t="s">
        <v>1984</v>
      </c>
      <c r="L2105" s="6"/>
      <c r="M2105" s="6"/>
      <c r="N2105" s="6" t="s">
        <v>1984</v>
      </c>
      <c r="O2105" s="29">
        <f t="shared" si="48"/>
        <v>2000</v>
      </c>
      <c r="Q2105" s="30" t="s">
        <v>1984</v>
      </c>
      <c r="R2105" s="31">
        <v>2000</v>
      </c>
      <c r="S2105" s="1">
        <v>2000</v>
      </c>
    </row>
    <row r="2106" s="1" customFormat="1" ht="16.35" hidden="1" customHeight="1" spans="1:18">
      <c r="A2106" s="6"/>
      <c r="B2106" s="6" t="s">
        <v>4123</v>
      </c>
      <c r="C2106" s="6" t="s">
        <v>4197</v>
      </c>
      <c r="D2106" s="7">
        <v>63</v>
      </c>
      <c r="E2106" s="6" t="s">
        <v>5825</v>
      </c>
      <c r="F2106" s="6" t="s">
        <v>5631</v>
      </c>
      <c r="G2106" s="6" t="s">
        <v>5632</v>
      </c>
      <c r="H2106" s="8"/>
      <c r="I2106" s="8">
        <v>30000</v>
      </c>
      <c r="J2106" s="6"/>
      <c r="K2106" s="6" t="s">
        <v>2079</v>
      </c>
      <c r="L2106" s="6"/>
      <c r="M2106" s="6"/>
      <c r="N2106" s="6" t="s">
        <v>2079</v>
      </c>
      <c r="O2106" s="29">
        <f t="shared" si="48"/>
        <v>30000</v>
      </c>
      <c r="Q2106" s="30" t="s">
        <v>2079</v>
      </c>
      <c r="R2106" s="31">
        <v>30000</v>
      </c>
    </row>
    <row r="2107" s="1" customFormat="1" ht="16.35" hidden="1" customHeight="1" spans="1:18">
      <c r="A2107" s="6"/>
      <c r="B2107" s="6" t="s">
        <v>4123</v>
      </c>
      <c r="C2107" s="6" t="s">
        <v>4197</v>
      </c>
      <c r="D2107" s="7">
        <v>58</v>
      </c>
      <c r="E2107" s="6" t="s">
        <v>5826</v>
      </c>
      <c r="F2107" s="6" t="s">
        <v>5631</v>
      </c>
      <c r="G2107" s="6" t="s">
        <v>5632</v>
      </c>
      <c r="H2107" s="8"/>
      <c r="I2107" s="8">
        <v>69404</v>
      </c>
      <c r="J2107" s="6"/>
      <c r="K2107" s="6" t="s">
        <v>2241</v>
      </c>
      <c r="L2107" s="6"/>
      <c r="M2107" s="6"/>
      <c r="N2107" s="6" t="s">
        <v>2241</v>
      </c>
      <c r="O2107" s="29">
        <f t="shared" si="48"/>
        <v>69404</v>
      </c>
      <c r="Q2107" s="30" t="s">
        <v>2241</v>
      </c>
      <c r="R2107" s="31">
        <v>69404</v>
      </c>
    </row>
    <row r="2108" s="1" customFormat="1" ht="16.35" hidden="1" customHeight="1" spans="1:18">
      <c r="A2108" s="6"/>
      <c r="B2108" s="6" t="s">
        <v>4123</v>
      </c>
      <c r="C2108" s="6" t="s">
        <v>4197</v>
      </c>
      <c r="D2108" s="7">
        <v>67</v>
      </c>
      <c r="E2108" s="6" t="s">
        <v>5827</v>
      </c>
      <c r="F2108" s="6" t="s">
        <v>5631</v>
      </c>
      <c r="G2108" s="6" t="s">
        <v>5632</v>
      </c>
      <c r="H2108" s="8"/>
      <c r="I2108" s="8">
        <v>137540</v>
      </c>
      <c r="J2108" s="6"/>
      <c r="K2108" s="6" t="s">
        <v>2873</v>
      </c>
      <c r="L2108" s="6"/>
      <c r="M2108" s="6"/>
      <c r="N2108" s="6" t="s">
        <v>2873</v>
      </c>
      <c r="O2108" s="29">
        <f t="shared" si="48"/>
        <v>137540</v>
      </c>
      <c r="Q2108" s="30" t="s">
        <v>2873</v>
      </c>
      <c r="R2108" s="31">
        <v>137540</v>
      </c>
    </row>
    <row r="2109" s="1" customFormat="1" ht="16.35" hidden="1" customHeight="1" spans="1:18">
      <c r="A2109" s="6"/>
      <c r="B2109" s="6" t="s">
        <v>4123</v>
      </c>
      <c r="C2109" s="6" t="s">
        <v>4197</v>
      </c>
      <c r="D2109" s="7">
        <v>70</v>
      </c>
      <c r="E2109" s="6" t="s">
        <v>5828</v>
      </c>
      <c r="F2109" s="6" t="s">
        <v>5631</v>
      </c>
      <c r="G2109" s="6" t="s">
        <v>5632</v>
      </c>
      <c r="H2109" s="8"/>
      <c r="I2109" s="8">
        <v>16000</v>
      </c>
      <c r="J2109" s="6"/>
      <c r="K2109" s="6" t="s">
        <v>748</v>
      </c>
      <c r="L2109" s="6"/>
      <c r="M2109" s="6"/>
      <c r="N2109" s="6" t="s">
        <v>748</v>
      </c>
      <c r="O2109" s="29">
        <f t="shared" si="48"/>
        <v>16000</v>
      </c>
      <c r="Q2109" s="30" t="s">
        <v>748</v>
      </c>
      <c r="R2109" s="31">
        <v>16000</v>
      </c>
    </row>
    <row r="2110" s="1" customFormat="1" ht="16.35" hidden="1" customHeight="1" spans="1:18">
      <c r="A2110" s="6"/>
      <c r="B2110" s="6" t="s">
        <v>4123</v>
      </c>
      <c r="C2110" s="6" t="s">
        <v>4197</v>
      </c>
      <c r="D2110" s="7">
        <v>2</v>
      </c>
      <c r="E2110" s="6" t="s">
        <v>5829</v>
      </c>
      <c r="F2110" s="6" t="s">
        <v>5631</v>
      </c>
      <c r="G2110" s="6" t="s">
        <v>5632</v>
      </c>
      <c r="H2110" s="8"/>
      <c r="I2110" s="8">
        <v>-4000</v>
      </c>
      <c r="J2110" s="6"/>
      <c r="K2110" s="6" t="s">
        <v>1946</v>
      </c>
      <c r="L2110" s="6"/>
      <c r="M2110" s="6"/>
      <c r="N2110" s="6" t="s">
        <v>1946</v>
      </c>
      <c r="O2110" s="29">
        <f t="shared" ref="O2110:O2137" si="49">I2110</f>
        <v>-4000</v>
      </c>
      <c r="Q2110" s="30" t="s">
        <v>1946</v>
      </c>
      <c r="R2110" s="31">
        <v>-4000</v>
      </c>
    </row>
    <row r="2111" s="1" customFormat="1" ht="16.35" hidden="1" customHeight="1" spans="1:18">
      <c r="A2111" s="6"/>
      <c r="B2111" s="6" t="s">
        <v>4123</v>
      </c>
      <c r="C2111" s="6" t="s">
        <v>4197</v>
      </c>
      <c r="D2111" s="7">
        <v>3</v>
      </c>
      <c r="E2111" s="6" t="s">
        <v>5830</v>
      </c>
      <c r="F2111" s="6" t="s">
        <v>5631</v>
      </c>
      <c r="G2111" s="6" t="s">
        <v>5632</v>
      </c>
      <c r="H2111" s="8"/>
      <c r="I2111" s="8">
        <v>216300</v>
      </c>
      <c r="J2111" s="6"/>
      <c r="K2111" s="6" t="s">
        <v>1946</v>
      </c>
      <c r="L2111" s="6"/>
      <c r="M2111" s="6"/>
      <c r="N2111" s="6" t="s">
        <v>1946</v>
      </c>
      <c r="O2111" s="29">
        <f t="shared" si="49"/>
        <v>216300</v>
      </c>
      <c r="Q2111" s="30" t="s">
        <v>1946</v>
      </c>
      <c r="R2111" s="31">
        <v>216300</v>
      </c>
    </row>
    <row r="2112" s="1" customFormat="1" ht="16.35" hidden="1" customHeight="1" spans="1:18">
      <c r="A2112" s="6"/>
      <c r="B2112" s="6" t="s">
        <v>4123</v>
      </c>
      <c r="C2112" s="6" t="s">
        <v>4197</v>
      </c>
      <c r="D2112" s="7">
        <v>65</v>
      </c>
      <c r="E2112" s="6" t="s">
        <v>5831</v>
      </c>
      <c r="F2112" s="6" t="s">
        <v>5631</v>
      </c>
      <c r="G2112" s="6" t="s">
        <v>5632</v>
      </c>
      <c r="H2112" s="8"/>
      <c r="I2112" s="8">
        <v>77115</v>
      </c>
      <c r="J2112" s="6"/>
      <c r="K2112" s="6" t="s">
        <v>2263</v>
      </c>
      <c r="L2112" s="6"/>
      <c r="M2112" s="6"/>
      <c r="N2112" s="6" t="s">
        <v>2263</v>
      </c>
      <c r="O2112" s="29">
        <f t="shared" si="49"/>
        <v>77115</v>
      </c>
      <c r="Q2112" s="30" t="s">
        <v>2263</v>
      </c>
      <c r="R2112" s="31">
        <v>77115</v>
      </c>
    </row>
    <row r="2113" s="1" customFormat="1" ht="16.35" hidden="1" customHeight="1" spans="1:18">
      <c r="A2113" s="6"/>
      <c r="B2113" s="6" t="s">
        <v>4123</v>
      </c>
      <c r="C2113" s="6" t="s">
        <v>4197</v>
      </c>
      <c r="D2113" s="7">
        <v>56</v>
      </c>
      <c r="E2113" s="6" t="s">
        <v>5832</v>
      </c>
      <c r="F2113" s="6" t="s">
        <v>5631</v>
      </c>
      <c r="G2113" s="6" t="s">
        <v>5632</v>
      </c>
      <c r="H2113" s="8"/>
      <c r="I2113" s="8">
        <v>100000</v>
      </c>
      <c r="J2113" s="6"/>
      <c r="K2113" s="6" t="s">
        <v>2215</v>
      </c>
      <c r="L2113" s="6"/>
      <c r="M2113" s="6"/>
      <c r="N2113" s="6" t="s">
        <v>2215</v>
      </c>
      <c r="O2113" s="29">
        <f t="shared" si="49"/>
        <v>100000</v>
      </c>
      <c r="Q2113" s="30" t="s">
        <v>2215</v>
      </c>
      <c r="R2113" s="31">
        <v>100000</v>
      </c>
    </row>
    <row r="2114" s="1" customFormat="1" ht="16.35" hidden="1" customHeight="1" spans="1:18">
      <c r="A2114" s="6"/>
      <c r="B2114" s="6" t="s">
        <v>4123</v>
      </c>
      <c r="C2114" s="6" t="s">
        <v>4197</v>
      </c>
      <c r="D2114" s="7">
        <v>60</v>
      </c>
      <c r="E2114" s="6" t="s">
        <v>5833</v>
      </c>
      <c r="F2114" s="6" t="s">
        <v>5631</v>
      </c>
      <c r="G2114" s="6" t="s">
        <v>5632</v>
      </c>
      <c r="H2114" s="8"/>
      <c r="I2114" s="8">
        <v>140000</v>
      </c>
      <c r="J2114" s="6"/>
      <c r="K2114" s="6" t="s">
        <v>2192</v>
      </c>
      <c r="L2114" s="6"/>
      <c r="M2114" s="6"/>
      <c r="N2114" s="6" t="s">
        <v>2192</v>
      </c>
      <c r="O2114" s="29">
        <f t="shared" si="49"/>
        <v>140000</v>
      </c>
      <c r="Q2114" s="30" t="s">
        <v>2192</v>
      </c>
      <c r="R2114" s="31">
        <v>140000</v>
      </c>
    </row>
    <row r="2115" s="1" customFormat="1" ht="16.35" hidden="1" customHeight="1" spans="1:18">
      <c r="A2115" s="6"/>
      <c r="B2115" s="6" t="s">
        <v>4123</v>
      </c>
      <c r="C2115" s="6" t="s">
        <v>4197</v>
      </c>
      <c r="D2115" s="7">
        <v>66</v>
      </c>
      <c r="E2115" s="6" t="s">
        <v>5834</v>
      </c>
      <c r="F2115" s="6" t="s">
        <v>5631</v>
      </c>
      <c r="G2115" s="6" t="s">
        <v>5632</v>
      </c>
      <c r="H2115" s="8"/>
      <c r="I2115" s="8">
        <v>235205</v>
      </c>
      <c r="J2115" s="6"/>
      <c r="K2115" s="6" t="s">
        <v>2213</v>
      </c>
      <c r="L2115" s="6"/>
      <c r="M2115" s="6"/>
      <c r="N2115" s="6" t="s">
        <v>2213</v>
      </c>
      <c r="O2115" s="29">
        <f t="shared" si="49"/>
        <v>235205</v>
      </c>
      <c r="Q2115" s="30" t="s">
        <v>2213</v>
      </c>
      <c r="R2115" s="31">
        <v>235205</v>
      </c>
    </row>
    <row r="2116" s="1" customFormat="1" ht="16.35" hidden="1" customHeight="1" spans="1:18">
      <c r="A2116" s="6"/>
      <c r="B2116" s="6" t="s">
        <v>4123</v>
      </c>
      <c r="C2116" s="6" t="s">
        <v>4197</v>
      </c>
      <c r="D2116" s="7">
        <v>64</v>
      </c>
      <c r="E2116" s="6" t="s">
        <v>5835</v>
      </c>
      <c r="F2116" s="6" t="s">
        <v>5631</v>
      </c>
      <c r="G2116" s="6" t="s">
        <v>5632</v>
      </c>
      <c r="H2116" s="8"/>
      <c r="I2116" s="8">
        <v>20000</v>
      </c>
      <c r="J2116" s="6"/>
      <c r="K2116" s="6" t="s">
        <v>2105</v>
      </c>
      <c r="L2116" s="6"/>
      <c r="M2116" s="6"/>
      <c r="N2116" s="6" t="s">
        <v>2105</v>
      </c>
      <c r="O2116" s="29">
        <f t="shared" si="49"/>
        <v>20000</v>
      </c>
      <c r="Q2116" s="30" t="s">
        <v>2105</v>
      </c>
      <c r="R2116" s="31">
        <v>20000</v>
      </c>
    </row>
    <row r="2117" s="1" customFormat="1" ht="16.35" hidden="1" customHeight="1" spans="1:18">
      <c r="A2117" s="6"/>
      <c r="B2117" s="6" t="s">
        <v>4123</v>
      </c>
      <c r="C2117" s="6" t="s">
        <v>4197</v>
      </c>
      <c r="D2117" s="7">
        <v>61</v>
      </c>
      <c r="E2117" s="6" t="s">
        <v>5836</v>
      </c>
      <c r="F2117" s="6" t="s">
        <v>5631</v>
      </c>
      <c r="G2117" s="6" t="s">
        <v>5632</v>
      </c>
      <c r="H2117" s="8"/>
      <c r="I2117" s="8">
        <v>92064</v>
      </c>
      <c r="J2117" s="6"/>
      <c r="K2117" s="6" t="s">
        <v>2831</v>
      </c>
      <c r="L2117" s="6"/>
      <c r="M2117" s="6"/>
      <c r="N2117" s="6" t="s">
        <v>2831</v>
      </c>
      <c r="O2117" s="29">
        <f t="shared" si="49"/>
        <v>92064</v>
      </c>
      <c r="Q2117" s="30" t="s">
        <v>2831</v>
      </c>
      <c r="R2117" s="31">
        <v>92064</v>
      </c>
    </row>
    <row r="2118" s="1" customFormat="1" ht="16.35" hidden="1" customHeight="1" spans="1:18">
      <c r="A2118" s="6"/>
      <c r="B2118" s="6" t="s">
        <v>4123</v>
      </c>
      <c r="C2118" s="6" t="s">
        <v>4197</v>
      </c>
      <c r="D2118" s="7">
        <v>68</v>
      </c>
      <c r="E2118" s="6" t="s">
        <v>5837</v>
      </c>
      <c r="F2118" s="6" t="s">
        <v>5631</v>
      </c>
      <c r="G2118" s="6" t="s">
        <v>5632</v>
      </c>
      <c r="H2118" s="8"/>
      <c r="I2118" s="8">
        <v>63843</v>
      </c>
      <c r="J2118" s="6"/>
      <c r="K2118" s="6" t="s">
        <v>2285</v>
      </c>
      <c r="L2118" s="6"/>
      <c r="M2118" s="6"/>
      <c r="N2118" s="6" t="s">
        <v>2285</v>
      </c>
      <c r="O2118" s="29">
        <f t="shared" si="49"/>
        <v>63843</v>
      </c>
      <c r="Q2118" s="30" t="s">
        <v>2285</v>
      </c>
      <c r="R2118" s="31">
        <v>63843</v>
      </c>
    </row>
    <row r="2119" s="1" customFormat="1" ht="16.35" hidden="1" customHeight="1" spans="1:18">
      <c r="A2119" s="6"/>
      <c r="B2119" s="6" t="s">
        <v>4123</v>
      </c>
      <c r="C2119" s="6" t="s">
        <v>4197</v>
      </c>
      <c r="D2119" s="7">
        <v>69</v>
      </c>
      <c r="E2119" s="6" t="s">
        <v>5838</v>
      </c>
      <c r="F2119" s="6" t="s">
        <v>5631</v>
      </c>
      <c r="G2119" s="6" t="s">
        <v>5632</v>
      </c>
      <c r="H2119" s="8"/>
      <c r="I2119" s="8">
        <v>2000</v>
      </c>
      <c r="J2119" s="6"/>
      <c r="K2119" s="6" t="s">
        <v>2285</v>
      </c>
      <c r="L2119" s="6"/>
      <c r="M2119" s="6"/>
      <c r="N2119" s="6" t="s">
        <v>2285</v>
      </c>
      <c r="O2119" s="29">
        <f t="shared" si="49"/>
        <v>2000</v>
      </c>
      <c r="Q2119" s="30" t="s">
        <v>2285</v>
      </c>
      <c r="R2119" s="31">
        <v>2000</v>
      </c>
    </row>
    <row r="2120" s="1" customFormat="1" ht="16.35" hidden="1" customHeight="1" spans="1:18">
      <c r="A2120" s="6"/>
      <c r="B2120" s="6" t="s">
        <v>4123</v>
      </c>
      <c r="C2120" s="6" t="s">
        <v>4197</v>
      </c>
      <c r="D2120" s="7">
        <v>57</v>
      </c>
      <c r="E2120" s="6" t="s">
        <v>5839</v>
      </c>
      <c r="F2120" s="6" t="s">
        <v>5631</v>
      </c>
      <c r="G2120" s="6" t="s">
        <v>5632</v>
      </c>
      <c r="H2120" s="8"/>
      <c r="I2120" s="8">
        <v>90000</v>
      </c>
      <c r="J2120" s="6"/>
      <c r="K2120" s="6" t="s">
        <v>2316</v>
      </c>
      <c r="L2120" s="6"/>
      <c r="M2120" s="6"/>
      <c r="N2120" s="6" t="s">
        <v>2316</v>
      </c>
      <c r="O2120" s="29">
        <f t="shared" si="49"/>
        <v>90000</v>
      </c>
      <c r="Q2120" s="30" t="s">
        <v>2316</v>
      </c>
      <c r="R2120" s="31">
        <v>90000</v>
      </c>
    </row>
    <row r="2121" s="1" customFormat="1" ht="16.35" hidden="1" customHeight="1" spans="1:18">
      <c r="A2121" s="6"/>
      <c r="B2121" s="6" t="s">
        <v>4123</v>
      </c>
      <c r="C2121" s="6" t="s">
        <v>4197</v>
      </c>
      <c r="D2121" s="7">
        <v>62</v>
      </c>
      <c r="E2121" s="6" t="s">
        <v>5840</v>
      </c>
      <c r="F2121" s="6" t="s">
        <v>5631</v>
      </c>
      <c r="G2121" s="6" t="s">
        <v>5632</v>
      </c>
      <c r="H2121" s="8"/>
      <c r="I2121" s="8">
        <v>65000</v>
      </c>
      <c r="J2121" s="6"/>
      <c r="K2121" s="6" t="s">
        <v>2327</v>
      </c>
      <c r="L2121" s="6"/>
      <c r="M2121" s="6"/>
      <c r="N2121" s="6" t="s">
        <v>2327</v>
      </c>
      <c r="O2121" s="29">
        <f t="shared" si="49"/>
        <v>65000</v>
      </c>
      <c r="Q2121" s="30" t="s">
        <v>2327</v>
      </c>
      <c r="R2121" s="31">
        <v>65000</v>
      </c>
    </row>
    <row r="2122" s="1" customFormat="1" ht="16.35" hidden="1" customHeight="1" spans="1:18">
      <c r="A2122" s="6"/>
      <c r="B2122" s="6" t="s">
        <v>4123</v>
      </c>
      <c r="C2122" s="6" t="s">
        <v>4217</v>
      </c>
      <c r="D2122" s="7">
        <v>5</v>
      </c>
      <c r="E2122" s="6" t="s">
        <v>5841</v>
      </c>
      <c r="F2122" s="6" t="s">
        <v>5631</v>
      </c>
      <c r="G2122" s="6" t="s">
        <v>5632</v>
      </c>
      <c r="H2122" s="8"/>
      <c r="I2122" s="8">
        <v>11000</v>
      </c>
      <c r="J2122" s="6"/>
      <c r="K2122" s="6" t="s">
        <v>2307</v>
      </c>
      <c r="L2122" s="6"/>
      <c r="M2122" s="6"/>
      <c r="N2122" s="6" t="s">
        <v>2307</v>
      </c>
      <c r="O2122" s="29">
        <f t="shared" si="49"/>
        <v>11000</v>
      </c>
      <c r="Q2122" s="30" t="s">
        <v>2307</v>
      </c>
      <c r="R2122" s="31">
        <v>11000</v>
      </c>
    </row>
    <row r="2123" s="1" customFormat="1" ht="16.35" hidden="1" customHeight="1" spans="1:18">
      <c r="A2123" s="6"/>
      <c r="B2123" s="6" t="s">
        <v>4123</v>
      </c>
      <c r="C2123" s="6" t="s">
        <v>4217</v>
      </c>
      <c r="D2123" s="7">
        <v>2</v>
      </c>
      <c r="E2123" s="6" t="s">
        <v>5842</v>
      </c>
      <c r="F2123" s="6" t="s">
        <v>5631</v>
      </c>
      <c r="G2123" s="6" t="s">
        <v>5632</v>
      </c>
      <c r="H2123" s="8"/>
      <c r="I2123" s="8">
        <v>160000</v>
      </c>
      <c r="J2123" s="6"/>
      <c r="K2123" s="6" t="s">
        <v>2241</v>
      </c>
      <c r="L2123" s="6"/>
      <c r="M2123" s="6"/>
      <c r="N2123" s="6" t="s">
        <v>2241</v>
      </c>
      <c r="O2123" s="29">
        <f t="shared" si="49"/>
        <v>160000</v>
      </c>
      <c r="Q2123" s="30" t="s">
        <v>2241</v>
      </c>
      <c r="R2123" s="31">
        <v>160000</v>
      </c>
    </row>
    <row r="2124" s="1" customFormat="1" ht="16.35" hidden="1" customHeight="1" spans="1:18">
      <c r="A2124" s="6"/>
      <c r="B2124" s="6" t="s">
        <v>4123</v>
      </c>
      <c r="C2124" s="6" t="s">
        <v>4217</v>
      </c>
      <c r="D2124" s="7">
        <v>3</v>
      </c>
      <c r="E2124" s="6" t="s">
        <v>5684</v>
      </c>
      <c r="F2124" s="6" t="s">
        <v>5631</v>
      </c>
      <c r="G2124" s="6" t="s">
        <v>5632</v>
      </c>
      <c r="H2124" s="8"/>
      <c r="I2124" s="8">
        <v>135000</v>
      </c>
      <c r="J2124" s="6"/>
      <c r="K2124" s="6" t="s">
        <v>2153</v>
      </c>
      <c r="L2124" s="6"/>
      <c r="M2124" s="6"/>
      <c r="N2124" s="6" t="s">
        <v>2153</v>
      </c>
      <c r="O2124" s="29">
        <f t="shared" si="49"/>
        <v>135000</v>
      </c>
      <c r="Q2124" s="30" t="s">
        <v>2153</v>
      </c>
      <c r="R2124" s="31">
        <v>135000</v>
      </c>
    </row>
    <row r="2125" s="1" customFormat="1" ht="16.35" hidden="1" customHeight="1" spans="1:18">
      <c r="A2125" s="6"/>
      <c r="B2125" s="6" t="s">
        <v>4123</v>
      </c>
      <c r="C2125" s="6" t="s">
        <v>4217</v>
      </c>
      <c r="D2125" s="7">
        <v>1</v>
      </c>
      <c r="E2125" s="6" t="s">
        <v>5843</v>
      </c>
      <c r="F2125" s="6" t="s">
        <v>5631</v>
      </c>
      <c r="G2125" s="6" t="s">
        <v>5632</v>
      </c>
      <c r="H2125" s="8"/>
      <c r="I2125" s="8">
        <v>176000</v>
      </c>
      <c r="J2125" s="6"/>
      <c r="K2125" s="6" t="s">
        <v>2269</v>
      </c>
      <c r="L2125" s="6"/>
      <c r="M2125" s="6"/>
      <c r="N2125" s="6" t="s">
        <v>2269</v>
      </c>
      <c r="O2125" s="29">
        <f t="shared" si="49"/>
        <v>176000</v>
      </c>
      <c r="Q2125" s="30" t="s">
        <v>2269</v>
      </c>
      <c r="R2125" s="31">
        <v>176000</v>
      </c>
    </row>
    <row r="2126" s="1" customFormat="1" ht="16.35" hidden="1" customHeight="1" spans="1:18">
      <c r="A2126" s="6"/>
      <c r="B2126" s="6" t="s">
        <v>4123</v>
      </c>
      <c r="C2126" s="6" t="s">
        <v>4217</v>
      </c>
      <c r="D2126" s="7">
        <v>4</v>
      </c>
      <c r="E2126" s="6" t="s">
        <v>5844</v>
      </c>
      <c r="F2126" s="6" t="s">
        <v>5631</v>
      </c>
      <c r="G2126" s="6" t="s">
        <v>5632</v>
      </c>
      <c r="H2126" s="8"/>
      <c r="I2126" s="8">
        <v>1988</v>
      </c>
      <c r="J2126" s="6"/>
      <c r="K2126" s="6" t="s">
        <v>2327</v>
      </c>
      <c r="L2126" s="6"/>
      <c r="M2126" s="6"/>
      <c r="N2126" s="6" t="s">
        <v>2327</v>
      </c>
      <c r="O2126" s="29">
        <f t="shared" si="49"/>
        <v>1988</v>
      </c>
      <c r="Q2126" s="30" t="s">
        <v>2327</v>
      </c>
      <c r="R2126" s="31">
        <v>1988</v>
      </c>
    </row>
    <row r="2127" s="1" customFormat="1" ht="16.35" hidden="1" customHeight="1" spans="1:18">
      <c r="A2127" s="6"/>
      <c r="B2127" s="6" t="s">
        <v>4123</v>
      </c>
      <c r="C2127" s="6" t="s">
        <v>4221</v>
      </c>
      <c r="D2127" s="7">
        <v>91</v>
      </c>
      <c r="E2127" s="6" t="s">
        <v>5845</v>
      </c>
      <c r="F2127" s="6" t="s">
        <v>5631</v>
      </c>
      <c r="G2127" s="6" t="s">
        <v>5632</v>
      </c>
      <c r="H2127" s="8"/>
      <c r="I2127" s="8">
        <v>20000</v>
      </c>
      <c r="J2127" s="6"/>
      <c r="K2127" s="6" t="s">
        <v>2322</v>
      </c>
      <c r="L2127" s="6"/>
      <c r="M2127" s="6"/>
      <c r="N2127" s="6" t="s">
        <v>2322</v>
      </c>
      <c r="O2127" s="29">
        <f t="shared" si="49"/>
        <v>20000</v>
      </c>
      <c r="Q2127" s="30" t="s">
        <v>2322</v>
      </c>
      <c r="R2127" s="31">
        <v>20000</v>
      </c>
    </row>
    <row r="2128" s="1" customFormat="1" ht="16.35" hidden="1" customHeight="1" spans="1:18">
      <c r="A2128" s="6"/>
      <c r="B2128" s="6" t="s">
        <v>4123</v>
      </c>
      <c r="C2128" s="6" t="s">
        <v>4221</v>
      </c>
      <c r="D2128" s="7">
        <v>87</v>
      </c>
      <c r="E2128" s="6" t="s">
        <v>5846</v>
      </c>
      <c r="F2128" s="6" t="s">
        <v>5631</v>
      </c>
      <c r="G2128" s="6" t="s">
        <v>5632</v>
      </c>
      <c r="H2128" s="8"/>
      <c r="I2128" s="8">
        <v>5343</v>
      </c>
      <c r="J2128" s="6"/>
      <c r="K2128" s="6" t="s">
        <v>2454</v>
      </c>
      <c r="L2128" s="6"/>
      <c r="M2128" s="6"/>
      <c r="N2128" s="6" t="s">
        <v>2454</v>
      </c>
      <c r="O2128" s="29">
        <f t="shared" si="49"/>
        <v>5343</v>
      </c>
      <c r="Q2128" s="30" t="s">
        <v>2454</v>
      </c>
      <c r="R2128" s="31">
        <v>5343</v>
      </c>
    </row>
    <row r="2129" s="1" customFormat="1" ht="16.35" hidden="1" customHeight="1" spans="1:18">
      <c r="A2129" s="6"/>
      <c r="B2129" s="6" t="s">
        <v>4123</v>
      </c>
      <c r="C2129" s="6" t="s">
        <v>4221</v>
      </c>
      <c r="D2129" s="7">
        <v>96</v>
      </c>
      <c r="E2129" s="6" t="s">
        <v>5847</v>
      </c>
      <c r="F2129" s="6" t="s">
        <v>5631</v>
      </c>
      <c r="G2129" s="6" t="s">
        <v>5632</v>
      </c>
      <c r="H2129" s="8"/>
      <c r="I2129" s="8">
        <v>19683</v>
      </c>
      <c r="J2129" s="6"/>
      <c r="K2129" s="6" t="s">
        <v>2598</v>
      </c>
      <c r="L2129" s="6"/>
      <c r="M2129" s="6"/>
      <c r="N2129" s="6" t="s">
        <v>2598</v>
      </c>
      <c r="O2129" s="29">
        <f t="shared" si="49"/>
        <v>19683</v>
      </c>
      <c r="Q2129" s="30" t="s">
        <v>2598</v>
      </c>
      <c r="R2129" s="31">
        <v>19683</v>
      </c>
    </row>
    <row r="2130" s="1" customFormat="1" ht="16.35" hidden="1" customHeight="1" spans="1:18">
      <c r="A2130" s="6"/>
      <c r="B2130" s="6" t="s">
        <v>4123</v>
      </c>
      <c r="C2130" s="6" t="s">
        <v>4221</v>
      </c>
      <c r="D2130" s="7">
        <v>70</v>
      </c>
      <c r="E2130" s="6" t="s">
        <v>5848</v>
      </c>
      <c r="F2130" s="6" t="s">
        <v>5631</v>
      </c>
      <c r="G2130" s="6" t="s">
        <v>5632</v>
      </c>
      <c r="H2130" s="8"/>
      <c r="I2130" s="8">
        <v>180000</v>
      </c>
      <c r="J2130" s="6"/>
      <c r="K2130" s="6" t="s">
        <v>2873</v>
      </c>
      <c r="L2130" s="6"/>
      <c r="M2130" s="6"/>
      <c r="N2130" s="6" t="s">
        <v>2873</v>
      </c>
      <c r="O2130" s="29">
        <f t="shared" si="49"/>
        <v>180000</v>
      </c>
      <c r="Q2130" s="30" t="s">
        <v>2873</v>
      </c>
      <c r="R2130" s="31">
        <v>180000</v>
      </c>
    </row>
    <row r="2131" s="1" customFormat="1" ht="16.35" hidden="1" customHeight="1" spans="1:18">
      <c r="A2131" s="6"/>
      <c r="B2131" s="6" t="s">
        <v>4123</v>
      </c>
      <c r="C2131" s="6" t="s">
        <v>4221</v>
      </c>
      <c r="D2131" s="7">
        <v>77</v>
      </c>
      <c r="E2131" s="6" t="s">
        <v>5828</v>
      </c>
      <c r="F2131" s="6" t="s">
        <v>5631</v>
      </c>
      <c r="G2131" s="6" t="s">
        <v>5632</v>
      </c>
      <c r="H2131" s="8"/>
      <c r="I2131" s="8">
        <v>5000</v>
      </c>
      <c r="J2131" s="6"/>
      <c r="K2131" s="6" t="s">
        <v>748</v>
      </c>
      <c r="L2131" s="6"/>
      <c r="M2131" s="6"/>
      <c r="N2131" s="6" t="s">
        <v>748</v>
      </c>
      <c r="O2131" s="29">
        <f t="shared" si="49"/>
        <v>5000</v>
      </c>
      <c r="Q2131" s="30" t="s">
        <v>748</v>
      </c>
      <c r="R2131" s="31">
        <v>5000</v>
      </c>
    </row>
    <row r="2132" s="1" customFormat="1" ht="16.35" hidden="1" customHeight="1" spans="1:18">
      <c r="A2132" s="6"/>
      <c r="B2132" s="6" t="s">
        <v>4123</v>
      </c>
      <c r="C2132" s="6" t="s">
        <v>4221</v>
      </c>
      <c r="D2132" s="7">
        <v>88</v>
      </c>
      <c r="E2132" s="6" t="s">
        <v>5849</v>
      </c>
      <c r="F2132" s="6" t="s">
        <v>5631</v>
      </c>
      <c r="G2132" s="6" t="s">
        <v>5632</v>
      </c>
      <c r="H2132" s="8"/>
      <c r="I2132" s="8">
        <v>67000</v>
      </c>
      <c r="J2132" s="6"/>
      <c r="K2132" s="6" t="s">
        <v>2408</v>
      </c>
      <c r="L2132" s="6"/>
      <c r="M2132" s="6"/>
      <c r="N2132" s="6" t="s">
        <v>2408</v>
      </c>
      <c r="O2132" s="29">
        <f t="shared" si="49"/>
        <v>67000</v>
      </c>
      <c r="Q2132" s="30" t="s">
        <v>2408</v>
      </c>
      <c r="R2132" s="31">
        <v>67000</v>
      </c>
    </row>
    <row r="2133" s="1" customFormat="1" ht="16.35" hidden="1" customHeight="1" spans="1:18">
      <c r="A2133" s="6"/>
      <c r="B2133" s="6" t="s">
        <v>4123</v>
      </c>
      <c r="C2133" s="6" t="s">
        <v>4221</v>
      </c>
      <c r="D2133" s="7">
        <v>95</v>
      </c>
      <c r="E2133" s="6" t="s">
        <v>5850</v>
      </c>
      <c r="F2133" s="6" t="s">
        <v>5631</v>
      </c>
      <c r="G2133" s="6" t="s">
        <v>5632</v>
      </c>
      <c r="H2133" s="8"/>
      <c r="I2133" s="8">
        <v>10000</v>
      </c>
      <c r="J2133" s="6"/>
      <c r="K2133" s="6" t="s">
        <v>2394</v>
      </c>
      <c r="L2133" s="6"/>
      <c r="M2133" s="6"/>
      <c r="N2133" s="6" t="s">
        <v>2394</v>
      </c>
      <c r="O2133" s="29">
        <f t="shared" si="49"/>
        <v>10000</v>
      </c>
      <c r="Q2133" s="30" t="s">
        <v>2394</v>
      </c>
      <c r="R2133" s="31">
        <v>10000</v>
      </c>
    </row>
    <row r="2134" s="1" customFormat="1" ht="16.35" hidden="1" customHeight="1" spans="1:18">
      <c r="A2134" s="6"/>
      <c r="B2134" s="6" t="s">
        <v>4123</v>
      </c>
      <c r="C2134" s="6" t="s">
        <v>4221</v>
      </c>
      <c r="D2134" s="7">
        <v>92</v>
      </c>
      <c r="E2134" s="6" t="s">
        <v>5851</v>
      </c>
      <c r="F2134" s="6" t="s">
        <v>5631</v>
      </c>
      <c r="G2134" s="6" t="s">
        <v>5632</v>
      </c>
      <c r="H2134" s="8"/>
      <c r="I2134" s="8">
        <v>21000</v>
      </c>
      <c r="J2134" s="6"/>
      <c r="K2134" s="6" t="s">
        <v>2644</v>
      </c>
      <c r="L2134" s="6"/>
      <c r="M2134" s="6"/>
      <c r="N2134" s="6" t="s">
        <v>2644</v>
      </c>
      <c r="O2134" s="29">
        <f t="shared" si="49"/>
        <v>21000</v>
      </c>
      <c r="Q2134" s="30" t="s">
        <v>2644</v>
      </c>
      <c r="R2134" s="31">
        <v>21000</v>
      </c>
    </row>
    <row r="2135" s="1" customFormat="1" ht="16.35" hidden="1" customHeight="1" spans="1:18">
      <c r="A2135" s="6"/>
      <c r="B2135" s="6" t="s">
        <v>4123</v>
      </c>
      <c r="C2135" s="6" t="s">
        <v>4221</v>
      </c>
      <c r="D2135" s="7">
        <v>86</v>
      </c>
      <c r="E2135" s="6" t="s">
        <v>5852</v>
      </c>
      <c r="F2135" s="6" t="s">
        <v>5631</v>
      </c>
      <c r="G2135" s="6" t="s">
        <v>5632</v>
      </c>
      <c r="H2135" s="8"/>
      <c r="I2135" s="8">
        <v>40000</v>
      </c>
      <c r="J2135" s="6"/>
      <c r="K2135" s="6" t="s">
        <v>2698</v>
      </c>
      <c r="L2135" s="6"/>
      <c r="M2135" s="6"/>
      <c r="N2135" s="6" t="s">
        <v>2698</v>
      </c>
      <c r="O2135" s="29">
        <f t="shared" si="49"/>
        <v>40000</v>
      </c>
      <c r="Q2135" s="30" t="s">
        <v>2698</v>
      </c>
      <c r="R2135" s="31">
        <v>40000</v>
      </c>
    </row>
    <row r="2136" s="1" customFormat="1" ht="16.35" hidden="1" customHeight="1" spans="1:18">
      <c r="A2136" s="6"/>
      <c r="B2136" s="6" t="s">
        <v>4123</v>
      </c>
      <c r="C2136" s="6" t="s">
        <v>4221</v>
      </c>
      <c r="D2136" s="7">
        <v>73</v>
      </c>
      <c r="E2136" s="6" t="s">
        <v>5853</v>
      </c>
      <c r="F2136" s="6" t="s">
        <v>5631</v>
      </c>
      <c r="G2136" s="6" t="s">
        <v>5632</v>
      </c>
      <c r="H2136" s="8"/>
      <c r="I2136" s="8">
        <v>19000</v>
      </c>
      <c r="J2136" s="6"/>
      <c r="K2136" s="6" t="s">
        <v>2197</v>
      </c>
      <c r="L2136" s="6"/>
      <c r="M2136" s="6"/>
      <c r="N2136" s="6" t="s">
        <v>2197</v>
      </c>
      <c r="O2136" s="29">
        <f t="shared" si="49"/>
        <v>19000</v>
      </c>
      <c r="Q2136" s="30" t="s">
        <v>2197</v>
      </c>
      <c r="R2136" s="31">
        <v>19000</v>
      </c>
    </row>
    <row r="2137" s="1" customFormat="1" ht="16.35" hidden="1" customHeight="1" spans="1:18">
      <c r="A2137" s="6"/>
      <c r="B2137" s="6" t="s">
        <v>4123</v>
      </c>
      <c r="C2137" s="6" t="s">
        <v>4221</v>
      </c>
      <c r="D2137" s="7">
        <v>75</v>
      </c>
      <c r="E2137" s="6" t="s">
        <v>5854</v>
      </c>
      <c r="F2137" s="6" t="s">
        <v>5631</v>
      </c>
      <c r="G2137" s="6" t="s">
        <v>5632</v>
      </c>
      <c r="H2137" s="8"/>
      <c r="I2137" s="8">
        <v>10000</v>
      </c>
      <c r="J2137" s="6"/>
      <c r="K2137" s="6" t="s">
        <v>954</v>
      </c>
      <c r="L2137" s="6"/>
      <c r="M2137" s="6"/>
      <c r="N2137" s="6" t="s">
        <v>954</v>
      </c>
      <c r="O2137" s="29">
        <f t="shared" si="49"/>
        <v>10000</v>
      </c>
      <c r="Q2137" s="30" t="s">
        <v>954</v>
      </c>
      <c r="R2137" s="31">
        <v>10000</v>
      </c>
    </row>
    <row r="2138" s="1" customFormat="1" ht="16.35" hidden="1" customHeight="1" spans="1:18">
      <c r="A2138" s="6"/>
      <c r="B2138" s="6" t="s">
        <v>4123</v>
      </c>
      <c r="C2138" s="6" t="s">
        <v>4221</v>
      </c>
      <c r="D2138" s="7">
        <v>89</v>
      </c>
      <c r="E2138" s="6" t="s">
        <v>5855</v>
      </c>
      <c r="F2138" s="6" t="s">
        <v>5631</v>
      </c>
      <c r="G2138" s="6" t="s">
        <v>5632</v>
      </c>
      <c r="H2138" s="8"/>
      <c r="I2138" s="8">
        <v>100000</v>
      </c>
      <c r="J2138" s="6"/>
      <c r="K2138" s="6" t="s">
        <v>2478</v>
      </c>
      <c r="L2138" s="6"/>
      <c r="M2138" s="6"/>
      <c r="N2138" s="6" t="s">
        <v>2478</v>
      </c>
      <c r="O2138" s="29">
        <f t="shared" ref="O2138:O2144" si="50">I2138</f>
        <v>100000</v>
      </c>
      <c r="Q2138" s="30" t="s">
        <v>2478</v>
      </c>
      <c r="R2138" s="31">
        <v>100000</v>
      </c>
    </row>
    <row r="2139" s="1" customFormat="1" ht="16.35" hidden="1" customHeight="1" spans="1:18">
      <c r="A2139" s="6"/>
      <c r="B2139" s="6" t="s">
        <v>4123</v>
      </c>
      <c r="C2139" s="6" t="s">
        <v>4221</v>
      </c>
      <c r="D2139" s="7">
        <v>90</v>
      </c>
      <c r="E2139" s="6" t="s">
        <v>5856</v>
      </c>
      <c r="F2139" s="6" t="s">
        <v>5631</v>
      </c>
      <c r="G2139" s="6" t="s">
        <v>5632</v>
      </c>
      <c r="H2139" s="8"/>
      <c r="I2139" s="8">
        <v>5000</v>
      </c>
      <c r="J2139" s="6"/>
      <c r="K2139" s="6" t="s">
        <v>2618</v>
      </c>
      <c r="L2139" s="6"/>
      <c r="M2139" s="6"/>
      <c r="N2139" s="6" t="s">
        <v>2618</v>
      </c>
      <c r="O2139" s="29">
        <f t="shared" si="50"/>
        <v>5000</v>
      </c>
      <c r="Q2139" s="30" t="s">
        <v>2618</v>
      </c>
      <c r="R2139" s="31">
        <v>5000</v>
      </c>
    </row>
    <row r="2140" s="1" customFormat="1" ht="16.35" hidden="1" customHeight="1" spans="1:18">
      <c r="A2140" s="6"/>
      <c r="B2140" s="6" t="s">
        <v>4123</v>
      </c>
      <c r="C2140" s="6" t="s">
        <v>4221</v>
      </c>
      <c r="D2140" s="7">
        <v>74</v>
      </c>
      <c r="E2140" s="6" t="s">
        <v>5805</v>
      </c>
      <c r="F2140" s="6" t="s">
        <v>5631</v>
      </c>
      <c r="G2140" s="6" t="s">
        <v>5632</v>
      </c>
      <c r="H2140" s="8"/>
      <c r="I2140" s="8">
        <v>20000</v>
      </c>
      <c r="J2140" s="6"/>
      <c r="K2140" s="6" t="s">
        <v>2198</v>
      </c>
      <c r="L2140" s="6"/>
      <c r="M2140" s="6"/>
      <c r="N2140" s="6" t="s">
        <v>2198</v>
      </c>
      <c r="O2140" s="29">
        <f t="shared" si="50"/>
        <v>20000</v>
      </c>
      <c r="Q2140" s="30" t="s">
        <v>2198</v>
      </c>
      <c r="R2140" s="31">
        <v>20000</v>
      </c>
    </row>
    <row r="2141" s="1" customFormat="1" ht="16.35" hidden="1" customHeight="1" spans="1:18">
      <c r="A2141" s="6"/>
      <c r="B2141" s="6" t="s">
        <v>4123</v>
      </c>
      <c r="C2141" s="6" t="s">
        <v>4221</v>
      </c>
      <c r="D2141" s="7">
        <v>71</v>
      </c>
      <c r="E2141" s="6" t="s">
        <v>5857</v>
      </c>
      <c r="F2141" s="6" t="s">
        <v>5631</v>
      </c>
      <c r="G2141" s="6" t="s">
        <v>5632</v>
      </c>
      <c r="H2141" s="8"/>
      <c r="I2141" s="8">
        <v>150000</v>
      </c>
      <c r="J2141" s="6"/>
      <c r="K2141" s="6" t="s">
        <v>2285</v>
      </c>
      <c r="L2141" s="6"/>
      <c r="M2141" s="6"/>
      <c r="N2141" s="6" t="s">
        <v>2285</v>
      </c>
      <c r="O2141" s="29">
        <f t="shared" si="50"/>
        <v>150000</v>
      </c>
      <c r="Q2141" s="30" t="s">
        <v>2285</v>
      </c>
      <c r="R2141" s="31">
        <v>150000</v>
      </c>
    </row>
    <row r="2142" s="1" customFormat="1" ht="16.35" hidden="1" customHeight="1" spans="1:18">
      <c r="A2142" s="6"/>
      <c r="B2142" s="6" t="s">
        <v>4123</v>
      </c>
      <c r="C2142" s="6" t="s">
        <v>4221</v>
      </c>
      <c r="D2142" s="7">
        <v>72</v>
      </c>
      <c r="E2142" s="6" t="s">
        <v>5858</v>
      </c>
      <c r="F2142" s="6" t="s">
        <v>5631</v>
      </c>
      <c r="G2142" s="6" t="s">
        <v>5632</v>
      </c>
      <c r="H2142" s="8"/>
      <c r="I2142" s="8">
        <v>20000</v>
      </c>
      <c r="J2142" s="6"/>
      <c r="K2142" s="6" t="s">
        <v>2318</v>
      </c>
      <c r="L2142" s="6"/>
      <c r="M2142" s="6"/>
      <c r="N2142" s="6" t="s">
        <v>2318</v>
      </c>
      <c r="O2142" s="29">
        <f t="shared" si="50"/>
        <v>20000</v>
      </c>
      <c r="Q2142" s="30" t="s">
        <v>2318</v>
      </c>
      <c r="R2142" s="31">
        <v>20000</v>
      </c>
    </row>
    <row r="2143" s="1" customFormat="1" ht="16.35" hidden="1" customHeight="1" spans="1:18">
      <c r="A2143" s="6"/>
      <c r="B2143" s="6" t="s">
        <v>4123</v>
      </c>
      <c r="C2143" s="6" t="s">
        <v>4221</v>
      </c>
      <c r="D2143" s="7">
        <v>106</v>
      </c>
      <c r="E2143" s="6" t="s">
        <v>5859</v>
      </c>
      <c r="F2143" s="6" t="s">
        <v>5631</v>
      </c>
      <c r="G2143" s="6" t="s">
        <v>5632</v>
      </c>
      <c r="H2143" s="8"/>
      <c r="I2143" s="8">
        <v>160000</v>
      </c>
      <c r="J2143" s="6"/>
      <c r="K2143" s="6" t="s">
        <v>2316</v>
      </c>
      <c r="L2143" s="6"/>
      <c r="M2143" s="6"/>
      <c r="N2143" s="6" t="s">
        <v>2316</v>
      </c>
      <c r="O2143" s="29">
        <f t="shared" si="50"/>
        <v>160000</v>
      </c>
      <c r="Q2143" s="30" t="s">
        <v>2316</v>
      </c>
      <c r="R2143" s="31">
        <v>160000</v>
      </c>
    </row>
    <row r="2144" s="1" customFormat="1" ht="16.35" hidden="1" customHeight="1" spans="1:18">
      <c r="A2144" s="6"/>
      <c r="B2144" s="6" t="s">
        <v>4123</v>
      </c>
      <c r="C2144" s="6" t="s">
        <v>4221</v>
      </c>
      <c r="D2144" s="7">
        <v>76</v>
      </c>
      <c r="E2144" s="6" t="s">
        <v>5860</v>
      </c>
      <c r="F2144" s="6" t="s">
        <v>5631</v>
      </c>
      <c r="G2144" s="6" t="s">
        <v>5632</v>
      </c>
      <c r="H2144" s="8"/>
      <c r="I2144" s="8">
        <v>150000</v>
      </c>
      <c r="J2144" s="6"/>
      <c r="K2144" s="6" t="s">
        <v>5322</v>
      </c>
      <c r="L2144" s="6"/>
      <c r="M2144" s="6"/>
      <c r="N2144" s="6" t="s">
        <v>5322</v>
      </c>
      <c r="O2144" s="29">
        <f t="shared" si="50"/>
        <v>150000</v>
      </c>
      <c r="Q2144" s="30" t="s">
        <v>5322</v>
      </c>
      <c r="R2144" s="31">
        <v>150000</v>
      </c>
    </row>
    <row r="2145" s="1" customFormat="1" ht="16.35" hidden="1" customHeight="1" spans="1:18">
      <c r="A2145" s="6"/>
      <c r="B2145" s="6" t="s">
        <v>4123</v>
      </c>
      <c r="C2145" s="6" t="s">
        <v>4221</v>
      </c>
      <c r="D2145" s="7">
        <v>85</v>
      </c>
      <c r="E2145" s="6" t="s">
        <v>5861</v>
      </c>
      <c r="F2145" s="6" t="s">
        <v>5631</v>
      </c>
      <c r="G2145" s="6" t="s">
        <v>5632</v>
      </c>
      <c r="H2145" s="8"/>
      <c r="I2145" s="8">
        <v>40000</v>
      </c>
      <c r="J2145" s="6"/>
      <c r="K2145" s="6" t="s">
        <v>2504</v>
      </c>
      <c r="L2145" s="6"/>
      <c r="M2145" s="6"/>
      <c r="N2145" s="6" t="s">
        <v>2504</v>
      </c>
      <c r="O2145" s="29">
        <f t="shared" ref="O2145:O2180" si="51">I2145</f>
        <v>40000</v>
      </c>
      <c r="Q2145" s="30" t="s">
        <v>2504</v>
      </c>
      <c r="R2145" s="31">
        <v>40000</v>
      </c>
    </row>
    <row r="2146" s="1" customFormat="1" ht="16.35" hidden="1" customHeight="1" spans="1:18">
      <c r="A2146" s="6"/>
      <c r="B2146" s="6" t="s">
        <v>4123</v>
      </c>
      <c r="C2146" s="6" t="s">
        <v>4221</v>
      </c>
      <c r="D2146" s="7">
        <v>93</v>
      </c>
      <c r="E2146" s="6" t="s">
        <v>5862</v>
      </c>
      <c r="F2146" s="6" t="s">
        <v>5631</v>
      </c>
      <c r="G2146" s="6" t="s">
        <v>5632</v>
      </c>
      <c r="H2146" s="8"/>
      <c r="I2146" s="8">
        <v>10000</v>
      </c>
      <c r="J2146" s="6"/>
      <c r="K2146" s="6" t="s">
        <v>2564</v>
      </c>
      <c r="L2146" s="6"/>
      <c r="M2146" s="6"/>
      <c r="N2146" s="6" t="s">
        <v>2564</v>
      </c>
      <c r="O2146" s="29">
        <f t="shared" si="51"/>
        <v>10000</v>
      </c>
      <c r="Q2146" s="30" t="s">
        <v>2564</v>
      </c>
      <c r="R2146" s="31">
        <v>10000</v>
      </c>
    </row>
    <row r="2147" s="1" customFormat="1" ht="16.35" hidden="1" customHeight="1" spans="1:18">
      <c r="A2147" s="6"/>
      <c r="B2147" s="6" t="s">
        <v>4123</v>
      </c>
      <c r="C2147" s="6" t="s">
        <v>4236</v>
      </c>
      <c r="D2147" s="7">
        <v>4</v>
      </c>
      <c r="E2147" s="6" t="s">
        <v>5863</v>
      </c>
      <c r="F2147" s="6" t="s">
        <v>5631</v>
      </c>
      <c r="G2147" s="6" t="s">
        <v>5632</v>
      </c>
      <c r="H2147" s="8"/>
      <c r="I2147" s="8">
        <v>3000</v>
      </c>
      <c r="J2147" s="6"/>
      <c r="K2147" s="6" t="s">
        <v>1996</v>
      </c>
      <c r="L2147" s="6"/>
      <c r="M2147" s="6"/>
      <c r="N2147" s="6" t="s">
        <v>1996</v>
      </c>
      <c r="O2147" s="29">
        <f t="shared" si="51"/>
        <v>3000</v>
      </c>
      <c r="Q2147" s="30" t="s">
        <v>1996</v>
      </c>
      <c r="R2147" s="31">
        <v>3000</v>
      </c>
    </row>
    <row r="2148" s="1" customFormat="1" ht="16.35" hidden="1" customHeight="1" spans="1:18">
      <c r="A2148" s="6"/>
      <c r="B2148" s="6" t="s">
        <v>4123</v>
      </c>
      <c r="C2148" s="6" t="s">
        <v>4236</v>
      </c>
      <c r="D2148" s="7">
        <v>99</v>
      </c>
      <c r="E2148" s="6" t="s">
        <v>5864</v>
      </c>
      <c r="F2148" s="6" t="s">
        <v>5631</v>
      </c>
      <c r="G2148" s="6" t="s">
        <v>5632</v>
      </c>
      <c r="H2148" s="8"/>
      <c r="I2148" s="8">
        <v>826</v>
      </c>
      <c r="J2148" s="6"/>
      <c r="K2148" s="6" t="s">
        <v>1996</v>
      </c>
      <c r="L2148" s="6"/>
      <c r="M2148" s="6"/>
      <c r="N2148" s="6" t="s">
        <v>1996</v>
      </c>
      <c r="O2148" s="29">
        <f t="shared" si="51"/>
        <v>826</v>
      </c>
      <c r="Q2148" s="30" t="s">
        <v>1996</v>
      </c>
      <c r="R2148" s="31">
        <v>826</v>
      </c>
    </row>
    <row r="2149" s="1" customFormat="1" ht="16.35" hidden="1" customHeight="1" spans="1:18">
      <c r="A2149" s="6"/>
      <c r="B2149" s="6" t="s">
        <v>4123</v>
      </c>
      <c r="C2149" s="6" t="s">
        <v>4236</v>
      </c>
      <c r="D2149" s="7">
        <v>99</v>
      </c>
      <c r="E2149" s="6" t="s">
        <v>5865</v>
      </c>
      <c r="F2149" s="6" t="s">
        <v>5631</v>
      </c>
      <c r="G2149" s="6" t="s">
        <v>5632</v>
      </c>
      <c r="H2149" s="8"/>
      <c r="I2149" s="8">
        <v>2477</v>
      </c>
      <c r="J2149" s="6"/>
      <c r="K2149" s="6" t="s">
        <v>1996</v>
      </c>
      <c r="L2149" s="6"/>
      <c r="M2149" s="6"/>
      <c r="N2149" s="6" t="s">
        <v>1996</v>
      </c>
      <c r="O2149" s="29">
        <f t="shared" si="51"/>
        <v>2477</v>
      </c>
      <c r="Q2149" s="30" t="s">
        <v>1996</v>
      </c>
      <c r="R2149" s="31">
        <v>2477</v>
      </c>
    </row>
    <row r="2150" s="1" customFormat="1" ht="16.35" hidden="1" customHeight="1" spans="1:18">
      <c r="A2150" s="6"/>
      <c r="B2150" s="6" t="s">
        <v>4123</v>
      </c>
      <c r="C2150" s="6" t="s">
        <v>4236</v>
      </c>
      <c r="D2150" s="7">
        <v>99</v>
      </c>
      <c r="E2150" s="6" t="s">
        <v>5866</v>
      </c>
      <c r="F2150" s="6" t="s">
        <v>5631</v>
      </c>
      <c r="G2150" s="6" t="s">
        <v>5632</v>
      </c>
      <c r="H2150" s="8"/>
      <c r="I2150" s="8">
        <v>213</v>
      </c>
      <c r="J2150" s="6"/>
      <c r="K2150" s="6" t="s">
        <v>1996</v>
      </c>
      <c r="L2150" s="6"/>
      <c r="M2150" s="6"/>
      <c r="N2150" s="6" t="s">
        <v>1996</v>
      </c>
      <c r="O2150" s="29">
        <f t="shared" si="51"/>
        <v>213</v>
      </c>
      <c r="Q2150" s="30" t="s">
        <v>1996</v>
      </c>
      <c r="R2150" s="31">
        <v>213</v>
      </c>
    </row>
    <row r="2151" s="1" customFormat="1" ht="16.35" hidden="1" customHeight="1" spans="1:18">
      <c r="A2151" s="6"/>
      <c r="B2151" s="6" t="s">
        <v>4123</v>
      </c>
      <c r="C2151" s="6" t="s">
        <v>4236</v>
      </c>
      <c r="D2151" s="7">
        <v>99</v>
      </c>
      <c r="E2151" s="6" t="s">
        <v>5867</v>
      </c>
      <c r="F2151" s="6" t="s">
        <v>5631</v>
      </c>
      <c r="G2151" s="6" t="s">
        <v>5632</v>
      </c>
      <c r="H2151" s="8"/>
      <c r="I2151" s="8">
        <v>1404</v>
      </c>
      <c r="J2151" s="6"/>
      <c r="K2151" s="6" t="s">
        <v>1996</v>
      </c>
      <c r="L2151" s="6"/>
      <c r="M2151" s="6"/>
      <c r="N2151" s="6" t="s">
        <v>1996</v>
      </c>
      <c r="O2151" s="29">
        <f t="shared" si="51"/>
        <v>1404</v>
      </c>
      <c r="Q2151" s="30" t="s">
        <v>1996</v>
      </c>
      <c r="R2151" s="31">
        <v>1404</v>
      </c>
    </row>
    <row r="2152" s="1" customFormat="1" ht="16.35" hidden="1" customHeight="1" spans="1:18">
      <c r="A2152" s="6"/>
      <c r="B2152" s="6" t="s">
        <v>4123</v>
      </c>
      <c r="C2152" s="6" t="s">
        <v>4236</v>
      </c>
      <c r="D2152" s="7">
        <v>99</v>
      </c>
      <c r="E2152" s="6" t="s">
        <v>5868</v>
      </c>
      <c r="F2152" s="6" t="s">
        <v>5631</v>
      </c>
      <c r="G2152" s="6" t="s">
        <v>5632</v>
      </c>
      <c r="H2152" s="8"/>
      <c r="I2152" s="8">
        <v>12055</v>
      </c>
      <c r="J2152" s="6"/>
      <c r="K2152" s="6" t="s">
        <v>1996</v>
      </c>
      <c r="L2152" s="6"/>
      <c r="M2152" s="6"/>
      <c r="N2152" s="6" t="s">
        <v>1996</v>
      </c>
      <c r="O2152" s="29">
        <f t="shared" si="51"/>
        <v>12055</v>
      </c>
      <c r="Q2152" s="30" t="s">
        <v>1996</v>
      </c>
      <c r="R2152" s="31">
        <v>12055</v>
      </c>
    </row>
    <row r="2153" s="1" customFormat="1" ht="16.35" hidden="1" customHeight="1" spans="1:18">
      <c r="A2153" s="6"/>
      <c r="B2153" s="6" t="s">
        <v>4123</v>
      </c>
      <c r="C2153" s="6" t="s">
        <v>4236</v>
      </c>
      <c r="D2153" s="7">
        <v>99</v>
      </c>
      <c r="E2153" s="6" t="s">
        <v>5869</v>
      </c>
      <c r="F2153" s="6" t="s">
        <v>5631</v>
      </c>
      <c r="G2153" s="6" t="s">
        <v>5632</v>
      </c>
      <c r="H2153" s="8"/>
      <c r="I2153" s="8">
        <v>413</v>
      </c>
      <c r="J2153" s="6"/>
      <c r="K2153" s="6" t="s">
        <v>2778</v>
      </c>
      <c r="L2153" s="6"/>
      <c r="M2153" s="6"/>
      <c r="N2153" s="6" t="s">
        <v>2778</v>
      </c>
      <c r="O2153" s="29">
        <f t="shared" si="51"/>
        <v>413</v>
      </c>
      <c r="Q2153" s="30" t="s">
        <v>2778</v>
      </c>
      <c r="R2153" s="31">
        <v>413</v>
      </c>
    </row>
    <row r="2154" s="1" customFormat="1" ht="16.35" hidden="1" customHeight="1" spans="1:18">
      <c r="A2154" s="6"/>
      <c r="B2154" s="6" t="s">
        <v>4123</v>
      </c>
      <c r="C2154" s="6" t="s">
        <v>4236</v>
      </c>
      <c r="D2154" s="7">
        <v>99</v>
      </c>
      <c r="E2154" s="6" t="s">
        <v>5870</v>
      </c>
      <c r="F2154" s="6" t="s">
        <v>5631</v>
      </c>
      <c r="G2154" s="6" t="s">
        <v>5632</v>
      </c>
      <c r="H2154" s="8"/>
      <c r="I2154" s="8">
        <v>3096</v>
      </c>
      <c r="J2154" s="6"/>
      <c r="K2154" s="6" t="s">
        <v>2778</v>
      </c>
      <c r="L2154" s="6"/>
      <c r="M2154" s="6"/>
      <c r="N2154" s="6" t="s">
        <v>2778</v>
      </c>
      <c r="O2154" s="29">
        <f t="shared" si="51"/>
        <v>3096</v>
      </c>
      <c r="Q2154" s="30" t="s">
        <v>2778</v>
      </c>
      <c r="R2154" s="31">
        <v>3096</v>
      </c>
    </row>
    <row r="2155" s="1" customFormat="1" ht="16.35" hidden="1" customHeight="1" spans="1:18">
      <c r="A2155" s="6"/>
      <c r="B2155" s="6" t="s">
        <v>4123</v>
      </c>
      <c r="C2155" s="6" t="s">
        <v>4236</v>
      </c>
      <c r="D2155" s="7">
        <v>99</v>
      </c>
      <c r="E2155" s="6" t="s">
        <v>5871</v>
      </c>
      <c r="F2155" s="6" t="s">
        <v>5631</v>
      </c>
      <c r="G2155" s="6" t="s">
        <v>5632</v>
      </c>
      <c r="H2155" s="8"/>
      <c r="I2155" s="8">
        <v>8257</v>
      </c>
      <c r="J2155" s="6"/>
      <c r="K2155" s="6" t="s">
        <v>2778</v>
      </c>
      <c r="L2155" s="6"/>
      <c r="M2155" s="6"/>
      <c r="N2155" s="6" t="s">
        <v>2778</v>
      </c>
      <c r="O2155" s="29">
        <f t="shared" si="51"/>
        <v>8257</v>
      </c>
      <c r="Q2155" s="30" t="s">
        <v>2778</v>
      </c>
      <c r="R2155" s="31">
        <v>8257</v>
      </c>
    </row>
    <row r="2156" s="1" customFormat="1" ht="16.35" hidden="1" customHeight="1" spans="1:18">
      <c r="A2156" s="6"/>
      <c r="B2156" s="6" t="s">
        <v>4123</v>
      </c>
      <c r="C2156" s="6" t="s">
        <v>4236</v>
      </c>
      <c r="D2156" s="7">
        <v>99</v>
      </c>
      <c r="E2156" s="6" t="s">
        <v>5872</v>
      </c>
      <c r="F2156" s="6" t="s">
        <v>5631</v>
      </c>
      <c r="G2156" s="6" t="s">
        <v>5632</v>
      </c>
      <c r="H2156" s="8"/>
      <c r="I2156" s="8">
        <v>83</v>
      </c>
      <c r="J2156" s="6"/>
      <c r="K2156" s="6" t="s">
        <v>2784</v>
      </c>
      <c r="L2156" s="6"/>
      <c r="M2156" s="6"/>
      <c r="N2156" s="6" t="s">
        <v>2784</v>
      </c>
      <c r="O2156" s="29">
        <f t="shared" si="51"/>
        <v>83</v>
      </c>
      <c r="Q2156" s="30" t="s">
        <v>2784</v>
      </c>
      <c r="R2156" s="31">
        <v>83</v>
      </c>
    </row>
    <row r="2157" s="1" customFormat="1" ht="16.35" hidden="1" customHeight="1" spans="1:18">
      <c r="A2157" s="6"/>
      <c r="B2157" s="6" t="s">
        <v>4123</v>
      </c>
      <c r="C2157" s="6" t="s">
        <v>4236</v>
      </c>
      <c r="D2157" s="7">
        <v>99</v>
      </c>
      <c r="E2157" s="6" t="s">
        <v>5873</v>
      </c>
      <c r="F2157" s="6" t="s">
        <v>5631</v>
      </c>
      <c r="G2157" s="6" t="s">
        <v>5632</v>
      </c>
      <c r="H2157" s="8"/>
      <c r="I2157" s="8">
        <v>20642</v>
      </c>
      <c r="J2157" s="6"/>
      <c r="K2157" s="6" t="s">
        <v>2784</v>
      </c>
      <c r="L2157" s="6"/>
      <c r="M2157" s="6"/>
      <c r="N2157" s="6" t="s">
        <v>2784</v>
      </c>
      <c r="O2157" s="29">
        <f t="shared" si="51"/>
        <v>20642</v>
      </c>
      <c r="Q2157" s="30" t="s">
        <v>2784</v>
      </c>
      <c r="R2157" s="31">
        <v>20642</v>
      </c>
    </row>
    <row r="2158" s="1" customFormat="1" ht="16.35" hidden="1" customHeight="1" spans="1:18">
      <c r="A2158" s="6"/>
      <c r="B2158" s="6" t="s">
        <v>4123</v>
      </c>
      <c r="C2158" s="6" t="s">
        <v>4236</v>
      </c>
      <c r="D2158" s="7">
        <v>99</v>
      </c>
      <c r="E2158" s="6" t="s">
        <v>5874</v>
      </c>
      <c r="F2158" s="6" t="s">
        <v>5631</v>
      </c>
      <c r="G2158" s="6" t="s">
        <v>5632</v>
      </c>
      <c r="H2158" s="8"/>
      <c r="I2158" s="8">
        <v>1902</v>
      </c>
      <c r="J2158" s="6"/>
      <c r="K2158" s="6" t="s">
        <v>2784</v>
      </c>
      <c r="L2158" s="6"/>
      <c r="M2158" s="6"/>
      <c r="N2158" s="6" t="s">
        <v>2784</v>
      </c>
      <c r="O2158" s="29">
        <f t="shared" si="51"/>
        <v>1902</v>
      </c>
      <c r="Q2158" s="30" t="s">
        <v>2784</v>
      </c>
      <c r="R2158" s="31">
        <v>1902</v>
      </c>
    </row>
    <row r="2159" s="1" customFormat="1" ht="16.35" hidden="1" customHeight="1" spans="1:18">
      <c r="A2159" s="6"/>
      <c r="B2159" s="6" t="s">
        <v>4123</v>
      </c>
      <c r="C2159" s="6" t="s">
        <v>4236</v>
      </c>
      <c r="D2159" s="7">
        <v>99</v>
      </c>
      <c r="E2159" s="6" t="s">
        <v>5875</v>
      </c>
      <c r="F2159" s="6" t="s">
        <v>5631</v>
      </c>
      <c r="G2159" s="6" t="s">
        <v>5632</v>
      </c>
      <c r="H2159" s="8"/>
      <c r="I2159" s="8">
        <v>10185</v>
      </c>
      <c r="J2159" s="6"/>
      <c r="K2159" s="6" t="s">
        <v>2033</v>
      </c>
      <c r="L2159" s="6"/>
      <c r="M2159" s="6"/>
      <c r="N2159" s="6" t="s">
        <v>2033</v>
      </c>
      <c r="O2159" s="29">
        <f t="shared" si="51"/>
        <v>10185</v>
      </c>
      <c r="Q2159" s="30" t="s">
        <v>2033</v>
      </c>
      <c r="R2159" s="31">
        <v>10185</v>
      </c>
    </row>
    <row r="2160" s="1" customFormat="1" ht="16.35" hidden="1" customHeight="1" spans="1:18">
      <c r="A2160" s="6"/>
      <c r="B2160" s="6" t="s">
        <v>4123</v>
      </c>
      <c r="C2160" s="6" t="s">
        <v>4236</v>
      </c>
      <c r="D2160" s="7">
        <v>99</v>
      </c>
      <c r="E2160" s="6" t="s">
        <v>5876</v>
      </c>
      <c r="F2160" s="6" t="s">
        <v>5631</v>
      </c>
      <c r="G2160" s="6" t="s">
        <v>5632</v>
      </c>
      <c r="H2160" s="8"/>
      <c r="I2160" s="8">
        <v>13211</v>
      </c>
      <c r="J2160" s="6"/>
      <c r="K2160" s="6" t="s">
        <v>2033</v>
      </c>
      <c r="L2160" s="6"/>
      <c r="M2160" s="6"/>
      <c r="N2160" s="6" t="s">
        <v>2033</v>
      </c>
      <c r="O2160" s="29">
        <f t="shared" si="51"/>
        <v>13211</v>
      </c>
      <c r="Q2160" s="30" t="s">
        <v>2033</v>
      </c>
      <c r="R2160" s="31">
        <v>13211</v>
      </c>
    </row>
    <row r="2161" s="1" customFormat="1" ht="16.35" hidden="1" customHeight="1" spans="1:18">
      <c r="A2161" s="6"/>
      <c r="B2161" s="6" t="s">
        <v>4123</v>
      </c>
      <c r="C2161" s="6" t="s">
        <v>4236</v>
      </c>
      <c r="D2161" s="7">
        <v>99</v>
      </c>
      <c r="E2161" s="6" t="s">
        <v>5877</v>
      </c>
      <c r="F2161" s="6" t="s">
        <v>5631</v>
      </c>
      <c r="G2161" s="6" t="s">
        <v>5632</v>
      </c>
      <c r="H2161" s="8"/>
      <c r="I2161" s="8">
        <v>413</v>
      </c>
      <c r="J2161" s="6"/>
      <c r="K2161" s="6" t="s">
        <v>2053</v>
      </c>
      <c r="L2161" s="6"/>
      <c r="M2161" s="6"/>
      <c r="N2161" s="6" t="s">
        <v>2053</v>
      </c>
      <c r="O2161" s="29">
        <f t="shared" si="51"/>
        <v>413</v>
      </c>
      <c r="Q2161" s="30" t="s">
        <v>2053</v>
      </c>
      <c r="R2161" s="31">
        <v>413</v>
      </c>
    </row>
    <row r="2162" s="1" customFormat="1" ht="16.35" hidden="1" customHeight="1" spans="1:18">
      <c r="A2162" s="6"/>
      <c r="B2162" s="6" t="s">
        <v>4123</v>
      </c>
      <c r="C2162" s="6" t="s">
        <v>4236</v>
      </c>
      <c r="D2162" s="7">
        <v>99</v>
      </c>
      <c r="E2162" s="6" t="s">
        <v>5878</v>
      </c>
      <c r="F2162" s="6" t="s">
        <v>5631</v>
      </c>
      <c r="G2162" s="6" t="s">
        <v>5632</v>
      </c>
      <c r="H2162" s="8"/>
      <c r="I2162" s="8">
        <v>4464</v>
      </c>
      <c r="J2162" s="6"/>
      <c r="K2162" s="6" t="s">
        <v>2053</v>
      </c>
      <c r="L2162" s="6"/>
      <c r="M2162" s="6"/>
      <c r="N2162" s="6" t="s">
        <v>2053</v>
      </c>
      <c r="O2162" s="29">
        <f t="shared" si="51"/>
        <v>4464</v>
      </c>
      <c r="Q2162" s="30" t="s">
        <v>2053</v>
      </c>
      <c r="R2162" s="31">
        <v>4464</v>
      </c>
    </row>
    <row r="2163" s="1" customFormat="1" ht="16.35" hidden="1" customHeight="1" spans="1:18">
      <c r="A2163" s="6"/>
      <c r="B2163" s="6" t="s">
        <v>4123</v>
      </c>
      <c r="C2163" s="6" t="s">
        <v>4236</v>
      </c>
      <c r="D2163" s="7">
        <v>99</v>
      </c>
      <c r="E2163" s="6" t="s">
        <v>5879</v>
      </c>
      <c r="F2163" s="6" t="s">
        <v>5631</v>
      </c>
      <c r="G2163" s="6" t="s">
        <v>5632</v>
      </c>
      <c r="H2163" s="8"/>
      <c r="I2163" s="8">
        <v>826</v>
      </c>
      <c r="J2163" s="6"/>
      <c r="K2163" s="6" t="s">
        <v>2053</v>
      </c>
      <c r="L2163" s="6"/>
      <c r="M2163" s="6"/>
      <c r="N2163" s="6" t="s">
        <v>2053</v>
      </c>
      <c r="O2163" s="29">
        <f t="shared" si="51"/>
        <v>826</v>
      </c>
      <c r="Q2163" s="30" t="s">
        <v>2053</v>
      </c>
      <c r="R2163" s="31">
        <v>826</v>
      </c>
    </row>
    <row r="2164" s="1" customFormat="1" ht="16.35" hidden="1" customHeight="1" spans="1:18">
      <c r="A2164" s="6"/>
      <c r="B2164" s="6" t="s">
        <v>4123</v>
      </c>
      <c r="C2164" s="6" t="s">
        <v>4236</v>
      </c>
      <c r="D2164" s="7">
        <v>99</v>
      </c>
      <c r="E2164" s="6" t="s">
        <v>5880</v>
      </c>
      <c r="F2164" s="6" t="s">
        <v>5631</v>
      </c>
      <c r="G2164" s="6" t="s">
        <v>5632</v>
      </c>
      <c r="H2164" s="8"/>
      <c r="I2164" s="8">
        <v>4128</v>
      </c>
      <c r="J2164" s="6"/>
      <c r="K2164" s="6" t="s">
        <v>2053</v>
      </c>
      <c r="L2164" s="6"/>
      <c r="M2164" s="6"/>
      <c r="N2164" s="6" t="s">
        <v>2053</v>
      </c>
      <c r="O2164" s="29">
        <f t="shared" si="51"/>
        <v>4128</v>
      </c>
      <c r="Q2164" s="30" t="s">
        <v>2053</v>
      </c>
      <c r="R2164" s="31">
        <v>4128</v>
      </c>
    </row>
    <row r="2165" s="1" customFormat="1" ht="16.35" hidden="1" customHeight="1" spans="1:18">
      <c r="A2165" s="6"/>
      <c r="B2165" s="6" t="s">
        <v>4123</v>
      </c>
      <c r="C2165" s="6" t="s">
        <v>4236</v>
      </c>
      <c r="D2165" s="7">
        <v>99</v>
      </c>
      <c r="E2165" s="6" t="s">
        <v>5881</v>
      </c>
      <c r="F2165" s="6" t="s">
        <v>5631</v>
      </c>
      <c r="G2165" s="6" t="s">
        <v>5632</v>
      </c>
      <c r="H2165" s="8"/>
      <c r="I2165" s="8">
        <v>826</v>
      </c>
      <c r="J2165" s="6"/>
      <c r="K2165" s="6" t="s">
        <v>2071</v>
      </c>
      <c r="L2165" s="6"/>
      <c r="M2165" s="6"/>
      <c r="N2165" s="6" t="s">
        <v>2071</v>
      </c>
      <c r="O2165" s="29">
        <f t="shared" si="51"/>
        <v>826</v>
      </c>
      <c r="Q2165" s="30" t="s">
        <v>2071</v>
      </c>
      <c r="R2165" s="31">
        <v>826</v>
      </c>
    </row>
    <row r="2166" s="1" customFormat="1" ht="16.35" hidden="1" customHeight="1" spans="1:18">
      <c r="A2166" s="6"/>
      <c r="B2166" s="6" t="s">
        <v>4123</v>
      </c>
      <c r="C2166" s="6" t="s">
        <v>4236</v>
      </c>
      <c r="D2166" s="7">
        <v>99</v>
      </c>
      <c r="E2166" s="6" t="s">
        <v>5882</v>
      </c>
      <c r="F2166" s="6" t="s">
        <v>5631</v>
      </c>
      <c r="G2166" s="6" t="s">
        <v>5632</v>
      </c>
      <c r="H2166" s="8"/>
      <c r="I2166" s="8">
        <v>12465</v>
      </c>
      <c r="J2166" s="6"/>
      <c r="K2166" s="6" t="s">
        <v>2071</v>
      </c>
      <c r="L2166" s="6"/>
      <c r="M2166" s="6"/>
      <c r="N2166" s="6" t="s">
        <v>2071</v>
      </c>
      <c r="O2166" s="29">
        <f t="shared" si="51"/>
        <v>12465</v>
      </c>
      <c r="Q2166" s="30" t="s">
        <v>2071</v>
      </c>
      <c r="R2166" s="31">
        <v>12465</v>
      </c>
    </row>
    <row r="2167" s="1" customFormat="1" ht="16.35" hidden="1" customHeight="1" spans="1:18">
      <c r="A2167" s="6"/>
      <c r="B2167" s="6" t="s">
        <v>4123</v>
      </c>
      <c r="C2167" s="6" t="s">
        <v>4236</v>
      </c>
      <c r="D2167" s="7">
        <v>99</v>
      </c>
      <c r="E2167" s="6" t="s">
        <v>5883</v>
      </c>
      <c r="F2167" s="6" t="s">
        <v>5631</v>
      </c>
      <c r="G2167" s="6" t="s">
        <v>5632</v>
      </c>
      <c r="H2167" s="8"/>
      <c r="I2167" s="8">
        <v>413</v>
      </c>
      <c r="J2167" s="6"/>
      <c r="K2167" s="6" t="s">
        <v>2243</v>
      </c>
      <c r="L2167" s="6"/>
      <c r="M2167" s="6"/>
      <c r="N2167" s="6" t="s">
        <v>2243</v>
      </c>
      <c r="O2167" s="29">
        <f t="shared" si="51"/>
        <v>413</v>
      </c>
      <c r="Q2167" s="30" t="s">
        <v>2243</v>
      </c>
      <c r="R2167" s="31">
        <v>413</v>
      </c>
    </row>
    <row r="2168" s="1" customFormat="1" ht="16.35" hidden="1" customHeight="1" spans="1:18">
      <c r="A2168" s="6"/>
      <c r="B2168" s="6" t="s">
        <v>4123</v>
      </c>
      <c r="C2168" s="6" t="s">
        <v>4236</v>
      </c>
      <c r="D2168" s="7">
        <v>99</v>
      </c>
      <c r="E2168" s="6" t="s">
        <v>5884</v>
      </c>
      <c r="F2168" s="6" t="s">
        <v>5631</v>
      </c>
      <c r="G2168" s="6" t="s">
        <v>5632</v>
      </c>
      <c r="H2168" s="8"/>
      <c r="I2168" s="8">
        <v>5274</v>
      </c>
      <c r="J2168" s="6"/>
      <c r="K2168" s="6" t="s">
        <v>2243</v>
      </c>
      <c r="L2168" s="6"/>
      <c r="M2168" s="6"/>
      <c r="N2168" s="6" t="s">
        <v>2243</v>
      </c>
      <c r="O2168" s="29">
        <f t="shared" si="51"/>
        <v>5274</v>
      </c>
      <c r="Q2168" s="30" t="s">
        <v>2243</v>
      </c>
      <c r="R2168" s="31">
        <v>5274</v>
      </c>
    </row>
    <row r="2169" s="1" customFormat="1" ht="16.35" hidden="1" customHeight="1" spans="1:18">
      <c r="A2169" s="6"/>
      <c r="B2169" s="6" t="s">
        <v>4123</v>
      </c>
      <c r="C2169" s="6" t="s">
        <v>4236</v>
      </c>
      <c r="D2169" s="7">
        <v>3</v>
      </c>
      <c r="E2169" s="6" t="s">
        <v>5885</v>
      </c>
      <c r="F2169" s="6" t="s">
        <v>5631</v>
      </c>
      <c r="G2169" s="6" t="s">
        <v>5632</v>
      </c>
      <c r="H2169" s="8"/>
      <c r="I2169" s="8">
        <v>5000</v>
      </c>
      <c r="J2169" s="6"/>
      <c r="K2169" s="6" t="s">
        <v>2223</v>
      </c>
      <c r="L2169" s="6"/>
      <c r="M2169" s="6"/>
      <c r="N2169" s="6" t="s">
        <v>2223</v>
      </c>
      <c r="O2169" s="29">
        <f t="shared" si="51"/>
        <v>5000</v>
      </c>
      <c r="Q2169" s="30" t="s">
        <v>2223</v>
      </c>
      <c r="R2169" s="31">
        <v>5000</v>
      </c>
    </row>
    <row r="2170" s="1" customFormat="1" ht="16.35" hidden="1" customHeight="1" spans="1:18">
      <c r="A2170" s="6"/>
      <c r="B2170" s="6" t="s">
        <v>4123</v>
      </c>
      <c r="C2170" s="6" t="s">
        <v>4236</v>
      </c>
      <c r="D2170" s="7">
        <v>99</v>
      </c>
      <c r="E2170" s="6" t="s">
        <v>5886</v>
      </c>
      <c r="F2170" s="6" t="s">
        <v>5631</v>
      </c>
      <c r="G2170" s="6" t="s">
        <v>5632</v>
      </c>
      <c r="H2170" s="8"/>
      <c r="I2170" s="8">
        <v>413</v>
      </c>
      <c r="J2170" s="6"/>
      <c r="K2170" s="6" t="s">
        <v>2245</v>
      </c>
      <c r="L2170" s="6"/>
      <c r="M2170" s="6"/>
      <c r="N2170" s="6" t="s">
        <v>2245</v>
      </c>
      <c r="O2170" s="29">
        <f t="shared" si="51"/>
        <v>413</v>
      </c>
      <c r="Q2170" s="30" t="s">
        <v>2245</v>
      </c>
      <c r="R2170" s="31">
        <v>413</v>
      </c>
    </row>
    <row r="2171" s="1" customFormat="1" ht="16.35" hidden="1" customHeight="1" spans="1:18">
      <c r="A2171" s="6"/>
      <c r="B2171" s="6" t="s">
        <v>4123</v>
      </c>
      <c r="C2171" s="6" t="s">
        <v>4236</v>
      </c>
      <c r="D2171" s="7">
        <v>99</v>
      </c>
      <c r="E2171" s="6" t="s">
        <v>5887</v>
      </c>
      <c r="F2171" s="6" t="s">
        <v>5631</v>
      </c>
      <c r="G2171" s="6" t="s">
        <v>5632</v>
      </c>
      <c r="H2171" s="8"/>
      <c r="I2171" s="8">
        <v>413</v>
      </c>
      <c r="J2171" s="6"/>
      <c r="K2171" s="6" t="s">
        <v>2299</v>
      </c>
      <c r="L2171" s="6"/>
      <c r="M2171" s="6"/>
      <c r="N2171" s="6" t="s">
        <v>2299</v>
      </c>
      <c r="O2171" s="29">
        <f t="shared" si="51"/>
        <v>413</v>
      </c>
      <c r="Q2171" s="30" t="s">
        <v>2299</v>
      </c>
      <c r="R2171" s="31">
        <v>413</v>
      </c>
    </row>
    <row r="2172" s="1" customFormat="1" ht="16.35" hidden="1" customHeight="1" spans="1:18">
      <c r="A2172" s="6"/>
      <c r="B2172" s="6" t="s">
        <v>4123</v>
      </c>
      <c r="C2172" s="6" t="s">
        <v>4236</v>
      </c>
      <c r="D2172" s="7">
        <v>99</v>
      </c>
      <c r="E2172" s="6" t="s">
        <v>5888</v>
      </c>
      <c r="F2172" s="6" t="s">
        <v>5631</v>
      </c>
      <c r="G2172" s="6" t="s">
        <v>5632</v>
      </c>
      <c r="H2172" s="8"/>
      <c r="I2172" s="8">
        <v>1239</v>
      </c>
      <c r="J2172" s="6"/>
      <c r="K2172" s="6" t="s">
        <v>2299</v>
      </c>
      <c r="L2172" s="6"/>
      <c r="M2172" s="6"/>
      <c r="N2172" s="6" t="s">
        <v>2299</v>
      </c>
      <c r="O2172" s="29">
        <f t="shared" si="51"/>
        <v>1239</v>
      </c>
      <c r="Q2172" s="30" t="s">
        <v>2299</v>
      </c>
      <c r="R2172" s="31">
        <v>1239</v>
      </c>
    </row>
    <row r="2173" s="1" customFormat="1" ht="16.35" hidden="1" customHeight="1" spans="1:18">
      <c r="A2173" s="6"/>
      <c r="B2173" s="6" t="s">
        <v>4123</v>
      </c>
      <c r="C2173" s="6" t="s">
        <v>4236</v>
      </c>
      <c r="D2173" s="7">
        <v>99</v>
      </c>
      <c r="E2173" s="6" t="s">
        <v>5889</v>
      </c>
      <c r="F2173" s="6" t="s">
        <v>5631</v>
      </c>
      <c r="G2173" s="6" t="s">
        <v>5632</v>
      </c>
      <c r="H2173" s="8"/>
      <c r="I2173" s="8">
        <v>1651</v>
      </c>
      <c r="J2173" s="6"/>
      <c r="K2173" s="6" t="s">
        <v>2299</v>
      </c>
      <c r="L2173" s="6"/>
      <c r="M2173" s="6"/>
      <c r="N2173" s="6" t="s">
        <v>2299</v>
      </c>
      <c r="O2173" s="29">
        <f t="shared" si="51"/>
        <v>1651</v>
      </c>
      <c r="Q2173" s="30" t="s">
        <v>2299</v>
      </c>
      <c r="R2173" s="31">
        <v>1651</v>
      </c>
    </row>
    <row r="2174" s="1" customFormat="1" ht="16.35" hidden="1" customHeight="1" spans="1:18">
      <c r="A2174" s="6"/>
      <c r="B2174" s="6" t="s">
        <v>4123</v>
      </c>
      <c r="C2174" s="6" t="s">
        <v>4236</v>
      </c>
      <c r="D2174" s="7">
        <v>99</v>
      </c>
      <c r="E2174" s="6" t="s">
        <v>5890</v>
      </c>
      <c r="F2174" s="6" t="s">
        <v>5631</v>
      </c>
      <c r="G2174" s="6" t="s">
        <v>5632</v>
      </c>
      <c r="H2174" s="8"/>
      <c r="I2174" s="8">
        <v>859</v>
      </c>
      <c r="J2174" s="6"/>
      <c r="K2174" s="6" t="s">
        <v>2299</v>
      </c>
      <c r="L2174" s="6"/>
      <c r="M2174" s="6"/>
      <c r="N2174" s="6" t="s">
        <v>2299</v>
      </c>
      <c r="O2174" s="29">
        <f t="shared" si="51"/>
        <v>859</v>
      </c>
      <c r="Q2174" s="30" t="s">
        <v>2299</v>
      </c>
      <c r="R2174" s="31">
        <v>859</v>
      </c>
    </row>
    <row r="2175" s="1" customFormat="1" ht="16.35" hidden="1" customHeight="1" spans="1:18">
      <c r="A2175" s="6"/>
      <c r="B2175" s="6" t="s">
        <v>4123</v>
      </c>
      <c r="C2175" s="6" t="s">
        <v>4236</v>
      </c>
      <c r="D2175" s="7">
        <v>99</v>
      </c>
      <c r="E2175" s="6" t="s">
        <v>5891</v>
      </c>
      <c r="F2175" s="6" t="s">
        <v>5631</v>
      </c>
      <c r="G2175" s="6" t="s">
        <v>5632</v>
      </c>
      <c r="H2175" s="8"/>
      <c r="I2175" s="8">
        <v>13211</v>
      </c>
      <c r="J2175" s="6"/>
      <c r="K2175" s="6" t="s">
        <v>2299</v>
      </c>
      <c r="L2175" s="6"/>
      <c r="M2175" s="6"/>
      <c r="N2175" s="6" t="s">
        <v>2299</v>
      </c>
      <c r="O2175" s="29">
        <f t="shared" si="51"/>
        <v>13211</v>
      </c>
      <c r="Q2175" s="30" t="s">
        <v>2299</v>
      </c>
      <c r="R2175" s="31">
        <v>13211</v>
      </c>
    </row>
    <row r="2176" s="1" customFormat="1" ht="16.35" hidden="1" customHeight="1" spans="1:18">
      <c r="A2176" s="6"/>
      <c r="B2176" s="6" t="s">
        <v>4123</v>
      </c>
      <c r="C2176" s="6" t="s">
        <v>4236</v>
      </c>
      <c r="D2176" s="7">
        <v>48</v>
      </c>
      <c r="E2176" s="6" t="s">
        <v>5892</v>
      </c>
      <c r="F2176" s="6" t="s">
        <v>5631</v>
      </c>
      <c r="G2176" s="6" t="s">
        <v>5632</v>
      </c>
      <c r="H2176" s="8"/>
      <c r="I2176" s="8">
        <v>20000</v>
      </c>
      <c r="J2176" s="6"/>
      <c r="K2176" s="6" t="s">
        <v>2314</v>
      </c>
      <c r="L2176" s="6"/>
      <c r="M2176" s="6"/>
      <c r="N2176" s="6" t="s">
        <v>2314</v>
      </c>
      <c r="O2176" s="29">
        <f t="shared" si="51"/>
        <v>20000</v>
      </c>
      <c r="Q2176" s="30" t="s">
        <v>2314</v>
      </c>
      <c r="R2176" s="31">
        <v>20000</v>
      </c>
    </row>
    <row r="2177" s="1" customFormat="1" ht="16.35" hidden="1" customHeight="1" spans="1:18">
      <c r="A2177" s="6"/>
      <c r="B2177" s="6" t="s">
        <v>4123</v>
      </c>
      <c r="C2177" s="6" t="s">
        <v>4236</v>
      </c>
      <c r="D2177" s="7">
        <v>99</v>
      </c>
      <c r="E2177" s="6" t="s">
        <v>5893</v>
      </c>
      <c r="F2177" s="6" t="s">
        <v>5631</v>
      </c>
      <c r="G2177" s="6" t="s">
        <v>5632</v>
      </c>
      <c r="H2177" s="8"/>
      <c r="I2177" s="8">
        <v>5753</v>
      </c>
      <c r="J2177" s="6"/>
      <c r="K2177" s="6" t="s">
        <v>2309</v>
      </c>
      <c r="L2177" s="6"/>
      <c r="M2177" s="6"/>
      <c r="N2177" s="6" t="s">
        <v>2309</v>
      </c>
      <c r="O2177" s="29">
        <f t="shared" si="51"/>
        <v>5753</v>
      </c>
      <c r="Q2177" s="30" t="s">
        <v>2309</v>
      </c>
      <c r="R2177" s="31">
        <v>5753</v>
      </c>
    </row>
    <row r="2178" s="1" customFormat="1" ht="16.35" hidden="1" customHeight="1" spans="1:18">
      <c r="A2178" s="6"/>
      <c r="B2178" s="6" t="s">
        <v>4123</v>
      </c>
      <c r="C2178" s="6" t="s">
        <v>4236</v>
      </c>
      <c r="D2178" s="7">
        <v>99</v>
      </c>
      <c r="E2178" s="6" t="s">
        <v>5894</v>
      </c>
      <c r="F2178" s="6" t="s">
        <v>5631</v>
      </c>
      <c r="G2178" s="6" t="s">
        <v>5632</v>
      </c>
      <c r="H2178" s="8"/>
      <c r="I2178" s="8">
        <v>15275</v>
      </c>
      <c r="J2178" s="6"/>
      <c r="K2178" s="6" t="s">
        <v>2309</v>
      </c>
      <c r="L2178" s="6"/>
      <c r="M2178" s="6"/>
      <c r="N2178" s="6" t="s">
        <v>2309</v>
      </c>
      <c r="O2178" s="29">
        <f t="shared" si="51"/>
        <v>15275</v>
      </c>
      <c r="Q2178" s="30" t="s">
        <v>2309</v>
      </c>
      <c r="R2178" s="31">
        <v>15275</v>
      </c>
    </row>
    <row r="2179" s="2" customFormat="1" ht="16.35" hidden="1" customHeight="1" spans="1:19">
      <c r="A2179" s="10"/>
      <c r="B2179" s="10" t="s">
        <v>4123</v>
      </c>
      <c r="C2179" s="10" t="s">
        <v>4236</v>
      </c>
      <c r="D2179" s="11">
        <v>98</v>
      </c>
      <c r="E2179" s="10" t="s">
        <v>5895</v>
      </c>
      <c r="F2179" s="10" t="s">
        <v>5631</v>
      </c>
      <c r="G2179" s="10" t="s">
        <v>5632</v>
      </c>
      <c r="H2179" s="12"/>
      <c r="I2179" s="12">
        <v>2381</v>
      </c>
      <c r="J2179" s="10"/>
      <c r="K2179" s="10" t="s">
        <v>5079</v>
      </c>
      <c r="L2179" s="10"/>
      <c r="M2179" s="10"/>
      <c r="N2179" s="10" t="s">
        <v>5079</v>
      </c>
      <c r="O2179" s="33">
        <f t="shared" si="51"/>
        <v>2381</v>
      </c>
      <c r="Q2179" s="30" t="s">
        <v>2742</v>
      </c>
      <c r="R2179" s="31">
        <v>2381</v>
      </c>
      <c r="S2179" s="2" t="s">
        <v>5896</v>
      </c>
    </row>
    <row r="2180" s="1" customFormat="1" ht="16.35" hidden="1" customHeight="1" spans="1:18">
      <c r="A2180" s="6"/>
      <c r="B2180" s="6" t="s">
        <v>4123</v>
      </c>
      <c r="C2180" s="6" t="s">
        <v>4236</v>
      </c>
      <c r="D2180" s="7">
        <v>68</v>
      </c>
      <c r="E2180" s="6" t="s">
        <v>5851</v>
      </c>
      <c r="F2180" s="6" t="s">
        <v>5631</v>
      </c>
      <c r="G2180" s="6" t="s">
        <v>5632</v>
      </c>
      <c r="H2180" s="8"/>
      <c r="I2180" s="8">
        <v>40000</v>
      </c>
      <c r="J2180" s="6"/>
      <c r="K2180" s="6" t="s">
        <v>2402</v>
      </c>
      <c r="L2180" s="6"/>
      <c r="M2180" s="6"/>
      <c r="N2180" s="6" t="s">
        <v>2402</v>
      </c>
      <c r="O2180" s="29">
        <f t="shared" si="51"/>
        <v>40000</v>
      </c>
      <c r="Q2180" s="30" t="s">
        <v>2402</v>
      </c>
      <c r="R2180" s="31">
        <v>40000</v>
      </c>
    </row>
    <row r="2181" s="1" customFormat="1" ht="16.35" hidden="1" customHeight="1" spans="1:18">
      <c r="A2181" s="6"/>
      <c r="B2181" s="6" t="s">
        <v>4123</v>
      </c>
      <c r="C2181" s="6" t="s">
        <v>4236</v>
      </c>
      <c r="D2181" s="7">
        <v>29</v>
      </c>
      <c r="E2181" s="6" t="s">
        <v>5897</v>
      </c>
      <c r="F2181" s="6" t="s">
        <v>5631</v>
      </c>
      <c r="G2181" s="6" t="s">
        <v>5632</v>
      </c>
      <c r="H2181" s="8"/>
      <c r="I2181" s="8">
        <v>20000</v>
      </c>
      <c r="J2181" s="6"/>
      <c r="K2181" s="6" t="s">
        <v>2430</v>
      </c>
      <c r="L2181" s="6"/>
      <c r="M2181" s="6"/>
      <c r="N2181" s="6" t="s">
        <v>2430</v>
      </c>
      <c r="O2181" s="29">
        <f t="shared" ref="O2181:O2244" si="52">I2181</f>
        <v>20000</v>
      </c>
      <c r="Q2181" s="30" t="s">
        <v>2430</v>
      </c>
      <c r="R2181" s="31">
        <v>20000</v>
      </c>
    </row>
    <row r="2182" s="1" customFormat="1" ht="16.35" hidden="1" customHeight="1" spans="1:18">
      <c r="A2182" s="6"/>
      <c r="B2182" s="6" t="s">
        <v>4123</v>
      </c>
      <c r="C2182" s="6" t="s">
        <v>4236</v>
      </c>
      <c r="D2182" s="7">
        <v>36</v>
      </c>
      <c r="E2182" s="6" t="s">
        <v>5898</v>
      </c>
      <c r="F2182" s="6" t="s">
        <v>5631</v>
      </c>
      <c r="G2182" s="6" t="s">
        <v>5632</v>
      </c>
      <c r="H2182" s="8"/>
      <c r="I2182" s="8">
        <v>841</v>
      </c>
      <c r="J2182" s="6"/>
      <c r="K2182" s="6" t="s">
        <v>2454</v>
      </c>
      <c r="L2182" s="6"/>
      <c r="M2182" s="6"/>
      <c r="N2182" s="6" t="s">
        <v>2454</v>
      </c>
      <c r="O2182" s="29">
        <f t="shared" si="52"/>
        <v>841</v>
      </c>
      <c r="Q2182" s="30" t="s">
        <v>2454</v>
      </c>
      <c r="R2182" s="31">
        <v>841</v>
      </c>
    </row>
    <row r="2183" s="1" customFormat="1" ht="16.35" hidden="1" customHeight="1" spans="1:18">
      <c r="A2183" s="6"/>
      <c r="B2183" s="6" t="s">
        <v>4123</v>
      </c>
      <c r="C2183" s="6" t="s">
        <v>4236</v>
      </c>
      <c r="D2183" s="7">
        <v>49</v>
      </c>
      <c r="E2183" s="6" t="s">
        <v>5899</v>
      </c>
      <c r="F2183" s="6" t="s">
        <v>5631</v>
      </c>
      <c r="G2183" s="6" t="s">
        <v>5632</v>
      </c>
      <c r="H2183" s="8"/>
      <c r="I2183" s="8">
        <v>5000</v>
      </c>
      <c r="J2183" s="6"/>
      <c r="K2183" s="6" t="s">
        <v>2442</v>
      </c>
      <c r="L2183" s="6"/>
      <c r="M2183" s="6"/>
      <c r="N2183" s="6" t="s">
        <v>2442</v>
      </c>
      <c r="O2183" s="29">
        <f t="shared" si="52"/>
        <v>5000</v>
      </c>
      <c r="Q2183" s="30" t="s">
        <v>2442</v>
      </c>
      <c r="R2183" s="31">
        <v>5000</v>
      </c>
    </row>
    <row r="2184" s="1" customFormat="1" ht="16.35" hidden="1" customHeight="1" spans="1:18">
      <c r="A2184" s="6"/>
      <c r="B2184" s="6" t="s">
        <v>4123</v>
      </c>
      <c r="C2184" s="6" t="s">
        <v>4236</v>
      </c>
      <c r="D2184" s="7">
        <v>50</v>
      </c>
      <c r="E2184" s="6" t="s">
        <v>5899</v>
      </c>
      <c r="F2184" s="6" t="s">
        <v>5631</v>
      </c>
      <c r="G2184" s="6" t="s">
        <v>5632</v>
      </c>
      <c r="H2184" s="8"/>
      <c r="I2184" s="8">
        <v>95798</v>
      </c>
      <c r="J2184" s="6"/>
      <c r="K2184" s="6" t="s">
        <v>2442</v>
      </c>
      <c r="L2184" s="6"/>
      <c r="M2184" s="6"/>
      <c r="N2184" s="6" t="s">
        <v>2442</v>
      </c>
      <c r="O2184" s="29">
        <f t="shared" si="52"/>
        <v>95798</v>
      </c>
      <c r="Q2184" s="30" t="s">
        <v>2442</v>
      </c>
      <c r="R2184" s="31">
        <v>95798</v>
      </c>
    </row>
    <row r="2185" s="1" customFormat="1" ht="16.35" hidden="1" customHeight="1" spans="1:18">
      <c r="A2185" s="6"/>
      <c r="B2185" s="6" t="s">
        <v>4123</v>
      </c>
      <c r="C2185" s="6" t="s">
        <v>4236</v>
      </c>
      <c r="D2185" s="7">
        <v>67</v>
      </c>
      <c r="E2185" s="6" t="s">
        <v>5900</v>
      </c>
      <c r="F2185" s="6" t="s">
        <v>5631</v>
      </c>
      <c r="G2185" s="6" t="s">
        <v>5632</v>
      </c>
      <c r="H2185" s="8"/>
      <c r="I2185" s="8">
        <v>34800</v>
      </c>
      <c r="J2185" s="6"/>
      <c r="K2185" s="6" t="s">
        <v>2480</v>
      </c>
      <c r="L2185" s="6"/>
      <c r="M2185" s="6"/>
      <c r="N2185" s="6" t="s">
        <v>2480</v>
      </c>
      <c r="O2185" s="29">
        <f t="shared" si="52"/>
        <v>34800</v>
      </c>
      <c r="Q2185" s="30" t="s">
        <v>2480</v>
      </c>
      <c r="R2185" s="31">
        <v>34800</v>
      </c>
    </row>
    <row r="2186" s="1" customFormat="1" ht="16.35" hidden="1" customHeight="1" spans="1:18">
      <c r="A2186" s="6"/>
      <c r="B2186" s="6" t="s">
        <v>4123</v>
      </c>
      <c r="C2186" s="6" t="s">
        <v>4236</v>
      </c>
      <c r="D2186" s="7">
        <v>28</v>
      </c>
      <c r="E2186" s="6" t="s">
        <v>5901</v>
      </c>
      <c r="F2186" s="6" t="s">
        <v>5631</v>
      </c>
      <c r="G2186" s="6" t="s">
        <v>5632</v>
      </c>
      <c r="H2186" s="8"/>
      <c r="I2186" s="8">
        <v>1000</v>
      </c>
      <c r="J2186" s="6"/>
      <c r="K2186" s="6" t="s">
        <v>2592</v>
      </c>
      <c r="L2186" s="6"/>
      <c r="M2186" s="6"/>
      <c r="N2186" s="6" t="s">
        <v>2592</v>
      </c>
      <c r="O2186" s="29">
        <f t="shared" si="52"/>
        <v>1000</v>
      </c>
      <c r="Q2186" s="30" t="s">
        <v>2592</v>
      </c>
      <c r="R2186" s="31">
        <v>1000</v>
      </c>
    </row>
    <row r="2187" s="1" customFormat="1" ht="16.35" hidden="1" customHeight="1" spans="1:18">
      <c r="A2187" s="6"/>
      <c r="B2187" s="6" t="s">
        <v>4123</v>
      </c>
      <c r="C2187" s="6" t="s">
        <v>4236</v>
      </c>
      <c r="D2187" s="7">
        <v>68</v>
      </c>
      <c r="E2187" s="6" t="s">
        <v>5902</v>
      </c>
      <c r="F2187" s="6" t="s">
        <v>5631</v>
      </c>
      <c r="G2187" s="6" t="s">
        <v>5632</v>
      </c>
      <c r="H2187" s="8"/>
      <c r="I2187" s="8">
        <v>48999</v>
      </c>
      <c r="J2187" s="6"/>
      <c r="K2187" s="6" t="s">
        <v>2592</v>
      </c>
      <c r="L2187" s="6"/>
      <c r="M2187" s="6"/>
      <c r="N2187" s="6" t="s">
        <v>2592</v>
      </c>
      <c r="O2187" s="29">
        <f t="shared" si="52"/>
        <v>48999</v>
      </c>
      <c r="Q2187" s="30" t="s">
        <v>2592</v>
      </c>
      <c r="R2187" s="31">
        <v>48999</v>
      </c>
    </row>
    <row r="2188" s="1" customFormat="1" ht="16.35" hidden="1" customHeight="1" spans="1:18">
      <c r="A2188" s="6"/>
      <c r="B2188" s="6" t="s">
        <v>4123</v>
      </c>
      <c r="C2188" s="6" t="s">
        <v>4236</v>
      </c>
      <c r="D2188" s="7">
        <v>10</v>
      </c>
      <c r="E2188" s="6" t="s">
        <v>5903</v>
      </c>
      <c r="F2188" s="6" t="s">
        <v>5631</v>
      </c>
      <c r="G2188" s="6" t="s">
        <v>5632</v>
      </c>
      <c r="H2188" s="8"/>
      <c r="I2188" s="8">
        <v>5343</v>
      </c>
      <c r="J2188" s="6"/>
      <c r="K2188" s="6" t="s">
        <v>2654</v>
      </c>
      <c r="L2188" s="6"/>
      <c r="M2188" s="6"/>
      <c r="N2188" s="6" t="s">
        <v>2654</v>
      </c>
      <c r="O2188" s="29">
        <f t="shared" si="52"/>
        <v>5343</v>
      </c>
      <c r="Q2188" s="30" t="s">
        <v>2654</v>
      </c>
      <c r="R2188" s="31">
        <v>5343</v>
      </c>
    </row>
    <row r="2189" s="1" customFormat="1" ht="16.35" hidden="1" customHeight="1" spans="1:18">
      <c r="A2189" s="6"/>
      <c r="B2189" s="6" t="s">
        <v>4123</v>
      </c>
      <c r="C2189" s="6" t="s">
        <v>4236</v>
      </c>
      <c r="D2189" s="7">
        <v>12</v>
      </c>
      <c r="E2189" s="6" t="s">
        <v>5904</v>
      </c>
      <c r="F2189" s="6" t="s">
        <v>5631</v>
      </c>
      <c r="G2189" s="6" t="s">
        <v>5632</v>
      </c>
      <c r="H2189" s="8"/>
      <c r="I2189" s="8">
        <v>36000</v>
      </c>
      <c r="J2189" s="6"/>
      <c r="K2189" s="6" t="s">
        <v>2642</v>
      </c>
      <c r="L2189" s="6"/>
      <c r="M2189" s="6"/>
      <c r="N2189" s="6" t="s">
        <v>2642</v>
      </c>
      <c r="O2189" s="29">
        <f t="shared" si="52"/>
        <v>36000</v>
      </c>
      <c r="Q2189" s="30" t="s">
        <v>2642</v>
      </c>
      <c r="R2189" s="31">
        <v>36000</v>
      </c>
    </row>
    <row r="2190" s="1" customFormat="1" ht="16.35" hidden="1" customHeight="1" spans="1:18">
      <c r="A2190" s="6"/>
      <c r="B2190" s="6" t="s">
        <v>4123</v>
      </c>
      <c r="C2190" s="6" t="s">
        <v>4236</v>
      </c>
      <c r="D2190" s="7">
        <v>14</v>
      </c>
      <c r="E2190" s="6" t="s">
        <v>5905</v>
      </c>
      <c r="F2190" s="6" t="s">
        <v>5631</v>
      </c>
      <c r="G2190" s="6" t="s">
        <v>5632</v>
      </c>
      <c r="H2190" s="8"/>
      <c r="I2190" s="8">
        <v>10000</v>
      </c>
      <c r="J2190" s="6"/>
      <c r="K2190" s="6" t="s">
        <v>2664</v>
      </c>
      <c r="L2190" s="6"/>
      <c r="M2190" s="6"/>
      <c r="N2190" s="6" t="s">
        <v>2664</v>
      </c>
      <c r="O2190" s="29">
        <f t="shared" si="52"/>
        <v>10000</v>
      </c>
      <c r="Q2190" s="30" t="s">
        <v>2664</v>
      </c>
      <c r="R2190" s="31">
        <v>10000</v>
      </c>
    </row>
    <row r="2191" s="1" customFormat="1" ht="16.35" hidden="1" customHeight="1" spans="1:18">
      <c r="A2191" s="6"/>
      <c r="B2191" s="6" t="s">
        <v>4123</v>
      </c>
      <c r="C2191" s="6" t="s">
        <v>4236</v>
      </c>
      <c r="D2191" s="7">
        <v>17</v>
      </c>
      <c r="E2191" s="6" t="s">
        <v>5906</v>
      </c>
      <c r="F2191" s="6" t="s">
        <v>5631</v>
      </c>
      <c r="G2191" s="6" t="s">
        <v>5632</v>
      </c>
      <c r="H2191" s="8"/>
      <c r="I2191" s="8">
        <v>5000</v>
      </c>
      <c r="J2191" s="6"/>
      <c r="K2191" s="6" t="s">
        <v>2676</v>
      </c>
      <c r="L2191" s="6"/>
      <c r="M2191" s="6"/>
      <c r="N2191" s="6" t="s">
        <v>2676</v>
      </c>
      <c r="O2191" s="29">
        <f t="shared" si="52"/>
        <v>5000</v>
      </c>
      <c r="Q2191" s="30" t="s">
        <v>2676</v>
      </c>
      <c r="R2191" s="31">
        <v>5000</v>
      </c>
    </row>
    <row r="2192" s="1" customFormat="1" ht="16.35" hidden="1" customHeight="1" spans="1:18">
      <c r="A2192" s="6"/>
      <c r="B2192" s="6" t="s">
        <v>4123</v>
      </c>
      <c r="C2192" s="6" t="s">
        <v>4236</v>
      </c>
      <c r="D2192" s="7">
        <v>46</v>
      </c>
      <c r="E2192" s="6" t="s">
        <v>5907</v>
      </c>
      <c r="F2192" s="6" t="s">
        <v>5631</v>
      </c>
      <c r="G2192" s="6" t="s">
        <v>5632</v>
      </c>
      <c r="H2192" s="8"/>
      <c r="I2192" s="8">
        <v>67700</v>
      </c>
      <c r="J2192" s="6"/>
      <c r="K2192" s="6" t="s">
        <v>2676</v>
      </c>
      <c r="L2192" s="6"/>
      <c r="M2192" s="6"/>
      <c r="N2192" s="6" t="s">
        <v>2676</v>
      </c>
      <c r="O2192" s="29">
        <f t="shared" si="52"/>
        <v>67700</v>
      </c>
      <c r="Q2192" s="30" t="s">
        <v>2676</v>
      </c>
      <c r="R2192" s="31">
        <v>67700</v>
      </c>
    </row>
    <row r="2193" s="1" customFormat="1" ht="16.35" hidden="1" customHeight="1" spans="1:18">
      <c r="A2193" s="6"/>
      <c r="B2193" s="6" t="s">
        <v>4123</v>
      </c>
      <c r="C2193" s="6" t="s">
        <v>4236</v>
      </c>
      <c r="D2193" s="7">
        <v>27</v>
      </c>
      <c r="E2193" s="6" t="s">
        <v>5906</v>
      </c>
      <c r="F2193" s="6" t="s">
        <v>5631</v>
      </c>
      <c r="G2193" s="6" t="s">
        <v>5632</v>
      </c>
      <c r="H2193" s="8"/>
      <c r="I2193" s="8">
        <v>900</v>
      </c>
      <c r="J2193" s="6"/>
      <c r="K2193" s="6" t="s">
        <v>2676</v>
      </c>
      <c r="L2193" s="6"/>
      <c r="M2193" s="6"/>
      <c r="N2193" s="6" t="s">
        <v>2676</v>
      </c>
      <c r="O2193" s="29">
        <f t="shared" si="52"/>
        <v>900</v>
      </c>
      <c r="Q2193" s="30" t="s">
        <v>2676</v>
      </c>
      <c r="R2193" s="31">
        <v>900</v>
      </c>
    </row>
    <row r="2194" s="1" customFormat="1" ht="16.35" hidden="1" customHeight="1" spans="1:18">
      <c r="A2194" s="6"/>
      <c r="B2194" s="6" t="s">
        <v>4123</v>
      </c>
      <c r="C2194" s="6" t="s">
        <v>4236</v>
      </c>
      <c r="D2194" s="7">
        <v>32</v>
      </c>
      <c r="E2194" s="6" t="s">
        <v>5908</v>
      </c>
      <c r="F2194" s="6" t="s">
        <v>5631</v>
      </c>
      <c r="G2194" s="6" t="s">
        <v>5632</v>
      </c>
      <c r="H2194" s="8"/>
      <c r="I2194" s="8">
        <v>5241</v>
      </c>
      <c r="J2194" s="6"/>
      <c r="K2194" s="6" t="s">
        <v>2684</v>
      </c>
      <c r="L2194" s="6"/>
      <c r="M2194" s="6"/>
      <c r="N2194" s="6" t="s">
        <v>2684</v>
      </c>
      <c r="O2194" s="29">
        <f t="shared" si="52"/>
        <v>5241</v>
      </c>
      <c r="Q2194" s="30" t="s">
        <v>2684</v>
      </c>
      <c r="R2194" s="31">
        <v>5241</v>
      </c>
    </row>
    <row r="2195" s="1" customFormat="1" ht="16.35" hidden="1" customHeight="1" spans="1:18">
      <c r="A2195" s="6"/>
      <c r="B2195" s="6" t="s">
        <v>4123</v>
      </c>
      <c r="C2195" s="6" t="s">
        <v>4236</v>
      </c>
      <c r="D2195" s="7">
        <v>32</v>
      </c>
      <c r="E2195" s="6" t="s">
        <v>5908</v>
      </c>
      <c r="F2195" s="6" t="s">
        <v>5631</v>
      </c>
      <c r="G2195" s="6" t="s">
        <v>5632</v>
      </c>
      <c r="H2195" s="8"/>
      <c r="I2195" s="8">
        <v>35000</v>
      </c>
      <c r="J2195" s="6"/>
      <c r="K2195" s="6" t="s">
        <v>2684</v>
      </c>
      <c r="L2195" s="6"/>
      <c r="M2195" s="6"/>
      <c r="N2195" s="6" t="s">
        <v>2684</v>
      </c>
      <c r="O2195" s="29">
        <f t="shared" si="52"/>
        <v>35000</v>
      </c>
      <c r="Q2195" s="30" t="s">
        <v>2684</v>
      </c>
      <c r="R2195" s="31">
        <v>35000</v>
      </c>
    </row>
    <row r="2196" s="1" customFormat="1" ht="16.35" hidden="1" customHeight="1" spans="1:18">
      <c r="A2196" s="6"/>
      <c r="B2196" s="6" t="s">
        <v>4123</v>
      </c>
      <c r="C2196" s="6" t="s">
        <v>4236</v>
      </c>
      <c r="D2196" s="7">
        <v>13</v>
      </c>
      <c r="E2196" s="6" t="s">
        <v>5909</v>
      </c>
      <c r="F2196" s="6" t="s">
        <v>5631</v>
      </c>
      <c r="G2196" s="6" t="s">
        <v>5632</v>
      </c>
      <c r="H2196" s="8"/>
      <c r="I2196" s="8">
        <v>1000</v>
      </c>
      <c r="J2196" s="6"/>
      <c r="K2196" s="6" t="s">
        <v>2692</v>
      </c>
      <c r="L2196" s="6"/>
      <c r="M2196" s="6"/>
      <c r="N2196" s="6" t="s">
        <v>2692</v>
      </c>
      <c r="O2196" s="29">
        <f t="shared" si="52"/>
        <v>1000</v>
      </c>
      <c r="Q2196" s="30" t="s">
        <v>2692</v>
      </c>
      <c r="R2196" s="31">
        <v>1000</v>
      </c>
    </row>
    <row r="2197" s="1" customFormat="1" ht="16.35" hidden="1" customHeight="1" spans="1:18">
      <c r="A2197" s="6"/>
      <c r="B2197" s="6" t="s">
        <v>4123</v>
      </c>
      <c r="C2197" s="6" t="s">
        <v>4236</v>
      </c>
      <c r="D2197" s="7">
        <v>15</v>
      </c>
      <c r="E2197" s="6" t="s">
        <v>5910</v>
      </c>
      <c r="F2197" s="6" t="s">
        <v>5631</v>
      </c>
      <c r="G2197" s="6" t="s">
        <v>5632</v>
      </c>
      <c r="H2197" s="8"/>
      <c r="I2197" s="8">
        <v>5000</v>
      </c>
      <c r="J2197" s="6"/>
      <c r="K2197" s="6" t="s">
        <v>2710</v>
      </c>
      <c r="L2197" s="6"/>
      <c r="M2197" s="6"/>
      <c r="N2197" s="6" t="s">
        <v>2710</v>
      </c>
      <c r="O2197" s="29">
        <f t="shared" si="52"/>
        <v>5000</v>
      </c>
      <c r="Q2197" s="30" t="s">
        <v>2710</v>
      </c>
      <c r="R2197" s="31">
        <v>5000</v>
      </c>
    </row>
    <row r="2198" s="1" customFormat="1" ht="16.35" hidden="1" customHeight="1" spans="1:18">
      <c r="A2198" s="6"/>
      <c r="B2198" s="6" t="s">
        <v>4123</v>
      </c>
      <c r="C2198" s="6" t="s">
        <v>4236</v>
      </c>
      <c r="D2198" s="7">
        <v>68</v>
      </c>
      <c r="E2198" s="6" t="s">
        <v>5911</v>
      </c>
      <c r="F2198" s="6" t="s">
        <v>5631</v>
      </c>
      <c r="G2198" s="6" t="s">
        <v>5632</v>
      </c>
      <c r="H2198" s="8"/>
      <c r="I2198" s="8">
        <v>75168</v>
      </c>
      <c r="J2198" s="6"/>
      <c r="K2198" s="6" t="s">
        <v>2694</v>
      </c>
      <c r="L2198" s="6"/>
      <c r="M2198" s="6"/>
      <c r="N2198" s="6" t="s">
        <v>2694</v>
      </c>
      <c r="O2198" s="29">
        <f t="shared" si="52"/>
        <v>75168</v>
      </c>
      <c r="Q2198" s="30" t="s">
        <v>2694</v>
      </c>
      <c r="R2198" s="31">
        <v>75168</v>
      </c>
    </row>
    <row r="2199" s="1" customFormat="1" ht="16.35" hidden="1" customHeight="1" spans="1:18">
      <c r="A2199" s="6"/>
      <c r="B2199" s="6" t="s">
        <v>4123</v>
      </c>
      <c r="C2199" s="6" t="s">
        <v>4236</v>
      </c>
      <c r="D2199" s="7">
        <v>99</v>
      </c>
      <c r="E2199" s="6" t="s">
        <v>5912</v>
      </c>
      <c r="F2199" s="6" t="s">
        <v>5631</v>
      </c>
      <c r="G2199" s="6" t="s">
        <v>5632</v>
      </c>
      <c r="H2199" s="8"/>
      <c r="I2199" s="8">
        <v>14491</v>
      </c>
      <c r="J2199" s="6"/>
      <c r="K2199" s="6" t="s">
        <v>2750</v>
      </c>
      <c r="L2199" s="6"/>
      <c r="M2199" s="6"/>
      <c r="N2199" s="6" t="s">
        <v>2750</v>
      </c>
      <c r="O2199" s="29">
        <f t="shared" si="52"/>
        <v>14491</v>
      </c>
      <c r="Q2199" s="30" t="s">
        <v>2750</v>
      </c>
      <c r="R2199" s="31">
        <v>14491</v>
      </c>
    </row>
    <row r="2200" s="1" customFormat="1" ht="16.35" hidden="1" customHeight="1" spans="1:18">
      <c r="A2200" s="6"/>
      <c r="B2200" s="6" t="s">
        <v>4123</v>
      </c>
      <c r="C2200" s="6" t="s">
        <v>4236</v>
      </c>
      <c r="D2200" s="7">
        <v>99</v>
      </c>
      <c r="E2200" s="6" t="s">
        <v>5913</v>
      </c>
      <c r="F2200" s="6" t="s">
        <v>5631</v>
      </c>
      <c r="G2200" s="6" t="s">
        <v>5632</v>
      </c>
      <c r="H2200" s="8"/>
      <c r="I2200" s="8">
        <v>2023</v>
      </c>
      <c r="J2200" s="6"/>
      <c r="K2200" s="6" t="s">
        <v>2750</v>
      </c>
      <c r="L2200" s="6"/>
      <c r="M2200" s="6"/>
      <c r="N2200" s="6" t="s">
        <v>2750</v>
      </c>
      <c r="O2200" s="29">
        <f t="shared" si="52"/>
        <v>2023</v>
      </c>
      <c r="Q2200" s="30" t="s">
        <v>2750</v>
      </c>
      <c r="R2200" s="31">
        <v>2023</v>
      </c>
    </row>
    <row r="2201" s="1" customFormat="1" ht="16.35" hidden="1" customHeight="1" spans="1:18">
      <c r="A2201" s="6"/>
      <c r="B2201" s="6" t="s">
        <v>4123</v>
      </c>
      <c r="C2201" s="6" t="s">
        <v>4236</v>
      </c>
      <c r="D2201" s="7">
        <v>99</v>
      </c>
      <c r="E2201" s="6" t="s">
        <v>5914</v>
      </c>
      <c r="F2201" s="6" t="s">
        <v>5631</v>
      </c>
      <c r="G2201" s="6" t="s">
        <v>5632</v>
      </c>
      <c r="H2201" s="8"/>
      <c r="I2201" s="8">
        <v>16514</v>
      </c>
      <c r="J2201" s="6"/>
      <c r="K2201" s="6" t="s">
        <v>2750</v>
      </c>
      <c r="L2201" s="6"/>
      <c r="M2201" s="6"/>
      <c r="N2201" s="6" t="s">
        <v>2750</v>
      </c>
      <c r="O2201" s="29">
        <f t="shared" si="52"/>
        <v>16514</v>
      </c>
      <c r="Q2201" s="30" t="s">
        <v>2750</v>
      </c>
      <c r="R2201" s="31">
        <v>16514</v>
      </c>
    </row>
    <row r="2202" s="1" customFormat="1" ht="16.35" hidden="1" customHeight="1" spans="1:18">
      <c r="A2202" s="6"/>
      <c r="B2202" s="6" t="s">
        <v>4123</v>
      </c>
      <c r="C2202" s="6" t="s">
        <v>4236</v>
      </c>
      <c r="D2202" s="7">
        <v>98</v>
      </c>
      <c r="E2202" s="6" t="s">
        <v>5915</v>
      </c>
      <c r="F2202" s="6" t="s">
        <v>5631</v>
      </c>
      <c r="G2202" s="6" t="s">
        <v>5632</v>
      </c>
      <c r="H2202" s="8"/>
      <c r="I2202" s="8">
        <v>4762</v>
      </c>
      <c r="J2202" s="6"/>
      <c r="K2202" s="6" t="s">
        <v>1942</v>
      </c>
      <c r="L2202" s="6"/>
      <c r="M2202" s="6"/>
      <c r="N2202" s="6" t="s">
        <v>1942</v>
      </c>
      <c r="O2202" s="29">
        <f t="shared" si="52"/>
        <v>4762</v>
      </c>
      <c r="Q2202" s="30" t="s">
        <v>1942</v>
      </c>
      <c r="R2202" s="31">
        <v>4762</v>
      </c>
    </row>
    <row r="2203" s="1" customFormat="1" ht="16.35" hidden="1" customHeight="1" spans="1:18">
      <c r="A2203" s="6"/>
      <c r="B2203" s="6" t="s">
        <v>4123</v>
      </c>
      <c r="C2203" s="6" t="s">
        <v>4236</v>
      </c>
      <c r="D2203" s="7">
        <v>98</v>
      </c>
      <c r="E2203" s="6" t="s">
        <v>5916</v>
      </c>
      <c r="F2203" s="6" t="s">
        <v>5631</v>
      </c>
      <c r="G2203" s="6" t="s">
        <v>5632</v>
      </c>
      <c r="H2203" s="8"/>
      <c r="I2203" s="8">
        <v>4762</v>
      </c>
      <c r="J2203" s="6"/>
      <c r="K2203" s="6" t="s">
        <v>1942</v>
      </c>
      <c r="L2203" s="6"/>
      <c r="M2203" s="6"/>
      <c r="N2203" s="6" t="s">
        <v>1942</v>
      </c>
      <c r="O2203" s="29">
        <f t="shared" si="52"/>
        <v>4762</v>
      </c>
      <c r="Q2203" s="30" t="s">
        <v>1942</v>
      </c>
      <c r="R2203" s="31">
        <v>4762</v>
      </c>
    </row>
    <row r="2204" s="1" customFormat="1" ht="16.35" hidden="1" customHeight="1" spans="1:18">
      <c r="A2204" s="6"/>
      <c r="B2204" s="6" t="s">
        <v>4123</v>
      </c>
      <c r="C2204" s="6" t="s">
        <v>4236</v>
      </c>
      <c r="D2204" s="7">
        <v>99</v>
      </c>
      <c r="E2204" s="6" t="s">
        <v>5917</v>
      </c>
      <c r="F2204" s="6" t="s">
        <v>5631</v>
      </c>
      <c r="G2204" s="6" t="s">
        <v>5632</v>
      </c>
      <c r="H2204" s="8"/>
      <c r="I2204" s="8">
        <v>1571</v>
      </c>
      <c r="J2204" s="6"/>
      <c r="K2204" s="6" t="s">
        <v>1942</v>
      </c>
      <c r="L2204" s="6"/>
      <c r="M2204" s="6"/>
      <c r="N2204" s="6" t="s">
        <v>1942</v>
      </c>
      <c r="O2204" s="29">
        <f t="shared" si="52"/>
        <v>1571</v>
      </c>
      <c r="Q2204" s="30" t="s">
        <v>1942</v>
      </c>
      <c r="R2204" s="31">
        <v>1571</v>
      </c>
    </row>
    <row r="2205" s="1" customFormat="1" ht="16.35" hidden="1" customHeight="1" spans="1:18">
      <c r="A2205" s="6"/>
      <c r="B2205" s="6" t="s">
        <v>4123</v>
      </c>
      <c r="C2205" s="6" t="s">
        <v>4236</v>
      </c>
      <c r="D2205" s="7">
        <v>99</v>
      </c>
      <c r="E2205" s="6" t="s">
        <v>5918</v>
      </c>
      <c r="F2205" s="6" t="s">
        <v>5631</v>
      </c>
      <c r="G2205" s="6" t="s">
        <v>5632</v>
      </c>
      <c r="H2205" s="8"/>
      <c r="I2205" s="8">
        <v>83</v>
      </c>
      <c r="J2205" s="6"/>
      <c r="K2205" s="6" t="s">
        <v>2027</v>
      </c>
      <c r="L2205" s="6"/>
      <c r="M2205" s="6"/>
      <c r="N2205" s="6" t="s">
        <v>2027</v>
      </c>
      <c r="O2205" s="29">
        <f t="shared" si="52"/>
        <v>83</v>
      </c>
      <c r="Q2205" s="30" t="s">
        <v>2027</v>
      </c>
      <c r="R2205" s="31">
        <v>83</v>
      </c>
    </row>
    <row r="2206" s="1" customFormat="1" ht="16.35" hidden="1" customHeight="1" spans="1:18">
      <c r="A2206" s="6"/>
      <c r="B2206" s="6" t="s">
        <v>4123</v>
      </c>
      <c r="C2206" s="6" t="s">
        <v>4236</v>
      </c>
      <c r="D2206" s="7">
        <v>99</v>
      </c>
      <c r="E2206" s="6" t="s">
        <v>5919</v>
      </c>
      <c r="F2206" s="6" t="s">
        <v>5631</v>
      </c>
      <c r="G2206" s="6" t="s">
        <v>5632</v>
      </c>
      <c r="H2206" s="8"/>
      <c r="I2206" s="8">
        <v>495</v>
      </c>
      <c r="J2206" s="6"/>
      <c r="K2206" s="6" t="s">
        <v>2027</v>
      </c>
      <c r="L2206" s="6"/>
      <c r="M2206" s="6"/>
      <c r="N2206" s="6" t="s">
        <v>2027</v>
      </c>
      <c r="O2206" s="29">
        <f t="shared" si="52"/>
        <v>495</v>
      </c>
      <c r="Q2206" s="30" t="s">
        <v>2027</v>
      </c>
      <c r="R2206" s="31">
        <v>495</v>
      </c>
    </row>
    <row r="2207" s="1" customFormat="1" ht="16.35" hidden="1" customHeight="1" spans="1:18">
      <c r="A2207" s="6"/>
      <c r="B2207" s="6" t="s">
        <v>4123</v>
      </c>
      <c r="C2207" s="6" t="s">
        <v>4236</v>
      </c>
      <c r="D2207" s="7">
        <v>99</v>
      </c>
      <c r="E2207" s="6" t="s">
        <v>5920</v>
      </c>
      <c r="F2207" s="6" t="s">
        <v>5631</v>
      </c>
      <c r="G2207" s="6" t="s">
        <v>5632</v>
      </c>
      <c r="H2207" s="8"/>
      <c r="I2207" s="8">
        <v>743</v>
      </c>
      <c r="J2207" s="6"/>
      <c r="K2207" s="6" t="s">
        <v>2027</v>
      </c>
      <c r="L2207" s="6"/>
      <c r="M2207" s="6"/>
      <c r="N2207" s="6" t="s">
        <v>2027</v>
      </c>
      <c r="O2207" s="29">
        <f t="shared" si="52"/>
        <v>743</v>
      </c>
      <c r="Q2207" s="30" t="s">
        <v>2027</v>
      </c>
      <c r="R2207" s="31">
        <v>743</v>
      </c>
    </row>
    <row r="2208" s="1" customFormat="1" ht="16.35" hidden="1" customHeight="1" spans="1:18">
      <c r="A2208" s="6"/>
      <c r="B2208" s="6" t="s">
        <v>4123</v>
      </c>
      <c r="C2208" s="6" t="s">
        <v>4236</v>
      </c>
      <c r="D2208" s="7">
        <v>99</v>
      </c>
      <c r="E2208" s="6" t="s">
        <v>5921</v>
      </c>
      <c r="F2208" s="6" t="s">
        <v>5631</v>
      </c>
      <c r="G2208" s="6" t="s">
        <v>5632</v>
      </c>
      <c r="H2208" s="8"/>
      <c r="I2208" s="8">
        <v>826</v>
      </c>
      <c r="J2208" s="6"/>
      <c r="K2208" s="6" t="s">
        <v>2764</v>
      </c>
      <c r="L2208" s="6"/>
      <c r="M2208" s="6"/>
      <c r="N2208" s="6" t="s">
        <v>2764</v>
      </c>
      <c r="O2208" s="29">
        <f t="shared" si="52"/>
        <v>826</v>
      </c>
      <c r="Q2208" s="30" t="s">
        <v>2764</v>
      </c>
      <c r="R2208" s="31">
        <v>826</v>
      </c>
    </row>
    <row r="2209" s="1" customFormat="1" ht="16.35" hidden="1" customHeight="1" spans="1:18">
      <c r="A2209" s="6"/>
      <c r="B2209" s="6" t="s">
        <v>4123</v>
      </c>
      <c r="C2209" s="6" t="s">
        <v>4236</v>
      </c>
      <c r="D2209" s="7">
        <v>99</v>
      </c>
      <c r="E2209" s="6" t="s">
        <v>5922</v>
      </c>
      <c r="F2209" s="6" t="s">
        <v>5631</v>
      </c>
      <c r="G2209" s="6" t="s">
        <v>5632</v>
      </c>
      <c r="H2209" s="8"/>
      <c r="I2209" s="8">
        <v>21801</v>
      </c>
      <c r="J2209" s="6"/>
      <c r="K2209" s="6" t="s">
        <v>2764</v>
      </c>
      <c r="L2209" s="6"/>
      <c r="M2209" s="6"/>
      <c r="N2209" s="6" t="s">
        <v>2764</v>
      </c>
      <c r="O2209" s="29">
        <f t="shared" si="52"/>
        <v>21801</v>
      </c>
      <c r="Q2209" s="30" t="s">
        <v>2764</v>
      </c>
      <c r="R2209" s="31">
        <v>21801</v>
      </c>
    </row>
    <row r="2210" s="1" customFormat="1" ht="16.35" hidden="1" customHeight="1" spans="1:18">
      <c r="A2210" s="6"/>
      <c r="B2210" s="6" t="s">
        <v>4123</v>
      </c>
      <c r="C2210" s="6" t="s">
        <v>4236</v>
      </c>
      <c r="D2210" s="7">
        <v>99</v>
      </c>
      <c r="E2210" s="6" t="s">
        <v>5923</v>
      </c>
      <c r="F2210" s="6" t="s">
        <v>5631</v>
      </c>
      <c r="G2210" s="6" t="s">
        <v>5632</v>
      </c>
      <c r="H2210" s="8"/>
      <c r="I2210" s="8">
        <v>83</v>
      </c>
      <c r="J2210" s="6"/>
      <c r="K2210" s="6" t="s">
        <v>2787</v>
      </c>
      <c r="L2210" s="6"/>
      <c r="M2210" s="6"/>
      <c r="N2210" s="6" t="s">
        <v>2787</v>
      </c>
      <c r="O2210" s="29">
        <f t="shared" si="52"/>
        <v>83</v>
      </c>
      <c r="Q2210" s="30" t="s">
        <v>2787</v>
      </c>
      <c r="R2210" s="31">
        <v>83</v>
      </c>
    </row>
    <row r="2211" s="1" customFormat="1" ht="16.35" hidden="1" customHeight="1" spans="1:18">
      <c r="A2211" s="6"/>
      <c r="B2211" s="6" t="s">
        <v>4123</v>
      </c>
      <c r="C2211" s="6" t="s">
        <v>4236</v>
      </c>
      <c r="D2211" s="7">
        <v>99</v>
      </c>
      <c r="E2211" s="6" t="s">
        <v>5924</v>
      </c>
      <c r="F2211" s="6" t="s">
        <v>5631</v>
      </c>
      <c r="G2211" s="6" t="s">
        <v>5632</v>
      </c>
      <c r="H2211" s="8"/>
      <c r="I2211" s="8">
        <v>7679</v>
      </c>
      <c r="J2211" s="6"/>
      <c r="K2211" s="6" t="s">
        <v>2787</v>
      </c>
      <c r="L2211" s="6"/>
      <c r="M2211" s="6"/>
      <c r="N2211" s="6" t="s">
        <v>2787</v>
      </c>
      <c r="O2211" s="29">
        <f t="shared" si="52"/>
        <v>7679</v>
      </c>
      <c r="Q2211" s="30" t="s">
        <v>2787</v>
      </c>
      <c r="R2211" s="31">
        <v>7679</v>
      </c>
    </row>
    <row r="2212" s="1" customFormat="1" ht="16.35" hidden="1" customHeight="1" spans="1:18">
      <c r="A2212" s="6"/>
      <c r="B2212" s="6" t="s">
        <v>4123</v>
      </c>
      <c r="C2212" s="6" t="s">
        <v>4236</v>
      </c>
      <c r="D2212" s="7">
        <v>99</v>
      </c>
      <c r="E2212" s="6" t="s">
        <v>5925</v>
      </c>
      <c r="F2212" s="6" t="s">
        <v>5631</v>
      </c>
      <c r="G2212" s="6" t="s">
        <v>5632</v>
      </c>
      <c r="H2212" s="8"/>
      <c r="I2212" s="8">
        <v>2807</v>
      </c>
      <c r="J2212" s="6"/>
      <c r="K2212" s="6" t="s">
        <v>2787</v>
      </c>
      <c r="L2212" s="6"/>
      <c r="M2212" s="6"/>
      <c r="N2212" s="6" t="s">
        <v>2787</v>
      </c>
      <c r="O2212" s="29">
        <f t="shared" si="52"/>
        <v>2807</v>
      </c>
      <c r="Q2212" s="30" t="s">
        <v>2787</v>
      </c>
      <c r="R2212" s="31">
        <v>2807</v>
      </c>
    </row>
    <row r="2213" s="1" customFormat="1" ht="16.35" hidden="1" customHeight="1" spans="1:18">
      <c r="A2213" s="6"/>
      <c r="B2213" s="6" t="s">
        <v>4123</v>
      </c>
      <c r="C2213" s="6" t="s">
        <v>4236</v>
      </c>
      <c r="D2213" s="7">
        <v>99</v>
      </c>
      <c r="E2213" s="6" t="s">
        <v>5926</v>
      </c>
      <c r="F2213" s="6" t="s">
        <v>5631</v>
      </c>
      <c r="G2213" s="6" t="s">
        <v>5632</v>
      </c>
      <c r="H2213" s="8"/>
      <c r="I2213" s="8">
        <v>991</v>
      </c>
      <c r="J2213" s="6"/>
      <c r="K2213" s="6" t="s">
        <v>2787</v>
      </c>
      <c r="L2213" s="6"/>
      <c r="M2213" s="6"/>
      <c r="N2213" s="6" t="s">
        <v>2787</v>
      </c>
      <c r="O2213" s="29">
        <f t="shared" si="52"/>
        <v>991</v>
      </c>
      <c r="Q2213" s="30" t="s">
        <v>2787</v>
      </c>
      <c r="R2213" s="31">
        <v>991</v>
      </c>
    </row>
    <row r="2214" s="1" customFormat="1" ht="16.35" hidden="1" customHeight="1" spans="1:18">
      <c r="A2214" s="6"/>
      <c r="B2214" s="6" t="s">
        <v>4123</v>
      </c>
      <c r="C2214" s="6" t="s">
        <v>4236</v>
      </c>
      <c r="D2214" s="7">
        <v>99</v>
      </c>
      <c r="E2214" s="6" t="s">
        <v>5927</v>
      </c>
      <c r="F2214" s="6" t="s">
        <v>5631</v>
      </c>
      <c r="G2214" s="6" t="s">
        <v>5632</v>
      </c>
      <c r="H2214" s="8"/>
      <c r="I2214" s="8">
        <v>11375</v>
      </c>
      <c r="J2214" s="6"/>
      <c r="K2214" s="6" t="s">
        <v>2816</v>
      </c>
      <c r="L2214" s="6"/>
      <c r="M2214" s="6"/>
      <c r="N2214" s="6" t="s">
        <v>2816</v>
      </c>
      <c r="O2214" s="29">
        <f t="shared" si="52"/>
        <v>11375</v>
      </c>
      <c r="Q2214" s="30" t="s">
        <v>2816</v>
      </c>
      <c r="R2214" s="31">
        <v>11375</v>
      </c>
    </row>
    <row r="2215" s="1" customFormat="1" ht="16.35" hidden="1" customHeight="1" spans="1:18">
      <c r="A2215" s="6"/>
      <c r="B2215" s="6" t="s">
        <v>4123</v>
      </c>
      <c r="C2215" s="6" t="s">
        <v>4236</v>
      </c>
      <c r="D2215" s="7">
        <v>99</v>
      </c>
      <c r="E2215" s="6" t="s">
        <v>5928</v>
      </c>
      <c r="F2215" s="6" t="s">
        <v>5631</v>
      </c>
      <c r="G2215" s="6" t="s">
        <v>5632</v>
      </c>
      <c r="H2215" s="8"/>
      <c r="I2215" s="8">
        <v>10899</v>
      </c>
      <c r="J2215" s="6"/>
      <c r="K2215" s="6" t="s">
        <v>2133</v>
      </c>
      <c r="L2215" s="6"/>
      <c r="M2215" s="6"/>
      <c r="N2215" s="6" t="s">
        <v>2133</v>
      </c>
      <c r="O2215" s="29">
        <f t="shared" si="52"/>
        <v>10899</v>
      </c>
      <c r="Q2215" s="30" t="s">
        <v>2133</v>
      </c>
      <c r="R2215" s="31">
        <v>10899</v>
      </c>
    </row>
    <row r="2216" s="1" customFormat="1" ht="16.35" hidden="1" customHeight="1" spans="1:18">
      <c r="A2216" s="6"/>
      <c r="B2216" s="6" t="s">
        <v>4123</v>
      </c>
      <c r="C2216" s="6" t="s">
        <v>4236</v>
      </c>
      <c r="D2216" s="7">
        <v>98</v>
      </c>
      <c r="E2216" s="6" t="s">
        <v>5929</v>
      </c>
      <c r="F2216" s="6" t="s">
        <v>5631</v>
      </c>
      <c r="G2216" s="6" t="s">
        <v>5632</v>
      </c>
      <c r="H2216" s="8"/>
      <c r="I2216" s="8">
        <v>143</v>
      </c>
      <c r="J2216" s="6"/>
      <c r="K2216" s="6" t="s">
        <v>2195</v>
      </c>
      <c r="L2216" s="6"/>
      <c r="M2216" s="6"/>
      <c r="N2216" s="6" t="s">
        <v>2195</v>
      </c>
      <c r="O2216" s="29">
        <f t="shared" si="52"/>
        <v>143</v>
      </c>
      <c r="Q2216" s="30" t="s">
        <v>2195</v>
      </c>
      <c r="R2216" s="31">
        <v>143</v>
      </c>
    </row>
    <row r="2217" s="1" customFormat="1" ht="16.35" hidden="1" customHeight="1" spans="1:18">
      <c r="A2217" s="6"/>
      <c r="B2217" s="6" t="s">
        <v>4123</v>
      </c>
      <c r="C2217" s="6" t="s">
        <v>4236</v>
      </c>
      <c r="D2217" s="7">
        <v>99</v>
      </c>
      <c r="E2217" s="6" t="s">
        <v>5930</v>
      </c>
      <c r="F2217" s="6" t="s">
        <v>5631</v>
      </c>
      <c r="G2217" s="6" t="s">
        <v>5632</v>
      </c>
      <c r="H2217" s="8"/>
      <c r="I2217" s="8">
        <v>5568</v>
      </c>
      <c r="J2217" s="6"/>
      <c r="K2217" s="6" t="s">
        <v>2195</v>
      </c>
      <c r="L2217" s="6"/>
      <c r="M2217" s="6"/>
      <c r="N2217" s="6" t="s">
        <v>2195</v>
      </c>
      <c r="O2217" s="29">
        <f t="shared" si="52"/>
        <v>5568</v>
      </c>
      <c r="Q2217" s="30" t="s">
        <v>2195</v>
      </c>
      <c r="R2217" s="31">
        <v>5568</v>
      </c>
    </row>
    <row r="2218" s="1" customFormat="1" ht="16.35" hidden="1" customHeight="1" spans="1:18">
      <c r="A2218" s="6"/>
      <c r="B2218" s="6" t="s">
        <v>4123</v>
      </c>
      <c r="C2218" s="6" t="s">
        <v>4236</v>
      </c>
      <c r="D2218" s="7">
        <v>99</v>
      </c>
      <c r="E2218" s="6" t="s">
        <v>5931</v>
      </c>
      <c r="F2218" s="6" t="s">
        <v>5631</v>
      </c>
      <c r="G2218" s="6" t="s">
        <v>5632</v>
      </c>
      <c r="H2218" s="8"/>
      <c r="I2218" s="8">
        <v>13211</v>
      </c>
      <c r="J2218" s="6"/>
      <c r="K2218" s="6" t="s">
        <v>2195</v>
      </c>
      <c r="L2218" s="6"/>
      <c r="M2218" s="6"/>
      <c r="N2218" s="6" t="s">
        <v>2195</v>
      </c>
      <c r="O2218" s="29">
        <f t="shared" si="52"/>
        <v>13211</v>
      </c>
      <c r="Q2218" s="30" t="s">
        <v>2195</v>
      </c>
      <c r="R2218" s="31">
        <v>13211</v>
      </c>
    </row>
    <row r="2219" s="1" customFormat="1" ht="16.35" hidden="1" customHeight="1" spans="1:18">
      <c r="A2219" s="6"/>
      <c r="B2219" s="6" t="s">
        <v>4123</v>
      </c>
      <c r="C2219" s="6" t="s">
        <v>4236</v>
      </c>
      <c r="D2219" s="7">
        <v>99</v>
      </c>
      <c r="E2219" s="6" t="s">
        <v>5932</v>
      </c>
      <c r="F2219" s="6" t="s">
        <v>5631</v>
      </c>
      <c r="G2219" s="6" t="s">
        <v>5632</v>
      </c>
      <c r="H2219" s="8"/>
      <c r="I2219" s="8">
        <v>248</v>
      </c>
      <c r="J2219" s="6"/>
      <c r="K2219" s="6" t="s">
        <v>2211</v>
      </c>
      <c r="L2219" s="6"/>
      <c r="M2219" s="6"/>
      <c r="N2219" s="6" t="s">
        <v>2211</v>
      </c>
      <c r="O2219" s="29">
        <f t="shared" si="52"/>
        <v>248</v>
      </c>
      <c r="Q2219" s="30" t="s">
        <v>2211</v>
      </c>
      <c r="R2219" s="31">
        <v>248</v>
      </c>
    </row>
    <row r="2220" s="1" customFormat="1" ht="16.35" hidden="1" customHeight="1" spans="1:18">
      <c r="A2220" s="6"/>
      <c r="B2220" s="6" t="s">
        <v>4123</v>
      </c>
      <c r="C2220" s="6" t="s">
        <v>4236</v>
      </c>
      <c r="D2220" s="7">
        <v>99</v>
      </c>
      <c r="E2220" s="6" t="s">
        <v>5933</v>
      </c>
      <c r="F2220" s="6" t="s">
        <v>5631</v>
      </c>
      <c r="G2220" s="6" t="s">
        <v>5632</v>
      </c>
      <c r="H2220" s="8"/>
      <c r="I2220" s="8">
        <v>4315</v>
      </c>
      <c r="J2220" s="6"/>
      <c r="K2220" s="6" t="s">
        <v>2211</v>
      </c>
      <c r="L2220" s="6"/>
      <c r="M2220" s="6"/>
      <c r="N2220" s="6" t="s">
        <v>2211</v>
      </c>
      <c r="O2220" s="29">
        <f t="shared" si="52"/>
        <v>4315</v>
      </c>
      <c r="Q2220" s="30" t="s">
        <v>2211</v>
      </c>
      <c r="R2220" s="31">
        <v>4315</v>
      </c>
    </row>
    <row r="2221" s="1" customFormat="1" ht="16.35" hidden="1" customHeight="1" spans="1:18">
      <c r="A2221" s="6"/>
      <c r="B2221" s="6" t="s">
        <v>4123</v>
      </c>
      <c r="C2221" s="6" t="s">
        <v>4236</v>
      </c>
      <c r="D2221" s="7">
        <v>99</v>
      </c>
      <c r="E2221" s="6" t="s">
        <v>5934</v>
      </c>
      <c r="F2221" s="6" t="s">
        <v>5631</v>
      </c>
      <c r="G2221" s="6" t="s">
        <v>5632</v>
      </c>
      <c r="H2221" s="8"/>
      <c r="I2221" s="8">
        <v>1239</v>
      </c>
      <c r="J2221" s="6"/>
      <c r="K2221" s="6" t="s">
        <v>2211</v>
      </c>
      <c r="L2221" s="6"/>
      <c r="M2221" s="6"/>
      <c r="N2221" s="6" t="s">
        <v>2211</v>
      </c>
      <c r="O2221" s="29">
        <f t="shared" si="52"/>
        <v>1239</v>
      </c>
      <c r="Q2221" s="30" t="s">
        <v>2211</v>
      </c>
      <c r="R2221" s="31">
        <v>1239</v>
      </c>
    </row>
    <row r="2222" s="1" customFormat="1" ht="16.35" hidden="1" customHeight="1" spans="1:18">
      <c r="A2222" s="6"/>
      <c r="B2222" s="6" t="s">
        <v>4123</v>
      </c>
      <c r="C2222" s="6" t="s">
        <v>4236</v>
      </c>
      <c r="D2222" s="7">
        <v>99</v>
      </c>
      <c r="E2222" s="6" t="s">
        <v>5935</v>
      </c>
      <c r="F2222" s="6" t="s">
        <v>5631</v>
      </c>
      <c r="G2222" s="6" t="s">
        <v>5632</v>
      </c>
      <c r="H2222" s="8"/>
      <c r="I2222" s="8">
        <v>-1239</v>
      </c>
      <c r="J2222" s="6"/>
      <c r="K2222" s="6" t="s">
        <v>2211</v>
      </c>
      <c r="L2222" s="6"/>
      <c r="M2222" s="6"/>
      <c r="N2222" s="6" t="s">
        <v>2211</v>
      </c>
      <c r="O2222" s="29">
        <f t="shared" si="52"/>
        <v>-1239</v>
      </c>
      <c r="Q2222" s="30" t="s">
        <v>2211</v>
      </c>
      <c r="R2222" s="31">
        <v>-1239</v>
      </c>
    </row>
    <row r="2223" s="1" customFormat="1" ht="16.35" hidden="1" customHeight="1" spans="1:18">
      <c r="A2223" s="6"/>
      <c r="B2223" s="6" t="s">
        <v>4123</v>
      </c>
      <c r="C2223" s="6" t="s">
        <v>4236</v>
      </c>
      <c r="D2223" s="7">
        <v>99</v>
      </c>
      <c r="E2223" s="6" t="s">
        <v>5936</v>
      </c>
      <c r="F2223" s="6" t="s">
        <v>5631</v>
      </c>
      <c r="G2223" s="6" t="s">
        <v>5632</v>
      </c>
      <c r="H2223" s="8"/>
      <c r="I2223" s="8">
        <v>826</v>
      </c>
      <c r="J2223" s="6"/>
      <c r="K2223" s="6" t="s">
        <v>2211</v>
      </c>
      <c r="L2223" s="6"/>
      <c r="M2223" s="6"/>
      <c r="N2223" s="6" t="s">
        <v>2211</v>
      </c>
      <c r="O2223" s="29">
        <f t="shared" si="52"/>
        <v>826</v>
      </c>
      <c r="Q2223" s="30" t="s">
        <v>2211</v>
      </c>
      <c r="R2223" s="31">
        <v>826</v>
      </c>
    </row>
    <row r="2224" s="1" customFormat="1" ht="16.35" hidden="1" customHeight="1" spans="1:18">
      <c r="A2224" s="6"/>
      <c r="B2224" s="6" t="s">
        <v>4123</v>
      </c>
      <c r="C2224" s="6" t="s">
        <v>4236</v>
      </c>
      <c r="D2224" s="7">
        <v>99</v>
      </c>
      <c r="E2224" s="6" t="s">
        <v>5937</v>
      </c>
      <c r="F2224" s="6" t="s">
        <v>5631</v>
      </c>
      <c r="G2224" s="6" t="s">
        <v>5632</v>
      </c>
      <c r="H2224" s="8"/>
      <c r="I2224" s="8">
        <v>13376</v>
      </c>
      <c r="J2224" s="6"/>
      <c r="K2224" s="6" t="s">
        <v>2211</v>
      </c>
      <c r="L2224" s="6"/>
      <c r="M2224" s="6"/>
      <c r="N2224" s="6" t="s">
        <v>2211</v>
      </c>
      <c r="O2224" s="29">
        <f t="shared" si="52"/>
        <v>13376</v>
      </c>
      <c r="Q2224" s="30" t="s">
        <v>2211</v>
      </c>
      <c r="R2224" s="31">
        <v>13376</v>
      </c>
    </row>
    <row r="2225" s="1" customFormat="1" ht="16.35" hidden="1" customHeight="1" spans="1:18">
      <c r="A2225" s="6"/>
      <c r="B2225" s="6" t="s">
        <v>4123</v>
      </c>
      <c r="C2225" s="6" t="s">
        <v>4236</v>
      </c>
      <c r="D2225" s="7">
        <v>99</v>
      </c>
      <c r="E2225" s="6" t="s">
        <v>5938</v>
      </c>
      <c r="F2225" s="6" t="s">
        <v>5631</v>
      </c>
      <c r="G2225" s="6" t="s">
        <v>5632</v>
      </c>
      <c r="H2225" s="8"/>
      <c r="I2225" s="8">
        <v>413</v>
      </c>
      <c r="J2225" s="6"/>
      <c r="K2225" s="6" t="s">
        <v>2211</v>
      </c>
      <c r="L2225" s="6"/>
      <c r="M2225" s="6"/>
      <c r="N2225" s="6" t="s">
        <v>2211</v>
      </c>
      <c r="O2225" s="29">
        <f t="shared" si="52"/>
        <v>413</v>
      </c>
      <c r="Q2225" s="30" t="s">
        <v>2211</v>
      </c>
      <c r="R2225" s="31">
        <v>413</v>
      </c>
    </row>
    <row r="2226" s="1" customFormat="1" ht="16.35" hidden="1" customHeight="1" spans="1:18">
      <c r="A2226" s="6"/>
      <c r="B2226" s="6" t="s">
        <v>4123</v>
      </c>
      <c r="C2226" s="6" t="s">
        <v>4236</v>
      </c>
      <c r="D2226" s="7">
        <v>98</v>
      </c>
      <c r="E2226" s="6" t="s">
        <v>5939</v>
      </c>
      <c r="F2226" s="6" t="s">
        <v>5631</v>
      </c>
      <c r="G2226" s="6" t="s">
        <v>5632</v>
      </c>
      <c r="H2226" s="8"/>
      <c r="I2226" s="8">
        <v>2381</v>
      </c>
      <c r="J2226" s="6"/>
      <c r="K2226" s="6" t="s">
        <v>2301</v>
      </c>
      <c r="L2226" s="6"/>
      <c r="M2226" s="6"/>
      <c r="N2226" s="6" t="s">
        <v>2301</v>
      </c>
      <c r="O2226" s="29">
        <f t="shared" si="52"/>
        <v>2381</v>
      </c>
      <c r="Q2226" s="30" t="s">
        <v>2301</v>
      </c>
      <c r="R2226" s="31">
        <v>2381</v>
      </c>
    </row>
    <row r="2227" s="1" customFormat="1" ht="16.35" hidden="1" customHeight="1" spans="1:18">
      <c r="A2227" s="6"/>
      <c r="B2227" s="6" t="s">
        <v>4123</v>
      </c>
      <c r="C2227" s="6" t="s">
        <v>4236</v>
      </c>
      <c r="D2227" s="7">
        <v>98</v>
      </c>
      <c r="E2227" s="6" t="s">
        <v>5940</v>
      </c>
      <c r="F2227" s="6" t="s">
        <v>5631</v>
      </c>
      <c r="G2227" s="6" t="s">
        <v>5632</v>
      </c>
      <c r="H2227" s="8"/>
      <c r="I2227" s="8">
        <v>363</v>
      </c>
      <c r="J2227" s="6"/>
      <c r="K2227" s="6" t="s">
        <v>2301</v>
      </c>
      <c r="L2227" s="6"/>
      <c r="M2227" s="6"/>
      <c r="N2227" s="6" t="s">
        <v>2301</v>
      </c>
      <c r="O2227" s="29">
        <f t="shared" si="52"/>
        <v>363</v>
      </c>
      <c r="Q2227" s="30" t="s">
        <v>2301</v>
      </c>
      <c r="R2227" s="31">
        <v>363</v>
      </c>
    </row>
    <row r="2228" s="1" customFormat="1" ht="16.35" hidden="1" customHeight="1" spans="1:18">
      <c r="A2228" s="6"/>
      <c r="B2228" s="6" t="s">
        <v>4123</v>
      </c>
      <c r="C2228" s="6" t="s">
        <v>4236</v>
      </c>
      <c r="D2228" s="7">
        <v>99</v>
      </c>
      <c r="E2228" s="6" t="s">
        <v>5941</v>
      </c>
      <c r="F2228" s="6" t="s">
        <v>5631</v>
      </c>
      <c r="G2228" s="6" t="s">
        <v>5632</v>
      </c>
      <c r="H2228" s="8"/>
      <c r="I2228" s="8">
        <v>11972</v>
      </c>
      <c r="J2228" s="6"/>
      <c r="K2228" s="6" t="s">
        <v>2301</v>
      </c>
      <c r="L2228" s="6"/>
      <c r="M2228" s="6"/>
      <c r="N2228" s="6" t="s">
        <v>2301</v>
      </c>
      <c r="O2228" s="29">
        <f t="shared" si="52"/>
        <v>11972</v>
      </c>
      <c r="Q2228" s="30" t="s">
        <v>2301</v>
      </c>
      <c r="R2228" s="31">
        <v>11972</v>
      </c>
    </row>
    <row r="2229" s="1" customFormat="1" ht="16.35" hidden="1" customHeight="1" spans="1:18">
      <c r="A2229" s="6"/>
      <c r="B2229" s="6" t="s">
        <v>4123</v>
      </c>
      <c r="C2229" s="6" t="s">
        <v>4236</v>
      </c>
      <c r="D2229" s="7">
        <v>29</v>
      </c>
      <c r="E2229" s="6" t="s">
        <v>5942</v>
      </c>
      <c r="F2229" s="6" t="s">
        <v>5631</v>
      </c>
      <c r="G2229" s="6" t="s">
        <v>5632</v>
      </c>
      <c r="H2229" s="8"/>
      <c r="I2229" s="8">
        <v>480000</v>
      </c>
      <c r="J2229" s="6"/>
      <c r="K2229" s="6" t="s">
        <v>2887</v>
      </c>
      <c r="L2229" s="6"/>
      <c r="M2229" s="6"/>
      <c r="N2229" s="6" t="s">
        <v>2887</v>
      </c>
      <c r="O2229" s="29">
        <f t="shared" si="52"/>
        <v>480000</v>
      </c>
      <c r="Q2229" s="30" t="s">
        <v>2887</v>
      </c>
      <c r="R2229" s="31">
        <v>480000</v>
      </c>
    </row>
    <row r="2230" s="1" customFormat="1" ht="16.35" hidden="1" customHeight="1" spans="1:18">
      <c r="A2230" s="6"/>
      <c r="B2230" s="6" t="s">
        <v>4123</v>
      </c>
      <c r="C2230" s="6" t="s">
        <v>4236</v>
      </c>
      <c r="D2230" s="7">
        <v>99</v>
      </c>
      <c r="E2230" s="6" t="s">
        <v>5943</v>
      </c>
      <c r="F2230" s="6" t="s">
        <v>5631</v>
      </c>
      <c r="G2230" s="6" t="s">
        <v>5632</v>
      </c>
      <c r="H2230" s="8"/>
      <c r="I2230" s="8">
        <v>4128</v>
      </c>
      <c r="J2230" s="6"/>
      <c r="K2230" s="6" t="s">
        <v>2887</v>
      </c>
      <c r="L2230" s="6"/>
      <c r="M2230" s="6"/>
      <c r="N2230" s="6" t="s">
        <v>2887</v>
      </c>
      <c r="O2230" s="29">
        <f t="shared" si="52"/>
        <v>4128</v>
      </c>
      <c r="Q2230" s="30" t="s">
        <v>2887</v>
      </c>
      <c r="R2230" s="31">
        <v>4128</v>
      </c>
    </row>
    <row r="2231" s="1" customFormat="1" ht="16.35" hidden="1" customHeight="1" spans="1:18">
      <c r="A2231" s="6"/>
      <c r="B2231" s="6" t="s">
        <v>4123</v>
      </c>
      <c r="C2231" s="6" t="s">
        <v>4236</v>
      </c>
      <c r="D2231" s="7">
        <v>99</v>
      </c>
      <c r="E2231" s="6" t="s">
        <v>5944</v>
      </c>
      <c r="F2231" s="6" t="s">
        <v>5631</v>
      </c>
      <c r="G2231" s="6" t="s">
        <v>5632</v>
      </c>
      <c r="H2231" s="8"/>
      <c r="I2231" s="8">
        <v>41284</v>
      </c>
      <c r="J2231" s="6"/>
      <c r="K2231" s="6" t="s">
        <v>2887</v>
      </c>
      <c r="L2231" s="6"/>
      <c r="M2231" s="6"/>
      <c r="N2231" s="6" t="s">
        <v>2887</v>
      </c>
      <c r="O2231" s="29">
        <f t="shared" si="52"/>
        <v>41284</v>
      </c>
      <c r="Q2231" s="30" t="s">
        <v>2887</v>
      </c>
      <c r="R2231" s="31">
        <v>41284</v>
      </c>
    </row>
    <row r="2232" s="1" customFormat="1" ht="16.35" hidden="1" customHeight="1" spans="1:18">
      <c r="A2232" s="6"/>
      <c r="B2232" s="6" t="s">
        <v>4123</v>
      </c>
      <c r="C2232" s="6" t="s">
        <v>4236</v>
      </c>
      <c r="D2232" s="7">
        <v>99</v>
      </c>
      <c r="E2232" s="6" t="s">
        <v>5945</v>
      </c>
      <c r="F2232" s="6" t="s">
        <v>5631</v>
      </c>
      <c r="G2232" s="6" t="s">
        <v>5632</v>
      </c>
      <c r="H2232" s="8"/>
      <c r="I2232" s="8">
        <v>826</v>
      </c>
      <c r="J2232" s="6"/>
      <c r="K2232" s="6" t="s">
        <v>1968</v>
      </c>
      <c r="L2232" s="6"/>
      <c r="M2232" s="6"/>
      <c r="N2232" s="6" t="s">
        <v>1968</v>
      </c>
      <c r="O2232" s="29">
        <f t="shared" si="52"/>
        <v>826</v>
      </c>
      <c r="Q2232" s="30" t="s">
        <v>1968</v>
      </c>
      <c r="R2232" s="31">
        <v>826</v>
      </c>
    </row>
    <row r="2233" s="1" customFormat="1" ht="16.35" hidden="1" customHeight="1" spans="1:18">
      <c r="A2233" s="6"/>
      <c r="B2233" s="6" t="s">
        <v>4123</v>
      </c>
      <c r="C2233" s="6" t="s">
        <v>4236</v>
      </c>
      <c r="D2233" s="7">
        <v>99</v>
      </c>
      <c r="E2233" s="6" t="s">
        <v>5946</v>
      </c>
      <c r="F2233" s="6" t="s">
        <v>5631</v>
      </c>
      <c r="G2233" s="6" t="s">
        <v>5632</v>
      </c>
      <c r="H2233" s="8"/>
      <c r="I2233" s="8">
        <v>16720</v>
      </c>
      <c r="J2233" s="6"/>
      <c r="K2233" s="6" t="s">
        <v>1984</v>
      </c>
      <c r="L2233" s="6"/>
      <c r="M2233" s="6"/>
      <c r="N2233" s="6" t="s">
        <v>1984</v>
      </c>
      <c r="O2233" s="29">
        <f t="shared" si="52"/>
        <v>16720</v>
      </c>
      <c r="Q2233" s="30" t="s">
        <v>1984</v>
      </c>
      <c r="R2233" s="31">
        <v>16720</v>
      </c>
    </row>
    <row r="2234" s="1" customFormat="1" ht="16.35" hidden="1" customHeight="1" spans="1:18">
      <c r="A2234" s="6"/>
      <c r="B2234" s="6" t="s">
        <v>4123</v>
      </c>
      <c r="C2234" s="6" t="s">
        <v>4236</v>
      </c>
      <c r="D2234" s="7">
        <v>99</v>
      </c>
      <c r="E2234" s="6" t="s">
        <v>5947</v>
      </c>
      <c r="F2234" s="6" t="s">
        <v>5631</v>
      </c>
      <c r="G2234" s="6" t="s">
        <v>5632</v>
      </c>
      <c r="H2234" s="8"/>
      <c r="I2234" s="8">
        <v>743</v>
      </c>
      <c r="J2234" s="6"/>
      <c r="K2234" s="6" t="s">
        <v>1984</v>
      </c>
      <c r="L2234" s="6"/>
      <c r="M2234" s="6"/>
      <c r="N2234" s="6" t="s">
        <v>1984</v>
      </c>
      <c r="O2234" s="29">
        <f t="shared" si="52"/>
        <v>743</v>
      </c>
      <c r="Q2234" s="30" t="s">
        <v>1984</v>
      </c>
      <c r="R2234" s="31">
        <v>743</v>
      </c>
    </row>
    <row r="2235" s="1" customFormat="1" ht="16.35" hidden="1" customHeight="1" spans="1:18">
      <c r="A2235" s="6"/>
      <c r="B2235" s="6" t="s">
        <v>4123</v>
      </c>
      <c r="C2235" s="6" t="s">
        <v>4236</v>
      </c>
      <c r="D2235" s="7">
        <v>99</v>
      </c>
      <c r="E2235" s="6" t="s">
        <v>5948</v>
      </c>
      <c r="F2235" s="6" t="s">
        <v>5631</v>
      </c>
      <c r="G2235" s="6" t="s">
        <v>5632</v>
      </c>
      <c r="H2235" s="8"/>
      <c r="I2235" s="8">
        <v>826</v>
      </c>
      <c r="J2235" s="6"/>
      <c r="K2235" s="6" t="s">
        <v>2754</v>
      </c>
      <c r="L2235" s="6"/>
      <c r="M2235" s="6"/>
      <c r="N2235" s="6" t="s">
        <v>2754</v>
      </c>
      <c r="O2235" s="29">
        <f t="shared" si="52"/>
        <v>826</v>
      </c>
      <c r="Q2235" s="30" t="s">
        <v>2754</v>
      </c>
      <c r="R2235" s="31">
        <v>826</v>
      </c>
    </row>
    <row r="2236" s="1" customFormat="1" ht="16.35" hidden="1" customHeight="1" spans="1:18">
      <c r="A2236" s="6"/>
      <c r="B2236" s="6" t="s">
        <v>4123</v>
      </c>
      <c r="C2236" s="6" t="s">
        <v>4236</v>
      </c>
      <c r="D2236" s="7">
        <v>99</v>
      </c>
      <c r="E2236" s="6" t="s">
        <v>5949</v>
      </c>
      <c r="F2236" s="6" t="s">
        <v>5631</v>
      </c>
      <c r="G2236" s="6" t="s">
        <v>5632</v>
      </c>
      <c r="H2236" s="8"/>
      <c r="I2236" s="8">
        <v>8921</v>
      </c>
      <c r="J2236" s="6"/>
      <c r="K2236" s="6" t="s">
        <v>2754</v>
      </c>
      <c r="L2236" s="6"/>
      <c r="M2236" s="6"/>
      <c r="N2236" s="6" t="s">
        <v>2754</v>
      </c>
      <c r="O2236" s="29">
        <f t="shared" si="52"/>
        <v>8921</v>
      </c>
      <c r="Q2236" s="30" t="s">
        <v>2754</v>
      </c>
      <c r="R2236" s="31">
        <v>8921</v>
      </c>
    </row>
    <row r="2237" s="1" customFormat="1" ht="16.35" hidden="1" customHeight="1" spans="1:18">
      <c r="A2237" s="6"/>
      <c r="B2237" s="6" t="s">
        <v>4123</v>
      </c>
      <c r="C2237" s="6" t="s">
        <v>4236</v>
      </c>
      <c r="D2237" s="7">
        <v>99</v>
      </c>
      <c r="E2237" s="6" t="s">
        <v>5950</v>
      </c>
      <c r="F2237" s="6" t="s">
        <v>5631</v>
      </c>
      <c r="G2237" s="6" t="s">
        <v>5632</v>
      </c>
      <c r="H2237" s="8"/>
      <c r="I2237" s="8">
        <v>826</v>
      </c>
      <c r="J2237" s="6"/>
      <c r="K2237" s="6" t="s">
        <v>2754</v>
      </c>
      <c r="L2237" s="6"/>
      <c r="M2237" s="6"/>
      <c r="N2237" s="6" t="s">
        <v>2754</v>
      </c>
      <c r="O2237" s="29">
        <f t="shared" si="52"/>
        <v>826</v>
      </c>
      <c r="Q2237" s="30" t="s">
        <v>2754</v>
      </c>
      <c r="R2237" s="31">
        <v>826</v>
      </c>
    </row>
    <row r="2238" s="1" customFormat="1" ht="16.35" hidden="1" customHeight="1" spans="1:18">
      <c r="A2238" s="6"/>
      <c r="B2238" s="6" t="s">
        <v>4123</v>
      </c>
      <c r="C2238" s="6" t="s">
        <v>4236</v>
      </c>
      <c r="D2238" s="7">
        <v>99</v>
      </c>
      <c r="E2238" s="6" t="s">
        <v>5951</v>
      </c>
      <c r="F2238" s="6" t="s">
        <v>5631</v>
      </c>
      <c r="G2238" s="6" t="s">
        <v>5632</v>
      </c>
      <c r="H2238" s="8"/>
      <c r="I2238" s="8">
        <v>17587</v>
      </c>
      <c r="J2238" s="6"/>
      <c r="K2238" s="6" t="s">
        <v>2756</v>
      </c>
      <c r="L2238" s="6"/>
      <c r="M2238" s="6"/>
      <c r="N2238" s="6" t="s">
        <v>2756</v>
      </c>
      <c r="O2238" s="29">
        <f t="shared" si="52"/>
        <v>17587</v>
      </c>
      <c r="Q2238" s="30" t="s">
        <v>2756</v>
      </c>
      <c r="R2238" s="31">
        <v>17587</v>
      </c>
    </row>
    <row r="2239" s="1" customFormat="1" ht="16.35" hidden="1" customHeight="1" spans="1:18">
      <c r="A2239" s="6"/>
      <c r="B2239" s="6" t="s">
        <v>4123</v>
      </c>
      <c r="C2239" s="6" t="s">
        <v>4236</v>
      </c>
      <c r="D2239" s="7">
        <v>99</v>
      </c>
      <c r="E2239" s="6" t="s">
        <v>5952</v>
      </c>
      <c r="F2239" s="6" t="s">
        <v>5631</v>
      </c>
      <c r="G2239" s="6" t="s">
        <v>5632</v>
      </c>
      <c r="H2239" s="8"/>
      <c r="I2239" s="8">
        <v>76</v>
      </c>
      <c r="J2239" s="6"/>
      <c r="K2239" s="6" t="s">
        <v>2756</v>
      </c>
      <c r="L2239" s="6"/>
      <c r="M2239" s="6"/>
      <c r="N2239" s="6" t="s">
        <v>2756</v>
      </c>
      <c r="O2239" s="29">
        <f t="shared" si="52"/>
        <v>76</v>
      </c>
      <c r="Q2239" s="30" t="s">
        <v>2756</v>
      </c>
      <c r="R2239" s="31">
        <v>76</v>
      </c>
    </row>
    <row r="2240" s="1" customFormat="1" ht="16.35" hidden="1" customHeight="1" spans="1:18">
      <c r="A2240" s="6"/>
      <c r="B2240" s="6" t="s">
        <v>4123</v>
      </c>
      <c r="C2240" s="6" t="s">
        <v>4236</v>
      </c>
      <c r="D2240" s="7">
        <v>99</v>
      </c>
      <c r="E2240" s="6" t="s">
        <v>5953</v>
      </c>
      <c r="F2240" s="6" t="s">
        <v>5631</v>
      </c>
      <c r="G2240" s="6" t="s">
        <v>5632</v>
      </c>
      <c r="H2240" s="8"/>
      <c r="I2240" s="8">
        <v>16514</v>
      </c>
      <c r="J2240" s="6"/>
      <c r="K2240" s="6" t="s">
        <v>2756</v>
      </c>
      <c r="L2240" s="6"/>
      <c r="M2240" s="6"/>
      <c r="N2240" s="6" t="s">
        <v>2756</v>
      </c>
      <c r="O2240" s="29">
        <f t="shared" si="52"/>
        <v>16514</v>
      </c>
      <c r="Q2240" s="30" t="s">
        <v>2756</v>
      </c>
      <c r="R2240" s="31">
        <v>16514</v>
      </c>
    </row>
    <row r="2241" s="1" customFormat="1" ht="16.35" hidden="1" customHeight="1" spans="1:18">
      <c r="A2241" s="6"/>
      <c r="B2241" s="6" t="s">
        <v>4123</v>
      </c>
      <c r="C2241" s="6" t="s">
        <v>4236</v>
      </c>
      <c r="D2241" s="7">
        <v>99</v>
      </c>
      <c r="E2241" s="6" t="s">
        <v>5954</v>
      </c>
      <c r="F2241" s="6" t="s">
        <v>5631</v>
      </c>
      <c r="G2241" s="6" t="s">
        <v>5632</v>
      </c>
      <c r="H2241" s="8"/>
      <c r="I2241" s="8">
        <v>10317</v>
      </c>
      <c r="J2241" s="6"/>
      <c r="K2241" s="6" t="s">
        <v>2759</v>
      </c>
      <c r="L2241" s="6"/>
      <c r="M2241" s="6"/>
      <c r="N2241" s="6" t="s">
        <v>2759</v>
      </c>
      <c r="O2241" s="29">
        <f t="shared" si="52"/>
        <v>10317</v>
      </c>
      <c r="Q2241" s="30" t="s">
        <v>2759</v>
      </c>
      <c r="R2241" s="31">
        <v>10317</v>
      </c>
    </row>
    <row r="2242" s="1" customFormat="1" ht="16.35" hidden="1" customHeight="1" spans="1:18">
      <c r="A2242" s="6"/>
      <c r="B2242" s="6" t="s">
        <v>4123</v>
      </c>
      <c r="C2242" s="6" t="s">
        <v>4236</v>
      </c>
      <c r="D2242" s="7">
        <v>98</v>
      </c>
      <c r="E2242" s="6" t="s">
        <v>5955</v>
      </c>
      <c r="F2242" s="6" t="s">
        <v>5631</v>
      </c>
      <c r="G2242" s="6" t="s">
        <v>5632</v>
      </c>
      <c r="H2242" s="8"/>
      <c r="I2242" s="8">
        <v>2726</v>
      </c>
      <c r="J2242" s="6"/>
      <c r="K2242" s="6" t="s">
        <v>1948</v>
      </c>
      <c r="L2242" s="6"/>
      <c r="M2242" s="6"/>
      <c r="N2242" s="6" t="s">
        <v>1948</v>
      </c>
      <c r="O2242" s="29">
        <f t="shared" si="52"/>
        <v>2726</v>
      </c>
      <c r="Q2242" s="30" t="s">
        <v>1948</v>
      </c>
      <c r="R2242" s="31">
        <v>2726</v>
      </c>
    </row>
    <row r="2243" s="1" customFormat="1" ht="16.35" hidden="1" customHeight="1" spans="1:18">
      <c r="A2243" s="6"/>
      <c r="B2243" s="6" t="s">
        <v>4123</v>
      </c>
      <c r="C2243" s="6" t="s">
        <v>4236</v>
      </c>
      <c r="D2243" s="7">
        <v>99</v>
      </c>
      <c r="E2243" s="6" t="s">
        <v>5956</v>
      </c>
      <c r="F2243" s="6" t="s">
        <v>5631</v>
      </c>
      <c r="G2243" s="6" t="s">
        <v>5632</v>
      </c>
      <c r="H2243" s="8"/>
      <c r="I2243" s="8">
        <v>11890</v>
      </c>
      <c r="J2243" s="6"/>
      <c r="K2243" s="6" t="s">
        <v>1948</v>
      </c>
      <c r="L2243" s="6"/>
      <c r="M2243" s="6"/>
      <c r="N2243" s="6" t="s">
        <v>1948</v>
      </c>
      <c r="O2243" s="29">
        <f t="shared" si="52"/>
        <v>11890</v>
      </c>
      <c r="Q2243" s="30" t="s">
        <v>1948</v>
      </c>
      <c r="R2243" s="31">
        <v>11890</v>
      </c>
    </row>
    <row r="2244" s="1" customFormat="1" ht="16.35" hidden="1" customHeight="1" spans="1:18">
      <c r="A2244" s="6"/>
      <c r="B2244" s="6" t="s">
        <v>4123</v>
      </c>
      <c r="C2244" s="6" t="s">
        <v>4236</v>
      </c>
      <c r="D2244" s="7">
        <v>98</v>
      </c>
      <c r="E2244" s="6" t="s">
        <v>5957</v>
      </c>
      <c r="F2244" s="6" t="s">
        <v>5631</v>
      </c>
      <c r="G2244" s="6" t="s">
        <v>5632</v>
      </c>
      <c r="H2244" s="8"/>
      <c r="I2244" s="8">
        <v>381</v>
      </c>
      <c r="J2244" s="6"/>
      <c r="K2244" s="6" t="s">
        <v>1953</v>
      </c>
      <c r="L2244" s="6"/>
      <c r="M2244" s="6"/>
      <c r="N2244" s="6" t="s">
        <v>1953</v>
      </c>
      <c r="O2244" s="29">
        <f t="shared" si="52"/>
        <v>381</v>
      </c>
      <c r="Q2244" s="30" t="s">
        <v>1953</v>
      </c>
      <c r="R2244" s="31">
        <v>381</v>
      </c>
    </row>
    <row r="2245" s="1" customFormat="1" ht="16.35" hidden="1" customHeight="1" spans="1:18">
      <c r="A2245" s="6"/>
      <c r="B2245" s="6" t="s">
        <v>4123</v>
      </c>
      <c r="C2245" s="6" t="s">
        <v>4236</v>
      </c>
      <c r="D2245" s="7">
        <v>98</v>
      </c>
      <c r="E2245" s="6" t="s">
        <v>5958</v>
      </c>
      <c r="F2245" s="6" t="s">
        <v>5631</v>
      </c>
      <c r="G2245" s="6" t="s">
        <v>5632</v>
      </c>
      <c r="H2245" s="8"/>
      <c r="I2245" s="8">
        <v>1704</v>
      </c>
      <c r="J2245" s="6"/>
      <c r="K2245" s="6" t="s">
        <v>1953</v>
      </c>
      <c r="L2245" s="6"/>
      <c r="M2245" s="6"/>
      <c r="N2245" s="6" t="s">
        <v>1953</v>
      </c>
      <c r="O2245" s="29">
        <f t="shared" ref="O2245:O2308" si="53">I2245</f>
        <v>1704</v>
      </c>
      <c r="Q2245" s="30" t="s">
        <v>1953</v>
      </c>
      <c r="R2245" s="31">
        <v>1704</v>
      </c>
    </row>
    <row r="2246" s="1" customFormat="1" ht="16.35" hidden="1" customHeight="1" spans="1:18">
      <c r="A2246" s="6"/>
      <c r="B2246" s="6" t="s">
        <v>4123</v>
      </c>
      <c r="C2246" s="6" t="s">
        <v>4236</v>
      </c>
      <c r="D2246" s="7">
        <v>99</v>
      </c>
      <c r="E2246" s="6" t="s">
        <v>5959</v>
      </c>
      <c r="F2246" s="6" t="s">
        <v>5631</v>
      </c>
      <c r="G2246" s="6" t="s">
        <v>5632</v>
      </c>
      <c r="H2246" s="8"/>
      <c r="I2246" s="8">
        <v>1156</v>
      </c>
      <c r="J2246" s="6"/>
      <c r="K2246" s="6" t="s">
        <v>1953</v>
      </c>
      <c r="L2246" s="6"/>
      <c r="M2246" s="6"/>
      <c r="N2246" s="6" t="s">
        <v>1953</v>
      </c>
      <c r="O2246" s="29">
        <f t="shared" si="53"/>
        <v>1156</v>
      </c>
      <c r="Q2246" s="30" t="s">
        <v>1953</v>
      </c>
      <c r="R2246" s="31">
        <v>1156</v>
      </c>
    </row>
    <row r="2247" s="1" customFormat="1" ht="16.35" hidden="1" customHeight="1" spans="1:18">
      <c r="A2247" s="6"/>
      <c r="B2247" s="6" t="s">
        <v>4123</v>
      </c>
      <c r="C2247" s="6" t="s">
        <v>4236</v>
      </c>
      <c r="D2247" s="7">
        <v>99</v>
      </c>
      <c r="E2247" s="6" t="s">
        <v>5960</v>
      </c>
      <c r="F2247" s="6" t="s">
        <v>5631</v>
      </c>
      <c r="G2247" s="6" t="s">
        <v>5632</v>
      </c>
      <c r="H2247" s="8"/>
      <c r="I2247" s="8">
        <v>11064</v>
      </c>
      <c r="J2247" s="6"/>
      <c r="K2247" s="6" t="s">
        <v>1953</v>
      </c>
      <c r="L2247" s="6"/>
      <c r="M2247" s="6"/>
      <c r="N2247" s="6" t="s">
        <v>1953</v>
      </c>
      <c r="O2247" s="29">
        <f t="shared" si="53"/>
        <v>11064</v>
      </c>
      <c r="Q2247" s="30" t="s">
        <v>1953</v>
      </c>
      <c r="R2247" s="31">
        <v>11064</v>
      </c>
    </row>
    <row r="2248" s="1" customFormat="1" ht="16.35" hidden="1" customHeight="1" spans="1:18">
      <c r="A2248" s="6"/>
      <c r="B2248" s="6" t="s">
        <v>4123</v>
      </c>
      <c r="C2248" s="6" t="s">
        <v>4236</v>
      </c>
      <c r="D2248" s="7">
        <v>99</v>
      </c>
      <c r="E2248" s="6" t="s">
        <v>5961</v>
      </c>
      <c r="F2248" s="6" t="s">
        <v>5631</v>
      </c>
      <c r="G2248" s="6" t="s">
        <v>5632</v>
      </c>
      <c r="H2248" s="8"/>
      <c r="I2248" s="8">
        <v>413</v>
      </c>
      <c r="J2248" s="6"/>
      <c r="K2248" s="6" t="s">
        <v>1963</v>
      </c>
      <c r="L2248" s="6"/>
      <c r="M2248" s="6"/>
      <c r="N2248" s="6" t="s">
        <v>1963</v>
      </c>
      <c r="O2248" s="29">
        <f t="shared" si="53"/>
        <v>413</v>
      </c>
      <c r="Q2248" s="30" t="s">
        <v>1963</v>
      </c>
      <c r="R2248" s="31">
        <v>413</v>
      </c>
    </row>
    <row r="2249" s="1" customFormat="1" ht="16.35" hidden="1" customHeight="1" spans="1:18">
      <c r="A2249" s="6"/>
      <c r="B2249" s="6" t="s">
        <v>4123</v>
      </c>
      <c r="C2249" s="6" t="s">
        <v>4236</v>
      </c>
      <c r="D2249" s="7">
        <v>99</v>
      </c>
      <c r="E2249" s="6" t="s">
        <v>5962</v>
      </c>
      <c r="F2249" s="6" t="s">
        <v>5631</v>
      </c>
      <c r="G2249" s="6" t="s">
        <v>5632</v>
      </c>
      <c r="H2249" s="8"/>
      <c r="I2249" s="8">
        <v>5046</v>
      </c>
      <c r="J2249" s="6"/>
      <c r="K2249" s="6" t="s">
        <v>1963</v>
      </c>
      <c r="L2249" s="6"/>
      <c r="M2249" s="6"/>
      <c r="N2249" s="6" t="s">
        <v>1963</v>
      </c>
      <c r="O2249" s="29">
        <f t="shared" si="53"/>
        <v>5046</v>
      </c>
      <c r="Q2249" s="30" t="s">
        <v>1963</v>
      </c>
      <c r="R2249" s="31">
        <v>5046</v>
      </c>
    </row>
    <row r="2250" s="1" customFormat="1" ht="16.35" hidden="1" customHeight="1" spans="1:18">
      <c r="A2250" s="6"/>
      <c r="B2250" s="6" t="s">
        <v>4123</v>
      </c>
      <c r="C2250" s="6" t="s">
        <v>4236</v>
      </c>
      <c r="D2250" s="7">
        <v>98</v>
      </c>
      <c r="E2250" s="6" t="s">
        <v>5963</v>
      </c>
      <c r="F2250" s="6" t="s">
        <v>5631</v>
      </c>
      <c r="G2250" s="6" t="s">
        <v>5632</v>
      </c>
      <c r="H2250" s="8"/>
      <c r="I2250" s="8">
        <v>9524</v>
      </c>
      <c r="J2250" s="6"/>
      <c r="K2250" s="6" t="s">
        <v>1988</v>
      </c>
      <c r="L2250" s="6"/>
      <c r="M2250" s="6"/>
      <c r="N2250" s="6" t="s">
        <v>1988</v>
      </c>
      <c r="O2250" s="29">
        <f t="shared" si="53"/>
        <v>9524</v>
      </c>
      <c r="Q2250" s="30" t="s">
        <v>1988</v>
      </c>
      <c r="R2250" s="31">
        <v>9524</v>
      </c>
    </row>
    <row r="2251" s="1" customFormat="1" ht="16.35" hidden="1" customHeight="1" spans="1:18">
      <c r="A2251" s="6"/>
      <c r="B2251" s="6" t="s">
        <v>4123</v>
      </c>
      <c r="C2251" s="6" t="s">
        <v>4236</v>
      </c>
      <c r="D2251" s="7">
        <v>99</v>
      </c>
      <c r="E2251" s="6" t="s">
        <v>5964</v>
      </c>
      <c r="F2251" s="6" t="s">
        <v>5631</v>
      </c>
      <c r="G2251" s="6" t="s">
        <v>5632</v>
      </c>
      <c r="H2251" s="8"/>
      <c r="I2251" s="8">
        <v>1984</v>
      </c>
      <c r="J2251" s="6"/>
      <c r="K2251" s="6" t="s">
        <v>1988</v>
      </c>
      <c r="L2251" s="6"/>
      <c r="M2251" s="6"/>
      <c r="N2251" s="6" t="s">
        <v>1988</v>
      </c>
      <c r="O2251" s="29">
        <f t="shared" si="53"/>
        <v>1984</v>
      </c>
      <c r="Q2251" s="30" t="s">
        <v>1988</v>
      </c>
      <c r="R2251" s="31">
        <v>1984</v>
      </c>
    </row>
    <row r="2252" s="1" customFormat="1" ht="16.35" hidden="1" customHeight="1" spans="1:18">
      <c r="A2252" s="6"/>
      <c r="B2252" s="6" t="s">
        <v>4123</v>
      </c>
      <c r="C2252" s="6" t="s">
        <v>4236</v>
      </c>
      <c r="D2252" s="7">
        <v>98</v>
      </c>
      <c r="E2252" s="6" t="s">
        <v>5965</v>
      </c>
      <c r="F2252" s="6" t="s">
        <v>5631</v>
      </c>
      <c r="G2252" s="6" t="s">
        <v>5632</v>
      </c>
      <c r="H2252" s="8"/>
      <c r="I2252" s="8">
        <v>238</v>
      </c>
      <c r="J2252" s="6"/>
      <c r="K2252" s="6" t="s">
        <v>1998</v>
      </c>
      <c r="L2252" s="6"/>
      <c r="M2252" s="6"/>
      <c r="N2252" s="6" t="s">
        <v>1998</v>
      </c>
      <c r="O2252" s="29">
        <f t="shared" si="53"/>
        <v>238</v>
      </c>
      <c r="Q2252" s="30" t="s">
        <v>1998</v>
      </c>
      <c r="R2252" s="31">
        <v>238</v>
      </c>
    </row>
    <row r="2253" s="1" customFormat="1" ht="16.35" hidden="1" customHeight="1" spans="1:18">
      <c r="A2253" s="6"/>
      <c r="B2253" s="6" t="s">
        <v>4123</v>
      </c>
      <c r="C2253" s="6" t="s">
        <v>4236</v>
      </c>
      <c r="D2253" s="7">
        <v>99</v>
      </c>
      <c r="E2253" s="6" t="s">
        <v>5966</v>
      </c>
      <c r="F2253" s="6" t="s">
        <v>5631</v>
      </c>
      <c r="G2253" s="6" t="s">
        <v>5632</v>
      </c>
      <c r="H2253" s="8"/>
      <c r="I2253" s="8">
        <v>4533</v>
      </c>
      <c r="J2253" s="6"/>
      <c r="K2253" s="6" t="s">
        <v>1998</v>
      </c>
      <c r="L2253" s="6"/>
      <c r="M2253" s="6"/>
      <c r="N2253" s="6" t="s">
        <v>1998</v>
      </c>
      <c r="O2253" s="29">
        <f t="shared" si="53"/>
        <v>4533</v>
      </c>
      <c r="Q2253" s="30" t="s">
        <v>1998</v>
      </c>
      <c r="R2253" s="31">
        <v>4533</v>
      </c>
    </row>
    <row r="2254" s="1" customFormat="1" ht="16.35" hidden="1" customHeight="1" spans="1:18">
      <c r="A2254" s="6"/>
      <c r="B2254" s="6" t="s">
        <v>4123</v>
      </c>
      <c r="C2254" s="6" t="s">
        <v>4236</v>
      </c>
      <c r="D2254" s="7">
        <v>99</v>
      </c>
      <c r="E2254" s="6" t="s">
        <v>5967</v>
      </c>
      <c r="F2254" s="6" t="s">
        <v>5631</v>
      </c>
      <c r="G2254" s="6" t="s">
        <v>5632</v>
      </c>
      <c r="H2254" s="8"/>
      <c r="I2254" s="8">
        <v>826</v>
      </c>
      <c r="J2254" s="6"/>
      <c r="K2254" s="6" t="s">
        <v>1998</v>
      </c>
      <c r="L2254" s="6"/>
      <c r="M2254" s="6"/>
      <c r="N2254" s="6" t="s">
        <v>1998</v>
      </c>
      <c r="O2254" s="29">
        <f t="shared" si="53"/>
        <v>826</v>
      </c>
      <c r="Q2254" s="30" t="s">
        <v>1998</v>
      </c>
      <c r="R2254" s="31">
        <v>826</v>
      </c>
    </row>
    <row r="2255" s="1" customFormat="1" ht="16.35" hidden="1" customHeight="1" spans="1:18">
      <c r="A2255" s="6"/>
      <c r="B2255" s="6" t="s">
        <v>4123</v>
      </c>
      <c r="C2255" s="6" t="s">
        <v>4236</v>
      </c>
      <c r="D2255" s="7">
        <v>99</v>
      </c>
      <c r="E2255" s="6" t="s">
        <v>5968</v>
      </c>
      <c r="F2255" s="6" t="s">
        <v>5631</v>
      </c>
      <c r="G2255" s="6" t="s">
        <v>5632</v>
      </c>
      <c r="H2255" s="8"/>
      <c r="I2255" s="8">
        <v>155</v>
      </c>
      <c r="J2255" s="6"/>
      <c r="K2255" s="6" t="s">
        <v>1998</v>
      </c>
      <c r="L2255" s="6"/>
      <c r="M2255" s="6"/>
      <c r="N2255" s="6" t="s">
        <v>1998</v>
      </c>
      <c r="O2255" s="29">
        <f t="shared" si="53"/>
        <v>155</v>
      </c>
      <c r="Q2255" s="30" t="s">
        <v>1998</v>
      </c>
      <c r="R2255" s="31">
        <v>155</v>
      </c>
    </row>
    <row r="2256" s="1" customFormat="1" ht="16.35" hidden="1" customHeight="1" spans="1:18">
      <c r="A2256" s="6"/>
      <c r="B2256" s="6" t="s">
        <v>4123</v>
      </c>
      <c r="C2256" s="6" t="s">
        <v>4236</v>
      </c>
      <c r="D2256" s="7">
        <v>99</v>
      </c>
      <c r="E2256" s="6" t="s">
        <v>5969</v>
      </c>
      <c r="F2256" s="6" t="s">
        <v>5631</v>
      </c>
      <c r="G2256" s="6" t="s">
        <v>5632</v>
      </c>
      <c r="H2256" s="8"/>
      <c r="I2256" s="8">
        <v>10734</v>
      </c>
      <c r="J2256" s="6"/>
      <c r="K2256" s="6" t="s">
        <v>1998</v>
      </c>
      <c r="L2256" s="6"/>
      <c r="M2256" s="6"/>
      <c r="N2256" s="6" t="s">
        <v>1998</v>
      </c>
      <c r="O2256" s="29">
        <f t="shared" si="53"/>
        <v>10734</v>
      </c>
      <c r="Q2256" s="30" t="s">
        <v>1998</v>
      </c>
      <c r="R2256" s="31">
        <v>10734</v>
      </c>
    </row>
    <row r="2257" s="1" customFormat="1" ht="16.35" hidden="1" customHeight="1" spans="1:18">
      <c r="A2257" s="6"/>
      <c r="B2257" s="6" t="s">
        <v>4123</v>
      </c>
      <c r="C2257" s="6" t="s">
        <v>4236</v>
      </c>
      <c r="D2257" s="7">
        <v>98</v>
      </c>
      <c r="E2257" s="6" t="s">
        <v>5970</v>
      </c>
      <c r="F2257" s="6" t="s">
        <v>5631</v>
      </c>
      <c r="G2257" s="6" t="s">
        <v>5632</v>
      </c>
      <c r="H2257" s="8"/>
      <c r="I2257" s="8">
        <v>143</v>
      </c>
      <c r="J2257" s="6"/>
      <c r="K2257" s="6" t="s">
        <v>2780</v>
      </c>
      <c r="L2257" s="6"/>
      <c r="M2257" s="6"/>
      <c r="N2257" s="6" t="s">
        <v>2780</v>
      </c>
      <c r="O2257" s="29">
        <f t="shared" si="53"/>
        <v>143</v>
      </c>
      <c r="Q2257" s="30" t="s">
        <v>2780</v>
      </c>
      <c r="R2257" s="31">
        <v>143</v>
      </c>
    </row>
    <row r="2258" s="1" customFormat="1" ht="16.35" hidden="1" customHeight="1" spans="1:18">
      <c r="A2258" s="6"/>
      <c r="B2258" s="6" t="s">
        <v>4123</v>
      </c>
      <c r="C2258" s="6" t="s">
        <v>4236</v>
      </c>
      <c r="D2258" s="7">
        <v>99</v>
      </c>
      <c r="E2258" s="6" t="s">
        <v>5971</v>
      </c>
      <c r="F2258" s="6" t="s">
        <v>5631</v>
      </c>
      <c r="G2258" s="6" t="s">
        <v>5632</v>
      </c>
      <c r="H2258" s="8"/>
      <c r="I2258" s="8">
        <v>413</v>
      </c>
      <c r="J2258" s="6"/>
      <c r="K2258" s="6" t="s">
        <v>2780</v>
      </c>
      <c r="L2258" s="6"/>
      <c r="M2258" s="6"/>
      <c r="N2258" s="6" t="s">
        <v>2780</v>
      </c>
      <c r="O2258" s="29">
        <f t="shared" si="53"/>
        <v>413</v>
      </c>
      <c r="Q2258" s="30" t="s">
        <v>2780</v>
      </c>
      <c r="R2258" s="31">
        <v>413</v>
      </c>
    </row>
    <row r="2259" s="1" customFormat="1" ht="16.35" hidden="1" customHeight="1" spans="1:18">
      <c r="A2259" s="6"/>
      <c r="B2259" s="6" t="s">
        <v>4123</v>
      </c>
      <c r="C2259" s="6" t="s">
        <v>4236</v>
      </c>
      <c r="D2259" s="7">
        <v>99</v>
      </c>
      <c r="E2259" s="6" t="s">
        <v>5972</v>
      </c>
      <c r="F2259" s="6" t="s">
        <v>5631</v>
      </c>
      <c r="G2259" s="6" t="s">
        <v>5632</v>
      </c>
      <c r="H2259" s="8"/>
      <c r="I2259" s="8">
        <v>5928</v>
      </c>
      <c r="J2259" s="6"/>
      <c r="K2259" s="6" t="s">
        <v>2780</v>
      </c>
      <c r="L2259" s="6"/>
      <c r="M2259" s="6"/>
      <c r="N2259" s="6" t="s">
        <v>2780</v>
      </c>
      <c r="O2259" s="29">
        <f t="shared" si="53"/>
        <v>5928</v>
      </c>
      <c r="Q2259" s="30" t="s">
        <v>2780</v>
      </c>
      <c r="R2259" s="31">
        <v>5928</v>
      </c>
    </row>
    <row r="2260" s="1" customFormat="1" ht="16.35" hidden="1" customHeight="1" spans="1:18">
      <c r="A2260" s="6"/>
      <c r="B2260" s="6" t="s">
        <v>4123</v>
      </c>
      <c r="C2260" s="6" t="s">
        <v>4236</v>
      </c>
      <c r="D2260" s="7">
        <v>99</v>
      </c>
      <c r="E2260" s="6" t="s">
        <v>5973</v>
      </c>
      <c r="F2260" s="6" t="s">
        <v>5631</v>
      </c>
      <c r="G2260" s="6" t="s">
        <v>5632</v>
      </c>
      <c r="H2260" s="8"/>
      <c r="I2260" s="8">
        <v>413</v>
      </c>
      <c r="J2260" s="6"/>
      <c r="K2260" s="6" t="s">
        <v>2079</v>
      </c>
      <c r="L2260" s="6"/>
      <c r="M2260" s="6"/>
      <c r="N2260" s="6" t="s">
        <v>2079</v>
      </c>
      <c r="O2260" s="29">
        <f t="shared" si="53"/>
        <v>413</v>
      </c>
      <c r="Q2260" s="30" t="s">
        <v>2079</v>
      </c>
      <c r="R2260" s="31">
        <v>413</v>
      </c>
    </row>
    <row r="2261" s="1" customFormat="1" ht="16.35" hidden="1" customHeight="1" spans="1:18">
      <c r="A2261" s="6"/>
      <c r="B2261" s="6" t="s">
        <v>4123</v>
      </c>
      <c r="C2261" s="6" t="s">
        <v>4236</v>
      </c>
      <c r="D2261" s="7">
        <v>99</v>
      </c>
      <c r="E2261" s="6" t="s">
        <v>5974</v>
      </c>
      <c r="F2261" s="6" t="s">
        <v>5631</v>
      </c>
      <c r="G2261" s="6" t="s">
        <v>5632</v>
      </c>
      <c r="H2261" s="8"/>
      <c r="I2261" s="8">
        <v>165</v>
      </c>
      <c r="J2261" s="6"/>
      <c r="K2261" s="6" t="s">
        <v>2079</v>
      </c>
      <c r="L2261" s="6"/>
      <c r="M2261" s="6"/>
      <c r="N2261" s="6" t="s">
        <v>2079</v>
      </c>
      <c r="O2261" s="29">
        <f t="shared" si="53"/>
        <v>165</v>
      </c>
      <c r="Q2261" s="30" t="s">
        <v>2079</v>
      </c>
      <c r="R2261" s="31">
        <v>165</v>
      </c>
    </row>
    <row r="2262" s="1" customFormat="1" ht="16.35" hidden="1" customHeight="1" spans="1:18">
      <c r="A2262" s="6"/>
      <c r="B2262" s="6" t="s">
        <v>4123</v>
      </c>
      <c r="C2262" s="6" t="s">
        <v>4236</v>
      </c>
      <c r="D2262" s="7">
        <v>99</v>
      </c>
      <c r="E2262" s="6" t="s">
        <v>5975</v>
      </c>
      <c r="F2262" s="6" t="s">
        <v>5631</v>
      </c>
      <c r="G2262" s="6" t="s">
        <v>5632</v>
      </c>
      <c r="H2262" s="8"/>
      <c r="I2262" s="8">
        <v>4128</v>
      </c>
      <c r="J2262" s="6"/>
      <c r="K2262" s="6" t="s">
        <v>2002</v>
      </c>
      <c r="L2262" s="6"/>
      <c r="M2262" s="6"/>
      <c r="N2262" s="6" t="s">
        <v>2002</v>
      </c>
      <c r="O2262" s="29">
        <f t="shared" si="53"/>
        <v>4128</v>
      </c>
      <c r="Q2262" s="30" t="s">
        <v>2002</v>
      </c>
      <c r="R2262" s="31">
        <v>4128</v>
      </c>
    </row>
    <row r="2263" s="1" customFormat="1" ht="16.35" hidden="1" customHeight="1" spans="1:18">
      <c r="A2263" s="6"/>
      <c r="B2263" s="6" t="s">
        <v>4123</v>
      </c>
      <c r="C2263" s="6" t="s">
        <v>4236</v>
      </c>
      <c r="D2263" s="7">
        <v>98</v>
      </c>
      <c r="E2263" s="6" t="s">
        <v>5976</v>
      </c>
      <c r="F2263" s="6" t="s">
        <v>5631</v>
      </c>
      <c r="G2263" s="6" t="s">
        <v>5632</v>
      </c>
      <c r="H2263" s="8"/>
      <c r="I2263" s="8">
        <v>95</v>
      </c>
      <c r="J2263" s="6"/>
      <c r="K2263" s="6" t="s">
        <v>2059</v>
      </c>
      <c r="L2263" s="6"/>
      <c r="M2263" s="6"/>
      <c r="N2263" s="6" t="s">
        <v>2059</v>
      </c>
      <c r="O2263" s="29">
        <f t="shared" si="53"/>
        <v>95</v>
      </c>
      <c r="Q2263" s="30" t="s">
        <v>2059</v>
      </c>
      <c r="R2263" s="31">
        <v>95</v>
      </c>
    </row>
    <row r="2264" s="1" customFormat="1" ht="16.35" hidden="1" customHeight="1" spans="1:18">
      <c r="A2264" s="6"/>
      <c r="B2264" s="6" t="s">
        <v>4123</v>
      </c>
      <c r="C2264" s="6" t="s">
        <v>4236</v>
      </c>
      <c r="D2264" s="7">
        <v>99</v>
      </c>
      <c r="E2264" s="6" t="s">
        <v>5977</v>
      </c>
      <c r="F2264" s="6" t="s">
        <v>5631</v>
      </c>
      <c r="G2264" s="6" t="s">
        <v>5632</v>
      </c>
      <c r="H2264" s="8"/>
      <c r="I2264" s="8">
        <v>2697</v>
      </c>
      <c r="J2264" s="6"/>
      <c r="K2264" s="6" t="s">
        <v>2059</v>
      </c>
      <c r="L2264" s="6"/>
      <c r="M2264" s="6"/>
      <c r="N2264" s="6" t="s">
        <v>2059</v>
      </c>
      <c r="O2264" s="29">
        <f t="shared" si="53"/>
        <v>2697</v>
      </c>
      <c r="Q2264" s="30" t="s">
        <v>2059</v>
      </c>
      <c r="R2264" s="31">
        <v>2697</v>
      </c>
    </row>
    <row r="2265" s="1" customFormat="1" ht="16.35" hidden="1" customHeight="1" spans="1:18">
      <c r="A2265" s="6"/>
      <c r="B2265" s="6" t="s">
        <v>4123</v>
      </c>
      <c r="C2265" s="6" t="s">
        <v>4236</v>
      </c>
      <c r="D2265" s="7">
        <v>99</v>
      </c>
      <c r="E2265" s="6" t="s">
        <v>5978</v>
      </c>
      <c r="F2265" s="6" t="s">
        <v>5631</v>
      </c>
      <c r="G2265" s="6" t="s">
        <v>5632</v>
      </c>
      <c r="H2265" s="8"/>
      <c r="I2265" s="8">
        <v>826</v>
      </c>
      <c r="J2265" s="6"/>
      <c r="K2265" s="6" t="s">
        <v>2059</v>
      </c>
      <c r="L2265" s="6"/>
      <c r="M2265" s="6"/>
      <c r="N2265" s="6" t="s">
        <v>2059</v>
      </c>
      <c r="O2265" s="29">
        <f t="shared" si="53"/>
        <v>826</v>
      </c>
      <c r="Q2265" s="30" t="s">
        <v>2059</v>
      </c>
      <c r="R2265" s="31">
        <v>826</v>
      </c>
    </row>
    <row r="2266" s="1" customFormat="1" ht="16.35" hidden="1" customHeight="1" spans="1:18">
      <c r="A2266" s="6"/>
      <c r="B2266" s="6" t="s">
        <v>4123</v>
      </c>
      <c r="C2266" s="6" t="s">
        <v>4236</v>
      </c>
      <c r="D2266" s="7">
        <v>99</v>
      </c>
      <c r="E2266" s="6" t="s">
        <v>5979</v>
      </c>
      <c r="F2266" s="6" t="s">
        <v>5631</v>
      </c>
      <c r="G2266" s="6" t="s">
        <v>5632</v>
      </c>
      <c r="H2266" s="8"/>
      <c r="I2266" s="8">
        <v>111</v>
      </c>
      <c r="J2266" s="6"/>
      <c r="K2266" s="6" t="s">
        <v>2059</v>
      </c>
      <c r="L2266" s="6"/>
      <c r="M2266" s="6"/>
      <c r="N2266" s="6" t="s">
        <v>2059</v>
      </c>
      <c r="O2266" s="29">
        <f t="shared" si="53"/>
        <v>111</v>
      </c>
      <c r="Q2266" s="30" t="s">
        <v>2059</v>
      </c>
      <c r="R2266" s="31">
        <v>111</v>
      </c>
    </row>
    <row r="2267" s="1" customFormat="1" ht="16.35" hidden="1" customHeight="1" spans="1:18">
      <c r="A2267" s="6"/>
      <c r="B2267" s="6" t="s">
        <v>4123</v>
      </c>
      <c r="C2267" s="6" t="s">
        <v>4236</v>
      </c>
      <c r="D2267" s="7">
        <v>99</v>
      </c>
      <c r="E2267" s="6" t="s">
        <v>5980</v>
      </c>
      <c r="F2267" s="6" t="s">
        <v>5631</v>
      </c>
      <c r="G2267" s="6" t="s">
        <v>5632</v>
      </c>
      <c r="H2267" s="8"/>
      <c r="I2267" s="8">
        <v>5697</v>
      </c>
      <c r="J2267" s="6"/>
      <c r="K2267" s="6" t="s">
        <v>2059</v>
      </c>
      <c r="L2267" s="6"/>
      <c r="M2267" s="6"/>
      <c r="N2267" s="6" t="s">
        <v>2059</v>
      </c>
      <c r="O2267" s="29">
        <f t="shared" si="53"/>
        <v>5697</v>
      </c>
      <c r="Q2267" s="30" t="s">
        <v>2059</v>
      </c>
      <c r="R2267" s="31">
        <v>5697</v>
      </c>
    </row>
    <row r="2268" s="1" customFormat="1" ht="16.35" hidden="1" customHeight="1" spans="1:18">
      <c r="A2268" s="6"/>
      <c r="B2268" s="6" t="s">
        <v>4123</v>
      </c>
      <c r="C2268" s="6" t="s">
        <v>4236</v>
      </c>
      <c r="D2268" s="7">
        <v>99</v>
      </c>
      <c r="E2268" s="6" t="s">
        <v>5981</v>
      </c>
      <c r="F2268" s="6" t="s">
        <v>5631</v>
      </c>
      <c r="G2268" s="6" t="s">
        <v>5632</v>
      </c>
      <c r="H2268" s="8"/>
      <c r="I2268" s="8">
        <v>83</v>
      </c>
      <c r="J2268" s="6"/>
      <c r="K2268" s="6" t="s">
        <v>2059</v>
      </c>
      <c r="L2268" s="6"/>
      <c r="M2268" s="6"/>
      <c r="N2268" s="6" t="s">
        <v>2059</v>
      </c>
      <c r="O2268" s="29">
        <f t="shared" si="53"/>
        <v>83</v>
      </c>
      <c r="Q2268" s="30" t="s">
        <v>2059</v>
      </c>
      <c r="R2268" s="31">
        <v>83</v>
      </c>
    </row>
    <row r="2269" s="1" customFormat="1" ht="16.35" hidden="1" customHeight="1" spans="1:18">
      <c r="A2269" s="6"/>
      <c r="B2269" s="6" t="s">
        <v>4123</v>
      </c>
      <c r="C2269" s="6" t="s">
        <v>4236</v>
      </c>
      <c r="D2269" s="7">
        <v>99</v>
      </c>
      <c r="E2269" s="6" t="s">
        <v>5982</v>
      </c>
      <c r="F2269" s="6" t="s">
        <v>5631</v>
      </c>
      <c r="G2269" s="6" t="s">
        <v>5632</v>
      </c>
      <c r="H2269" s="8"/>
      <c r="I2269" s="8">
        <v>12303</v>
      </c>
      <c r="J2269" s="6"/>
      <c r="K2269" s="6" t="s">
        <v>2803</v>
      </c>
      <c r="L2269" s="6"/>
      <c r="M2269" s="6"/>
      <c r="N2269" s="6" t="s">
        <v>2803</v>
      </c>
      <c r="O2269" s="29">
        <f t="shared" si="53"/>
        <v>12303</v>
      </c>
      <c r="Q2269" s="30" t="s">
        <v>2803</v>
      </c>
      <c r="R2269" s="31">
        <v>12303</v>
      </c>
    </row>
    <row r="2270" s="1" customFormat="1" ht="16.35" hidden="1" customHeight="1" spans="1:18">
      <c r="A2270" s="6"/>
      <c r="B2270" s="6" t="s">
        <v>4123</v>
      </c>
      <c r="C2270" s="6" t="s">
        <v>4236</v>
      </c>
      <c r="D2270" s="7">
        <v>99</v>
      </c>
      <c r="E2270" s="6" t="s">
        <v>5983</v>
      </c>
      <c r="F2270" s="6" t="s">
        <v>5631</v>
      </c>
      <c r="G2270" s="6" t="s">
        <v>5632</v>
      </c>
      <c r="H2270" s="8"/>
      <c r="I2270" s="8">
        <v>9908</v>
      </c>
      <c r="J2270" s="6"/>
      <c r="K2270" s="6" t="s">
        <v>2803</v>
      </c>
      <c r="L2270" s="6"/>
      <c r="M2270" s="6"/>
      <c r="N2270" s="6" t="s">
        <v>2803</v>
      </c>
      <c r="O2270" s="29">
        <f t="shared" si="53"/>
        <v>9908</v>
      </c>
      <c r="Q2270" s="30" t="s">
        <v>2803</v>
      </c>
      <c r="R2270" s="31">
        <v>9908</v>
      </c>
    </row>
    <row r="2271" s="1" customFormat="1" ht="16.35" hidden="1" customHeight="1" spans="1:18">
      <c r="A2271" s="6"/>
      <c r="B2271" s="6" t="s">
        <v>4123</v>
      </c>
      <c r="C2271" s="6" t="s">
        <v>4236</v>
      </c>
      <c r="D2271" s="7">
        <v>99</v>
      </c>
      <c r="E2271" s="6" t="s">
        <v>5984</v>
      </c>
      <c r="F2271" s="6" t="s">
        <v>5631</v>
      </c>
      <c r="G2271" s="6" t="s">
        <v>5632</v>
      </c>
      <c r="H2271" s="8"/>
      <c r="I2271" s="8">
        <v>826</v>
      </c>
      <c r="J2271" s="6"/>
      <c r="K2271" s="6" t="s">
        <v>2123</v>
      </c>
      <c r="L2271" s="6"/>
      <c r="M2271" s="6"/>
      <c r="N2271" s="6" t="s">
        <v>2123</v>
      </c>
      <c r="O2271" s="29">
        <f t="shared" si="53"/>
        <v>826</v>
      </c>
      <c r="Q2271" s="30" t="s">
        <v>2123</v>
      </c>
      <c r="R2271" s="31">
        <v>826</v>
      </c>
    </row>
    <row r="2272" s="1" customFormat="1" ht="16.35" hidden="1" customHeight="1" spans="1:18">
      <c r="A2272" s="6"/>
      <c r="B2272" s="6" t="s">
        <v>4123</v>
      </c>
      <c r="C2272" s="6" t="s">
        <v>4236</v>
      </c>
      <c r="D2272" s="7">
        <v>99</v>
      </c>
      <c r="E2272" s="6" t="s">
        <v>5985</v>
      </c>
      <c r="F2272" s="6" t="s">
        <v>5631</v>
      </c>
      <c r="G2272" s="6" t="s">
        <v>5632</v>
      </c>
      <c r="H2272" s="8"/>
      <c r="I2272" s="12">
        <v>3756</v>
      </c>
      <c r="J2272" s="6"/>
      <c r="K2272" s="6" t="s">
        <v>2181</v>
      </c>
      <c r="L2272" s="6"/>
      <c r="M2272" s="6"/>
      <c r="N2272" s="6" t="s">
        <v>2181</v>
      </c>
      <c r="O2272" s="29">
        <f t="shared" si="53"/>
        <v>3756</v>
      </c>
      <c r="Q2272" s="30" t="s">
        <v>2181</v>
      </c>
      <c r="R2272" s="31">
        <v>3756</v>
      </c>
    </row>
    <row r="2273" s="1" customFormat="1" ht="16.35" hidden="1" customHeight="1" spans="1:18">
      <c r="A2273" s="6"/>
      <c r="B2273" s="6" t="s">
        <v>4123</v>
      </c>
      <c r="C2273" s="6" t="s">
        <v>4236</v>
      </c>
      <c r="D2273" s="7">
        <v>99</v>
      </c>
      <c r="E2273" s="6" t="s">
        <v>5986</v>
      </c>
      <c r="F2273" s="6" t="s">
        <v>5631</v>
      </c>
      <c r="G2273" s="6" t="s">
        <v>5632</v>
      </c>
      <c r="H2273" s="8"/>
      <c r="I2273" s="8">
        <v>413</v>
      </c>
      <c r="J2273" s="6"/>
      <c r="K2273" s="6" t="s">
        <v>2181</v>
      </c>
      <c r="L2273" s="6"/>
      <c r="M2273" s="6"/>
      <c r="N2273" s="6" t="s">
        <v>2181</v>
      </c>
      <c r="O2273" s="29">
        <f t="shared" si="53"/>
        <v>413</v>
      </c>
      <c r="Q2273" s="30" t="s">
        <v>2181</v>
      </c>
      <c r="R2273" s="31">
        <v>413</v>
      </c>
    </row>
    <row r="2274" s="1" customFormat="1" ht="16.35" hidden="1" customHeight="1" spans="1:18">
      <c r="A2274" s="6"/>
      <c r="B2274" s="6" t="s">
        <v>4123</v>
      </c>
      <c r="C2274" s="6" t="s">
        <v>4236</v>
      </c>
      <c r="D2274" s="7">
        <v>99</v>
      </c>
      <c r="E2274" s="6" t="s">
        <v>5987</v>
      </c>
      <c r="F2274" s="6" t="s">
        <v>5631</v>
      </c>
      <c r="G2274" s="6" t="s">
        <v>5632</v>
      </c>
      <c r="H2274" s="8"/>
      <c r="I2274" s="12">
        <v>8257</v>
      </c>
      <c r="J2274" s="6"/>
      <c r="K2274" s="6" t="s">
        <v>2181</v>
      </c>
      <c r="L2274" s="6"/>
      <c r="M2274" s="6"/>
      <c r="N2274" s="6" t="s">
        <v>2181</v>
      </c>
      <c r="O2274" s="29">
        <f t="shared" si="53"/>
        <v>8257</v>
      </c>
      <c r="Q2274" s="30" t="s">
        <v>2181</v>
      </c>
      <c r="R2274" s="31">
        <v>8257</v>
      </c>
    </row>
    <row r="2275" s="1" customFormat="1" ht="16.35" hidden="1" customHeight="1" spans="1:18">
      <c r="A2275" s="6"/>
      <c r="B2275" s="6" t="s">
        <v>4123</v>
      </c>
      <c r="C2275" s="6" t="s">
        <v>4236</v>
      </c>
      <c r="D2275" s="7">
        <v>1</v>
      </c>
      <c r="E2275" s="6" t="s">
        <v>5988</v>
      </c>
      <c r="F2275" s="6" t="s">
        <v>5631</v>
      </c>
      <c r="G2275" s="6" t="s">
        <v>5632</v>
      </c>
      <c r="H2275" s="8"/>
      <c r="I2275" s="8">
        <v>15000</v>
      </c>
      <c r="J2275" s="6"/>
      <c r="K2275" s="6" t="s">
        <v>2303</v>
      </c>
      <c r="L2275" s="6"/>
      <c r="M2275" s="6"/>
      <c r="N2275" s="6" t="s">
        <v>2303</v>
      </c>
      <c r="O2275" s="29">
        <f t="shared" si="53"/>
        <v>15000</v>
      </c>
      <c r="Q2275" s="30" t="s">
        <v>2303</v>
      </c>
      <c r="R2275" s="31">
        <v>15000</v>
      </c>
    </row>
    <row r="2276" s="1" customFormat="1" ht="16.35" hidden="1" customHeight="1" spans="1:18">
      <c r="A2276" s="6"/>
      <c r="B2276" s="6" t="s">
        <v>4123</v>
      </c>
      <c r="C2276" s="6" t="s">
        <v>4236</v>
      </c>
      <c r="D2276" s="7">
        <v>32</v>
      </c>
      <c r="E2276" s="6" t="s">
        <v>5989</v>
      </c>
      <c r="F2276" s="6" t="s">
        <v>5631</v>
      </c>
      <c r="G2276" s="6" t="s">
        <v>5632</v>
      </c>
      <c r="H2276" s="8"/>
      <c r="I2276" s="8">
        <v>4000</v>
      </c>
      <c r="J2276" s="6"/>
      <c r="K2276" s="6" t="s">
        <v>2303</v>
      </c>
      <c r="L2276" s="6"/>
      <c r="M2276" s="6"/>
      <c r="N2276" s="6" t="s">
        <v>2303</v>
      </c>
      <c r="O2276" s="29">
        <f t="shared" si="53"/>
        <v>4000</v>
      </c>
      <c r="Q2276" s="30" t="s">
        <v>2303</v>
      </c>
      <c r="R2276" s="31">
        <v>4000</v>
      </c>
    </row>
    <row r="2277" s="1" customFormat="1" ht="16.35" hidden="1" customHeight="1" spans="1:18">
      <c r="A2277" s="6"/>
      <c r="B2277" s="6" t="s">
        <v>4123</v>
      </c>
      <c r="C2277" s="6" t="s">
        <v>4236</v>
      </c>
      <c r="D2277" s="7">
        <v>99</v>
      </c>
      <c r="E2277" s="6" t="s">
        <v>5990</v>
      </c>
      <c r="F2277" s="6" t="s">
        <v>5631</v>
      </c>
      <c r="G2277" s="6" t="s">
        <v>5632</v>
      </c>
      <c r="H2277" s="8"/>
      <c r="I2277" s="8">
        <v>330</v>
      </c>
      <c r="J2277" s="6"/>
      <c r="K2277" s="6" t="s">
        <v>2825</v>
      </c>
      <c r="L2277" s="6"/>
      <c r="M2277" s="6"/>
      <c r="N2277" s="6" t="s">
        <v>2825</v>
      </c>
      <c r="O2277" s="29">
        <f t="shared" si="53"/>
        <v>330</v>
      </c>
      <c r="Q2277" s="30" t="s">
        <v>2825</v>
      </c>
      <c r="R2277" s="31">
        <v>330</v>
      </c>
    </row>
    <row r="2278" s="1" customFormat="1" ht="16.35" hidden="1" customHeight="1" spans="1:18">
      <c r="A2278" s="6"/>
      <c r="B2278" s="6" t="s">
        <v>4123</v>
      </c>
      <c r="C2278" s="6" t="s">
        <v>4236</v>
      </c>
      <c r="D2278" s="7">
        <v>99</v>
      </c>
      <c r="E2278" s="6" t="s">
        <v>5991</v>
      </c>
      <c r="F2278" s="6" t="s">
        <v>5631</v>
      </c>
      <c r="G2278" s="6" t="s">
        <v>5632</v>
      </c>
      <c r="H2278" s="8"/>
      <c r="I2278" s="8">
        <v>8063</v>
      </c>
      <c r="J2278" s="6"/>
      <c r="K2278" s="6" t="s">
        <v>2825</v>
      </c>
      <c r="L2278" s="6"/>
      <c r="M2278" s="6"/>
      <c r="N2278" s="6" t="s">
        <v>2825</v>
      </c>
      <c r="O2278" s="29">
        <f t="shared" si="53"/>
        <v>8063</v>
      </c>
      <c r="Q2278" s="30" t="s">
        <v>2825</v>
      </c>
      <c r="R2278" s="31">
        <v>8063</v>
      </c>
    </row>
    <row r="2279" s="1" customFormat="1" ht="16.35" hidden="1" customHeight="1" spans="1:18">
      <c r="A2279" s="6"/>
      <c r="B2279" s="6" t="s">
        <v>4123</v>
      </c>
      <c r="C2279" s="6" t="s">
        <v>4236</v>
      </c>
      <c r="D2279" s="7">
        <v>99</v>
      </c>
      <c r="E2279" s="6" t="s">
        <v>5992</v>
      </c>
      <c r="F2279" s="6" t="s">
        <v>5631</v>
      </c>
      <c r="G2279" s="6" t="s">
        <v>5632</v>
      </c>
      <c r="H2279" s="8"/>
      <c r="I2279" s="8">
        <v>5845</v>
      </c>
      <c r="J2279" s="6"/>
      <c r="K2279" s="6" t="s">
        <v>2237</v>
      </c>
      <c r="L2279" s="6"/>
      <c r="M2279" s="6"/>
      <c r="N2279" s="6" t="s">
        <v>2237</v>
      </c>
      <c r="O2279" s="29">
        <f t="shared" si="53"/>
        <v>5845</v>
      </c>
      <c r="Q2279" s="30" t="s">
        <v>2237</v>
      </c>
      <c r="R2279" s="31">
        <v>5845</v>
      </c>
    </row>
    <row r="2280" s="1" customFormat="1" ht="16.35" hidden="1" customHeight="1" spans="1:18">
      <c r="A2280" s="6"/>
      <c r="B2280" s="6" t="s">
        <v>4123</v>
      </c>
      <c r="C2280" s="6" t="s">
        <v>4236</v>
      </c>
      <c r="D2280" s="7">
        <v>99</v>
      </c>
      <c r="E2280" s="6" t="s">
        <v>5993</v>
      </c>
      <c r="F2280" s="6" t="s">
        <v>5631</v>
      </c>
      <c r="G2280" s="6" t="s">
        <v>5632</v>
      </c>
      <c r="H2280" s="8"/>
      <c r="I2280" s="8">
        <v>413</v>
      </c>
      <c r="J2280" s="6"/>
      <c r="K2280" s="6" t="s">
        <v>2237</v>
      </c>
      <c r="L2280" s="6"/>
      <c r="M2280" s="6"/>
      <c r="N2280" s="6" t="s">
        <v>2237</v>
      </c>
      <c r="O2280" s="29">
        <f t="shared" si="53"/>
        <v>413</v>
      </c>
      <c r="Q2280" s="30" t="s">
        <v>2237</v>
      </c>
      <c r="R2280" s="31">
        <v>413</v>
      </c>
    </row>
    <row r="2281" s="1" customFormat="1" ht="16.35" hidden="1" customHeight="1" spans="1:18">
      <c r="A2281" s="6"/>
      <c r="B2281" s="6" t="s">
        <v>4123</v>
      </c>
      <c r="C2281" s="6" t="s">
        <v>4236</v>
      </c>
      <c r="D2281" s="7">
        <v>99</v>
      </c>
      <c r="E2281" s="6" t="s">
        <v>5994</v>
      </c>
      <c r="F2281" s="6" t="s">
        <v>5631</v>
      </c>
      <c r="G2281" s="6" t="s">
        <v>5632</v>
      </c>
      <c r="H2281" s="8"/>
      <c r="I2281" s="8">
        <v>5856</v>
      </c>
      <c r="J2281" s="6"/>
      <c r="K2281" s="6" t="s">
        <v>2237</v>
      </c>
      <c r="L2281" s="6"/>
      <c r="M2281" s="6"/>
      <c r="N2281" s="6" t="s">
        <v>2237</v>
      </c>
      <c r="O2281" s="29">
        <f t="shared" si="53"/>
        <v>5856</v>
      </c>
      <c r="Q2281" s="30" t="s">
        <v>2237</v>
      </c>
      <c r="R2281" s="31">
        <v>5856</v>
      </c>
    </row>
    <row r="2282" s="1" customFormat="1" ht="16.35" hidden="1" customHeight="1" spans="1:18">
      <c r="A2282" s="6"/>
      <c r="B2282" s="6" t="s">
        <v>4123</v>
      </c>
      <c r="C2282" s="6" t="s">
        <v>4236</v>
      </c>
      <c r="D2282" s="7">
        <v>99</v>
      </c>
      <c r="E2282" s="6" t="s">
        <v>5995</v>
      </c>
      <c r="F2282" s="6" t="s">
        <v>5631</v>
      </c>
      <c r="G2282" s="6" t="s">
        <v>5632</v>
      </c>
      <c r="H2282" s="8"/>
      <c r="I2282" s="8">
        <v>14037</v>
      </c>
      <c r="J2282" s="6"/>
      <c r="K2282" s="6" t="s">
        <v>2237</v>
      </c>
      <c r="L2282" s="6"/>
      <c r="M2282" s="6"/>
      <c r="N2282" s="6" t="s">
        <v>2237</v>
      </c>
      <c r="O2282" s="29">
        <f t="shared" si="53"/>
        <v>14037</v>
      </c>
      <c r="Q2282" s="30" t="s">
        <v>2237</v>
      </c>
      <c r="R2282" s="31">
        <v>14037</v>
      </c>
    </row>
    <row r="2283" s="1" customFormat="1" ht="16.35" hidden="1" customHeight="1" spans="1:18">
      <c r="A2283" s="6"/>
      <c r="B2283" s="6" t="s">
        <v>4123</v>
      </c>
      <c r="C2283" s="6" t="s">
        <v>4236</v>
      </c>
      <c r="D2283" s="7">
        <v>2</v>
      </c>
      <c r="E2283" s="6" t="s">
        <v>5996</v>
      </c>
      <c r="F2283" s="6" t="s">
        <v>5631</v>
      </c>
      <c r="G2283" s="6" t="s">
        <v>5632</v>
      </c>
      <c r="H2283" s="8"/>
      <c r="I2283" s="8">
        <v>4000</v>
      </c>
      <c r="J2283" s="6"/>
      <c r="K2283" s="6" t="s">
        <v>2833</v>
      </c>
      <c r="L2283" s="6"/>
      <c r="M2283" s="6"/>
      <c r="N2283" s="6" t="s">
        <v>2833</v>
      </c>
      <c r="O2283" s="29">
        <f t="shared" si="53"/>
        <v>4000</v>
      </c>
      <c r="Q2283" s="30" t="s">
        <v>2833</v>
      </c>
      <c r="R2283" s="31">
        <v>4000</v>
      </c>
    </row>
    <row r="2284" s="1" customFormat="1" ht="16.35" hidden="1" customHeight="1" spans="1:18">
      <c r="A2284" s="6"/>
      <c r="B2284" s="6" t="s">
        <v>4123</v>
      </c>
      <c r="C2284" s="6" t="s">
        <v>4236</v>
      </c>
      <c r="D2284" s="7">
        <v>99</v>
      </c>
      <c r="E2284" s="6" t="s">
        <v>5997</v>
      </c>
      <c r="F2284" s="6" t="s">
        <v>5631</v>
      </c>
      <c r="G2284" s="6" t="s">
        <v>5632</v>
      </c>
      <c r="H2284" s="8"/>
      <c r="I2284" s="8">
        <v>6639</v>
      </c>
      <c r="J2284" s="6"/>
      <c r="K2284" s="6" t="s">
        <v>2362</v>
      </c>
      <c r="L2284" s="6"/>
      <c r="M2284" s="6"/>
      <c r="N2284" s="6" t="s">
        <v>2362</v>
      </c>
      <c r="O2284" s="29">
        <f t="shared" si="53"/>
        <v>6639</v>
      </c>
      <c r="Q2284" s="30" t="s">
        <v>2362</v>
      </c>
      <c r="R2284" s="31">
        <v>6639</v>
      </c>
    </row>
    <row r="2285" s="1" customFormat="1" ht="16.35" hidden="1" customHeight="1" spans="1:18">
      <c r="A2285" s="6"/>
      <c r="B2285" s="6" t="s">
        <v>4123</v>
      </c>
      <c r="C2285" s="6" t="s">
        <v>4236</v>
      </c>
      <c r="D2285" s="7">
        <v>38</v>
      </c>
      <c r="E2285" s="6" t="s">
        <v>5998</v>
      </c>
      <c r="F2285" s="6" t="s">
        <v>5631</v>
      </c>
      <c r="G2285" s="6" t="s">
        <v>5632</v>
      </c>
      <c r="H2285" s="8"/>
      <c r="I2285" s="8">
        <v>5000</v>
      </c>
      <c r="J2285" s="6"/>
      <c r="K2285" s="6" t="s">
        <v>2370</v>
      </c>
      <c r="L2285" s="6"/>
      <c r="M2285" s="6"/>
      <c r="N2285" s="6" t="s">
        <v>2370</v>
      </c>
      <c r="O2285" s="29">
        <f t="shared" si="53"/>
        <v>5000</v>
      </c>
      <c r="Q2285" s="30" t="s">
        <v>2370</v>
      </c>
      <c r="R2285" s="31">
        <v>5000</v>
      </c>
    </row>
    <row r="2286" s="1" customFormat="1" ht="16.35" hidden="1" customHeight="1" spans="1:18">
      <c r="A2286" s="6"/>
      <c r="B2286" s="6" t="s">
        <v>4123</v>
      </c>
      <c r="C2286" s="6" t="s">
        <v>4236</v>
      </c>
      <c r="D2286" s="7">
        <v>30</v>
      </c>
      <c r="E2286" s="6" t="s">
        <v>5999</v>
      </c>
      <c r="F2286" s="6" t="s">
        <v>5631</v>
      </c>
      <c r="G2286" s="6" t="s">
        <v>5632</v>
      </c>
      <c r="H2286" s="8"/>
      <c r="I2286" s="8">
        <v>68333</v>
      </c>
      <c r="J2286" s="6"/>
      <c r="K2286" s="6" t="s">
        <v>2370</v>
      </c>
      <c r="L2286" s="6"/>
      <c r="M2286" s="6"/>
      <c r="N2286" s="6" t="s">
        <v>2370</v>
      </c>
      <c r="O2286" s="29">
        <f t="shared" si="53"/>
        <v>68333</v>
      </c>
      <c r="Q2286" s="30" t="s">
        <v>2370</v>
      </c>
      <c r="R2286" s="31">
        <v>68333</v>
      </c>
    </row>
    <row r="2287" s="1" customFormat="1" ht="16.35" hidden="1" customHeight="1" spans="1:18">
      <c r="A2287" s="6"/>
      <c r="B2287" s="6" t="s">
        <v>4123</v>
      </c>
      <c r="C2287" s="6" t="s">
        <v>4236</v>
      </c>
      <c r="D2287" s="7">
        <v>99</v>
      </c>
      <c r="E2287" s="6" t="s">
        <v>6000</v>
      </c>
      <c r="F2287" s="6" t="s">
        <v>5631</v>
      </c>
      <c r="G2287" s="6" t="s">
        <v>5632</v>
      </c>
      <c r="H2287" s="8"/>
      <c r="I2287" s="8">
        <v>826</v>
      </c>
      <c r="J2287" s="6"/>
      <c r="K2287" s="6" t="s">
        <v>2873</v>
      </c>
      <c r="L2287" s="6"/>
      <c r="M2287" s="6"/>
      <c r="N2287" s="6" t="s">
        <v>2873</v>
      </c>
      <c r="O2287" s="29">
        <f t="shared" si="53"/>
        <v>826</v>
      </c>
      <c r="Q2287" s="30" t="s">
        <v>2873</v>
      </c>
      <c r="R2287" s="31">
        <v>826</v>
      </c>
    </row>
    <row r="2288" s="1" customFormat="1" ht="16.35" hidden="1" customHeight="1" spans="1:18">
      <c r="A2288" s="6"/>
      <c r="B2288" s="6" t="s">
        <v>4123</v>
      </c>
      <c r="C2288" s="6" t="s">
        <v>4236</v>
      </c>
      <c r="D2288" s="7">
        <v>99</v>
      </c>
      <c r="E2288" s="6" t="s">
        <v>6001</v>
      </c>
      <c r="F2288" s="6" t="s">
        <v>5631</v>
      </c>
      <c r="G2288" s="6" t="s">
        <v>5632</v>
      </c>
      <c r="H2288" s="8"/>
      <c r="I2288" s="8">
        <v>826</v>
      </c>
      <c r="J2288" s="6"/>
      <c r="K2288" s="6" t="s">
        <v>2875</v>
      </c>
      <c r="L2288" s="6"/>
      <c r="M2288" s="6"/>
      <c r="N2288" s="6" t="s">
        <v>2875</v>
      </c>
      <c r="O2288" s="29">
        <f t="shared" si="53"/>
        <v>826</v>
      </c>
      <c r="Q2288" s="30" t="s">
        <v>2875</v>
      </c>
      <c r="R2288" s="31">
        <v>826</v>
      </c>
    </row>
    <row r="2289" s="1" customFormat="1" ht="16.35" hidden="1" customHeight="1" spans="1:18">
      <c r="A2289" s="6"/>
      <c r="B2289" s="6" t="s">
        <v>4123</v>
      </c>
      <c r="C2289" s="6" t="s">
        <v>4236</v>
      </c>
      <c r="D2289" s="7">
        <v>99</v>
      </c>
      <c r="E2289" s="6" t="s">
        <v>6002</v>
      </c>
      <c r="F2289" s="6" t="s">
        <v>5631</v>
      </c>
      <c r="G2289" s="6" t="s">
        <v>5632</v>
      </c>
      <c r="H2289" s="8"/>
      <c r="I2289" s="8">
        <v>3303</v>
      </c>
      <c r="J2289" s="6"/>
      <c r="K2289" s="6" t="s">
        <v>2875</v>
      </c>
      <c r="L2289" s="6"/>
      <c r="M2289" s="6"/>
      <c r="N2289" s="6" t="s">
        <v>2875</v>
      </c>
      <c r="O2289" s="29">
        <f t="shared" si="53"/>
        <v>3303</v>
      </c>
      <c r="Q2289" s="30" t="s">
        <v>2875</v>
      </c>
      <c r="R2289" s="31">
        <v>3303</v>
      </c>
    </row>
    <row r="2290" s="1" customFormat="1" ht="16.35" hidden="1" customHeight="1" spans="1:18">
      <c r="A2290" s="6"/>
      <c r="B2290" s="6" t="s">
        <v>4123</v>
      </c>
      <c r="C2290" s="6" t="s">
        <v>4236</v>
      </c>
      <c r="D2290" s="7">
        <v>99</v>
      </c>
      <c r="E2290" s="6" t="s">
        <v>6003</v>
      </c>
      <c r="F2290" s="6" t="s">
        <v>5631</v>
      </c>
      <c r="G2290" s="6" t="s">
        <v>5632</v>
      </c>
      <c r="H2290" s="8"/>
      <c r="I2290" s="8">
        <v>13834</v>
      </c>
      <c r="J2290" s="6"/>
      <c r="K2290" s="6" t="s">
        <v>2875</v>
      </c>
      <c r="L2290" s="6"/>
      <c r="M2290" s="6"/>
      <c r="N2290" s="6" t="s">
        <v>2875</v>
      </c>
      <c r="O2290" s="29">
        <f t="shared" si="53"/>
        <v>13834</v>
      </c>
      <c r="Q2290" s="30" t="s">
        <v>2875</v>
      </c>
      <c r="R2290" s="31">
        <v>13834</v>
      </c>
    </row>
    <row r="2291" s="1" customFormat="1" ht="16.35" hidden="1" customHeight="1" spans="1:18">
      <c r="A2291" s="6"/>
      <c r="B2291" s="6" t="s">
        <v>4123</v>
      </c>
      <c r="C2291" s="6" t="s">
        <v>4236</v>
      </c>
      <c r="D2291" s="7">
        <v>99</v>
      </c>
      <c r="E2291" s="6" t="s">
        <v>6004</v>
      </c>
      <c r="F2291" s="6" t="s">
        <v>5631</v>
      </c>
      <c r="G2291" s="6" t="s">
        <v>5632</v>
      </c>
      <c r="H2291" s="8"/>
      <c r="I2291" s="8">
        <v>12385</v>
      </c>
      <c r="J2291" s="6"/>
      <c r="K2291" s="6" t="s">
        <v>2875</v>
      </c>
      <c r="L2291" s="6"/>
      <c r="M2291" s="6"/>
      <c r="N2291" s="6" t="s">
        <v>2875</v>
      </c>
      <c r="O2291" s="29">
        <f t="shared" si="53"/>
        <v>12385</v>
      </c>
      <c r="Q2291" s="30" t="s">
        <v>2875</v>
      </c>
      <c r="R2291" s="31">
        <v>12385</v>
      </c>
    </row>
    <row r="2292" s="1" customFormat="1" ht="16.35" hidden="1" customHeight="1" spans="1:18">
      <c r="A2292" s="6"/>
      <c r="B2292" s="6" t="s">
        <v>4123</v>
      </c>
      <c r="C2292" s="6" t="s">
        <v>4236</v>
      </c>
      <c r="D2292" s="7">
        <v>30</v>
      </c>
      <c r="E2292" s="6" t="s">
        <v>6005</v>
      </c>
      <c r="F2292" s="6" t="s">
        <v>5631</v>
      </c>
      <c r="G2292" s="6" t="s">
        <v>5632</v>
      </c>
      <c r="H2292" s="8"/>
      <c r="I2292" s="8">
        <v>30000</v>
      </c>
      <c r="J2292" s="6"/>
      <c r="K2292" s="6" t="s">
        <v>2394</v>
      </c>
      <c r="L2292" s="6"/>
      <c r="M2292" s="6"/>
      <c r="N2292" s="6" t="s">
        <v>2394</v>
      </c>
      <c r="O2292" s="29">
        <f t="shared" si="53"/>
        <v>30000</v>
      </c>
      <c r="Q2292" s="30" t="s">
        <v>2394</v>
      </c>
      <c r="R2292" s="31">
        <v>30000</v>
      </c>
    </row>
    <row r="2293" s="1" customFormat="1" ht="16.35" hidden="1" customHeight="1" spans="1:18">
      <c r="A2293" s="6"/>
      <c r="B2293" s="6" t="s">
        <v>4123</v>
      </c>
      <c r="C2293" s="6" t="s">
        <v>4236</v>
      </c>
      <c r="D2293" s="7">
        <v>47</v>
      </c>
      <c r="E2293" s="6" t="s">
        <v>6006</v>
      </c>
      <c r="F2293" s="6" t="s">
        <v>5631</v>
      </c>
      <c r="G2293" s="6" t="s">
        <v>5632</v>
      </c>
      <c r="H2293" s="8"/>
      <c r="I2293" s="8">
        <v>22576</v>
      </c>
      <c r="J2293" s="6"/>
      <c r="K2293" s="6" t="s">
        <v>2394</v>
      </c>
      <c r="L2293" s="6"/>
      <c r="M2293" s="6"/>
      <c r="N2293" s="6" t="s">
        <v>2394</v>
      </c>
      <c r="O2293" s="29">
        <f t="shared" si="53"/>
        <v>22576</v>
      </c>
      <c r="Q2293" s="30" t="s">
        <v>2394</v>
      </c>
      <c r="R2293" s="31">
        <v>22576</v>
      </c>
    </row>
    <row r="2294" s="1" customFormat="1" ht="16.35" hidden="1" customHeight="1" spans="1:18">
      <c r="A2294" s="6"/>
      <c r="B2294" s="6" t="s">
        <v>4123</v>
      </c>
      <c r="C2294" s="6" t="s">
        <v>4236</v>
      </c>
      <c r="D2294" s="7">
        <v>18</v>
      </c>
      <c r="E2294" s="6" t="s">
        <v>6007</v>
      </c>
      <c r="F2294" s="6" t="s">
        <v>5631</v>
      </c>
      <c r="G2294" s="6" t="s">
        <v>5632</v>
      </c>
      <c r="H2294" s="8"/>
      <c r="I2294" s="8">
        <v>5000</v>
      </c>
      <c r="J2294" s="6"/>
      <c r="K2294" s="6" t="s">
        <v>2386</v>
      </c>
      <c r="L2294" s="6"/>
      <c r="M2294" s="6"/>
      <c r="N2294" s="6" t="s">
        <v>2386</v>
      </c>
      <c r="O2294" s="29">
        <f t="shared" si="53"/>
        <v>5000</v>
      </c>
      <c r="Q2294" s="30" t="s">
        <v>2386</v>
      </c>
      <c r="R2294" s="31">
        <v>5000</v>
      </c>
    </row>
    <row r="2295" s="1" customFormat="1" ht="16.35" hidden="1" customHeight="1" spans="1:18">
      <c r="A2295" s="6"/>
      <c r="B2295" s="6" t="s">
        <v>4123</v>
      </c>
      <c r="C2295" s="6" t="s">
        <v>4236</v>
      </c>
      <c r="D2295" s="7">
        <v>31</v>
      </c>
      <c r="E2295" s="6" t="s">
        <v>6008</v>
      </c>
      <c r="F2295" s="6" t="s">
        <v>5631</v>
      </c>
      <c r="G2295" s="6" t="s">
        <v>5632</v>
      </c>
      <c r="H2295" s="8"/>
      <c r="I2295" s="8">
        <v>36394</v>
      </c>
      <c r="J2295" s="6"/>
      <c r="K2295" s="6" t="s">
        <v>2386</v>
      </c>
      <c r="L2295" s="6"/>
      <c r="M2295" s="6"/>
      <c r="N2295" s="6" t="s">
        <v>2386</v>
      </c>
      <c r="O2295" s="29">
        <f t="shared" si="53"/>
        <v>36394</v>
      </c>
      <c r="Q2295" s="30" t="s">
        <v>2386</v>
      </c>
      <c r="R2295" s="31">
        <v>36394</v>
      </c>
    </row>
    <row r="2296" s="1" customFormat="1" ht="16.35" hidden="1" customHeight="1" spans="1:18">
      <c r="A2296" s="6"/>
      <c r="B2296" s="6" t="s">
        <v>4123</v>
      </c>
      <c r="C2296" s="6" t="s">
        <v>4236</v>
      </c>
      <c r="D2296" s="7">
        <v>50</v>
      </c>
      <c r="E2296" s="6" t="s">
        <v>6009</v>
      </c>
      <c r="F2296" s="6" t="s">
        <v>5631</v>
      </c>
      <c r="G2296" s="6" t="s">
        <v>5632</v>
      </c>
      <c r="H2296" s="8"/>
      <c r="I2296" s="8">
        <v>70000</v>
      </c>
      <c r="J2296" s="6"/>
      <c r="K2296" s="6" t="s">
        <v>2386</v>
      </c>
      <c r="L2296" s="6"/>
      <c r="M2296" s="6"/>
      <c r="N2296" s="6" t="s">
        <v>2386</v>
      </c>
      <c r="O2296" s="29">
        <f t="shared" si="53"/>
        <v>70000</v>
      </c>
      <c r="Q2296" s="30" t="s">
        <v>2386</v>
      </c>
      <c r="R2296" s="31">
        <v>70000</v>
      </c>
    </row>
    <row r="2297" s="1" customFormat="1" ht="16.35" hidden="1" customHeight="1" spans="1:18">
      <c r="A2297" s="6"/>
      <c r="B2297" s="6" t="s">
        <v>4123</v>
      </c>
      <c r="C2297" s="6" t="s">
        <v>4236</v>
      </c>
      <c r="D2297" s="7">
        <v>31</v>
      </c>
      <c r="E2297" s="6" t="s">
        <v>6010</v>
      </c>
      <c r="F2297" s="6" t="s">
        <v>5631</v>
      </c>
      <c r="G2297" s="6" t="s">
        <v>5632</v>
      </c>
      <c r="H2297" s="8"/>
      <c r="I2297" s="8">
        <v>68000</v>
      </c>
      <c r="J2297" s="6"/>
      <c r="K2297" s="6" t="s">
        <v>2452</v>
      </c>
      <c r="L2297" s="6"/>
      <c r="M2297" s="6"/>
      <c r="N2297" s="6" t="s">
        <v>2452</v>
      </c>
      <c r="O2297" s="29">
        <f t="shared" si="53"/>
        <v>68000</v>
      </c>
      <c r="Q2297" s="30" t="s">
        <v>2452</v>
      </c>
      <c r="R2297" s="31">
        <v>68000</v>
      </c>
    </row>
    <row r="2298" s="1" customFormat="1" ht="16.35" hidden="1" customHeight="1" spans="1:18">
      <c r="A2298" s="6"/>
      <c r="B2298" s="6" t="s">
        <v>4123</v>
      </c>
      <c r="C2298" s="6" t="s">
        <v>4236</v>
      </c>
      <c r="D2298" s="7">
        <v>33</v>
      </c>
      <c r="E2298" s="6" t="s">
        <v>6011</v>
      </c>
      <c r="F2298" s="6" t="s">
        <v>5631</v>
      </c>
      <c r="G2298" s="6" t="s">
        <v>5632</v>
      </c>
      <c r="H2298" s="8"/>
      <c r="I2298" s="8">
        <v>10225</v>
      </c>
      <c r="J2298" s="6"/>
      <c r="K2298" s="6" t="s">
        <v>2428</v>
      </c>
      <c r="L2298" s="6"/>
      <c r="M2298" s="6"/>
      <c r="N2298" s="6" t="s">
        <v>2428</v>
      </c>
      <c r="O2298" s="29">
        <f t="shared" si="53"/>
        <v>10225</v>
      </c>
      <c r="Q2298" s="30" t="s">
        <v>2428</v>
      </c>
      <c r="R2298" s="31">
        <v>10225</v>
      </c>
    </row>
    <row r="2299" s="1" customFormat="1" ht="16.35" hidden="1" customHeight="1" spans="1:18">
      <c r="A2299" s="6"/>
      <c r="B2299" s="6" t="s">
        <v>4123</v>
      </c>
      <c r="C2299" s="6" t="s">
        <v>4236</v>
      </c>
      <c r="D2299" s="7">
        <v>24</v>
      </c>
      <c r="E2299" s="6" t="s">
        <v>6012</v>
      </c>
      <c r="F2299" s="6" t="s">
        <v>5631</v>
      </c>
      <c r="G2299" s="6" t="s">
        <v>5632</v>
      </c>
      <c r="H2299" s="8"/>
      <c r="I2299" s="8">
        <v>5000</v>
      </c>
      <c r="J2299" s="6"/>
      <c r="K2299" s="6" t="s">
        <v>2557</v>
      </c>
      <c r="L2299" s="6"/>
      <c r="M2299" s="6"/>
      <c r="N2299" s="6" t="s">
        <v>2557</v>
      </c>
      <c r="O2299" s="29">
        <f t="shared" si="53"/>
        <v>5000</v>
      </c>
      <c r="Q2299" s="30" t="s">
        <v>2557</v>
      </c>
      <c r="R2299" s="31">
        <v>5000</v>
      </c>
    </row>
    <row r="2300" s="1" customFormat="1" ht="16.35" hidden="1" customHeight="1" spans="1:18">
      <c r="A2300" s="6"/>
      <c r="B2300" s="6" t="s">
        <v>4123</v>
      </c>
      <c r="C2300" s="6" t="s">
        <v>4236</v>
      </c>
      <c r="D2300" s="7">
        <v>33</v>
      </c>
      <c r="E2300" s="6" t="s">
        <v>6013</v>
      </c>
      <c r="F2300" s="6" t="s">
        <v>5631</v>
      </c>
      <c r="G2300" s="6" t="s">
        <v>5632</v>
      </c>
      <c r="H2300" s="8"/>
      <c r="I2300" s="8">
        <v>121744</v>
      </c>
      <c r="J2300" s="6"/>
      <c r="K2300" s="6" t="s">
        <v>2559</v>
      </c>
      <c r="L2300" s="6"/>
      <c r="M2300" s="6"/>
      <c r="N2300" s="6" t="s">
        <v>2559</v>
      </c>
      <c r="O2300" s="29">
        <f t="shared" si="53"/>
        <v>121744</v>
      </c>
      <c r="Q2300" s="30" t="s">
        <v>2559</v>
      </c>
      <c r="R2300" s="31">
        <v>121744</v>
      </c>
    </row>
    <row r="2301" s="1" customFormat="1" ht="16.35" hidden="1" customHeight="1" spans="1:18">
      <c r="A2301" s="6"/>
      <c r="B2301" s="6" t="s">
        <v>4123</v>
      </c>
      <c r="C2301" s="6" t="s">
        <v>4236</v>
      </c>
      <c r="D2301" s="7">
        <v>39</v>
      </c>
      <c r="E2301" s="6" t="s">
        <v>6014</v>
      </c>
      <c r="F2301" s="6" t="s">
        <v>5631</v>
      </c>
      <c r="G2301" s="6" t="s">
        <v>5632</v>
      </c>
      <c r="H2301" s="8"/>
      <c r="I2301" s="8">
        <v>10000</v>
      </c>
      <c r="J2301" s="6"/>
      <c r="K2301" s="6" t="s">
        <v>2521</v>
      </c>
      <c r="L2301" s="6"/>
      <c r="M2301" s="6"/>
      <c r="N2301" s="6" t="s">
        <v>2521</v>
      </c>
      <c r="O2301" s="29">
        <f t="shared" si="53"/>
        <v>10000</v>
      </c>
      <c r="Q2301" s="30" t="s">
        <v>2521</v>
      </c>
      <c r="R2301" s="31">
        <v>10000</v>
      </c>
    </row>
    <row r="2302" s="1" customFormat="1" ht="16.35" hidden="1" customHeight="1" spans="1:18">
      <c r="A2302" s="6"/>
      <c r="B2302" s="6" t="s">
        <v>4123</v>
      </c>
      <c r="C2302" s="6" t="s">
        <v>4236</v>
      </c>
      <c r="D2302" s="7">
        <v>41</v>
      </c>
      <c r="E2302" s="6" t="s">
        <v>6015</v>
      </c>
      <c r="F2302" s="6" t="s">
        <v>5631</v>
      </c>
      <c r="G2302" s="6" t="s">
        <v>5632</v>
      </c>
      <c r="H2302" s="8"/>
      <c r="I2302" s="8">
        <v>209928</v>
      </c>
      <c r="J2302" s="6"/>
      <c r="K2302" s="6" t="s">
        <v>2521</v>
      </c>
      <c r="L2302" s="6"/>
      <c r="M2302" s="6"/>
      <c r="N2302" s="6" t="s">
        <v>2521</v>
      </c>
      <c r="O2302" s="29">
        <f t="shared" si="53"/>
        <v>209928</v>
      </c>
      <c r="Q2302" s="30" t="s">
        <v>2521</v>
      </c>
      <c r="R2302" s="31">
        <v>209928</v>
      </c>
    </row>
    <row r="2303" s="1" customFormat="1" ht="16.35" hidden="1" customHeight="1" spans="1:18">
      <c r="A2303" s="6"/>
      <c r="B2303" s="6" t="s">
        <v>4123</v>
      </c>
      <c r="C2303" s="6" t="s">
        <v>4236</v>
      </c>
      <c r="D2303" s="7">
        <v>39</v>
      </c>
      <c r="E2303" s="6" t="s">
        <v>6016</v>
      </c>
      <c r="F2303" s="6" t="s">
        <v>5631</v>
      </c>
      <c r="G2303" s="6" t="s">
        <v>5632</v>
      </c>
      <c r="H2303" s="8"/>
      <c r="I2303" s="8">
        <v>9000</v>
      </c>
      <c r="J2303" s="6"/>
      <c r="K2303" s="6" t="s">
        <v>2496</v>
      </c>
      <c r="L2303" s="6"/>
      <c r="M2303" s="6"/>
      <c r="N2303" s="6" t="s">
        <v>2496</v>
      </c>
      <c r="O2303" s="29">
        <f t="shared" si="53"/>
        <v>9000</v>
      </c>
      <c r="Q2303" s="30" t="s">
        <v>2496</v>
      </c>
      <c r="R2303" s="31">
        <v>9000</v>
      </c>
    </row>
    <row r="2304" s="1" customFormat="1" ht="16.35" hidden="1" customHeight="1" spans="1:18">
      <c r="A2304" s="6"/>
      <c r="B2304" s="6" t="s">
        <v>4123</v>
      </c>
      <c r="C2304" s="6" t="s">
        <v>4236</v>
      </c>
      <c r="D2304" s="7">
        <v>67</v>
      </c>
      <c r="E2304" s="6" t="s">
        <v>6016</v>
      </c>
      <c r="F2304" s="6" t="s">
        <v>5631</v>
      </c>
      <c r="G2304" s="6" t="s">
        <v>5632</v>
      </c>
      <c r="H2304" s="8"/>
      <c r="I2304" s="8">
        <v>9000</v>
      </c>
      <c r="J2304" s="6"/>
      <c r="K2304" s="6" t="s">
        <v>2496</v>
      </c>
      <c r="L2304" s="6"/>
      <c r="M2304" s="6"/>
      <c r="N2304" s="6" t="s">
        <v>2496</v>
      </c>
      <c r="O2304" s="29">
        <f t="shared" si="53"/>
        <v>9000</v>
      </c>
      <c r="Q2304" s="30" t="s">
        <v>2496</v>
      </c>
      <c r="R2304" s="31">
        <v>9000</v>
      </c>
    </row>
    <row r="2305" s="1" customFormat="1" ht="16.35" hidden="1" customHeight="1" spans="1:18">
      <c r="A2305" s="6"/>
      <c r="B2305" s="6" t="s">
        <v>4123</v>
      </c>
      <c r="C2305" s="6" t="s">
        <v>4236</v>
      </c>
      <c r="D2305" s="7">
        <v>45</v>
      </c>
      <c r="E2305" s="6" t="s">
        <v>6017</v>
      </c>
      <c r="F2305" s="6" t="s">
        <v>5631</v>
      </c>
      <c r="G2305" s="6" t="s">
        <v>5632</v>
      </c>
      <c r="H2305" s="8"/>
      <c r="I2305" s="8">
        <v>39296</v>
      </c>
      <c r="J2305" s="6"/>
      <c r="K2305" s="6" t="s">
        <v>2584</v>
      </c>
      <c r="L2305" s="6"/>
      <c r="M2305" s="6"/>
      <c r="N2305" s="6" t="s">
        <v>2584</v>
      </c>
      <c r="O2305" s="29">
        <f t="shared" si="53"/>
        <v>39296</v>
      </c>
      <c r="Q2305" s="30" t="s">
        <v>2584</v>
      </c>
      <c r="R2305" s="31">
        <v>39296</v>
      </c>
    </row>
    <row r="2306" s="1" customFormat="1" ht="16.35" hidden="1" customHeight="1" spans="1:18">
      <c r="A2306" s="6"/>
      <c r="B2306" s="6" t="s">
        <v>4123</v>
      </c>
      <c r="C2306" s="6" t="s">
        <v>4236</v>
      </c>
      <c r="D2306" s="7">
        <v>21</v>
      </c>
      <c r="E2306" s="6" t="s">
        <v>6018</v>
      </c>
      <c r="F2306" s="6" t="s">
        <v>5631</v>
      </c>
      <c r="G2306" s="6" t="s">
        <v>5632</v>
      </c>
      <c r="H2306" s="8"/>
      <c r="I2306" s="8">
        <v>5000</v>
      </c>
      <c r="J2306" s="6"/>
      <c r="K2306" s="6" t="s">
        <v>2640</v>
      </c>
      <c r="L2306" s="6"/>
      <c r="M2306" s="6"/>
      <c r="N2306" s="6" t="s">
        <v>2640</v>
      </c>
      <c r="O2306" s="29">
        <f t="shared" si="53"/>
        <v>5000</v>
      </c>
      <c r="Q2306" s="30" t="s">
        <v>2640</v>
      </c>
      <c r="R2306" s="31">
        <v>5000</v>
      </c>
    </row>
    <row r="2307" s="1" customFormat="1" ht="16.35" hidden="1" customHeight="1" spans="1:18">
      <c r="A2307" s="6"/>
      <c r="B2307" s="6" t="s">
        <v>4123</v>
      </c>
      <c r="C2307" s="6" t="s">
        <v>4236</v>
      </c>
      <c r="D2307" s="7">
        <v>29</v>
      </c>
      <c r="E2307" s="6" t="s">
        <v>6019</v>
      </c>
      <c r="F2307" s="6" t="s">
        <v>5631</v>
      </c>
      <c r="G2307" s="6" t="s">
        <v>5632</v>
      </c>
      <c r="H2307" s="8"/>
      <c r="I2307" s="8">
        <v>60000</v>
      </c>
      <c r="J2307" s="6"/>
      <c r="K2307" s="6" t="s">
        <v>2628</v>
      </c>
      <c r="L2307" s="6"/>
      <c r="M2307" s="6"/>
      <c r="N2307" s="6" t="s">
        <v>2628</v>
      </c>
      <c r="O2307" s="29">
        <f t="shared" si="53"/>
        <v>60000</v>
      </c>
      <c r="Q2307" s="30" t="s">
        <v>2628</v>
      </c>
      <c r="R2307" s="31">
        <v>60000</v>
      </c>
    </row>
    <row r="2308" s="1" customFormat="1" ht="16.35" hidden="1" customHeight="1" spans="1:18">
      <c r="A2308" s="6"/>
      <c r="B2308" s="6" t="s">
        <v>4123</v>
      </c>
      <c r="C2308" s="6" t="s">
        <v>4236</v>
      </c>
      <c r="D2308" s="7">
        <v>25</v>
      </c>
      <c r="E2308" s="6" t="s">
        <v>6020</v>
      </c>
      <c r="F2308" s="6" t="s">
        <v>5631</v>
      </c>
      <c r="G2308" s="6" t="s">
        <v>5632</v>
      </c>
      <c r="H2308" s="8"/>
      <c r="I2308" s="8">
        <v>4350</v>
      </c>
      <c r="J2308" s="6"/>
      <c r="K2308" s="6" t="s">
        <v>2628</v>
      </c>
      <c r="L2308" s="6"/>
      <c r="M2308" s="6"/>
      <c r="N2308" s="6" t="s">
        <v>2628</v>
      </c>
      <c r="O2308" s="29">
        <f t="shared" si="53"/>
        <v>4350</v>
      </c>
      <c r="Q2308" s="30" t="s">
        <v>2628</v>
      </c>
      <c r="R2308" s="31">
        <v>4350</v>
      </c>
    </row>
    <row r="2309" s="1" customFormat="1" ht="16.35" hidden="1" customHeight="1" spans="1:18">
      <c r="A2309" s="6"/>
      <c r="B2309" s="6" t="s">
        <v>4123</v>
      </c>
      <c r="C2309" s="6" t="s">
        <v>4236</v>
      </c>
      <c r="D2309" s="7">
        <v>31</v>
      </c>
      <c r="E2309" s="6" t="s">
        <v>6021</v>
      </c>
      <c r="F2309" s="6" t="s">
        <v>5631</v>
      </c>
      <c r="G2309" s="6" t="s">
        <v>5632</v>
      </c>
      <c r="H2309" s="8"/>
      <c r="I2309" s="8">
        <v>42630</v>
      </c>
      <c r="J2309" s="6"/>
      <c r="K2309" s="6" t="s">
        <v>2630</v>
      </c>
      <c r="L2309" s="6"/>
      <c r="M2309" s="6"/>
      <c r="N2309" s="6" t="s">
        <v>2630</v>
      </c>
      <c r="O2309" s="29">
        <f t="shared" ref="O2309:O2372" si="54">I2309</f>
        <v>42630</v>
      </c>
      <c r="Q2309" s="30" t="s">
        <v>2630</v>
      </c>
      <c r="R2309" s="31">
        <v>42630</v>
      </c>
    </row>
    <row r="2310" s="1" customFormat="1" ht="16.35" hidden="1" customHeight="1" spans="1:18">
      <c r="A2310" s="6"/>
      <c r="B2310" s="6" t="s">
        <v>4123</v>
      </c>
      <c r="C2310" s="6" t="s">
        <v>4236</v>
      </c>
      <c r="D2310" s="7">
        <v>35</v>
      </c>
      <c r="E2310" s="6" t="s">
        <v>6022</v>
      </c>
      <c r="F2310" s="6" t="s">
        <v>5631</v>
      </c>
      <c r="G2310" s="6" t="s">
        <v>5632</v>
      </c>
      <c r="H2310" s="8"/>
      <c r="I2310" s="8">
        <v>3285</v>
      </c>
      <c r="J2310" s="6"/>
      <c r="K2310" s="6" t="s">
        <v>2662</v>
      </c>
      <c r="L2310" s="6"/>
      <c r="M2310" s="6"/>
      <c r="N2310" s="6" t="s">
        <v>2662</v>
      </c>
      <c r="O2310" s="29">
        <f t="shared" si="54"/>
        <v>3285</v>
      </c>
      <c r="Q2310" s="30" t="s">
        <v>2662</v>
      </c>
      <c r="R2310" s="31">
        <v>3285</v>
      </c>
    </row>
    <row r="2311" s="1" customFormat="1" ht="16.35" hidden="1" customHeight="1" spans="1:18">
      <c r="A2311" s="6"/>
      <c r="B2311" s="6" t="s">
        <v>4123</v>
      </c>
      <c r="C2311" s="6" t="s">
        <v>4236</v>
      </c>
      <c r="D2311" s="7">
        <v>36</v>
      </c>
      <c r="E2311" s="6" t="s">
        <v>6023</v>
      </c>
      <c r="F2311" s="6" t="s">
        <v>5631</v>
      </c>
      <c r="G2311" s="6" t="s">
        <v>5632</v>
      </c>
      <c r="H2311" s="8"/>
      <c r="I2311" s="8">
        <v>10000</v>
      </c>
      <c r="J2311" s="6"/>
      <c r="K2311" s="6" t="s">
        <v>2670</v>
      </c>
      <c r="L2311" s="6"/>
      <c r="M2311" s="6"/>
      <c r="N2311" s="6" t="s">
        <v>2670</v>
      </c>
      <c r="O2311" s="29">
        <f t="shared" si="54"/>
        <v>10000</v>
      </c>
      <c r="Q2311" s="30" t="s">
        <v>2670</v>
      </c>
      <c r="R2311" s="31">
        <v>10000</v>
      </c>
    </row>
    <row r="2312" s="1" customFormat="1" ht="16.35" hidden="1" customHeight="1" spans="1:18">
      <c r="A2312" s="6"/>
      <c r="B2312" s="6" t="s">
        <v>4123</v>
      </c>
      <c r="C2312" s="6" t="s">
        <v>4236</v>
      </c>
      <c r="D2312" s="7">
        <v>38</v>
      </c>
      <c r="E2312" s="6" t="s">
        <v>6024</v>
      </c>
      <c r="F2312" s="6" t="s">
        <v>5631</v>
      </c>
      <c r="G2312" s="6" t="s">
        <v>5632</v>
      </c>
      <c r="H2312" s="8"/>
      <c r="I2312" s="8">
        <v>5000</v>
      </c>
      <c r="J2312" s="6"/>
      <c r="K2312" s="6" t="s">
        <v>2610</v>
      </c>
      <c r="L2312" s="6"/>
      <c r="M2312" s="6"/>
      <c r="N2312" s="6" t="s">
        <v>2610</v>
      </c>
      <c r="O2312" s="29">
        <f t="shared" si="54"/>
        <v>5000</v>
      </c>
      <c r="Q2312" s="30" t="s">
        <v>2610</v>
      </c>
      <c r="R2312" s="31">
        <v>5000</v>
      </c>
    </row>
    <row r="2313" s="1" customFormat="1" ht="16.35" hidden="1" customHeight="1" spans="1:18">
      <c r="A2313" s="6"/>
      <c r="B2313" s="6" t="s">
        <v>4123</v>
      </c>
      <c r="C2313" s="6" t="s">
        <v>4236</v>
      </c>
      <c r="D2313" s="7">
        <v>42</v>
      </c>
      <c r="E2313" s="6" t="s">
        <v>6025</v>
      </c>
      <c r="F2313" s="6" t="s">
        <v>5631</v>
      </c>
      <c r="G2313" s="6" t="s">
        <v>5632</v>
      </c>
      <c r="H2313" s="8"/>
      <c r="I2313" s="8">
        <v>172400</v>
      </c>
      <c r="J2313" s="6"/>
      <c r="K2313" s="6" t="s">
        <v>2668</v>
      </c>
      <c r="L2313" s="6"/>
      <c r="M2313" s="6"/>
      <c r="N2313" s="6" t="s">
        <v>2668</v>
      </c>
      <c r="O2313" s="29">
        <f t="shared" si="54"/>
        <v>172400</v>
      </c>
      <c r="Q2313" s="30" t="s">
        <v>2668</v>
      </c>
      <c r="R2313" s="31">
        <v>172400</v>
      </c>
    </row>
    <row r="2314" s="1" customFormat="1" ht="16.35" hidden="1" customHeight="1" spans="1:18">
      <c r="A2314" s="6"/>
      <c r="B2314" s="6" t="s">
        <v>4123</v>
      </c>
      <c r="C2314" s="6" t="s">
        <v>4236</v>
      </c>
      <c r="D2314" s="7">
        <v>48</v>
      </c>
      <c r="E2314" s="6" t="s">
        <v>6026</v>
      </c>
      <c r="F2314" s="6" t="s">
        <v>5631</v>
      </c>
      <c r="G2314" s="6" t="s">
        <v>5632</v>
      </c>
      <c r="H2314" s="8"/>
      <c r="I2314" s="8">
        <v>55524</v>
      </c>
      <c r="J2314" s="6"/>
      <c r="K2314" s="6" t="s">
        <v>2674</v>
      </c>
      <c r="L2314" s="6"/>
      <c r="M2314" s="6"/>
      <c r="N2314" s="6" t="s">
        <v>2674</v>
      </c>
      <c r="O2314" s="29">
        <f t="shared" si="54"/>
        <v>55524</v>
      </c>
      <c r="Q2314" s="30" t="s">
        <v>2674</v>
      </c>
      <c r="R2314" s="31">
        <v>55524</v>
      </c>
    </row>
    <row r="2315" s="1" customFormat="1" ht="16.35" hidden="1" customHeight="1" spans="1:18">
      <c r="A2315" s="6"/>
      <c r="B2315" s="6" t="s">
        <v>4123</v>
      </c>
      <c r="C2315" s="6" t="s">
        <v>4236</v>
      </c>
      <c r="D2315" s="7">
        <v>36</v>
      </c>
      <c r="E2315" s="6" t="s">
        <v>6027</v>
      </c>
      <c r="F2315" s="6" t="s">
        <v>5631</v>
      </c>
      <c r="G2315" s="6" t="s">
        <v>5632</v>
      </c>
      <c r="H2315" s="8"/>
      <c r="I2315" s="8">
        <v>149000</v>
      </c>
      <c r="J2315" s="6"/>
      <c r="K2315" s="6" t="s">
        <v>2720</v>
      </c>
      <c r="L2315" s="6"/>
      <c r="M2315" s="6"/>
      <c r="N2315" s="6" t="s">
        <v>2720</v>
      </c>
      <c r="O2315" s="29">
        <f t="shared" si="54"/>
        <v>149000</v>
      </c>
      <c r="Q2315" s="30" t="s">
        <v>2720</v>
      </c>
      <c r="R2315" s="31">
        <v>149000</v>
      </c>
    </row>
    <row r="2316" s="1" customFormat="1" ht="16.35" hidden="1" customHeight="1" spans="1:18">
      <c r="A2316" s="6"/>
      <c r="B2316" s="6" t="s">
        <v>4123</v>
      </c>
      <c r="C2316" s="6" t="s">
        <v>4236</v>
      </c>
      <c r="D2316" s="7">
        <v>52</v>
      </c>
      <c r="E2316" s="6" t="s">
        <v>6028</v>
      </c>
      <c r="F2316" s="6" t="s">
        <v>5631</v>
      </c>
      <c r="G2316" s="6" t="s">
        <v>5632</v>
      </c>
      <c r="H2316" s="8"/>
      <c r="I2316" s="8">
        <v>10000</v>
      </c>
      <c r="J2316" s="6"/>
      <c r="K2316" s="6" t="s">
        <v>2722</v>
      </c>
      <c r="L2316" s="6"/>
      <c r="M2316" s="6"/>
      <c r="N2316" s="6" t="s">
        <v>2722</v>
      </c>
      <c r="O2316" s="29">
        <f t="shared" si="54"/>
        <v>10000</v>
      </c>
      <c r="Q2316" s="30" t="s">
        <v>2722</v>
      </c>
      <c r="R2316" s="31">
        <v>10000</v>
      </c>
    </row>
    <row r="2317" s="1" customFormat="1" ht="16.35" hidden="1" customHeight="1" spans="1:18">
      <c r="A2317" s="6"/>
      <c r="B2317" s="6" t="s">
        <v>4123</v>
      </c>
      <c r="C2317" s="6" t="s">
        <v>4236</v>
      </c>
      <c r="D2317" s="7">
        <v>99</v>
      </c>
      <c r="E2317" s="6" t="s">
        <v>6029</v>
      </c>
      <c r="F2317" s="6" t="s">
        <v>5631</v>
      </c>
      <c r="G2317" s="6" t="s">
        <v>5632</v>
      </c>
      <c r="H2317" s="8"/>
      <c r="I2317" s="8">
        <v>826</v>
      </c>
      <c r="J2317" s="6"/>
      <c r="K2317" s="6" t="s">
        <v>1976</v>
      </c>
      <c r="L2317" s="6"/>
      <c r="M2317" s="6"/>
      <c r="N2317" s="6" t="s">
        <v>1976</v>
      </c>
      <c r="O2317" s="29">
        <f t="shared" si="54"/>
        <v>826</v>
      </c>
      <c r="Q2317" s="30" t="s">
        <v>1976</v>
      </c>
      <c r="R2317" s="31">
        <v>826</v>
      </c>
    </row>
    <row r="2318" s="1" customFormat="1" ht="16.35" hidden="1" customHeight="1" spans="1:18">
      <c r="A2318" s="6"/>
      <c r="B2318" s="6" t="s">
        <v>4123</v>
      </c>
      <c r="C2318" s="6" t="s">
        <v>4236</v>
      </c>
      <c r="D2318" s="7">
        <v>99</v>
      </c>
      <c r="E2318" s="6" t="s">
        <v>6030</v>
      </c>
      <c r="F2318" s="6" t="s">
        <v>5631</v>
      </c>
      <c r="G2318" s="6" t="s">
        <v>5632</v>
      </c>
      <c r="H2318" s="8"/>
      <c r="I2318" s="8">
        <v>4042</v>
      </c>
      <c r="J2318" s="6"/>
      <c r="K2318" s="6" t="s">
        <v>1976</v>
      </c>
      <c r="L2318" s="6"/>
      <c r="M2318" s="6"/>
      <c r="N2318" s="6" t="s">
        <v>1976</v>
      </c>
      <c r="O2318" s="29">
        <f t="shared" si="54"/>
        <v>4042</v>
      </c>
      <c r="Q2318" s="30" t="s">
        <v>1976</v>
      </c>
      <c r="R2318" s="31">
        <v>4042</v>
      </c>
    </row>
    <row r="2319" s="1" customFormat="1" ht="16.35" hidden="1" customHeight="1" spans="1:18">
      <c r="A2319" s="6"/>
      <c r="B2319" s="6" t="s">
        <v>4123</v>
      </c>
      <c r="C2319" s="6" t="s">
        <v>4236</v>
      </c>
      <c r="D2319" s="7">
        <v>99</v>
      </c>
      <c r="E2319" s="6" t="s">
        <v>6031</v>
      </c>
      <c r="F2319" s="6" t="s">
        <v>5631</v>
      </c>
      <c r="G2319" s="6" t="s">
        <v>5632</v>
      </c>
      <c r="H2319" s="8"/>
      <c r="I2319" s="8">
        <v>330</v>
      </c>
      <c r="J2319" s="6"/>
      <c r="K2319" s="6" t="s">
        <v>1946</v>
      </c>
      <c r="L2319" s="6"/>
      <c r="M2319" s="6"/>
      <c r="N2319" s="6" t="s">
        <v>1946</v>
      </c>
      <c r="O2319" s="29">
        <f t="shared" si="54"/>
        <v>330</v>
      </c>
      <c r="Q2319" s="30" t="s">
        <v>1946</v>
      </c>
      <c r="R2319" s="31">
        <v>330</v>
      </c>
    </row>
    <row r="2320" s="1" customFormat="1" ht="16.35" hidden="1" customHeight="1" spans="1:18">
      <c r="A2320" s="6"/>
      <c r="B2320" s="6" t="s">
        <v>4123</v>
      </c>
      <c r="C2320" s="6" t="s">
        <v>4236</v>
      </c>
      <c r="D2320" s="7">
        <v>99</v>
      </c>
      <c r="E2320" s="6" t="s">
        <v>6032</v>
      </c>
      <c r="F2320" s="6" t="s">
        <v>5631</v>
      </c>
      <c r="G2320" s="6" t="s">
        <v>5632</v>
      </c>
      <c r="H2320" s="8"/>
      <c r="I2320" s="8">
        <v>3303</v>
      </c>
      <c r="J2320" s="6"/>
      <c r="K2320" s="6" t="s">
        <v>1946</v>
      </c>
      <c r="L2320" s="6"/>
      <c r="M2320" s="6"/>
      <c r="N2320" s="6" t="s">
        <v>1946</v>
      </c>
      <c r="O2320" s="29">
        <f t="shared" si="54"/>
        <v>3303</v>
      </c>
      <c r="Q2320" s="30" t="s">
        <v>1946</v>
      </c>
      <c r="R2320" s="31">
        <v>3303</v>
      </c>
    </row>
    <row r="2321" s="1" customFormat="1" ht="16.35" hidden="1" customHeight="1" spans="1:18">
      <c r="A2321" s="6"/>
      <c r="B2321" s="6" t="s">
        <v>4123</v>
      </c>
      <c r="C2321" s="6" t="s">
        <v>4236</v>
      </c>
      <c r="D2321" s="7">
        <v>99</v>
      </c>
      <c r="E2321" s="6" t="s">
        <v>6033</v>
      </c>
      <c r="F2321" s="6" t="s">
        <v>5631</v>
      </c>
      <c r="G2321" s="6" t="s">
        <v>5632</v>
      </c>
      <c r="H2321" s="8"/>
      <c r="I2321" s="8">
        <v>2172</v>
      </c>
      <c r="J2321" s="6"/>
      <c r="K2321" s="6" t="s">
        <v>1946</v>
      </c>
      <c r="L2321" s="6"/>
      <c r="M2321" s="6"/>
      <c r="N2321" s="6" t="s">
        <v>1946</v>
      </c>
      <c r="O2321" s="29">
        <f t="shared" si="54"/>
        <v>2172</v>
      </c>
      <c r="Q2321" s="30" t="s">
        <v>1946</v>
      </c>
      <c r="R2321" s="31">
        <v>2172</v>
      </c>
    </row>
    <row r="2322" s="1" customFormat="1" ht="16.35" hidden="1" customHeight="1" spans="1:18">
      <c r="A2322" s="6"/>
      <c r="B2322" s="6" t="s">
        <v>4123</v>
      </c>
      <c r="C2322" s="6" t="s">
        <v>4236</v>
      </c>
      <c r="D2322" s="7">
        <v>99</v>
      </c>
      <c r="E2322" s="6" t="s">
        <v>6034</v>
      </c>
      <c r="F2322" s="6" t="s">
        <v>5631</v>
      </c>
      <c r="G2322" s="6" t="s">
        <v>5632</v>
      </c>
      <c r="H2322" s="8"/>
      <c r="I2322" s="8">
        <v>12385</v>
      </c>
      <c r="J2322" s="6"/>
      <c r="K2322" s="6" t="s">
        <v>1946</v>
      </c>
      <c r="L2322" s="6"/>
      <c r="M2322" s="6"/>
      <c r="N2322" s="6" t="s">
        <v>1946</v>
      </c>
      <c r="O2322" s="29">
        <f t="shared" si="54"/>
        <v>12385</v>
      </c>
      <c r="Q2322" s="30" t="s">
        <v>1946</v>
      </c>
      <c r="R2322" s="31">
        <v>12385</v>
      </c>
    </row>
    <row r="2323" s="1" customFormat="1" ht="16.35" hidden="1" customHeight="1" spans="1:18">
      <c r="A2323" s="6"/>
      <c r="B2323" s="6" t="s">
        <v>4123</v>
      </c>
      <c r="C2323" s="6" t="s">
        <v>4236</v>
      </c>
      <c r="D2323" s="7">
        <v>99</v>
      </c>
      <c r="E2323" s="6" t="s">
        <v>6035</v>
      </c>
      <c r="F2323" s="6" t="s">
        <v>5631</v>
      </c>
      <c r="G2323" s="6" t="s">
        <v>5632</v>
      </c>
      <c r="H2323" s="8"/>
      <c r="I2323" s="8">
        <v>-17860</v>
      </c>
      <c r="J2323" s="6"/>
      <c r="K2323" s="6" t="s">
        <v>1946</v>
      </c>
      <c r="L2323" s="6"/>
      <c r="M2323" s="6"/>
      <c r="N2323" s="6" t="s">
        <v>1946</v>
      </c>
      <c r="O2323" s="29">
        <f t="shared" si="54"/>
        <v>-17860</v>
      </c>
      <c r="Q2323" s="30" t="s">
        <v>1946</v>
      </c>
      <c r="R2323" s="31">
        <v>-17860</v>
      </c>
    </row>
    <row r="2324" s="1" customFormat="1" ht="16.35" hidden="1" customHeight="1" spans="1:18">
      <c r="A2324" s="6"/>
      <c r="B2324" s="6" t="s">
        <v>4123</v>
      </c>
      <c r="C2324" s="6" t="s">
        <v>4236</v>
      </c>
      <c r="D2324" s="7">
        <v>98</v>
      </c>
      <c r="E2324" s="6" t="s">
        <v>6036</v>
      </c>
      <c r="F2324" s="6" t="s">
        <v>5631</v>
      </c>
      <c r="G2324" s="6" t="s">
        <v>5632</v>
      </c>
      <c r="H2324" s="8"/>
      <c r="I2324" s="8">
        <v>4905</v>
      </c>
      <c r="J2324" s="6"/>
      <c r="K2324" s="6" t="s">
        <v>2738</v>
      </c>
      <c r="L2324" s="6"/>
      <c r="M2324" s="6"/>
      <c r="N2324" s="6" t="s">
        <v>2738</v>
      </c>
      <c r="O2324" s="29">
        <f t="shared" si="54"/>
        <v>4905</v>
      </c>
      <c r="Q2324" s="30" t="s">
        <v>2738</v>
      </c>
      <c r="R2324" s="31">
        <v>4905</v>
      </c>
    </row>
    <row r="2325" s="1" customFormat="1" ht="16.35" hidden="1" customHeight="1" spans="1:18">
      <c r="A2325" s="6"/>
      <c r="B2325" s="6" t="s">
        <v>4123</v>
      </c>
      <c r="C2325" s="6" t="s">
        <v>4236</v>
      </c>
      <c r="D2325" s="7">
        <v>99</v>
      </c>
      <c r="E2325" s="6" t="s">
        <v>6037</v>
      </c>
      <c r="F2325" s="6" t="s">
        <v>5631</v>
      </c>
      <c r="G2325" s="6" t="s">
        <v>5632</v>
      </c>
      <c r="H2325" s="8"/>
      <c r="I2325" s="8">
        <v>1063</v>
      </c>
      <c r="J2325" s="6"/>
      <c r="K2325" s="6" t="s">
        <v>2738</v>
      </c>
      <c r="L2325" s="6"/>
      <c r="M2325" s="6"/>
      <c r="N2325" s="6" t="s">
        <v>2738</v>
      </c>
      <c r="O2325" s="29">
        <f t="shared" si="54"/>
        <v>1063</v>
      </c>
      <c r="Q2325" s="30" t="s">
        <v>2738</v>
      </c>
      <c r="R2325" s="31">
        <v>1063</v>
      </c>
    </row>
    <row r="2326" s="1" customFormat="1" ht="16.35" hidden="1" customHeight="1" spans="1:18">
      <c r="A2326" s="6"/>
      <c r="B2326" s="6" t="s">
        <v>4123</v>
      </c>
      <c r="C2326" s="6" t="s">
        <v>4236</v>
      </c>
      <c r="D2326" s="7">
        <v>99</v>
      </c>
      <c r="E2326" s="6" t="s">
        <v>6038</v>
      </c>
      <c r="F2326" s="6" t="s">
        <v>5631</v>
      </c>
      <c r="G2326" s="6" t="s">
        <v>5632</v>
      </c>
      <c r="H2326" s="8"/>
      <c r="I2326" s="8">
        <v>1156</v>
      </c>
      <c r="J2326" s="6"/>
      <c r="K2326" s="6" t="s">
        <v>2738</v>
      </c>
      <c r="L2326" s="6"/>
      <c r="M2326" s="6"/>
      <c r="N2326" s="6" t="s">
        <v>2738</v>
      </c>
      <c r="O2326" s="29">
        <f t="shared" si="54"/>
        <v>1156</v>
      </c>
      <c r="Q2326" s="30" t="s">
        <v>2738</v>
      </c>
      <c r="R2326" s="31">
        <v>1156</v>
      </c>
    </row>
    <row r="2327" s="1" customFormat="1" ht="16.35" hidden="1" customHeight="1" spans="1:18">
      <c r="A2327" s="6"/>
      <c r="B2327" s="6" t="s">
        <v>4123</v>
      </c>
      <c r="C2327" s="6" t="s">
        <v>4236</v>
      </c>
      <c r="D2327" s="7">
        <v>99</v>
      </c>
      <c r="E2327" s="6" t="s">
        <v>6039</v>
      </c>
      <c r="F2327" s="6" t="s">
        <v>5631</v>
      </c>
      <c r="G2327" s="6" t="s">
        <v>5632</v>
      </c>
      <c r="H2327" s="8"/>
      <c r="I2327" s="8">
        <v>835</v>
      </c>
      <c r="J2327" s="6"/>
      <c r="K2327" s="6" t="s">
        <v>1944</v>
      </c>
      <c r="L2327" s="6"/>
      <c r="M2327" s="6"/>
      <c r="N2327" s="6" t="s">
        <v>1944</v>
      </c>
      <c r="O2327" s="29">
        <f t="shared" si="54"/>
        <v>835</v>
      </c>
      <c r="Q2327" s="30" t="s">
        <v>1944</v>
      </c>
      <c r="R2327" s="31">
        <v>835</v>
      </c>
    </row>
    <row r="2328" s="1" customFormat="1" ht="16.35" hidden="1" customHeight="1" spans="1:18">
      <c r="A2328" s="6"/>
      <c r="B2328" s="6" t="s">
        <v>4123</v>
      </c>
      <c r="C2328" s="6" t="s">
        <v>4236</v>
      </c>
      <c r="D2328" s="7">
        <v>99</v>
      </c>
      <c r="E2328" s="6" t="s">
        <v>6040</v>
      </c>
      <c r="F2328" s="6" t="s">
        <v>5631</v>
      </c>
      <c r="G2328" s="6" t="s">
        <v>5632</v>
      </c>
      <c r="H2328" s="8"/>
      <c r="I2328" s="8">
        <v>5780</v>
      </c>
      <c r="J2328" s="6"/>
      <c r="K2328" s="6" t="s">
        <v>1944</v>
      </c>
      <c r="L2328" s="6"/>
      <c r="M2328" s="6"/>
      <c r="N2328" s="6" t="s">
        <v>1944</v>
      </c>
      <c r="O2328" s="29">
        <f t="shared" si="54"/>
        <v>5780</v>
      </c>
      <c r="Q2328" s="30" t="s">
        <v>1944</v>
      </c>
      <c r="R2328" s="31">
        <v>5780</v>
      </c>
    </row>
    <row r="2329" s="1" customFormat="1" ht="16.35" hidden="1" customHeight="1" spans="1:18">
      <c r="A2329" s="6"/>
      <c r="B2329" s="6" t="s">
        <v>4123</v>
      </c>
      <c r="C2329" s="6" t="s">
        <v>4236</v>
      </c>
      <c r="D2329" s="7">
        <v>99</v>
      </c>
      <c r="E2329" s="6" t="s">
        <v>6041</v>
      </c>
      <c r="F2329" s="6" t="s">
        <v>5631</v>
      </c>
      <c r="G2329" s="6" t="s">
        <v>5632</v>
      </c>
      <c r="H2329" s="8"/>
      <c r="I2329" s="8">
        <v>11312</v>
      </c>
      <c r="J2329" s="6"/>
      <c r="K2329" s="6" t="s">
        <v>1944</v>
      </c>
      <c r="L2329" s="6"/>
      <c r="M2329" s="6"/>
      <c r="N2329" s="6" t="s">
        <v>1944</v>
      </c>
      <c r="O2329" s="29">
        <f t="shared" si="54"/>
        <v>11312</v>
      </c>
      <c r="Q2329" s="30" t="s">
        <v>1944</v>
      </c>
      <c r="R2329" s="31">
        <v>11312</v>
      </c>
    </row>
    <row r="2330" s="1" customFormat="1" ht="16.35" hidden="1" customHeight="1" spans="1:18">
      <c r="A2330" s="6"/>
      <c r="B2330" s="6" t="s">
        <v>4123</v>
      </c>
      <c r="C2330" s="6" t="s">
        <v>4236</v>
      </c>
      <c r="D2330" s="7">
        <v>99</v>
      </c>
      <c r="E2330" s="6" t="s">
        <v>6042</v>
      </c>
      <c r="F2330" s="6" t="s">
        <v>5631</v>
      </c>
      <c r="G2330" s="6" t="s">
        <v>5632</v>
      </c>
      <c r="H2330" s="8"/>
      <c r="I2330" s="8">
        <v>8257</v>
      </c>
      <c r="J2330" s="6"/>
      <c r="K2330" s="6" t="s">
        <v>1959</v>
      </c>
      <c r="L2330" s="6"/>
      <c r="M2330" s="6"/>
      <c r="N2330" s="6" t="s">
        <v>1959</v>
      </c>
      <c r="O2330" s="29">
        <f t="shared" si="54"/>
        <v>8257</v>
      </c>
      <c r="Q2330" s="30" t="s">
        <v>1959</v>
      </c>
      <c r="R2330" s="31">
        <v>8257</v>
      </c>
    </row>
    <row r="2331" s="1" customFormat="1" ht="16.35" hidden="1" customHeight="1" spans="1:18">
      <c r="A2331" s="6"/>
      <c r="B2331" s="6" t="s">
        <v>4123</v>
      </c>
      <c r="C2331" s="6" t="s">
        <v>4236</v>
      </c>
      <c r="D2331" s="7">
        <v>99</v>
      </c>
      <c r="E2331" s="6" t="s">
        <v>6043</v>
      </c>
      <c r="F2331" s="6" t="s">
        <v>5631</v>
      </c>
      <c r="G2331" s="6" t="s">
        <v>5632</v>
      </c>
      <c r="H2331" s="8"/>
      <c r="I2331" s="8">
        <v>5722</v>
      </c>
      <c r="J2331" s="6"/>
      <c r="K2331" s="6" t="s">
        <v>1982</v>
      </c>
      <c r="L2331" s="6"/>
      <c r="M2331" s="6"/>
      <c r="N2331" s="6" t="s">
        <v>1982</v>
      </c>
      <c r="O2331" s="29">
        <f t="shared" si="54"/>
        <v>5722</v>
      </c>
      <c r="Q2331" s="30" t="s">
        <v>1982</v>
      </c>
      <c r="R2331" s="31">
        <v>5722</v>
      </c>
    </row>
    <row r="2332" s="1" customFormat="1" ht="16.35" hidden="1" customHeight="1" spans="1:18">
      <c r="A2332" s="6"/>
      <c r="B2332" s="6" t="s">
        <v>4123</v>
      </c>
      <c r="C2332" s="6" t="s">
        <v>4236</v>
      </c>
      <c r="D2332" s="7">
        <v>99</v>
      </c>
      <c r="E2332" s="6" t="s">
        <v>6044</v>
      </c>
      <c r="F2332" s="6" t="s">
        <v>5631</v>
      </c>
      <c r="G2332" s="6" t="s">
        <v>5632</v>
      </c>
      <c r="H2332" s="8"/>
      <c r="I2332" s="8">
        <v>13211</v>
      </c>
      <c r="J2332" s="6"/>
      <c r="K2332" s="6" t="s">
        <v>1982</v>
      </c>
      <c r="L2332" s="6"/>
      <c r="M2332" s="6"/>
      <c r="N2332" s="6" t="s">
        <v>1982</v>
      </c>
      <c r="O2332" s="29">
        <f t="shared" si="54"/>
        <v>13211</v>
      </c>
      <c r="Q2332" s="30" t="s">
        <v>1982</v>
      </c>
      <c r="R2332" s="31">
        <v>13211</v>
      </c>
    </row>
    <row r="2333" s="1" customFormat="1" ht="16.35" hidden="1" customHeight="1" spans="1:18">
      <c r="A2333" s="6"/>
      <c r="B2333" s="6" t="s">
        <v>4123</v>
      </c>
      <c r="C2333" s="6" t="s">
        <v>4236</v>
      </c>
      <c r="D2333" s="7">
        <v>99</v>
      </c>
      <c r="E2333" s="6" t="s">
        <v>6045</v>
      </c>
      <c r="F2333" s="6" t="s">
        <v>5631</v>
      </c>
      <c r="G2333" s="6" t="s">
        <v>5632</v>
      </c>
      <c r="H2333" s="8"/>
      <c r="I2333" s="8">
        <v>10156</v>
      </c>
      <c r="J2333" s="6"/>
      <c r="K2333" s="6" t="s">
        <v>2037</v>
      </c>
      <c r="L2333" s="6"/>
      <c r="M2333" s="6"/>
      <c r="N2333" s="6" t="s">
        <v>2037</v>
      </c>
      <c r="O2333" s="29">
        <f t="shared" si="54"/>
        <v>10156</v>
      </c>
      <c r="Q2333" s="30" t="s">
        <v>2037</v>
      </c>
      <c r="R2333" s="31">
        <v>10156</v>
      </c>
    </row>
    <row r="2334" s="1" customFormat="1" ht="16.35" hidden="1" customHeight="1" spans="1:18">
      <c r="A2334" s="6"/>
      <c r="B2334" s="6" t="s">
        <v>4123</v>
      </c>
      <c r="C2334" s="6" t="s">
        <v>4236</v>
      </c>
      <c r="D2334" s="7">
        <v>99</v>
      </c>
      <c r="E2334" s="6" t="s">
        <v>6046</v>
      </c>
      <c r="F2334" s="6" t="s">
        <v>5631</v>
      </c>
      <c r="G2334" s="6" t="s">
        <v>5632</v>
      </c>
      <c r="H2334" s="8"/>
      <c r="I2334" s="8">
        <v>5780</v>
      </c>
      <c r="J2334" s="6"/>
      <c r="K2334" s="6" t="s">
        <v>2037</v>
      </c>
      <c r="L2334" s="6"/>
      <c r="M2334" s="6"/>
      <c r="N2334" s="6" t="s">
        <v>2037</v>
      </c>
      <c r="O2334" s="29">
        <f t="shared" si="54"/>
        <v>5780</v>
      </c>
      <c r="Q2334" s="30" t="s">
        <v>2037</v>
      </c>
      <c r="R2334" s="31">
        <v>5780</v>
      </c>
    </row>
    <row r="2335" s="1" customFormat="1" ht="16.35" hidden="1" customHeight="1" spans="1:18">
      <c r="A2335" s="6"/>
      <c r="B2335" s="6" t="s">
        <v>4123</v>
      </c>
      <c r="C2335" s="6" t="s">
        <v>4236</v>
      </c>
      <c r="D2335" s="7">
        <v>98</v>
      </c>
      <c r="E2335" s="6" t="s">
        <v>6047</v>
      </c>
      <c r="F2335" s="6" t="s">
        <v>5631</v>
      </c>
      <c r="G2335" s="6" t="s">
        <v>5632</v>
      </c>
      <c r="H2335" s="8"/>
      <c r="I2335" s="8">
        <v>952</v>
      </c>
      <c r="J2335" s="6"/>
      <c r="K2335" s="6" t="s">
        <v>2011</v>
      </c>
      <c r="L2335" s="6"/>
      <c r="M2335" s="6"/>
      <c r="N2335" s="6" t="s">
        <v>2011</v>
      </c>
      <c r="O2335" s="29">
        <f t="shared" si="54"/>
        <v>952</v>
      </c>
      <c r="Q2335" s="30" t="s">
        <v>2011</v>
      </c>
      <c r="R2335" s="31">
        <v>952</v>
      </c>
    </row>
    <row r="2336" s="1" customFormat="1" ht="16.35" hidden="1" customHeight="1" spans="1:18">
      <c r="A2336" s="6"/>
      <c r="B2336" s="6" t="s">
        <v>4123</v>
      </c>
      <c r="C2336" s="6" t="s">
        <v>4236</v>
      </c>
      <c r="D2336" s="7">
        <v>98</v>
      </c>
      <c r="E2336" s="6" t="s">
        <v>6048</v>
      </c>
      <c r="F2336" s="6" t="s">
        <v>5631</v>
      </c>
      <c r="G2336" s="6" t="s">
        <v>5632</v>
      </c>
      <c r="H2336" s="8"/>
      <c r="I2336" s="8">
        <v>1380</v>
      </c>
      <c r="J2336" s="6"/>
      <c r="K2336" s="6" t="s">
        <v>2011</v>
      </c>
      <c r="L2336" s="6"/>
      <c r="M2336" s="6"/>
      <c r="N2336" s="6" t="s">
        <v>2011</v>
      </c>
      <c r="O2336" s="29">
        <f t="shared" si="54"/>
        <v>1380</v>
      </c>
      <c r="Q2336" s="30" t="s">
        <v>2011</v>
      </c>
      <c r="R2336" s="31">
        <v>1380</v>
      </c>
    </row>
    <row r="2337" s="1" customFormat="1" ht="16.35" hidden="1" customHeight="1" spans="1:18">
      <c r="A2337" s="6"/>
      <c r="B2337" s="6" t="s">
        <v>4123</v>
      </c>
      <c r="C2337" s="6" t="s">
        <v>4236</v>
      </c>
      <c r="D2337" s="7">
        <v>99</v>
      </c>
      <c r="E2337" s="6" t="s">
        <v>6049</v>
      </c>
      <c r="F2337" s="6" t="s">
        <v>5631</v>
      </c>
      <c r="G2337" s="6" t="s">
        <v>5632</v>
      </c>
      <c r="H2337" s="8"/>
      <c r="I2337" s="8">
        <v>9248</v>
      </c>
      <c r="J2337" s="6"/>
      <c r="K2337" s="6" t="s">
        <v>2011</v>
      </c>
      <c r="L2337" s="6"/>
      <c r="M2337" s="6"/>
      <c r="N2337" s="6" t="s">
        <v>2011</v>
      </c>
      <c r="O2337" s="29">
        <f t="shared" si="54"/>
        <v>9248</v>
      </c>
      <c r="Q2337" s="30" t="s">
        <v>2011</v>
      </c>
      <c r="R2337" s="31">
        <v>9248</v>
      </c>
    </row>
    <row r="2338" s="1" customFormat="1" ht="16.35" hidden="1" customHeight="1" spans="1:18">
      <c r="A2338" s="6"/>
      <c r="B2338" s="6" t="s">
        <v>4123</v>
      </c>
      <c r="C2338" s="6" t="s">
        <v>4236</v>
      </c>
      <c r="D2338" s="7">
        <v>99</v>
      </c>
      <c r="E2338" s="6" t="s">
        <v>6050</v>
      </c>
      <c r="F2338" s="6" t="s">
        <v>5631</v>
      </c>
      <c r="G2338" s="6" t="s">
        <v>5632</v>
      </c>
      <c r="H2338" s="8"/>
      <c r="I2338" s="8">
        <v>3632</v>
      </c>
      <c r="J2338" s="6"/>
      <c r="K2338" s="6" t="s">
        <v>2017</v>
      </c>
      <c r="L2338" s="6"/>
      <c r="M2338" s="6"/>
      <c r="N2338" s="6" t="s">
        <v>2017</v>
      </c>
      <c r="O2338" s="29">
        <f t="shared" si="54"/>
        <v>3632</v>
      </c>
      <c r="Q2338" s="30" t="s">
        <v>2017</v>
      </c>
      <c r="R2338" s="31">
        <v>3632</v>
      </c>
    </row>
    <row r="2339" s="1" customFormat="1" ht="16.35" hidden="1" customHeight="1" spans="1:18">
      <c r="A2339" s="6"/>
      <c r="B2339" s="6" t="s">
        <v>4123</v>
      </c>
      <c r="C2339" s="6" t="s">
        <v>4236</v>
      </c>
      <c r="D2339" s="7">
        <v>99</v>
      </c>
      <c r="E2339" s="6" t="s">
        <v>6051</v>
      </c>
      <c r="F2339" s="6" t="s">
        <v>5631</v>
      </c>
      <c r="G2339" s="6" t="s">
        <v>5632</v>
      </c>
      <c r="H2339" s="8"/>
      <c r="I2339" s="8">
        <v>9330</v>
      </c>
      <c r="J2339" s="6"/>
      <c r="K2339" s="6" t="s">
        <v>2017</v>
      </c>
      <c r="L2339" s="6"/>
      <c r="M2339" s="6"/>
      <c r="N2339" s="6" t="s">
        <v>2017</v>
      </c>
      <c r="O2339" s="29">
        <f t="shared" si="54"/>
        <v>9330</v>
      </c>
      <c r="Q2339" s="30" t="s">
        <v>2017</v>
      </c>
      <c r="R2339" s="31">
        <v>9330</v>
      </c>
    </row>
    <row r="2340" s="1" customFormat="1" ht="16.35" hidden="1" customHeight="1" spans="1:18">
      <c r="A2340" s="6"/>
      <c r="B2340" s="6" t="s">
        <v>4123</v>
      </c>
      <c r="C2340" s="6" t="s">
        <v>4236</v>
      </c>
      <c r="D2340" s="7">
        <v>99</v>
      </c>
      <c r="E2340" s="6" t="s">
        <v>6052</v>
      </c>
      <c r="F2340" s="6" t="s">
        <v>5631</v>
      </c>
      <c r="G2340" s="6" t="s">
        <v>5632</v>
      </c>
      <c r="H2340" s="8"/>
      <c r="I2340" s="8">
        <v>661</v>
      </c>
      <c r="J2340" s="6"/>
      <c r="K2340" s="6" t="s">
        <v>2063</v>
      </c>
      <c r="L2340" s="6"/>
      <c r="M2340" s="6"/>
      <c r="N2340" s="6" t="s">
        <v>2063</v>
      </c>
      <c r="O2340" s="29">
        <f t="shared" si="54"/>
        <v>661</v>
      </c>
      <c r="Q2340" s="30" t="s">
        <v>2063</v>
      </c>
      <c r="R2340" s="31">
        <v>661</v>
      </c>
    </row>
    <row r="2341" s="1" customFormat="1" ht="16.35" hidden="1" customHeight="1" spans="1:18">
      <c r="A2341" s="6"/>
      <c r="B2341" s="6" t="s">
        <v>4123</v>
      </c>
      <c r="C2341" s="6" t="s">
        <v>4236</v>
      </c>
      <c r="D2341" s="7">
        <v>99</v>
      </c>
      <c r="E2341" s="6" t="s">
        <v>6053</v>
      </c>
      <c r="F2341" s="6" t="s">
        <v>5631</v>
      </c>
      <c r="G2341" s="6" t="s">
        <v>5632</v>
      </c>
      <c r="H2341" s="8"/>
      <c r="I2341" s="8">
        <v>18826</v>
      </c>
      <c r="J2341" s="6"/>
      <c r="K2341" s="6" t="s">
        <v>2063</v>
      </c>
      <c r="L2341" s="6"/>
      <c r="M2341" s="6"/>
      <c r="N2341" s="6" t="s">
        <v>2063</v>
      </c>
      <c r="O2341" s="29">
        <f t="shared" si="54"/>
        <v>18826</v>
      </c>
      <c r="Q2341" s="30" t="s">
        <v>2063</v>
      </c>
      <c r="R2341" s="31">
        <v>18826</v>
      </c>
    </row>
    <row r="2342" s="1" customFormat="1" ht="16.35" hidden="1" customHeight="1" spans="1:18">
      <c r="A2342" s="6"/>
      <c r="B2342" s="6" t="s">
        <v>4123</v>
      </c>
      <c r="C2342" s="6" t="s">
        <v>4236</v>
      </c>
      <c r="D2342" s="7">
        <v>99</v>
      </c>
      <c r="E2342" s="6" t="s">
        <v>6054</v>
      </c>
      <c r="F2342" s="6" t="s">
        <v>5631</v>
      </c>
      <c r="G2342" s="6" t="s">
        <v>5632</v>
      </c>
      <c r="H2342" s="8"/>
      <c r="I2342" s="8">
        <v>4624</v>
      </c>
      <c r="J2342" s="6"/>
      <c r="K2342" s="6" t="s">
        <v>2063</v>
      </c>
      <c r="L2342" s="6"/>
      <c r="M2342" s="6"/>
      <c r="N2342" s="6" t="s">
        <v>2063</v>
      </c>
      <c r="O2342" s="29">
        <f t="shared" si="54"/>
        <v>4624</v>
      </c>
      <c r="Q2342" s="30" t="s">
        <v>2063</v>
      </c>
      <c r="R2342" s="31">
        <v>4624</v>
      </c>
    </row>
    <row r="2343" s="1" customFormat="1" ht="16.35" hidden="1" customHeight="1" spans="1:18">
      <c r="A2343" s="6"/>
      <c r="B2343" s="6" t="s">
        <v>4123</v>
      </c>
      <c r="C2343" s="6" t="s">
        <v>4236</v>
      </c>
      <c r="D2343" s="7">
        <v>98</v>
      </c>
      <c r="E2343" s="6" t="s">
        <v>6055</v>
      </c>
      <c r="F2343" s="6" t="s">
        <v>5631</v>
      </c>
      <c r="G2343" s="6" t="s">
        <v>5632</v>
      </c>
      <c r="H2343" s="8"/>
      <c r="I2343" s="8">
        <v>238</v>
      </c>
      <c r="J2343" s="6"/>
      <c r="K2343" s="6" t="s">
        <v>2065</v>
      </c>
      <c r="L2343" s="6"/>
      <c r="M2343" s="6"/>
      <c r="N2343" s="6" t="s">
        <v>2065</v>
      </c>
      <c r="O2343" s="29">
        <f t="shared" si="54"/>
        <v>238</v>
      </c>
      <c r="Q2343" s="30" t="s">
        <v>2065</v>
      </c>
      <c r="R2343" s="31">
        <v>238</v>
      </c>
    </row>
    <row r="2344" s="1" customFormat="1" ht="16.35" hidden="1" customHeight="1" spans="1:18">
      <c r="A2344" s="6"/>
      <c r="B2344" s="6" t="s">
        <v>4123</v>
      </c>
      <c r="C2344" s="6" t="s">
        <v>4236</v>
      </c>
      <c r="D2344" s="7">
        <v>99</v>
      </c>
      <c r="E2344" s="6" t="s">
        <v>6056</v>
      </c>
      <c r="F2344" s="6" t="s">
        <v>5631</v>
      </c>
      <c r="G2344" s="6" t="s">
        <v>5632</v>
      </c>
      <c r="H2344" s="8"/>
      <c r="I2344" s="8">
        <v>13468</v>
      </c>
      <c r="J2344" s="6"/>
      <c r="K2344" s="6" t="s">
        <v>2065</v>
      </c>
      <c r="L2344" s="6"/>
      <c r="M2344" s="6"/>
      <c r="N2344" s="6" t="s">
        <v>2065</v>
      </c>
      <c r="O2344" s="29">
        <f t="shared" si="54"/>
        <v>13468</v>
      </c>
      <c r="Q2344" s="30" t="s">
        <v>2065</v>
      </c>
      <c r="R2344" s="31">
        <v>13468</v>
      </c>
    </row>
    <row r="2345" s="1" customFormat="1" ht="16.35" hidden="1" customHeight="1" spans="1:18">
      <c r="A2345" s="6"/>
      <c r="B2345" s="6" t="s">
        <v>4123</v>
      </c>
      <c r="C2345" s="6" t="s">
        <v>4236</v>
      </c>
      <c r="D2345" s="7">
        <v>99</v>
      </c>
      <c r="E2345" s="6" t="s">
        <v>6057</v>
      </c>
      <c r="F2345" s="6" t="s">
        <v>5631</v>
      </c>
      <c r="G2345" s="6" t="s">
        <v>5632</v>
      </c>
      <c r="H2345" s="8"/>
      <c r="I2345" s="8">
        <v>12468</v>
      </c>
      <c r="J2345" s="6"/>
      <c r="K2345" s="6" t="s">
        <v>2077</v>
      </c>
      <c r="L2345" s="6"/>
      <c r="M2345" s="6"/>
      <c r="N2345" s="6" t="s">
        <v>2077</v>
      </c>
      <c r="O2345" s="29">
        <f t="shared" si="54"/>
        <v>12468</v>
      </c>
      <c r="Q2345" s="30" t="s">
        <v>2077</v>
      </c>
      <c r="R2345" s="31">
        <v>12468</v>
      </c>
    </row>
    <row r="2346" s="1" customFormat="1" ht="16.35" hidden="1" customHeight="1" spans="1:18">
      <c r="A2346" s="6"/>
      <c r="B2346" s="6" t="s">
        <v>4123</v>
      </c>
      <c r="C2346" s="6" t="s">
        <v>4236</v>
      </c>
      <c r="D2346" s="7">
        <v>98</v>
      </c>
      <c r="E2346" s="6" t="s">
        <v>6058</v>
      </c>
      <c r="F2346" s="6" t="s">
        <v>5631</v>
      </c>
      <c r="G2346" s="6" t="s">
        <v>5632</v>
      </c>
      <c r="H2346" s="8"/>
      <c r="I2346" s="8">
        <v>190</v>
      </c>
      <c r="J2346" s="6"/>
      <c r="K2346" s="6" t="s">
        <v>2097</v>
      </c>
      <c r="L2346" s="6"/>
      <c r="M2346" s="6"/>
      <c r="N2346" s="6" t="s">
        <v>2097</v>
      </c>
      <c r="O2346" s="29">
        <f t="shared" si="54"/>
        <v>190</v>
      </c>
      <c r="Q2346" s="30" t="s">
        <v>2097</v>
      </c>
      <c r="R2346" s="31">
        <v>190</v>
      </c>
    </row>
    <row r="2347" s="1" customFormat="1" ht="16.35" hidden="1" customHeight="1" spans="1:18">
      <c r="A2347" s="6"/>
      <c r="B2347" s="6" t="s">
        <v>4123</v>
      </c>
      <c r="C2347" s="6" t="s">
        <v>4236</v>
      </c>
      <c r="D2347" s="7">
        <v>98</v>
      </c>
      <c r="E2347" s="6" t="s">
        <v>6059</v>
      </c>
      <c r="F2347" s="6" t="s">
        <v>5631</v>
      </c>
      <c r="G2347" s="6" t="s">
        <v>5632</v>
      </c>
      <c r="H2347" s="8"/>
      <c r="I2347" s="8">
        <v>48</v>
      </c>
      <c r="J2347" s="6"/>
      <c r="K2347" s="6" t="s">
        <v>2097</v>
      </c>
      <c r="L2347" s="6"/>
      <c r="M2347" s="6"/>
      <c r="N2347" s="6" t="s">
        <v>2097</v>
      </c>
      <c r="O2347" s="29">
        <f t="shared" si="54"/>
        <v>48</v>
      </c>
      <c r="Q2347" s="30" t="s">
        <v>2097</v>
      </c>
      <c r="R2347" s="31">
        <v>48</v>
      </c>
    </row>
    <row r="2348" s="1" customFormat="1" ht="16.35" hidden="1" customHeight="1" spans="1:18">
      <c r="A2348" s="6"/>
      <c r="B2348" s="6" t="s">
        <v>4123</v>
      </c>
      <c r="C2348" s="6" t="s">
        <v>4236</v>
      </c>
      <c r="D2348" s="7">
        <v>99</v>
      </c>
      <c r="E2348" s="6" t="s">
        <v>6060</v>
      </c>
      <c r="F2348" s="6" t="s">
        <v>5631</v>
      </c>
      <c r="G2348" s="6" t="s">
        <v>5632</v>
      </c>
      <c r="H2348" s="8"/>
      <c r="I2348" s="8">
        <v>2882</v>
      </c>
      <c r="J2348" s="6"/>
      <c r="K2348" s="6" t="s">
        <v>2097</v>
      </c>
      <c r="L2348" s="6"/>
      <c r="M2348" s="6"/>
      <c r="N2348" s="6" t="s">
        <v>2097</v>
      </c>
      <c r="O2348" s="29">
        <f t="shared" si="54"/>
        <v>2882</v>
      </c>
      <c r="Q2348" s="30" t="s">
        <v>2097</v>
      </c>
      <c r="R2348" s="31">
        <v>2882</v>
      </c>
    </row>
    <row r="2349" s="1" customFormat="1" ht="16.35" hidden="1" customHeight="1" spans="1:18">
      <c r="A2349" s="6"/>
      <c r="B2349" s="6" t="s">
        <v>4123</v>
      </c>
      <c r="C2349" s="6" t="s">
        <v>4236</v>
      </c>
      <c r="D2349" s="7">
        <v>99</v>
      </c>
      <c r="E2349" s="6" t="s">
        <v>6061</v>
      </c>
      <c r="F2349" s="6" t="s">
        <v>5631</v>
      </c>
      <c r="G2349" s="6" t="s">
        <v>5632</v>
      </c>
      <c r="H2349" s="8"/>
      <c r="I2349" s="8">
        <v>1528</v>
      </c>
      <c r="J2349" s="6"/>
      <c r="K2349" s="6" t="s">
        <v>2097</v>
      </c>
      <c r="L2349" s="6"/>
      <c r="M2349" s="6"/>
      <c r="N2349" s="6" t="s">
        <v>2097</v>
      </c>
      <c r="O2349" s="29">
        <f t="shared" si="54"/>
        <v>1528</v>
      </c>
      <c r="Q2349" s="30" t="s">
        <v>2097</v>
      </c>
      <c r="R2349" s="31">
        <v>1528</v>
      </c>
    </row>
    <row r="2350" s="1" customFormat="1" ht="16.35" hidden="1" customHeight="1" spans="1:18">
      <c r="A2350" s="6"/>
      <c r="B2350" s="6" t="s">
        <v>4123</v>
      </c>
      <c r="C2350" s="6" t="s">
        <v>4236</v>
      </c>
      <c r="D2350" s="7">
        <v>99</v>
      </c>
      <c r="E2350" s="6" t="s">
        <v>6062</v>
      </c>
      <c r="F2350" s="6" t="s">
        <v>5631</v>
      </c>
      <c r="G2350" s="6" t="s">
        <v>5632</v>
      </c>
      <c r="H2350" s="8"/>
      <c r="I2350" s="8">
        <v>212</v>
      </c>
      <c r="J2350" s="6"/>
      <c r="K2350" s="6" t="s">
        <v>2097</v>
      </c>
      <c r="L2350" s="6"/>
      <c r="M2350" s="6"/>
      <c r="N2350" s="6" t="s">
        <v>2097</v>
      </c>
      <c r="O2350" s="29">
        <f t="shared" si="54"/>
        <v>212</v>
      </c>
      <c r="Q2350" s="30" t="s">
        <v>2097</v>
      </c>
      <c r="R2350" s="31">
        <v>212</v>
      </c>
    </row>
    <row r="2351" s="1" customFormat="1" ht="16.35" hidden="1" customHeight="1" spans="1:18">
      <c r="A2351" s="6"/>
      <c r="B2351" s="6" t="s">
        <v>4123</v>
      </c>
      <c r="C2351" s="6" t="s">
        <v>4236</v>
      </c>
      <c r="D2351" s="7">
        <v>99</v>
      </c>
      <c r="E2351" s="6" t="s">
        <v>6063</v>
      </c>
      <c r="F2351" s="6" t="s">
        <v>5631</v>
      </c>
      <c r="G2351" s="6" t="s">
        <v>5632</v>
      </c>
      <c r="H2351" s="8"/>
      <c r="I2351" s="8">
        <v>14367</v>
      </c>
      <c r="J2351" s="6"/>
      <c r="K2351" s="6" t="s">
        <v>2097</v>
      </c>
      <c r="L2351" s="6"/>
      <c r="M2351" s="6"/>
      <c r="N2351" s="6" t="s">
        <v>2097</v>
      </c>
      <c r="O2351" s="29">
        <f t="shared" si="54"/>
        <v>14367</v>
      </c>
      <c r="Q2351" s="30" t="s">
        <v>2097</v>
      </c>
      <c r="R2351" s="31">
        <v>14367</v>
      </c>
    </row>
    <row r="2352" s="1" customFormat="1" ht="16.35" hidden="1" customHeight="1" spans="1:18">
      <c r="A2352" s="6"/>
      <c r="B2352" s="6" t="s">
        <v>4123</v>
      </c>
      <c r="C2352" s="6" t="s">
        <v>4236</v>
      </c>
      <c r="D2352" s="7">
        <v>99</v>
      </c>
      <c r="E2352" s="6" t="s">
        <v>6064</v>
      </c>
      <c r="F2352" s="6" t="s">
        <v>5631</v>
      </c>
      <c r="G2352" s="6" t="s">
        <v>5632</v>
      </c>
      <c r="H2352" s="8"/>
      <c r="I2352" s="8">
        <v>826</v>
      </c>
      <c r="J2352" s="6"/>
      <c r="K2352" s="6" t="s">
        <v>2801</v>
      </c>
      <c r="L2352" s="6"/>
      <c r="M2352" s="6"/>
      <c r="N2352" s="6" t="s">
        <v>2801</v>
      </c>
      <c r="O2352" s="29">
        <f t="shared" si="54"/>
        <v>826</v>
      </c>
      <c r="Q2352" s="30" t="s">
        <v>2801</v>
      </c>
      <c r="R2352" s="31">
        <v>826</v>
      </c>
    </row>
    <row r="2353" s="1" customFormat="1" ht="16.35" hidden="1" customHeight="1" spans="1:18">
      <c r="A2353" s="6"/>
      <c r="B2353" s="6" t="s">
        <v>4123</v>
      </c>
      <c r="C2353" s="6" t="s">
        <v>4236</v>
      </c>
      <c r="D2353" s="7">
        <v>99</v>
      </c>
      <c r="E2353" s="6" t="s">
        <v>6065</v>
      </c>
      <c r="F2353" s="6" t="s">
        <v>5631</v>
      </c>
      <c r="G2353" s="6" t="s">
        <v>5632</v>
      </c>
      <c r="H2353" s="8"/>
      <c r="I2353" s="8">
        <v>413</v>
      </c>
      <c r="J2353" s="6"/>
      <c r="K2353" s="6" t="s">
        <v>2799</v>
      </c>
      <c r="L2353" s="6"/>
      <c r="M2353" s="6"/>
      <c r="N2353" s="6" t="s">
        <v>2799</v>
      </c>
      <c r="O2353" s="29">
        <f t="shared" si="54"/>
        <v>413</v>
      </c>
      <c r="Q2353" s="30" t="s">
        <v>2799</v>
      </c>
      <c r="R2353" s="31">
        <v>413</v>
      </c>
    </row>
    <row r="2354" s="1" customFormat="1" ht="16.35" hidden="1" customHeight="1" spans="1:18">
      <c r="A2354" s="6"/>
      <c r="B2354" s="6" t="s">
        <v>4123</v>
      </c>
      <c r="C2354" s="6" t="s">
        <v>4236</v>
      </c>
      <c r="D2354" s="7">
        <v>99</v>
      </c>
      <c r="E2354" s="6" t="s">
        <v>6066</v>
      </c>
      <c r="F2354" s="6" t="s">
        <v>5631</v>
      </c>
      <c r="G2354" s="6" t="s">
        <v>5632</v>
      </c>
      <c r="H2354" s="8"/>
      <c r="I2354" s="8">
        <v>19166</v>
      </c>
      <c r="J2354" s="6"/>
      <c r="K2354" s="6" t="s">
        <v>2799</v>
      </c>
      <c r="L2354" s="6"/>
      <c r="M2354" s="6"/>
      <c r="N2354" s="6" t="s">
        <v>2799</v>
      </c>
      <c r="O2354" s="29">
        <f t="shared" si="54"/>
        <v>19166</v>
      </c>
      <c r="Q2354" s="30" t="s">
        <v>2799</v>
      </c>
      <c r="R2354" s="31">
        <v>19166</v>
      </c>
    </row>
    <row r="2355" s="1" customFormat="1" ht="16.35" hidden="1" customHeight="1" spans="1:18">
      <c r="A2355" s="6"/>
      <c r="B2355" s="6" t="s">
        <v>4123</v>
      </c>
      <c r="C2355" s="6" t="s">
        <v>4236</v>
      </c>
      <c r="D2355" s="7">
        <v>99</v>
      </c>
      <c r="E2355" s="6" t="s">
        <v>6067</v>
      </c>
      <c r="F2355" s="6" t="s">
        <v>5631</v>
      </c>
      <c r="G2355" s="6" t="s">
        <v>5632</v>
      </c>
      <c r="H2355" s="8"/>
      <c r="I2355" s="8">
        <v>413</v>
      </c>
      <c r="J2355" s="6"/>
      <c r="K2355" s="6" t="s">
        <v>2807</v>
      </c>
      <c r="L2355" s="6"/>
      <c r="M2355" s="6"/>
      <c r="N2355" s="6" t="s">
        <v>2807</v>
      </c>
      <c r="O2355" s="29">
        <f t="shared" si="54"/>
        <v>413</v>
      </c>
      <c r="Q2355" s="30" t="s">
        <v>2807</v>
      </c>
      <c r="R2355" s="31">
        <v>413</v>
      </c>
    </row>
    <row r="2356" s="1" customFormat="1" ht="16.35" hidden="1" customHeight="1" spans="1:18">
      <c r="A2356" s="6"/>
      <c r="B2356" s="6" t="s">
        <v>4123</v>
      </c>
      <c r="C2356" s="6" t="s">
        <v>4236</v>
      </c>
      <c r="D2356" s="7">
        <v>99</v>
      </c>
      <c r="E2356" s="6" t="s">
        <v>6068</v>
      </c>
      <c r="F2356" s="6" t="s">
        <v>5631</v>
      </c>
      <c r="G2356" s="6" t="s">
        <v>5632</v>
      </c>
      <c r="H2356" s="8"/>
      <c r="I2356" s="8">
        <v>165</v>
      </c>
      <c r="J2356" s="6"/>
      <c r="K2356" s="6" t="s">
        <v>2807</v>
      </c>
      <c r="L2356" s="6"/>
      <c r="M2356" s="6"/>
      <c r="N2356" s="6" t="s">
        <v>2807</v>
      </c>
      <c r="O2356" s="29">
        <f t="shared" si="54"/>
        <v>165</v>
      </c>
      <c r="Q2356" s="30" t="s">
        <v>2807</v>
      </c>
      <c r="R2356" s="31">
        <v>165</v>
      </c>
    </row>
    <row r="2357" s="1" customFormat="1" ht="16.35" hidden="1" customHeight="1" spans="1:18">
      <c r="A2357" s="6"/>
      <c r="B2357" s="6" t="s">
        <v>4123</v>
      </c>
      <c r="C2357" s="6" t="s">
        <v>4236</v>
      </c>
      <c r="D2357" s="7">
        <v>99</v>
      </c>
      <c r="E2357" s="6" t="s">
        <v>6069</v>
      </c>
      <c r="F2357" s="6" t="s">
        <v>5631</v>
      </c>
      <c r="G2357" s="6" t="s">
        <v>5632</v>
      </c>
      <c r="H2357" s="8"/>
      <c r="I2357" s="8">
        <v>11314</v>
      </c>
      <c r="J2357" s="6"/>
      <c r="K2357" s="6" t="s">
        <v>2807</v>
      </c>
      <c r="L2357" s="6"/>
      <c r="M2357" s="6"/>
      <c r="N2357" s="6" t="s">
        <v>2807</v>
      </c>
      <c r="O2357" s="29">
        <f t="shared" si="54"/>
        <v>11314</v>
      </c>
      <c r="Q2357" s="30" t="s">
        <v>2807</v>
      </c>
      <c r="R2357" s="31">
        <v>11314</v>
      </c>
    </row>
    <row r="2358" s="1" customFormat="1" ht="16.35" hidden="1" customHeight="1" spans="1:18">
      <c r="A2358" s="6"/>
      <c r="B2358" s="6" t="s">
        <v>4123</v>
      </c>
      <c r="C2358" s="6" t="s">
        <v>4236</v>
      </c>
      <c r="D2358" s="7">
        <v>98</v>
      </c>
      <c r="E2358" s="6" t="s">
        <v>6070</v>
      </c>
      <c r="F2358" s="6" t="s">
        <v>5631</v>
      </c>
      <c r="G2358" s="6" t="s">
        <v>5632</v>
      </c>
      <c r="H2358" s="8"/>
      <c r="I2358" s="8">
        <v>2095</v>
      </c>
      <c r="J2358" s="6"/>
      <c r="K2358" s="6" t="s">
        <v>2157</v>
      </c>
      <c r="L2358" s="6"/>
      <c r="M2358" s="6"/>
      <c r="N2358" s="6" t="s">
        <v>2157</v>
      </c>
      <c r="O2358" s="29">
        <f t="shared" si="54"/>
        <v>2095</v>
      </c>
      <c r="Q2358" s="30" t="s">
        <v>2157</v>
      </c>
      <c r="R2358" s="31">
        <v>2095</v>
      </c>
    </row>
    <row r="2359" s="1" customFormat="1" ht="16.35" hidden="1" customHeight="1" spans="1:18">
      <c r="A2359" s="6"/>
      <c r="B2359" s="6" t="s">
        <v>4123</v>
      </c>
      <c r="C2359" s="6" t="s">
        <v>4236</v>
      </c>
      <c r="D2359" s="7">
        <v>99</v>
      </c>
      <c r="E2359" s="6" t="s">
        <v>6071</v>
      </c>
      <c r="F2359" s="6" t="s">
        <v>5631</v>
      </c>
      <c r="G2359" s="6" t="s">
        <v>5632</v>
      </c>
      <c r="H2359" s="8"/>
      <c r="I2359" s="8">
        <v>9470</v>
      </c>
      <c r="J2359" s="6"/>
      <c r="K2359" s="6" t="s">
        <v>2157</v>
      </c>
      <c r="L2359" s="6"/>
      <c r="M2359" s="6"/>
      <c r="N2359" s="6" t="s">
        <v>2157</v>
      </c>
      <c r="O2359" s="29">
        <f t="shared" si="54"/>
        <v>9470</v>
      </c>
      <c r="Q2359" s="30" t="s">
        <v>2157</v>
      </c>
      <c r="R2359" s="31">
        <v>9470</v>
      </c>
    </row>
    <row r="2360" s="1" customFormat="1" ht="16.35" hidden="1" customHeight="1" spans="1:18">
      <c r="A2360" s="6"/>
      <c r="B2360" s="6" t="s">
        <v>4123</v>
      </c>
      <c r="C2360" s="6" t="s">
        <v>4236</v>
      </c>
      <c r="D2360" s="7">
        <v>99</v>
      </c>
      <c r="E2360" s="6" t="s">
        <v>6072</v>
      </c>
      <c r="F2360" s="6" t="s">
        <v>5631</v>
      </c>
      <c r="G2360" s="6" t="s">
        <v>5632</v>
      </c>
      <c r="H2360" s="8"/>
      <c r="I2360" s="8">
        <v>8837</v>
      </c>
      <c r="J2360" s="6"/>
      <c r="K2360" s="6" t="s">
        <v>2820</v>
      </c>
      <c r="L2360" s="6"/>
      <c r="M2360" s="6"/>
      <c r="N2360" s="6" t="s">
        <v>2820</v>
      </c>
      <c r="O2360" s="29">
        <f t="shared" si="54"/>
        <v>8837</v>
      </c>
      <c r="Q2360" s="30" t="s">
        <v>2820</v>
      </c>
      <c r="R2360" s="31">
        <v>8837</v>
      </c>
    </row>
    <row r="2361" s="1" customFormat="1" ht="16.35" hidden="1" customHeight="1" spans="1:18">
      <c r="A2361" s="6"/>
      <c r="B2361" s="6" t="s">
        <v>4123</v>
      </c>
      <c r="C2361" s="6" t="s">
        <v>4236</v>
      </c>
      <c r="D2361" s="7">
        <v>98</v>
      </c>
      <c r="E2361" s="6" t="s">
        <v>6073</v>
      </c>
      <c r="F2361" s="6" t="s">
        <v>5631</v>
      </c>
      <c r="G2361" s="6" t="s">
        <v>5632</v>
      </c>
      <c r="H2361" s="8"/>
      <c r="I2361" s="8">
        <v>2880</v>
      </c>
      <c r="J2361" s="6"/>
      <c r="K2361" s="6" t="s">
        <v>2188</v>
      </c>
      <c r="L2361" s="6"/>
      <c r="M2361" s="6"/>
      <c r="N2361" s="6" t="s">
        <v>2188</v>
      </c>
      <c r="O2361" s="29">
        <f t="shared" si="54"/>
        <v>2880</v>
      </c>
      <c r="Q2361" s="30" t="s">
        <v>2188</v>
      </c>
      <c r="R2361" s="31">
        <v>2880</v>
      </c>
    </row>
    <row r="2362" s="1" customFormat="1" ht="16.35" hidden="1" customHeight="1" spans="1:18">
      <c r="A2362" s="6"/>
      <c r="B2362" s="6" t="s">
        <v>4123</v>
      </c>
      <c r="C2362" s="6" t="s">
        <v>4236</v>
      </c>
      <c r="D2362" s="7">
        <v>98</v>
      </c>
      <c r="E2362" s="6" t="s">
        <v>6074</v>
      </c>
      <c r="F2362" s="6" t="s">
        <v>5631</v>
      </c>
      <c r="G2362" s="6" t="s">
        <v>5632</v>
      </c>
      <c r="H2362" s="8"/>
      <c r="I2362" s="8">
        <v>286</v>
      </c>
      <c r="J2362" s="6"/>
      <c r="K2362" s="6" t="s">
        <v>2188</v>
      </c>
      <c r="L2362" s="6"/>
      <c r="M2362" s="6"/>
      <c r="N2362" s="6" t="s">
        <v>2188</v>
      </c>
      <c r="O2362" s="29">
        <f t="shared" si="54"/>
        <v>286</v>
      </c>
      <c r="Q2362" s="30" t="s">
        <v>2188</v>
      </c>
      <c r="R2362" s="31">
        <v>286</v>
      </c>
    </row>
    <row r="2363" s="1" customFormat="1" ht="16.35" hidden="1" customHeight="1" spans="1:18">
      <c r="A2363" s="6"/>
      <c r="B2363" s="6" t="s">
        <v>4123</v>
      </c>
      <c r="C2363" s="6" t="s">
        <v>4236</v>
      </c>
      <c r="D2363" s="7">
        <v>99</v>
      </c>
      <c r="E2363" s="6" t="s">
        <v>6075</v>
      </c>
      <c r="F2363" s="6" t="s">
        <v>5631</v>
      </c>
      <c r="G2363" s="6" t="s">
        <v>5632</v>
      </c>
      <c r="H2363" s="8"/>
      <c r="I2363" s="8">
        <v>13211</v>
      </c>
      <c r="J2363" s="6"/>
      <c r="K2363" s="6" t="s">
        <v>2188</v>
      </c>
      <c r="L2363" s="6"/>
      <c r="M2363" s="6"/>
      <c r="N2363" s="6" t="s">
        <v>2188</v>
      </c>
      <c r="O2363" s="29">
        <f t="shared" si="54"/>
        <v>13211</v>
      </c>
      <c r="Q2363" s="30" t="s">
        <v>2188</v>
      </c>
      <c r="R2363" s="31">
        <v>13211</v>
      </c>
    </row>
    <row r="2364" s="1" customFormat="1" ht="16.35" hidden="1" customHeight="1" spans="1:18">
      <c r="A2364" s="6"/>
      <c r="B2364" s="6" t="s">
        <v>4123</v>
      </c>
      <c r="C2364" s="6" t="s">
        <v>4236</v>
      </c>
      <c r="D2364" s="7">
        <v>99</v>
      </c>
      <c r="E2364" s="6" t="s">
        <v>6076</v>
      </c>
      <c r="F2364" s="6" t="s">
        <v>5631</v>
      </c>
      <c r="G2364" s="6" t="s">
        <v>5632</v>
      </c>
      <c r="H2364" s="8"/>
      <c r="I2364" s="8">
        <v>8422</v>
      </c>
      <c r="J2364" s="6"/>
      <c r="K2364" s="6" t="s">
        <v>2208</v>
      </c>
      <c r="L2364" s="6"/>
      <c r="M2364" s="6"/>
      <c r="N2364" s="6" t="s">
        <v>2208</v>
      </c>
      <c r="O2364" s="29">
        <f t="shared" si="54"/>
        <v>8422</v>
      </c>
      <c r="Q2364" s="30" t="s">
        <v>2208</v>
      </c>
      <c r="R2364" s="31">
        <v>8422</v>
      </c>
    </row>
    <row r="2365" s="1" customFormat="1" ht="16.35" hidden="1" customHeight="1" spans="1:18">
      <c r="A2365" s="6"/>
      <c r="B2365" s="6" t="s">
        <v>4123</v>
      </c>
      <c r="C2365" s="6" t="s">
        <v>4236</v>
      </c>
      <c r="D2365" s="7">
        <v>99</v>
      </c>
      <c r="E2365" s="6" t="s">
        <v>6077</v>
      </c>
      <c r="F2365" s="6" t="s">
        <v>5631</v>
      </c>
      <c r="G2365" s="6" t="s">
        <v>5632</v>
      </c>
      <c r="H2365" s="8"/>
      <c r="I2365" s="8">
        <v>12385</v>
      </c>
      <c r="J2365" s="6"/>
      <c r="K2365" s="6" t="s">
        <v>2208</v>
      </c>
      <c r="L2365" s="6"/>
      <c r="M2365" s="6"/>
      <c r="N2365" s="6" t="s">
        <v>2208</v>
      </c>
      <c r="O2365" s="29">
        <f t="shared" si="54"/>
        <v>12385</v>
      </c>
      <c r="Q2365" s="30" t="s">
        <v>2208</v>
      </c>
      <c r="R2365" s="31">
        <v>12385</v>
      </c>
    </row>
    <row r="2366" s="1" customFormat="1" ht="16.35" hidden="1" customHeight="1" spans="1:18">
      <c r="A2366" s="6"/>
      <c r="B2366" s="6" t="s">
        <v>4123</v>
      </c>
      <c r="C2366" s="6" t="s">
        <v>4236</v>
      </c>
      <c r="D2366" s="7">
        <v>99</v>
      </c>
      <c r="E2366" s="6" t="s">
        <v>6078</v>
      </c>
      <c r="F2366" s="6" t="s">
        <v>5631</v>
      </c>
      <c r="G2366" s="6" t="s">
        <v>5632</v>
      </c>
      <c r="H2366" s="8"/>
      <c r="I2366" s="8">
        <v>5270</v>
      </c>
      <c r="J2366" s="6"/>
      <c r="K2366" s="6" t="s">
        <v>2249</v>
      </c>
      <c r="L2366" s="6"/>
      <c r="M2366" s="6"/>
      <c r="N2366" s="6" t="s">
        <v>2249</v>
      </c>
      <c r="O2366" s="29">
        <f t="shared" si="54"/>
        <v>5270</v>
      </c>
      <c r="Q2366" s="30" t="s">
        <v>2249</v>
      </c>
      <c r="R2366" s="31">
        <v>5270</v>
      </c>
    </row>
    <row r="2367" s="1" customFormat="1" ht="16.35" hidden="1" customHeight="1" spans="1:18">
      <c r="A2367" s="6"/>
      <c r="B2367" s="6" t="s">
        <v>4123</v>
      </c>
      <c r="C2367" s="6" t="s">
        <v>4236</v>
      </c>
      <c r="D2367" s="7">
        <v>99</v>
      </c>
      <c r="E2367" s="6" t="s">
        <v>6079</v>
      </c>
      <c r="F2367" s="6" t="s">
        <v>5631</v>
      </c>
      <c r="G2367" s="6" t="s">
        <v>5632</v>
      </c>
      <c r="H2367" s="8"/>
      <c r="I2367" s="8">
        <v>13211</v>
      </c>
      <c r="J2367" s="6"/>
      <c r="K2367" s="6" t="s">
        <v>2249</v>
      </c>
      <c r="L2367" s="6"/>
      <c r="M2367" s="6"/>
      <c r="N2367" s="6" t="s">
        <v>2249</v>
      </c>
      <c r="O2367" s="29">
        <f t="shared" si="54"/>
        <v>13211</v>
      </c>
      <c r="Q2367" s="30" t="s">
        <v>2249</v>
      </c>
      <c r="R2367" s="31">
        <v>13211</v>
      </c>
    </row>
    <row r="2368" s="1" customFormat="1" ht="16.35" hidden="1" customHeight="1" spans="1:18">
      <c r="A2368" s="6"/>
      <c r="B2368" s="6" t="s">
        <v>4123</v>
      </c>
      <c r="C2368" s="6" t="s">
        <v>4236</v>
      </c>
      <c r="D2368" s="7">
        <v>99</v>
      </c>
      <c r="E2368" s="6" t="s">
        <v>6080</v>
      </c>
      <c r="F2368" s="6" t="s">
        <v>5631</v>
      </c>
      <c r="G2368" s="6" t="s">
        <v>5632</v>
      </c>
      <c r="H2368" s="8"/>
      <c r="I2368" s="8">
        <v>5441</v>
      </c>
      <c r="J2368" s="6"/>
      <c r="K2368" s="6" t="s">
        <v>2261</v>
      </c>
      <c r="L2368" s="6"/>
      <c r="M2368" s="6"/>
      <c r="N2368" s="6" t="s">
        <v>2261</v>
      </c>
      <c r="O2368" s="29">
        <f t="shared" si="54"/>
        <v>5441</v>
      </c>
      <c r="Q2368" s="30" t="s">
        <v>2261</v>
      </c>
      <c r="R2368" s="31">
        <v>5441</v>
      </c>
    </row>
    <row r="2369" s="1" customFormat="1" ht="16.35" hidden="1" customHeight="1" spans="1:18">
      <c r="A2369" s="6"/>
      <c r="B2369" s="6" t="s">
        <v>4123</v>
      </c>
      <c r="C2369" s="6" t="s">
        <v>4236</v>
      </c>
      <c r="D2369" s="7">
        <v>99</v>
      </c>
      <c r="E2369" s="6" t="s">
        <v>6081</v>
      </c>
      <c r="F2369" s="6" t="s">
        <v>5631</v>
      </c>
      <c r="G2369" s="6" t="s">
        <v>5632</v>
      </c>
      <c r="H2369" s="8"/>
      <c r="I2369" s="8">
        <v>12385</v>
      </c>
      <c r="J2369" s="6"/>
      <c r="K2369" s="6" t="s">
        <v>2261</v>
      </c>
      <c r="L2369" s="6"/>
      <c r="M2369" s="6"/>
      <c r="N2369" s="6" t="s">
        <v>2261</v>
      </c>
      <c r="O2369" s="29">
        <f t="shared" si="54"/>
        <v>12385</v>
      </c>
      <c r="Q2369" s="30" t="s">
        <v>2261</v>
      </c>
      <c r="R2369" s="31">
        <v>12385</v>
      </c>
    </row>
    <row r="2370" s="1" customFormat="1" ht="16.35" hidden="1" customHeight="1" spans="1:18">
      <c r="A2370" s="6"/>
      <c r="B2370" s="6" t="s">
        <v>4123</v>
      </c>
      <c r="C2370" s="6" t="s">
        <v>4236</v>
      </c>
      <c r="D2370" s="7">
        <v>99</v>
      </c>
      <c r="E2370" s="6" t="s">
        <v>6082</v>
      </c>
      <c r="F2370" s="6" t="s">
        <v>5631</v>
      </c>
      <c r="G2370" s="6" t="s">
        <v>5632</v>
      </c>
      <c r="H2370" s="8"/>
      <c r="I2370" s="8">
        <v>33028</v>
      </c>
      <c r="J2370" s="6"/>
      <c r="K2370" s="6" t="s">
        <v>2883</v>
      </c>
      <c r="L2370" s="6"/>
      <c r="M2370" s="6"/>
      <c r="N2370" s="6" t="s">
        <v>2883</v>
      </c>
      <c r="O2370" s="29">
        <f t="shared" si="54"/>
        <v>33028</v>
      </c>
      <c r="Q2370" s="30" t="s">
        <v>2883</v>
      </c>
      <c r="R2370" s="31">
        <v>33028</v>
      </c>
    </row>
    <row r="2371" s="1" customFormat="1" ht="16.35" hidden="1" customHeight="1" spans="1:18">
      <c r="A2371" s="6"/>
      <c r="B2371" s="6" t="s">
        <v>4123</v>
      </c>
      <c r="C2371" s="6" t="s">
        <v>4236</v>
      </c>
      <c r="D2371" s="7">
        <v>99</v>
      </c>
      <c r="E2371" s="6" t="s">
        <v>6083</v>
      </c>
      <c r="F2371" s="6" t="s">
        <v>5631</v>
      </c>
      <c r="G2371" s="6" t="s">
        <v>5632</v>
      </c>
      <c r="H2371" s="8"/>
      <c r="I2371" s="8">
        <v>21963</v>
      </c>
      <c r="J2371" s="6"/>
      <c r="K2371" s="6" t="s">
        <v>2883</v>
      </c>
      <c r="L2371" s="6"/>
      <c r="M2371" s="6"/>
      <c r="N2371" s="6" t="s">
        <v>2883</v>
      </c>
      <c r="O2371" s="29">
        <f t="shared" si="54"/>
        <v>21963</v>
      </c>
      <c r="Q2371" s="30" t="s">
        <v>2883</v>
      </c>
      <c r="R2371" s="31">
        <v>21963</v>
      </c>
    </row>
    <row r="2372" s="1" customFormat="1" ht="16.35" hidden="1" customHeight="1" spans="1:18">
      <c r="A2372" s="6"/>
      <c r="B2372" s="6" t="s">
        <v>4123</v>
      </c>
      <c r="C2372" s="6" t="s">
        <v>4236</v>
      </c>
      <c r="D2372" s="7">
        <v>99</v>
      </c>
      <c r="E2372" s="6" t="s">
        <v>6084</v>
      </c>
      <c r="F2372" s="6" t="s">
        <v>5631</v>
      </c>
      <c r="G2372" s="6" t="s">
        <v>5632</v>
      </c>
      <c r="H2372" s="8"/>
      <c r="I2372" s="8">
        <v>83</v>
      </c>
      <c r="J2372" s="6"/>
      <c r="K2372" s="6" t="s">
        <v>1978</v>
      </c>
      <c r="L2372" s="6"/>
      <c r="M2372" s="6"/>
      <c r="N2372" s="6" t="s">
        <v>1978</v>
      </c>
      <c r="O2372" s="29">
        <f t="shared" si="54"/>
        <v>83</v>
      </c>
      <c r="Q2372" s="30" t="s">
        <v>1978</v>
      </c>
      <c r="R2372" s="31">
        <v>83</v>
      </c>
    </row>
    <row r="2373" s="1" customFormat="1" ht="16.35" hidden="1" customHeight="1" spans="1:18">
      <c r="A2373" s="6"/>
      <c r="B2373" s="6" t="s">
        <v>4123</v>
      </c>
      <c r="C2373" s="6" t="s">
        <v>4236</v>
      </c>
      <c r="D2373" s="7">
        <v>99</v>
      </c>
      <c r="E2373" s="6" t="s">
        <v>6085</v>
      </c>
      <c r="F2373" s="6" t="s">
        <v>5631</v>
      </c>
      <c r="G2373" s="6" t="s">
        <v>5632</v>
      </c>
      <c r="H2373" s="8"/>
      <c r="I2373" s="8">
        <v>413</v>
      </c>
      <c r="J2373" s="6"/>
      <c r="K2373" s="6" t="s">
        <v>1978</v>
      </c>
      <c r="L2373" s="6"/>
      <c r="M2373" s="6"/>
      <c r="N2373" s="6" t="s">
        <v>1978</v>
      </c>
      <c r="O2373" s="29">
        <f t="shared" ref="O2373:O2436" si="55">I2373</f>
        <v>413</v>
      </c>
      <c r="Q2373" s="30" t="s">
        <v>1978</v>
      </c>
      <c r="R2373" s="31">
        <v>413</v>
      </c>
    </row>
    <row r="2374" s="1" customFormat="1" ht="16.35" hidden="1" customHeight="1" spans="1:18">
      <c r="A2374" s="6"/>
      <c r="B2374" s="6" t="s">
        <v>4123</v>
      </c>
      <c r="C2374" s="6" t="s">
        <v>4236</v>
      </c>
      <c r="D2374" s="7">
        <v>99</v>
      </c>
      <c r="E2374" s="6" t="s">
        <v>6086</v>
      </c>
      <c r="F2374" s="6" t="s">
        <v>5631</v>
      </c>
      <c r="G2374" s="6" t="s">
        <v>5632</v>
      </c>
      <c r="H2374" s="8"/>
      <c r="I2374" s="8">
        <v>941</v>
      </c>
      <c r="J2374" s="6"/>
      <c r="K2374" s="6" t="s">
        <v>1978</v>
      </c>
      <c r="L2374" s="6"/>
      <c r="M2374" s="6"/>
      <c r="N2374" s="6" t="s">
        <v>1978</v>
      </c>
      <c r="O2374" s="29">
        <f t="shared" si="55"/>
        <v>941</v>
      </c>
      <c r="Q2374" s="30" t="s">
        <v>1978</v>
      </c>
      <c r="R2374" s="31">
        <v>941</v>
      </c>
    </row>
    <row r="2375" s="1" customFormat="1" ht="16.35" hidden="1" customHeight="1" spans="1:18">
      <c r="A2375" s="6"/>
      <c r="B2375" s="6" t="s">
        <v>4123</v>
      </c>
      <c r="C2375" s="6" t="s">
        <v>4236</v>
      </c>
      <c r="D2375" s="7">
        <v>99</v>
      </c>
      <c r="E2375" s="6" t="s">
        <v>6087</v>
      </c>
      <c r="F2375" s="6" t="s">
        <v>5631</v>
      </c>
      <c r="G2375" s="6" t="s">
        <v>5632</v>
      </c>
      <c r="H2375" s="8"/>
      <c r="I2375" s="8">
        <v>3550</v>
      </c>
      <c r="J2375" s="6"/>
      <c r="K2375" s="6" t="s">
        <v>1978</v>
      </c>
      <c r="L2375" s="6"/>
      <c r="M2375" s="6"/>
      <c r="N2375" s="6" t="s">
        <v>1978</v>
      </c>
      <c r="O2375" s="29">
        <f t="shared" si="55"/>
        <v>3550</v>
      </c>
      <c r="Q2375" s="30" t="s">
        <v>1978</v>
      </c>
      <c r="R2375" s="31">
        <v>3550</v>
      </c>
    </row>
    <row r="2376" s="1" customFormat="1" ht="16.35" hidden="1" customHeight="1" spans="1:18">
      <c r="A2376" s="6"/>
      <c r="B2376" s="6" t="s">
        <v>4123</v>
      </c>
      <c r="C2376" s="6" t="s">
        <v>4236</v>
      </c>
      <c r="D2376" s="7">
        <v>99</v>
      </c>
      <c r="E2376" s="6" t="s">
        <v>6088</v>
      </c>
      <c r="F2376" s="6" t="s">
        <v>5631</v>
      </c>
      <c r="G2376" s="6" t="s">
        <v>5632</v>
      </c>
      <c r="H2376" s="8"/>
      <c r="I2376" s="8">
        <v>11147</v>
      </c>
      <c r="J2376" s="6"/>
      <c r="K2376" s="6" t="s">
        <v>1978</v>
      </c>
      <c r="L2376" s="6"/>
      <c r="M2376" s="6"/>
      <c r="N2376" s="6" t="s">
        <v>1978</v>
      </c>
      <c r="O2376" s="29">
        <f t="shared" si="55"/>
        <v>11147</v>
      </c>
      <c r="Q2376" s="30" t="s">
        <v>1978</v>
      </c>
      <c r="R2376" s="31">
        <v>11147</v>
      </c>
    </row>
    <row r="2377" s="1" customFormat="1" ht="16.35" hidden="1" customHeight="1" spans="1:18">
      <c r="A2377" s="6"/>
      <c r="B2377" s="6" t="s">
        <v>4123</v>
      </c>
      <c r="C2377" s="6" t="s">
        <v>4236</v>
      </c>
      <c r="D2377" s="7">
        <v>98</v>
      </c>
      <c r="E2377" s="6" t="s">
        <v>6089</v>
      </c>
      <c r="F2377" s="6" t="s">
        <v>5631</v>
      </c>
      <c r="G2377" s="6" t="s">
        <v>5632</v>
      </c>
      <c r="H2377" s="8"/>
      <c r="I2377" s="8">
        <v>2381</v>
      </c>
      <c r="J2377" s="6"/>
      <c r="K2377" s="6" t="s">
        <v>2746</v>
      </c>
      <c r="L2377" s="6"/>
      <c r="M2377" s="6"/>
      <c r="N2377" s="6" t="s">
        <v>2746</v>
      </c>
      <c r="O2377" s="29">
        <f t="shared" si="55"/>
        <v>2381</v>
      </c>
      <c r="Q2377" s="30" t="s">
        <v>2746</v>
      </c>
      <c r="R2377" s="31">
        <v>2381</v>
      </c>
    </row>
    <row r="2378" s="1" customFormat="1" ht="16.35" hidden="1" customHeight="1" spans="1:18">
      <c r="A2378" s="6"/>
      <c r="B2378" s="6" t="s">
        <v>4123</v>
      </c>
      <c r="C2378" s="6" t="s">
        <v>4236</v>
      </c>
      <c r="D2378" s="7">
        <v>98</v>
      </c>
      <c r="E2378" s="6" t="s">
        <v>6090</v>
      </c>
      <c r="F2378" s="6" t="s">
        <v>5631</v>
      </c>
      <c r="G2378" s="6" t="s">
        <v>5632</v>
      </c>
      <c r="H2378" s="8"/>
      <c r="I2378" s="8">
        <v>810</v>
      </c>
      <c r="J2378" s="6"/>
      <c r="K2378" s="6" t="s">
        <v>2746</v>
      </c>
      <c r="L2378" s="6"/>
      <c r="M2378" s="6"/>
      <c r="N2378" s="6" t="s">
        <v>2746</v>
      </c>
      <c r="O2378" s="29">
        <f t="shared" si="55"/>
        <v>810</v>
      </c>
      <c r="Q2378" s="30" t="s">
        <v>2746</v>
      </c>
      <c r="R2378" s="31">
        <v>810</v>
      </c>
    </row>
    <row r="2379" s="1" customFormat="1" ht="16.35" hidden="1" customHeight="1" spans="1:18">
      <c r="A2379" s="6"/>
      <c r="B2379" s="6" t="s">
        <v>4123</v>
      </c>
      <c r="C2379" s="6" t="s">
        <v>4236</v>
      </c>
      <c r="D2379" s="7">
        <v>99</v>
      </c>
      <c r="E2379" s="6" t="s">
        <v>6091</v>
      </c>
      <c r="F2379" s="6" t="s">
        <v>5631</v>
      </c>
      <c r="G2379" s="6" t="s">
        <v>5632</v>
      </c>
      <c r="H2379" s="8"/>
      <c r="I2379" s="8">
        <v>1651</v>
      </c>
      <c r="J2379" s="6"/>
      <c r="K2379" s="6" t="s">
        <v>2746</v>
      </c>
      <c r="L2379" s="6"/>
      <c r="M2379" s="6"/>
      <c r="N2379" s="6" t="s">
        <v>2746</v>
      </c>
      <c r="O2379" s="29">
        <f t="shared" si="55"/>
        <v>1651</v>
      </c>
      <c r="Q2379" s="30" t="s">
        <v>2746</v>
      </c>
      <c r="R2379" s="31">
        <v>1651</v>
      </c>
    </row>
    <row r="2380" s="1" customFormat="1" ht="16.35" hidden="1" customHeight="1" spans="1:18">
      <c r="A2380" s="6"/>
      <c r="B2380" s="6" t="s">
        <v>4123</v>
      </c>
      <c r="C2380" s="6" t="s">
        <v>4236</v>
      </c>
      <c r="D2380" s="7">
        <v>99</v>
      </c>
      <c r="E2380" s="6" t="s">
        <v>6092</v>
      </c>
      <c r="F2380" s="6" t="s">
        <v>5631</v>
      </c>
      <c r="G2380" s="6" t="s">
        <v>5632</v>
      </c>
      <c r="H2380" s="8"/>
      <c r="I2380" s="8">
        <v>1651</v>
      </c>
      <c r="J2380" s="6"/>
      <c r="K2380" s="6" t="s">
        <v>2746</v>
      </c>
      <c r="L2380" s="6"/>
      <c r="M2380" s="6"/>
      <c r="N2380" s="6" t="s">
        <v>2746</v>
      </c>
      <c r="O2380" s="29">
        <f t="shared" si="55"/>
        <v>1651</v>
      </c>
      <c r="Q2380" s="30" t="s">
        <v>2746</v>
      </c>
      <c r="R2380" s="31">
        <v>1651</v>
      </c>
    </row>
    <row r="2381" s="1" customFormat="1" ht="16.35" hidden="1" customHeight="1" spans="1:18">
      <c r="A2381" s="6"/>
      <c r="B2381" s="6" t="s">
        <v>4123</v>
      </c>
      <c r="C2381" s="6" t="s">
        <v>4236</v>
      </c>
      <c r="D2381" s="7">
        <v>99</v>
      </c>
      <c r="E2381" s="6" t="s">
        <v>6093</v>
      </c>
      <c r="F2381" s="6" t="s">
        <v>5631</v>
      </c>
      <c r="G2381" s="6" t="s">
        <v>5632</v>
      </c>
      <c r="H2381" s="8"/>
      <c r="I2381" s="8">
        <v>2147</v>
      </c>
      <c r="J2381" s="6"/>
      <c r="K2381" s="6" t="s">
        <v>2746</v>
      </c>
      <c r="L2381" s="6"/>
      <c r="M2381" s="6"/>
      <c r="N2381" s="6" t="s">
        <v>2746</v>
      </c>
      <c r="O2381" s="29">
        <f t="shared" si="55"/>
        <v>2147</v>
      </c>
      <c r="Q2381" s="30" t="s">
        <v>2746</v>
      </c>
      <c r="R2381" s="31">
        <v>2147</v>
      </c>
    </row>
    <row r="2382" s="1" customFormat="1" ht="16.35" hidden="1" customHeight="1" spans="1:18">
      <c r="A2382" s="6"/>
      <c r="B2382" s="6" t="s">
        <v>4123</v>
      </c>
      <c r="C2382" s="6" t="s">
        <v>4236</v>
      </c>
      <c r="D2382" s="7">
        <v>98</v>
      </c>
      <c r="E2382" s="6" t="s">
        <v>6094</v>
      </c>
      <c r="F2382" s="6" t="s">
        <v>5631</v>
      </c>
      <c r="G2382" s="6" t="s">
        <v>5632</v>
      </c>
      <c r="H2382" s="8"/>
      <c r="I2382" s="8">
        <v>2885</v>
      </c>
      <c r="J2382" s="6"/>
      <c r="K2382" s="6" t="s">
        <v>1980</v>
      </c>
      <c r="L2382" s="6"/>
      <c r="M2382" s="6"/>
      <c r="N2382" s="6" t="s">
        <v>1980</v>
      </c>
      <c r="O2382" s="29">
        <f t="shared" si="55"/>
        <v>2885</v>
      </c>
      <c r="Q2382" s="30" t="s">
        <v>1980</v>
      </c>
      <c r="R2382" s="31">
        <v>2885</v>
      </c>
    </row>
    <row r="2383" s="1" customFormat="1" ht="16.35" hidden="1" customHeight="1" spans="1:18">
      <c r="A2383" s="6"/>
      <c r="B2383" s="6" t="s">
        <v>4123</v>
      </c>
      <c r="C2383" s="6" t="s">
        <v>4236</v>
      </c>
      <c r="D2383" s="7">
        <v>99</v>
      </c>
      <c r="E2383" s="6" t="s">
        <v>6095</v>
      </c>
      <c r="F2383" s="6" t="s">
        <v>5631</v>
      </c>
      <c r="G2383" s="6" t="s">
        <v>5632</v>
      </c>
      <c r="H2383" s="8"/>
      <c r="I2383" s="8">
        <v>12385</v>
      </c>
      <c r="J2383" s="6"/>
      <c r="K2383" s="6" t="s">
        <v>1980</v>
      </c>
      <c r="L2383" s="6"/>
      <c r="M2383" s="6"/>
      <c r="N2383" s="6" t="s">
        <v>1980</v>
      </c>
      <c r="O2383" s="29">
        <f t="shared" si="55"/>
        <v>12385</v>
      </c>
      <c r="Q2383" s="30" t="s">
        <v>1980</v>
      </c>
      <c r="R2383" s="31">
        <v>12385</v>
      </c>
    </row>
    <row r="2384" s="1" customFormat="1" ht="16.35" hidden="1" customHeight="1" spans="1:18">
      <c r="A2384" s="6"/>
      <c r="B2384" s="6" t="s">
        <v>4123</v>
      </c>
      <c r="C2384" s="6" t="s">
        <v>4236</v>
      </c>
      <c r="D2384" s="7">
        <v>99</v>
      </c>
      <c r="E2384" s="6" t="s">
        <v>6096</v>
      </c>
      <c r="F2384" s="6" t="s">
        <v>5631</v>
      </c>
      <c r="G2384" s="6" t="s">
        <v>5632</v>
      </c>
      <c r="H2384" s="8"/>
      <c r="I2384" s="8">
        <v>83</v>
      </c>
      <c r="J2384" s="6"/>
      <c r="K2384" s="6" t="s">
        <v>2043</v>
      </c>
      <c r="L2384" s="6"/>
      <c r="M2384" s="6"/>
      <c r="N2384" s="6" t="s">
        <v>2043</v>
      </c>
      <c r="O2384" s="29">
        <f t="shared" si="55"/>
        <v>83</v>
      </c>
      <c r="Q2384" s="30" t="s">
        <v>2043</v>
      </c>
      <c r="R2384" s="31">
        <v>83</v>
      </c>
    </row>
    <row r="2385" s="1" customFormat="1" ht="16.35" hidden="1" customHeight="1" spans="1:18">
      <c r="A2385" s="6"/>
      <c r="B2385" s="6" t="s">
        <v>4123</v>
      </c>
      <c r="C2385" s="6" t="s">
        <v>4236</v>
      </c>
      <c r="D2385" s="7">
        <v>99</v>
      </c>
      <c r="E2385" s="6" t="s">
        <v>6097</v>
      </c>
      <c r="F2385" s="6" t="s">
        <v>5631</v>
      </c>
      <c r="G2385" s="6" t="s">
        <v>5632</v>
      </c>
      <c r="H2385" s="8"/>
      <c r="I2385" s="8">
        <v>413</v>
      </c>
      <c r="J2385" s="6"/>
      <c r="K2385" s="6" t="s">
        <v>2768</v>
      </c>
      <c r="L2385" s="6"/>
      <c r="M2385" s="6"/>
      <c r="N2385" s="6" t="s">
        <v>2768</v>
      </c>
      <c r="O2385" s="29">
        <f t="shared" si="55"/>
        <v>413</v>
      </c>
      <c r="Q2385" s="30" t="s">
        <v>2768</v>
      </c>
      <c r="R2385" s="31">
        <v>413</v>
      </c>
    </row>
    <row r="2386" s="1" customFormat="1" ht="16.35" hidden="1" customHeight="1" spans="1:18">
      <c r="A2386" s="6"/>
      <c r="B2386" s="6" t="s">
        <v>4123</v>
      </c>
      <c r="C2386" s="6" t="s">
        <v>4236</v>
      </c>
      <c r="D2386" s="7">
        <v>99</v>
      </c>
      <c r="E2386" s="6" t="s">
        <v>6098</v>
      </c>
      <c r="F2386" s="6" t="s">
        <v>5631</v>
      </c>
      <c r="G2386" s="6" t="s">
        <v>5632</v>
      </c>
      <c r="H2386" s="8"/>
      <c r="I2386" s="8">
        <v>10584</v>
      </c>
      <c r="J2386" s="6"/>
      <c r="K2386" s="6" t="s">
        <v>2768</v>
      </c>
      <c r="L2386" s="6"/>
      <c r="M2386" s="6"/>
      <c r="N2386" s="6" t="s">
        <v>2768</v>
      </c>
      <c r="O2386" s="29">
        <f t="shared" si="55"/>
        <v>10584</v>
      </c>
      <c r="Q2386" s="30" t="s">
        <v>2768</v>
      </c>
      <c r="R2386" s="31">
        <v>10584</v>
      </c>
    </row>
    <row r="2387" s="1" customFormat="1" ht="16.35" hidden="1" customHeight="1" spans="1:18">
      <c r="A2387" s="6"/>
      <c r="B2387" s="6" t="s">
        <v>4123</v>
      </c>
      <c r="C2387" s="6" t="s">
        <v>4236</v>
      </c>
      <c r="D2387" s="7">
        <v>99</v>
      </c>
      <c r="E2387" s="6" t="s">
        <v>6099</v>
      </c>
      <c r="F2387" s="6" t="s">
        <v>5631</v>
      </c>
      <c r="G2387" s="6" t="s">
        <v>5632</v>
      </c>
      <c r="H2387" s="8"/>
      <c r="I2387" s="8">
        <v>4128</v>
      </c>
      <c r="J2387" s="6"/>
      <c r="K2387" s="6" t="s">
        <v>2013</v>
      </c>
      <c r="L2387" s="6"/>
      <c r="M2387" s="6"/>
      <c r="N2387" s="6" t="s">
        <v>2013</v>
      </c>
      <c r="O2387" s="29">
        <f t="shared" si="55"/>
        <v>4128</v>
      </c>
      <c r="Q2387" s="30" t="s">
        <v>2013</v>
      </c>
      <c r="R2387" s="31">
        <v>4128</v>
      </c>
    </row>
    <row r="2388" s="1" customFormat="1" ht="16.35" hidden="1" customHeight="1" spans="1:18">
      <c r="A2388" s="6"/>
      <c r="B2388" s="6" t="s">
        <v>4123</v>
      </c>
      <c r="C2388" s="6" t="s">
        <v>4236</v>
      </c>
      <c r="D2388" s="7">
        <v>99</v>
      </c>
      <c r="E2388" s="6" t="s">
        <v>6100</v>
      </c>
      <c r="F2388" s="6" t="s">
        <v>5631</v>
      </c>
      <c r="G2388" s="6" t="s">
        <v>5632</v>
      </c>
      <c r="H2388" s="8"/>
      <c r="I2388" s="8">
        <v>52</v>
      </c>
      <c r="J2388" s="6"/>
      <c r="K2388" s="6" t="s">
        <v>2013</v>
      </c>
      <c r="L2388" s="6"/>
      <c r="M2388" s="6"/>
      <c r="N2388" s="6" t="s">
        <v>2013</v>
      </c>
      <c r="O2388" s="29">
        <f t="shared" si="55"/>
        <v>52</v>
      </c>
      <c r="Q2388" s="30" t="s">
        <v>2013</v>
      </c>
      <c r="R2388" s="31">
        <v>52</v>
      </c>
    </row>
    <row r="2389" s="1" customFormat="1" ht="16.35" hidden="1" customHeight="1" spans="1:18">
      <c r="A2389" s="6"/>
      <c r="B2389" s="6" t="s">
        <v>4123</v>
      </c>
      <c r="C2389" s="6" t="s">
        <v>4236</v>
      </c>
      <c r="D2389" s="7">
        <v>99</v>
      </c>
      <c r="E2389" s="6" t="s">
        <v>6101</v>
      </c>
      <c r="F2389" s="6" t="s">
        <v>5631</v>
      </c>
      <c r="G2389" s="6" t="s">
        <v>5632</v>
      </c>
      <c r="H2389" s="8"/>
      <c r="I2389" s="8">
        <v>12798</v>
      </c>
      <c r="J2389" s="6"/>
      <c r="K2389" s="6" t="s">
        <v>2013</v>
      </c>
      <c r="L2389" s="6"/>
      <c r="M2389" s="6"/>
      <c r="N2389" s="6" t="s">
        <v>2013</v>
      </c>
      <c r="O2389" s="29">
        <f t="shared" si="55"/>
        <v>12798</v>
      </c>
      <c r="Q2389" s="30" t="s">
        <v>2013</v>
      </c>
      <c r="R2389" s="31">
        <v>12798</v>
      </c>
    </row>
    <row r="2390" s="1" customFormat="1" ht="16.35" hidden="1" customHeight="1" spans="1:18">
      <c r="A2390" s="6"/>
      <c r="B2390" s="6" t="s">
        <v>4123</v>
      </c>
      <c r="C2390" s="6" t="s">
        <v>4236</v>
      </c>
      <c r="D2390" s="7">
        <v>98</v>
      </c>
      <c r="E2390" s="6" t="s">
        <v>6102</v>
      </c>
      <c r="F2390" s="6" t="s">
        <v>5631</v>
      </c>
      <c r="G2390" s="6" t="s">
        <v>5632</v>
      </c>
      <c r="H2390" s="8"/>
      <c r="I2390" s="8">
        <v>3775</v>
      </c>
      <c r="J2390" s="6"/>
      <c r="K2390" s="6" t="s">
        <v>2029</v>
      </c>
      <c r="L2390" s="6"/>
      <c r="M2390" s="6"/>
      <c r="N2390" s="6" t="s">
        <v>2029</v>
      </c>
      <c r="O2390" s="29">
        <f t="shared" si="55"/>
        <v>3775</v>
      </c>
      <c r="Q2390" s="30" t="s">
        <v>2029</v>
      </c>
      <c r="R2390" s="31">
        <v>3775</v>
      </c>
    </row>
    <row r="2391" s="1" customFormat="1" ht="16.35" hidden="1" customHeight="1" spans="1:18">
      <c r="A2391" s="6"/>
      <c r="B2391" s="6" t="s">
        <v>4123</v>
      </c>
      <c r="C2391" s="6" t="s">
        <v>4236</v>
      </c>
      <c r="D2391" s="7">
        <v>99</v>
      </c>
      <c r="E2391" s="6" t="s">
        <v>6103</v>
      </c>
      <c r="F2391" s="6" t="s">
        <v>5631</v>
      </c>
      <c r="G2391" s="6" t="s">
        <v>5632</v>
      </c>
      <c r="H2391" s="8"/>
      <c r="I2391" s="8">
        <v>4624</v>
      </c>
      <c r="J2391" s="6"/>
      <c r="K2391" s="6" t="s">
        <v>2029</v>
      </c>
      <c r="L2391" s="6"/>
      <c r="M2391" s="6"/>
      <c r="N2391" s="6" t="s">
        <v>2029</v>
      </c>
      <c r="O2391" s="29">
        <f t="shared" si="55"/>
        <v>4624</v>
      </c>
      <c r="Q2391" s="30" t="s">
        <v>2029</v>
      </c>
      <c r="R2391" s="31">
        <v>4624</v>
      </c>
    </row>
    <row r="2392" s="1" customFormat="1" ht="16.35" hidden="1" customHeight="1" spans="1:18">
      <c r="A2392" s="6"/>
      <c r="B2392" s="6" t="s">
        <v>4123</v>
      </c>
      <c r="C2392" s="6" t="s">
        <v>4236</v>
      </c>
      <c r="D2392" s="7">
        <v>99</v>
      </c>
      <c r="E2392" s="6" t="s">
        <v>6104</v>
      </c>
      <c r="F2392" s="6" t="s">
        <v>5631</v>
      </c>
      <c r="G2392" s="6" t="s">
        <v>5632</v>
      </c>
      <c r="H2392" s="8"/>
      <c r="I2392" s="8">
        <v>7347</v>
      </c>
      <c r="J2392" s="6"/>
      <c r="K2392" s="6" t="s">
        <v>2073</v>
      </c>
      <c r="L2392" s="6"/>
      <c r="M2392" s="6"/>
      <c r="N2392" s="6" t="s">
        <v>2073</v>
      </c>
      <c r="O2392" s="29">
        <f t="shared" si="55"/>
        <v>7347</v>
      </c>
      <c r="Q2392" s="30" t="s">
        <v>2073</v>
      </c>
      <c r="R2392" s="31">
        <v>7347</v>
      </c>
    </row>
    <row r="2393" s="1" customFormat="1" ht="16.35" hidden="1" customHeight="1" spans="1:18">
      <c r="A2393" s="6"/>
      <c r="B2393" s="6" t="s">
        <v>4123</v>
      </c>
      <c r="C2393" s="6" t="s">
        <v>4236</v>
      </c>
      <c r="D2393" s="7">
        <v>99</v>
      </c>
      <c r="E2393" s="6" t="s">
        <v>6105</v>
      </c>
      <c r="F2393" s="6" t="s">
        <v>5631</v>
      </c>
      <c r="G2393" s="6" t="s">
        <v>5632</v>
      </c>
      <c r="H2393" s="8"/>
      <c r="I2393" s="8">
        <v>2394</v>
      </c>
      <c r="J2393" s="6"/>
      <c r="K2393" s="6" t="s">
        <v>2125</v>
      </c>
      <c r="L2393" s="6"/>
      <c r="M2393" s="6"/>
      <c r="N2393" s="6" t="s">
        <v>2125</v>
      </c>
      <c r="O2393" s="29">
        <f t="shared" si="55"/>
        <v>2394</v>
      </c>
      <c r="Q2393" s="30" t="s">
        <v>2125</v>
      </c>
      <c r="R2393" s="31">
        <v>2394</v>
      </c>
    </row>
    <row r="2394" s="1" customFormat="1" ht="16.35" hidden="1" customHeight="1" spans="1:18">
      <c r="A2394" s="6"/>
      <c r="B2394" s="6" t="s">
        <v>4123</v>
      </c>
      <c r="C2394" s="6" t="s">
        <v>4236</v>
      </c>
      <c r="D2394" s="7">
        <v>99</v>
      </c>
      <c r="E2394" s="6" t="s">
        <v>6106</v>
      </c>
      <c r="F2394" s="6" t="s">
        <v>5631</v>
      </c>
      <c r="G2394" s="6" t="s">
        <v>5632</v>
      </c>
      <c r="H2394" s="8"/>
      <c r="I2394" s="8">
        <v>1875</v>
      </c>
      <c r="J2394" s="6"/>
      <c r="K2394" s="6" t="s">
        <v>2125</v>
      </c>
      <c r="L2394" s="6"/>
      <c r="M2394" s="6"/>
      <c r="N2394" s="6" t="s">
        <v>2125</v>
      </c>
      <c r="O2394" s="29">
        <f t="shared" si="55"/>
        <v>1875</v>
      </c>
      <c r="Q2394" s="30" t="s">
        <v>2125</v>
      </c>
      <c r="R2394" s="31">
        <v>1875</v>
      </c>
    </row>
    <row r="2395" s="1" customFormat="1" ht="16.35" hidden="1" customHeight="1" spans="1:18">
      <c r="A2395" s="6"/>
      <c r="B2395" s="6" t="s">
        <v>4123</v>
      </c>
      <c r="C2395" s="6" t="s">
        <v>4236</v>
      </c>
      <c r="D2395" s="7">
        <v>99</v>
      </c>
      <c r="E2395" s="6" t="s">
        <v>6107</v>
      </c>
      <c r="F2395" s="6" t="s">
        <v>5631</v>
      </c>
      <c r="G2395" s="6" t="s">
        <v>5632</v>
      </c>
      <c r="H2395" s="8"/>
      <c r="I2395" s="8">
        <v>1073</v>
      </c>
      <c r="J2395" s="6"/>
      <c r="K2395" s="6" t="s">
        <v>2125</v>
      </c>
      <c r="L2395" s="6"/>
      <c r="M2395" s="6"/>
      <c r="N2395" s="6" t="s">
        <v>2125</v>
      </c>
      <c r="O2395" s="29">
        <f t="shared" si="55"/>
        <v>1073</v>
      </c>
      <c r="Q2395" s="30" t="s">
        <v>2125</v>
      </c>
      <c r="R2395" s="31">
        <v>1073</v>
      </c>
    </row>
    <row r="2396" s="1" customFormat="1" ht="16.35" hidden="1" customHeight="1" spans="1:18">
      <c r="A2396" s="6"/>
      <c r="B2396" s="6" t="s">
        <v>4123</v>
      </c>
      <c r="C2396" s="6" t="s">
        <v>4236</v>
      </c>
      <c r="D2396" s="7">
        <v>99</v>
      </c>
      <c r="E2396" s="6" t="s">
        <v>6108</v>
      </c>
      <c r="F2396" s="6" t="s">
        <v>5631</v>
      </c>
      <c r="G2396" s="6" t="s">
        <v>5632</v>
      </c>
      <c r="H2396" s="8"/>
      <c r="I2396" s="8">
        <v>272</v>
      </c>
      <c r="J2396" s="6"/>
      <c r="K2396" s="6" t="s">
        <v>2125</v>
      </c>
      <c r="L2396" s="6"/>
      <c r="M2396" s="6"/>
      <c r="N2396" s="6" t="s">
        <v>2125</v>
      </c>
      <c r="O2396" s="29">
        <f t="shared" si="55"/>
        <v>272</v>
      </c>
      <c r="Q2396" s="30" t="s">
        <v>2125</v>
      </c>
      <c r="R2396" s="31">
        <v>272</v>
      </c>
    </row>
    <row r="2397" s="1" customFormat="1" ht="16.35" hidden="1" customHeight="1" spans="1:18">
      <c r="A2397" s="6"/>
      <c r="B2397" s="6" t="s">
        <v>4123</v>
      </c>
      <c r="C2397" s="6" t="s">
        <v>4236</v>
      </c>
      <c r="D2397" s="7">
        <v>99</v>
      </c>
      <c r="E2397" s="6" t="s">
        <v>6109</v>
      </c>
      <c r="F2397" s="6" t="s">
        <v>5631</v>
      </c>
      <c r="G2397" s="6" t="s">
        <v>5632</v>
      </c>
      <c r="H2397" s="8"/>
      <c r="I2397" s="8">
        <v>1</v>
      </c>
      <c r="J2397" s="6"/>
      <c r="K2397" s="6" t="s">
        <v>2125</v>
      </c>
      <c r="L2397" s="6"/>
      <c r="M2397" s="6"/>
      <c r="N2397" s="6" t="s">
        <v>2125</v>
      </c>
      <c r="O2397" s="29">
        <f t="shared" si="55"/>
        <v>1</v>
      </c>
      <c r="Q2397" s="30" t="s">
        <v>2125</v>
      </c>
      <c r="R2397" s="31">
        <v>1</v>
      </c>
    </row>
    <row r="2398" s="1" customFormat="1" ht="16.35" hidden="1" customHeight="1" spans="1:18">
      <c r="A2398" s="6"/>
      <c r="B2398" s="6" t="s">
        <v>4123</v>
      </c>
      <c r="C2398" s="6" t="s">
        <v>4236</v>
      </c>
      <c r="D2398" s="7">
        <v>99</v>
      </c>
      <c r="E2398" s="6" t="s">
        <v>6110</v>
      </c>
      <c r="F2398" s="6" t="s">
        <v>5631</v>
      </c>
      <c r="G2398" s="6" t="s">
        <v>5632</v>
      </c>
      <c r="H2398" s="8"/>
      <c r="I2398" s="8">
        <v>306</v>
      </c>
      <c r="J2398" s="6"/>
      <c r="K2398" s="6" t="s">
        <v>2125</v>
      </c>
      <c r="L2398" s="6"/>
      <c r="M2398" s="6"/>
      <c r="N2398" s="6" t="s">
        <v>2125</v>
      </c>
      <c r="O2398" s="29">
        <f t="shared" si="55"/>
        <v>306</v>
      </c>
      <c r="Q2398" s="30" t="s">
        <v>2125</v>
      </c>
      <c r="R2398" s="31">
        <v>306</v>
      </c>
    </row>
    <row r="2399" s="1" customFormat="1" ht="16.35" hidden="1" customHeight="1" spans="1:18">
      <c r="A2399" s="6"/>
      <c r="B2399" s="6" t="s">
        <v>4123</v>
      </c>
      <c r="C2399" s="6" t="s">
        <v>4236</v>
      </c>
      <c r="D2399" s="7">
        <v>99</v>
      </c>
      <c r="E2399" s="6" t="s">
        <v>6111</v>
      </c>
      <c r="F2399" s="6" t="s">
        <v>5631</v>
      </c>
      <c r="G2399" s="6" t="s">
        <v>5632</v>
      </c>
      <c r="H2399" s="8"/>
      <c r="I2399" s="8">
        <v>2477</v>
      </c>
      <c r="J2399" s="6"/>
      <c r="K2399" s="6" t="s">
        <v>2790</v>
      </c>
      <c r="L2399" s="6"/>
      <c r="M2399" s="6"/>
      <c r="N2399" s="6" t="s">
        <v>2790</v>
      </c>
      <c r="O2399" s="29">
        <f t="shared" si="55"/>
        <v>2477</v>
      </c>
      <c r="Q2399" s="30" t="s">
        <v>2790</v>
      </c>
      <c r="R2399" s="31">
        <v>2477</v>
      </c>
    </row>
    <row r="2400" s="1" customFormat="1" ht="16.35" hidden="1" customHeight="1" spans="1:18">
      <c r="A2400" s="6"/>
      <c r="B2400" s="6" t="s">
        <v>4123</v>
      </c>
      <c r="C2400" s="6" t="s">
        <v>4236</v>
      </c>
      <c r="D2400" s="7">
        <v>98</v>
      </c>
      <c r="E2400" s="6" t="s">
        <v>6112</v>
      </c>
      <c r="F2400" s="6" t="s">
        <v>5631</v>
      </c>
      <c r="G2400" s="6" t="s">
        <v>5632</v>
      </c>
      <c r="H2400" s="8"/>
      <c r="I2400" s="8">
        <v>119</v>
      </c>
      <c r="J2400" s="6"/>
      <c r="K2400" s="6" t="s">
        <v>2095</v>
      </c>
      <c r="L2400" s="6"/>
      <c r="M2400" s="6"/>
      <c r="N2400" s="6" t="s">
        <v>2095</v>
      </c>
      <c r="O2400" s="29">
        <f t="shared" si="55"/>
        <v>119</v>
      </c>
      <c r="Q2400" s="30" t="s">
        <v>2095</v>
      </c>
      <c r="R2400" s="31">
        <v>119</v>
      </c>
    </row>
    <row r="2401" s="1" customFormat="1" ht="16.35" hidden="1" customHeight="1" spans="1:18">
      <c r="A2401" s="6"/>
      <c r="B2401" s="6" t="s">
        <v>4123</v>
      </c>
      <c r="C2401" s="6" t="s">
        <v>4236</v>
      </c>
      <c r="D2401" s="7">
        <v>99</v>
      </c>
      <c r="E2401" s="6" t="s">
        <v>6113</v>
      </c>
      <c r="F2401" s="6" t="s">
        <v>5631</v>
      </c>
      <c r="G2401" s="6" t="s">
        <v>5632</v>
      </c>
      <c r="H2401" s="8"/>
      <c r="I2401" s="8">
        <v>414</v>
      </c>
      <c r="J2401" s="6"/>
      <c r="K2401" s="6" t="s">
        <v>2095</v>
      </c>
      <c r="L2401" s="6"/>
      <c r="M2401" s="6"/>
      <c r="N2401" s="6" t="s">
        <v>2095</v>
      </c>
      <c r="O2401" s="29">
        <f t="shared" si="55"/>
        <v>414</v>
      </c>
      <c r="Q2401" s="30" t="s">
        <v>2095</v>
      </c>
      <c r="R2401" s="31">
        <v>414</v>
      </c>
    </row>
    <row r="2402" s="1" customFormat="1" ht="16.35" hidden="1" customHeight="1" spans="1:18">
      <c r="A2402" s="6"/>
      <c r="B2402" s="6" t="s">
        <v>4123</v>
      </c>
      <c r="C2402" s="6" t="s">
        <v>4236</v>
      </c>
      <c r="D2402" s="7">
        <v>99</v>
      </c>
      <c r="E2402" s="6" t="s">
        <v>6114</v>
      </c>
      <c r="F2402" s="6" t="s">
        <v>5631</v>
      </c>
      <c r="G2402" s="6" t="s">
        <v>5632</v>
      </c>
      <c r="H2402" s="8"/>
      <c r="I2402" s="8">
        <v>619</v>
      </c>
      <c r="J2402" s="6"/>
      <c r="K2402" s="6" t="s">
        <v>2095</v>
      </c>
      <c r="L2402" s="6"/>
      <c r="M2402" s="6"/>
      <c r="N2402" s="6" t="s">
        <v>2095</v>
      </c>
      <c r="O2402" s="29">
        <f t="shared" si="55"/>
        <v>619</v>
      </c>
      <c r="Q2402" s="30" t="s">
        <v>2095</v>
      </c>
      <c r="R2402" s="31">
        <v>619</v>
      </c>
    </row>
    <row r="2403" s="1" customFormat="1" ht="16.35" hidden="1" customHeight="1" spans="1:18">
      <c r="A2403" s="6"/>
      <c r="B2403" s="6" t="s">
        <v>4123</v>
      </c>
      <c r="C2403" s="6" t="s">
        <v>4236</v>
      </c>
      <c r="D2403" s="7">
        <v>99</v>
      </c>
      <c r="E2403" s="6" t="s">
        <v>6115</v>
      </c>
      <c r="F2403" s="6" t="s">
        <v>5631</v>
      </c>
      <c r="G2403" s="6" t="s">
        <v>5632</v>
      </c>
      <c r="H2403" s="8"/>
      <c r="I2403" s="8">
        <v>10744</v>
      </c>
      <c r="J2403" s="6"/>
      <c r="K2403" s="6" t="s">
        <v>2095</v>
      </c>
      <c r="L2403" s="6"/>
      <c r="M2403" s="6"/>
      <c r="N2403" s="6" t="s">
        <v>2095</v>
      </c>
      <c r="O2403" s="29">
        <f t="shared" si="55"/>
        <v>10744</v>
      </c>
      <c r="Q2403" s="30" t="s">
        <v>2095</v>
      </c>
      <c r="R2403" s="31">
        <v>10744</v>
      </c>
    </row>
    <row r="2404" s="1" customFormat="1" ht="16.35" hidden="1" customHeight="1" spans="1:18">
      <c r="A2404" s="6"/>
      <c r="B2404" s="6" t="s">
        <v>4123</v>
      </c>
      <c r="C2404" s="6" t="s">
        <v>4236</v>
      </c>
      <c r="D2404" s="7">
        <v>99</v>
      </c>
      <c r="E2404" s="6" t="s">
        <v>6116</v>
      </c>
      <c r="F2404" s="6" t="s">
        <v>5631</v>
      </c>
      <c r="G2404" s="6" t="s">
        <v>5632</v>
      </c>
      <c r="H2404" s="8"/>
      <c r="I2404" s="8">
        <v>330</v>
      </c>
      <c r="J2404" s="6"/>
      <c r="K2404" s="6" t="s">
        <v>2095</v>
      </c>
      <c r="L2404" s="6"/>
      <c r="M2404" s="6"/>
      <c r="N2404" s="6" t="s">
        <v>2095</v>
      </c>
      <c r="O2404" s="29">
        <f t="shared" si="55"/>
        <v>330</v>
      </c>
      <c r="Q2404" s="30" t="s">
        <v>2095</v>
      </c>
      <c r="R2404" s="31">
        <v>330</v>
      </c>
    </row>
    <row r="2405" s="1" customFormat="1" ht="16.35" hidden="1" customHeight="1" spans="1:18">
      <c r="A2405" s="6"/>
      <c r="B2405" s="6" t="s">
        <v>4123</v>
      </c>
      <c r="C2405" s="6" t="s">
        <v>4236</v>
      </c>
      <c r="D2405" s="7">
        <v>99</v>
      </c>
      <c r="E2405" s="6" t="s">
        <v>6117</v>
      </c>
      <c r="F2405" s="6" t="s">
        <v>5631</v>
      </c>
      <c r="G2405" s="6" t="s">
        <v>5632</v>
      </c>
      <c r="H2405" s="8"/>
      <c r="I2405" s="8">
        <v>1490</v>
      </c>
      <c r="J2405" s="6"/>
      <c r="K2405" s="6" t="s">
        <v>2095</v>
      </c>
      <c r="L2405" s="6"/>
      <c r="M2405" s="6"/>
      <c r="N2405" s="6" t="s">
        <v>2095</v>
      </c>
      <c r="O2405" s="29">
        <f t="shared" si="55"/>
        <v>1490</v>
      </c>
      <c r="Q2405" s="30" t="s">
        <v>2095</v>
      </c>
      <c r="R2405" s="31">
        <v>1490</v>
      </c>
    </row>
    <row r="2406" s="1" customFormat="1" ht="16.35" hidden="1" customHeight="1" spans="1:18">
      <c r="A2406" s="6"/>
      <c r="B2406" s="6" t="s">
        <v>4123</v>
      </c>
      <c r="C2406" s="6" t="s">
        <v>4236</v>
      </c>
      <c r="D2406" s="7">
        <v>99</v>
      </c>
      <c r="E2406" s="6" t="s">
        <v>6118</v>
      </c>
      <c r="F2406" s="6" t="s">
        <v>5631</v>
      </c>
      <c r="G2406" s="6" t="s">
        <v>5632</v>
      </c>
      <c r="H2406" s="8"/>
      <c r="I2406" s="8">
        <v>413</v>
      </c>
      <c r="J2406" s="6"/>
      <c r="K2406" s="6" t="s">
        <v>2103</v>
      </c>
      <c r="L2406" s="6"/>
      <c r="M2406" s="6"/>
      <c r="N2406" s="6" t="s">
        <v>2103</v>
      </c>
      <c r="O2406" s="29">
        <f t="shared" si="55"/>
        <v>413</v>
      </c>
      <c r="Q2406" s="30" t="s">
        <v>2103</v>
      </c>
      <c r="R2406" s="31">
        <v>413</v>
      </c>
    </row>
    <row r="2407" s="1" customFormat="1" ht="16.35" hidden="1" customHeight="1" spans="1:18">
      <c r="A2407" s="6"/>
      <c r="B2407" s="6" t="s">
        <v>4123</v>
      </c>
      <c r="C2407" s="6" t="s">
        <v>4236</v>
      </c>
      <c r="D2407" s="7">
        <v>99</v>
      </c>
      <c r="E2407" s="6" t="s">
        <v>6119</v>
      </c>
      <c r="F2407" s="6" t="s">
        <v>5631</v>
      </c>
      <c r="G2407" s="6" t="s">
        <v>5632</v>
      </c>
      <c r="H2407" s="8"/>
      <c r="I2407" s="8">
        <v>18384</v>
      </c>
      <c r="J2407" s="6"/>
      <c r="K2407" s="6" t="s">
        <v>2103</v>
      </c>
      <c r="L2407" s="6"/>
      <c r="M2407" s="6"/>
      <c r="N2407" s="6" t="s">
        <v>2103</v>
      </c>
      <c r="O2407" s="29">
        <f t="shared" si="55"/>
        <v>18384</v>
      </c>
      <c r="Q2407" s="30" t="s">
        <v>2103</v>
      </c>
      <c r="R2407" s="31">
        <v>18384</v>
      </c>
    </row>
    <row r="2408" s="1" customFormat="1" ht="16.35" hidden="1" customHeight="1" spans="1:18">
      <c r="A2408" s="6"/>
      <c r="B2408" s="6" t="s">
        <v>4123</v>
      </c>
      <c r="C2408" s="6" t="s">
        <v>4236</v>
      </c>
      <c r="D2408" s="7">
        <v>98</v>
      </c>
      <c r="E2408" s="6" t="s">
        <v>6120</v>
      </c>
      <c r="F2408" s="6" t="s">
        <v>5631</v>
      </c>
      <c r="G2408" s="6" t="s">
        <v>5632</v>
      </c>
      <c r="H2408" s="8"/>
      <c r="I2408" s="8">
        <v>238</v>
      </c>
      <c r="J2408" s="6"/>
      <c r="K2408" s="6" t="s">
        <v>2107</v>
      </c>
      <c r="L2408" s="6"/>
      <c r="M2408" s="6"/>
      <c r="N2408" s="6" t="s">
        <v>2107</v>
      </c>
      <c r="O2408" s="29">
        <f t="shared" si="55"/>
        <v>238</v>
      </c>
      <c r="Q2408" s="30" t="s">
        <v>2107</v>
      </c>
      <c r="R2408" s="31">
        <v>238</v>
      </c>
    </row>
    <row r="2409" s="1" customFormat="1" ht="16.35" hidden="1" customHeight="1" spans="1:18">
      <c r="A2409" s="6"/>
      <c r="B2409" s="6" t="s">
        <v>4123</v>
      </c>
      <c r="C2409" s="6" t="s">
        <v>4236</v>
      </c>
      <c r="D2409" s="7">
        <v>98</v>
      </c>
      <c r="E2409" s="6" t="s">
        <v>6121</v>
      </c>
      <c r="F2409" s="6" t="s">
        <v>5631</v>
      </c>
      <c r="G2409" s="6" t="s">
        <v>5632</v>
      </c>
      <c r="H2409" s="8"/>
      <c r="I2409" s="8">
        <v>2000</v>
      </c>
      <c r="J2409" s="6"/>
      <c r="K2409" s="6" t="s">
        <v>2107</v>
      </c>
      <c r="L2409" s="6"/>
      <c r="M2409" s="6"/>
      <c r="N2409" s="6" t="s">
        <v>2107</v>
      </c>
      <c r="O2409" s="29">
        <f t="shared" si="55"/>
        <v>2000</v>
      </c>
      <c r="Q2409" s="30" t="s">
        <v>2107</v>
      </c>
      <c r="R2409" s="31">
        <v>2000</v>
      </c>
    </row>
    <row r="2410" s="1" customFormat="1" ht="16.35" hidden="1" customHeight="1" spans="1:18">
      <c r="A2410" s="6"/>
      <c r="B2410" s="6" t="s">
        <v>4123</v>
      </c>
      <c r="C2410" s="6" t="s">
        <v>4236</v>
      </c>
      <c r="D2410" s="7">
        <v>99</v>
      </c>
      <c r="E2410" s="6" t="s">
        <v>6122</v>
      </c>
      <c r="F2410" s="6" t="s">
        <v>5631</v>
      </c>
      <c r="G2410" s="6" t="s">
        <v>5632</v>
      </c>
      <c r="H2410" s="8"/>
      <c r="I2410" s="8">
        <v>661</v>
      </c>
      <c r="J2410" s="6"/>
      <c r="K2410" s="6" t="s">
        <v>2107</v>
      </c>
      <c r="L2410" s="6"/>
      <c r="M2410" s="6"/>
      <c r="N2410" s="6" t="s">
        <v>2107</v>
      </c>
      <c r="O2410" s="29">
        <f t="shared" si="55"/>
        <v>661</v>
      </c>
      <c r="Q2410" s="30" t="s">
        <v>2107</v>
      </c>
      <c r="R2410" s="31">
        <v>661</v>
      </c>
    </row>
    <row r="2411" s="1" customFormat="1" ht="16.35" hidden="1" customHeight="1" spans="1:18">
      <c r="A2411" s="6"/>
      <c r="B2411" s="6" t="s">
        <v>4123</v>
      </c>
      <c r="C2411" s="6" t="s">
        <v>4236</v>
      </c>
      <c r="D2411" s="7">
        <v>99</v>
      </c>
      <c r="E2411" s="6" t="s">
        <v>6123</v>
      </c>
      <c r="F2411" s="6" t="s">
        <v>5631</v>
      </c>
      <c r="G2411" s="6" t="s">
        <v>5632</v>
      </c>
      <c r="H2411" s="8"/>
      <c r="I2411" s="8">
        <v>413</v>
      </c>
      <c r="J2411" s="6"/>
      <c r="K2411" s="6" t="s">
        <v>2107</v>
      </c>
      <c r="L2411" s="6"/>
      <c r="M2411" s="6"/>
      <c r="N2411" s="6" t="s">
        <v>2107</v>
      </c>
      <c r="O2411" s="29">
        <f t="shared" si="55"/>
        <v>413</v>
      </c>
      <c r="Q2411" s="30" t="s">
        <v>2107</v>
      </c>
      <c r="R2411" s="31">
        <v>413</v>
      </c>
    </row>
    <row r="2412" s="1" customFormat="1" ht="16.35" hidden="1" customHeight="1" spans="1:18">
      <c r="A2412" s="6"/>
      <c r="B2412" s="6" t="s">
        <v>4123</v>
      </c>
      <c r="C2412" s="6" t="s">
        <v>4236</v>
      </c>
      <c r="D2412" s="7">
        <v>99</v>
      </c>
      <c r="E2412" s="6" t="s">
        <v>6124</v>
      </c>
      <c r="F2412" s="6" t="s">
        <v>5631</v>
      </c>
      <c r="G2412" s="6" t="s">
        <v>5632</v>
      </c>
      <c r="H2412" s="8"/>
      <c r="I2412" s="8">
        <v>7844</v>
      </c>
      <c r="J2412" s="6"/>
      <c r="K2412" s="6" t="s">
        <v>2107</v>
      </c>
      <c r="L2412" s="6"/>
      <c r="M2412" s="6"/>
      <c r="N2412" s="6" t="s">
        <v>2107</v>
      </c>
      <c r="O2412" s="29">
        <f t="shared" si="55"/>
        <v>7844</v>
      </c>
      <c r="Q2412" s="30" t="s">
        <v>2107</v>
      </c>
      <c r="R2412" s="31">
        <v>7844</v>
      </c>
    </row>
    <row r="2413" s="1" customFormat="1" ht="16.35" hidden="1" customHeight="1" spans="1:18">
      <c r="A2413" s="6"/>
      <c r="B2413" s="6" t="s">
        <v>4123</v>
      </c>
      <c r="C2413" s="6" t="s">
        <v>4236</v>
      </c>
      <c r="D2413" s="7">
        <v>98</v>
      </c>
      <c r="E2413" s="6" t="s">
        <v>6125</v>
      </c>
      <c r="F2413" s="6" t="s">
        <v>5631</v>
      </c>
      <c r="G2413" s="6" t="s">
        <v>5632</v>
      </c>
      <c r="H2413" s="8"/>
      <c r="I2413" s="8">
        <v>95</v>
      </c>
      <c r="J2413" s="6"/>
      <c r="K2413" s="6" t="s">
        <v>2145</v>
      </c>
      <c r="L2413" s="6"/>
      <c r="M2413" s="6"/>
      <c r="N2413" s="6" t="s">
        <v>2145</v>
      </c>
      <c r="O2413" s="29">
        <f t="shared" si="55"/>
        <v>95</v>
      </c>
      <c r="Q2413" s="30" t="s">
        <v>2145</v>
      </c>
      <c r="R2413" s="31">
        <v>95</v>
      </c>
    </row>
    <row r="2414" s="1" customFormat="1" ht="16.35" hidden="1" customHeight="1" spans="1:18">
      <c r="A2414" s="6"/>
      <c r="B2414" s="6" t="s">
        <v>4123</v>
      </c>
      <c r="C2414" s="6" t="s">
        <v>4236</v>
      </c>
      <c r="D2414" s="7">
        <v>99</v>
      </c>
      <c r="E2414" s="6" t="s">
        <v>6126</v>
      </c>
      <c r="F2414" s="6" t="s">
        <v>5631</v>
      </c>
      <c r="G2414" s="6" t="s">
        <v>5632</v>
      </c>
      <c r="H2414" s="8"/>
      <c r="I2414" s="8">
        <v>661</v>
      </c>
      <c r="J2414" s="6"/>
      <c r="K2414" s="6" t="s">
        <v>2145</v>
      </c>
      <c r="L2414" s="6"/>
      <c r="M2414" s="6"/>
      <c r="N2414" s="6" t="s">
        <v>2145</v>
      </c>
      <c r="O2414" s="29">
        <f t="shared" si="55"/>
        <v>661</v>
      </c>
      <c r="Q2414" s="30" t="s">
        <v>2145</v>
      </c>
      <c r="R2414" s="31">
        <v>661</v>
      </c>
    </row>
    <row r="2415" s="1" customFormat="1" ht="16.35" hidden="1" customHeight="1" spans="1:18">
      <c r="A2415" s="6"/>
      <c r="B2415" s="6" t="s">
        <v>4123</v>
      </c>
      <c r="C2415" s="6" t="s">
        <v>4236</v>
      </c>
      <c r="D2415" s="7">
        <v>99</v>
      </c>
      <c r="E2415" s="6" t="s">
        <v>6127</v>
      </c>
      <c r="F2415" s="6" t="s">
        <v>5631</v>
      </c>
      <c r="G2415" s="6" t="s">
        <v>5632</v>
      </c>
      <c r="H2415" s="8"/>
      <c r="I2415" s="8">
        <v>826</v>
      </c>
      <c r="J2415" s="6"/>
      <c r="K2415" s="6" t="s">
        <v>2145</v>
      </c>
      <c r="L2415" s="6"/>
      <c r="M2415" s="6"/>
      <c r="N2415" s="6" t="s">
        <v>2145</v>
      </c>
      <c r="O2415" s="29">
        <f t="shared" si="55"/>
        <v>826</v>
      </c>
      <c r="Q2415" s="30" t="s">
        <v>2145</v>
      </c>
      <c r="R2415" s="31">
        <v>826</v>
      </c>
    </row>
    <row r="2416" s="1" customFormat="1" ht="16.35" hidden="1" customHeight="1" spans="1:18">
      <c r="A2416" s="6"/>
      <c r="B2416" s="6" t="s">
        <v>4123</v>
      </c>
      <c r="C2416" s="6" t="s">
        <v>4236</v>
      </c>
      <c r="D2416" s="7">
        <v>99</v>
      </c>
      <c r="E2416" s="6" t="s">
        <v>6128</v>
      </c>
      <c r="F2416" s="6" t="s">
        <v>5631</v>
      </c>
      <c r="G2416" s="6" t="s">
        <v>5632</v>
      </c>
      <c r="H2416" s="8"/>
      <c r="I2416" s="8">
        <v>1427</v>
      </c>
      <c r="J2416" s="6"/>
      <c r="K2416" s="6" t="s">
        <v>2145</v>
      </c>
      <c r="L2416" s="6"/>
      <c r="M2416" s="6"/>
      <c r="N2416" s="6" t="s">
        <v>2145</v>
      </c>
      <c r="O2416" s="29">
        <f t="shared" si="55"/>
        <v>1427</v>
      </c>
      <c r="Q2416" s="30" t="s">
        <v>2145</v>
      </c>
      <c r="R2416" s="31">
        <v>1427</v>
      </c>
    </row>
    <row r="2417" s="1" customFormat="1" ht="16.35" hidden="1" customHeight="1" spans="1:18">
      <c r="A2417" s="6"/>
      <c r="B2417" s="6" t="s">
        <v>4123</v>
      </c>
      <c r="C2417" s="6" t="s">
        <v>4236</v>
      </c>
      <c r="D2417" s="7">
        <v>99</v>
      </c>
      <c r="E2417" s="6" t="s">
        <v>6129</v>
      </c>
      <c r="F2417" s="6" t="s">
        <v>5631</v>
      </c>
      <c r="G2417" s="6" t="s">
        <v>5632</v>
      </c>
      <c r="H2417" s="8"/>
      <c r="I2417" s="8">
        <v>6606</v>
      </c>
      <c r="J2417" s="6"/>
      <c r="K2417" s="6" t="s">
        <v>2145</v>
      </c>
      <c r="L2417" s="6"/>
      <c r="M2417" s="6"/>
      <c r="N2417" s="6" t="s">
        <v>2145</v>
      </c>
      <c r="O2417" s="29">
        <f t="shared" si="55"/>
        <v>6606</v>
      </c>
      <c r="Q2417" s="30" t="s">
        <v>2145</v>
      </c>
      <c r="R2417" s="31">
        <v>6606</v>
      </c>
    </row>
    <row r="2418" s="1" customFormat="1" ht="16.35" hidden="1" customHeight="1" spans="1:18">
      <c r="A2418" s="6"/>
      <c r="B2418" s="6" t="s">
        <v>4123</v>
      </c>
      <c r="C2418" s="6" t="s">
        <v>4236</v>
      </c>
      <c r="D2418" s="7">
        <v>98</v>
      </c>
      <c r="E2418" s="6" t="s">
        <v>6130</v>
      </c>
      <c r="F2418" s="6" t="s">
        <v>5631</v>
      </c>
      <c r="G2418" s="6" t="s">
        <v>5632</v>
      </c>
      <c r="H2418" s="8"/>
      <c r="I2418" s="8">
        <v>1238</v>
      </c>
      <c r="J2418" s="6"/>
      <c r="K2418" s="6" t="s">
        <v>2151</v>
      </c>
      <c r="L2418" s="6"/>
      <c r="M2418" s="6"/>
      <c r="N2418" s="6" t="s">
        <v>2151</v>
      </c>
      <c r="O2418" s="29">
        <f t="shared" si="55"/>
        <v>1238</v>
      </c>
      <c r="Q2418" s="30" t="s">
        <v>2151</v>
      </c>
      <c r="R2418" s="31">
        <v>1238</v>
      </c>
    </row>
    <row r="2419" s="1" customFormat="1" ht="16.35" hidden="1" customHeight="1" spans="1:18">
      <c r="A2419" s="6"/>
      <c r="B2419" s="6" t="s">
        <v>4123</v>
      </c>
      <c r="C2419" s="6" t="s">
        <v>4236</v>
      </c>
      <c r="D2419" s="7">
        <v>99</v>
      </c>
      <c r="E2419" s="6" t="s">
        <v>6131</v>
      </c>
      <c r="F2419" s="6" t="s">
        <v>5631</v>
      </c>
      <c r="G2419" s="6" t="s">
        <v>5632</v>
      </c>
      <c r="H2419" s="8"/>
      <c r="I2419" s="8">
        <v>4693</v>
      </c>
      <c r="J2419" s="6"/>
      <c r="K2419" s="6" t="s">
        <v>2151</v>
      </c>
      <c r="L2419" s="6"/>
      <c r="M2419" s="6"/>
      <c r="N2419" s="6" t="s">
        <v>2151</v>
      </c>
      <c r="O2419" s="29">
        <f t="shared" si="55"/>
        <v>4693</v>
      </c>
      <c r="Q2419" s="30" t="s">
        <v>2151</v>
      </c>
      <c r="R2419" s="31">
        <v>4693</v>
      </c>
    </row>
    <row r="2420" s="1" customFormat="1" ht="16.35" hidden="1" customHeight="1" spans="1:18">
      <c r="A2420" s="6"/>
      <c r="B2420" s="6" t="s">
        <v>4123</v>
      </c>
      <c r="C2420" s="6" t="s">
        <v>4236</v>
      </c>
      <c r="D2420" s="7">
        <v>99</v>
      </c>
      <c r="E2420" s="6" t="s">
        <v>6132</v>
      </c>
      <c r="F2420" s="6" t="s">
        <v>5631</v>
      </c>
      <c r="G2420" s="6" t="s">
        <v>5632</v>
      </c>
      <c r="H2420" s="8"/>
      <c r="I2420" s="8">
        <v>2477</v>
      </c>
      <c r="J2420" s="6"/>
      <c r="K2420" s="6" t="s">
        <v>2151</v>
      </c>
      <c r="L2420" s="6"/>
      <c r="M2420" s="6"/>
      <c r="N2420" s="6" t="s">
        <v>2151</v>
      </c>
      <c r="O2420" s="29">
        <f t="shared" si="55"/>
        <v>2477</v>
      </c>
      <c r="Q2420" s="30" t="s">
        <v>2151</v>
      </c>
      <c r="R2420" s="31">
        <v>2477</v>
      </c>
    </row>
    <row r="2421" s="1" customFormat="1" ht="16.35" hidden="1" customHeight="1" spans="1:18">
      <c r="A2421" s="6"/>
      <c r="B2421" s="6" t="s">
        <v>4123</v>
      </c>
      <c r="C2421" s="6" t="s">
        <v>4236</v>
      </c>
      <c r="D2421" s="7">
        <v>99</v>
      </c>
      <c r="E2421" s="6" t="s">
        <v>6133</v>
      </c>
      <c r="F2421" s="6" t="s">
        <v>5631</v>
      </c>
      <c r="G2421" s="6" t="s">
        <v>5632</v>
      </c>
      <c r="H2421" s="8"/>
      <c r="I2421" s="8">
        <v>2477</v>
      </c>
      <c r="J2421" s="6"/>
      <c r="K2421" s="6" t="s">
        <v>2151</v>
      </c>
      <c r="L2421" s="6"/>
      <c r="M2421" s="6"/>
      <c r="N2421" s="6" t="s">
        <v>2151</v>
      </c>
      <c r="O2421" s="29">
        <f t="shared" si="55"/>
        <v>2477</v>
      </c>
      <c r="Q2421" s="30" t="s">
        <v>2151</v>
      </c>
      <c r="R2421" s="31">
        <v>2477</v>
      </c>
    </row>
    <row r="2422" s="1" customFormat="1" ht="16.35" hidden="1" customHeight="1" spans="1:18">
      <c r="A2422" s="6"/>
      <c r="B2422" s="6" t="s">
        <v>4123</v>
      </c>
      <c r="C2422" s="6" t="s">
        <v>4236</v>
      </c>
      <c r="D2422" s="7">
        <v>99</v>
      </c>
      <c r="E2422" s="6" t="s">
        <v>6134</v>
      </c>
      <c r="F2422" s="6" t="s">
        <v>5631</v>
      </c>
      <c r="G2422" s="6" t="s">
        <v>5632</v>
      </c>
      <c r="H2422" s="8"/>
      <c r="I2422" s="8">
        <v>8257</v>
      </c>
      <c r="J2422" s="6"/>
      <c r="K2422" s="6" t="s">
        <v>2159</v>
      </c>
      <c r="L2422" s="6"/>
      <c r="M2422" s="6"/>
      <c r="N2422" s="6" t="s">
        <v>2159</v>
      </c>
      <c r="O2422" s="29">
        <f t="shared" si="55"/>
        <v>8257</v>
      </c>
      <c r="Q2422" s="30" t="s">
        <v>2159</v>
      </c>
      <c r="R2422" s="31">
        <v>8257</v>
      </c>
    </row>
    <row r="2423" s="1" customFormat="1" ht="16.35" hidden="1" customHeight="1" spans="1:18">
      <c r="A2423" s="6"/>
      <c r="B2423" s="6" t="s">
        <v>4123</v>
      </c>
      <c r="C2423" s="6" t="s">
        <v>4236</v>
      </c>
      <c r="D2423" s="7">
        <v>99</v>
      </c>
      <c r="E2423" s="6" t="s">
        <v>6135</v>
      </c>
      <c r="F2423" s="6" t="s">
        <v>5631</v>
      </c>
      <c r="G2423" s="6" t="s">
        <v>5632</v>
      </c>
      <c r="H2423" s="8"/>
      <c r="I2423" s="8">
        <v>3303</v>
      </c>
      <c r="J2423" s="6"/>
      <c r="K2423" s="6" t="s">
        <v>2159</v>
      </c>
      <c r="L2423" s="6"/>
      <c r="M2423" s="6"/>
      <c r="N2423" s="6" t="s">
        <v>2159</v>
      </c>
      <c r="O2423" s="29">
        <f t="shared" si="55"/>
        <v>3303</v>
      </c>
      <c r="Q2423" s="30" t="s">
        <v>2159</v>
      </c>
      <c r="R2423" s="31">
        <v>3303</v>
      </c>
    </row>
    <row r="2424" s="1" customFormat="1" ht="16.35" hidden="1" customHeight="1" spans="1:18">
      <c r="A2424" s="6"/>
      <c r="B2424" s="6" t="s">
        <v>4123</v>
      </c>
      <c r="C2424" s="6" t="s">
        <v>4236</v>
      </c>
      <c r="D2424" s="7">
        <v>98</v>
      </c>
      <c r="E2424" s="6" t="s">
        <v>6136</v>
      </c>
      <c r="F2424" s="6" t="s">
        <v>5631</v>
      </c>
      <c r="G2424" s="6" t="s">
        <v>5632</v>
      </c>
      <c r="H2424" s="8"/>
      <c r="I2424" s="8">
        <v>238</v>
      </c>
      <c r="J2424" s="6"/>
      <c r="K2424" s="6" t="s">
        <v>2163</v>
      </c>
      <c r="L2424" s="6"/>
      <c r="M2424" s="6"/>
      <c r="N2424" s="6" t="s">
        <v>2163</v>
      </c>
      <c r="O2424" s="29">
        <f t="shared" si="55"/>
        <v>238</v>
      </c>
      <c r="Q2424" s="30" t="s">
        <v>2163</v>
      </c>
      <c r="R2424" s="31">
        <v>238</v>
      </c>
    </row>
    <row r="2425" s="1" customFormat="1" ht="16.35" hidden="1" customHeight="1" spans="1:18">
      <c r="A2425" s="6"/>
      <c r="B2425" s="6" t="s">
        <v>4123</v>
      </c>
      <c r="C2425" s="6" t="s">
        <v>4236</v>
      </c>
      <c r="D2425" s="7">
        <v>99</v>
      </c>
      <c r="E2425" s="6" t="s">
        <v>6137</v>
      </c>
      <c r="F2425" s="6" t="s">
        <v>5631</v>
      </c>
      <c r="G2425" s="6" t="s">
        <v>5632</v>
      </c>
      <c r="H2425" s="8"/>
      <c r="I2425" s="8">
        <v>801</v>
      </c>
      <c r="J2425" s="6"/>
      <c r="K2425" s="6" t="s">
        <v>2163</v>
      </c>
      <c r="L2425" s="6"/>
      <c r="M2425" s="6"/>
      <c r="N2425" s="6" t="s">
        <v>2163</v>
      </c>
      <c r="O2425" s="29">
        <f t="shared" si="55"/>
        <v>801</v>
      </c>
      <c r="Q2425" s="30" t="s">
        <v>2163</v>
      </c>
      <c r="R2425" s="31">
        <v>801</v>
      </c>
    </row>
    <row r="2426" s="1" customFormat="1" ht="16.35" hidden="1" customHeight="1" spans="1:18">
      <c r="A2426" s="6"/>
      <c r="B2426" s="6" t="s">
        <v>4123</v>
      </c>
      <c r="C2426" s="6" t="s">
        <v>4236</v>
      </c>
      <c r="D2426" s="7">
        <v>99</v>
      </c>
      <c r="E2426" s="6" t="s">
        <v>6138</v>
      </c>
      <c r="F2426" s="6" t="s">
        <v>5631</v>
      </c>
      <c r="G2426" s="6" t="s">
        <v>5632</v>
      </c>
      <c r="H2426" s="8"/>
      <c r="I2426" s="8">
        <v>12385</v>
      </c>
      <c r="J2426" s="6"/>
      <c r="K2426" s="6" t="s">
        <v>2163</v>
      </c>
      <c r="L2426" s="6"/>
      <c r="M2426" s="6"/>
      <c r="N2426" s="6" t="s">
        <v>2163</v>
      </c>
      <c r="O2426" s="29">
        <f t="shared" si="55"/>
        <v>12385</v>
      </c>
      <c r="Q2426" s="30" t="s">
        <v>2163</v>
      </c>
      <c r="R2426" s="31">
        <v>12385</v>
      </c>
    </row>
    <row r="2427" s="1" customFormat="1" ht="16.35" hidden="1" customHeight="1" spans="1:18">
      <c r="A2427" s="6"/>
      <c r="B2427" s="6" t="s">
        <v>4123</v>
      </c>
      <c r="C2427" s="6" t="s">
        <v>4236</v>
      </c>
      <c r="D2427" s="7">
        <v>98</v>
      </c>
      <c r="E2427" s="6" t="s">
        <v>6139</v>
      </c>
      <c r="F2427" s="6" t="s">
        <v>5631</v>
      </c>
      <c r="G2427" s="6" t="s">
        <v>5632</v>
      </c>
      <c r="H2427" s="8"/>
      <c r="I2427" s="8">
        <v>476</v>
      </c>
      <c r="J2427" s="6"/>
      <c r="K2427" s="6" t="s">
        <v>2169</v>
      </c>
      <c r="L2427" s="6"/>
      <c r="M2427" s="6"/>
      <c r="N2427" s="6" t="s">
        <v>2169</v>
      </c>
      <c r="O2427" s="29">
        <f t="shared" si="55"/>
        <v>476</v>
      </c>
      <c r="Q2427" s="30" t="s">
        <v>2169</v>
      </c>
      <c r="R2427" s="31">
        <v>476</v>
      </c>
    </row>
    <row r="2428" s="1" customFormat="1" ht="16.35" hidden="1" customHeight="1" spans="1:18">
      <c r="A2428" s="6"/>
      <c r="B2428" s="6" t="s">
        <v>4123</v>
      </c>
      <c r="C2428" s="6" t="s">
        <v>4236</v>
      </c>
      <c r="D2428" s="7">
        <v>98</v>
      </c>
      <c r="E2428" s="6" t="s">
        <v>6140</v>
      </c>
      <c r="F2428" s="6" t="s">
        <v>5631</v>
      </c>
      <c r="G2428" s="6" t="s">
        <v>5632</v>
      </c>
      <c r="H2428" s="8"/>
      <c r="I2428" s="8">
        <v>1905</v>
      </c>
      <c r="J2428" s="6"/>
      <c r="K2428" s="6" t="s">
        <v>2169</v>
      </c>
      <c r="L2428" s="6"/>
      <c r="M2428" s="6"/>
      <c r="N2428" s="6" t="s">
        <v>2169</v>
      </c>
      <c r="O2428" s="29">
        <f t="shared" si="55"/>
        <v>1905</v>
      </c>
      <c r="Q2428" s="30" t="s">
        <v>2169</v>
      </c>
      <c r="R2428" s="31">
        <v>1905</v>
      </c>
    </row>
    <row r="2429" s="1" customFormat="1" ht="16.35" hidden="1" customHeight="1" spans="1:18">
      <c r="A2429" s="6"/>
      <c r="B2429" s="6" t="s">
        <v>4123</v>
      </c>
      <c r="C2429" s="6" t="s">
        <v>4236</v>
      </c>
      <c r="D2429" s="7">
        <v>99</v>
      </c>
      <c r="E2429" s="6" t="s">
        <v>6141</v>
      </c>
      <c r="F2429" s="6" t="s">
        <v>5631</v>
      </c>
      <c r="G2429" s="6" t="s">
        <v>5632</v>
      </c>
      <c r="H2429" s="8"/>
      <c r="I2429" s="8">
        <v>2312</v>
      </c>
      <c r="J2429" s="6"/>
      <c r="K2429" s="6" t="s">
        <v>2169</v>
      </c>
      <c r="L2429" s="6"/>
      <c r="M2429" s="6"/>
      <c r="N2429" s="6" t="s">
        <v>2169</v>
      </c>
      <c r="O2429" s="29">
        <f t="shared" si="55"/>
        <v>2312</v>
      </c>
      <c r="Q2429" s="30" t="s">
        <v>2169</v>
      </c>
      <c r="R2429" s="31">
        <v>2312</v>
      </c>
    </row>
    <row r="2430" s="1" customFormat="1" ht="16.35" hidden="1" customHeight="1" spans="1:18">
      <c r="A2430" s="6"/>
      <c r="B2430" s="6" t="s">
        <v>4123</v>
      </c>
      <c r="C2430" s="6" t="s">
        <v>4236</v>
      </c>
      <c r="D2430" s="7">
        <v>99</v>
      </c>
      <c r="E2430" s="6" t="s">
        <v>6142</v>
      </c>
      <c r="F2430" s="6" t="s">
        <v>5631</v>
      </c>
      <c r="G2430" s="6" t="s">
        <v>5632</v>
      </c>
      <c r="H2430" s="8"/>
      <c r="I2430" s="8">
        <v>4541</v>
      </c>
      <c r="J2430" s="6"/>
      <c r="K2430" s="6" t="s">
        <v>2169</v>
      </c>
      <c r="L2430" s="6"/>
      <c r="M2430" s="6"/>
      <c r="N2430" s="6" t="s">
        <v>2169</v>
      </c>
      <c r="O2430" s="29">
        <f t="shared" si="55"/>
        <v>4541</v>
      </c>
      <c r="Q2430" s="30" t="s">
        <v>2169</v>
      </c>
      <c r="R2430" s="31">
        <v>4541</v>
      </c>
    </row>
    <row r="2431" s="1" customFormat="1" ht="16.35" hidden="1" customHeight="1" spans="1:18">
      <c r="A2431" s="6"/>
      <c r="B2431" s="6" t="s">
        <v>4123</v>
      </c>
      <c r="C2431" s="6" t="s">
        <v>4236</v>
      </c>
      <c r="D2431" s="7">
        <v>99</v>
      </c>
      <c r="E2431" s="6" t="s">
        <v>6143</v>
      </c>
      <c r="F2431" s="6" t="s">
        <v>5631</v>
      </c>
      <c r="G2431" s="6" t="s">
        <v>5632</v>
      </c>
      <c r="H2431" s="8"/>
      <c r="I2431" s="8">
        <v>1854</v>
      </c>
      <c r="J2431" s="6"/>
      <c r="K2431" s="6" t="s">
        <v>2169</v>
      </c>
      <c r="L2431" s="6"/>
      <c r="M2431" s="6"/>
      <c r="N2431" s="6" t="s">
        <v>2169</v>
      </c>
      <c r="O2431" s="29">
        <f t="shared" si="55"/>
        <v>1854</v>
      </c>
      <c r="Q2431" s="30" t="s">
        <v>2169</v>
      </c>
      <c r="R2431" s="31">
        <v>1854</v>
      </c>
    </row>
    <row r="2432" s="1" customFormat="1" ht="16.35" hidden="1" customHeight="1" spans="1:18">
      <c r="A2432" s="6"/>
      <c r="B2432" s="6" t="s">
        <v>4123</v>
      </c>
      <c r="C2432" s="6" t="s">
        <v>4236</v>
      </c>
      <c r="D2432" s="7">
        <v>5</v>
      </c>
      <c r="E2432" s="6" t="s">
        <v>6144</v>
      </c>
      <c r="F2432" s="6" t="s">
        <v>5631</v>
      </c>
      <c r="G2432" s="6" t="s">
        <v>5632</v>
      </c>
      <c r="H2432" s="8"/>
      <c r="I2432" s="8">
        <v>140000</v>
      </c>
      <c r="J2432" s="6"/>
      <c r="K2432" s="6" t="s">
        <v>2263</v>
      </c>
      <c r="L2432" s="6"/>
      <c r="M2432" s="6"/>
      <c r="N2432" s="6" t="s">
        <v>2263</v>
      </c>
      <c r="O2432" s="29">
        <f t="shared" si="55"/>
        <v>140000</v>
      </c>
      <c r="Q2432" s="30" t="s">
        <v>2263</v>
      </c>
      <c r="R2432" s="31">
        <v>140000</v>
      </c>
    </row>
    <row r="2433" s="1" customFormat="1" ht="16.35" hidden="1" customHeight="1" spans="1:18">
      <c r="A2433" s="6"/>
      <c r="B2433" s="6" t="s">
        <v>4123</v>
      </c>
      <c r="C2433" s="6" t="s">
        <v>4236</v>
      </c>
      <c r="D2433" s="7">
        <v>99</v>
      </c>
      <c r="E2433" s="6" t="s">
        <v>6145</v>
      </c>
      <c r="F2433" s="6" t="s">
        <v>5631</v>
      </c>
      <c r="G2433" s="6" t="s">
        <v>5632</v>
      </c>
      <c r="H2433" s="8"/>
      <c r="I2433" s="8">
        <v>165</v>
      </c>
      <c r="J2433" s="6"/>
      <c r="K2433" s="6" t="s">
        <v>2269</v>
      </c>
      <c r="L2433" s="6"/>
      <c r="M2433" s="6"/>
      <c r="N2433" s="6" t="s">
        <v>2269</v>
      </c>
      <c r="O2433" s="29">
        <f t="shared" si="55"/>
        <v>165</v>
      </c>
      <c r="Q2433" s="30" t="s">
        <v>2269</v>
      </c>
      <c r="R2433" s="31">
        <v>165</v>
      </c>
    </row>
    <row r="2434" s="1" customFormat="1" ht="16.35" hidden="1" customHeight="1" spans="1:18">
      <c r="A2434" s="6"/>
      <c r="B2434" s="6" t="s">
        <v>4123</v>
      </c>
      <c r="C2434" s="6" t="s">
        <v>4236</v>
      </c>
      <c r="D2434" s="7">
        <v>99</v>
      </c>
      <c r="E2434" s="6" t="s">
        <v>6146</v>
      </c>
      <c r="F2434" s="6" t="s">
        <v>5631</v>
      </c>
      <c r="G2434" s="6" t="s">
        <v>5632</v>
      </c>
      <c r="H2434" s="8"/>
      <c r="I2434" s="8">
        <v>771</v>
      </c>
      <c r="J2434" s="6"/>
      <c r="K2434" s="6" t="s">
        <v>2269</v>
      </c>
      <c r="L2434" s="6"/>
      <c r="M2434" s="6"/>
      <c r="N2434" s="6" t="s">
        <v>2269</v>
      </c>
      <c r="O2434" s="29">
        <f t="shared" si="55"/>
        <v>771</v>
      </c>
      <c r="Q2434" s="30" t="s">
        <v>2269</v>
      </c>
      <c r="R2434" s="31">
        <v>771</v>
      </c>
    </row>
    <row r="2435" s="1" customFormat="1" ht="16.35" hidden="1" customHeight="1" spans="1:18">
      <c r="A2435" s="6"/>
      <c r="B2435" s="6" t="s">
        <v>4123</v>
      </c>
      <c r="C2435" s="6" t="s">
        <v>4236</v>
      </c>
      <c r="D2435" s="7">
        <v>99</v>
      </c>
      <c r="E2435" s="6" t="s">
        <v>6147</v>
      </c>
      <c r="F2435" s="6" t="s">
        <v>5631</v>
      </c>
      <c r="G2435" s="6" t="s">
        <v>5632</v>
      </c>
      <c r="H2435" s="8"/>
      <c r="I2435" s="8">
        <v>83</v>
      </c>
      <c r="J2435" s="6"/>
      <c r="K2435" s="6" t="s">
        <v>2269</v>
      </c>
      <c r="L2435" s="6"/>
      <c r="M2435" s="6"/>
      <c r="N2435" s="6" t="s">
        <v>2269</v>
      </c>
      <c r="O2435" s="29">
        <f t="shared" si="55"/>
        <v>83</v>
      </c>
      <c r="Q2435" s="30" t="s">
        <v>2269</v>
      </c>
      <c r="R2435" s="31">
        <v>83</v>
      </c>
    </row>
    <row r="2436" s="1" customFormat="1" ht="16.35" hidden="1" customHeight="1" spans="1:18">
      <c r="A2436" s="6"/>
      <c r="B2436" s="6" t="s">
        <v>4123</v>
      </c>
      <c r="C2436" s="6" t="s">
        <v>4236</v>
      </c>
      <c r="D2436" s="7">
        <v>99</v>
      </c>
      <c r="E2436" s="6" t="s">
        <v>6148</v>
      </c>
      <c r="F2436" s="6" t="s">
        <v>5631</v>
      </c>
      <c r="G2436" s="6" t="s">
        <v>5632</v>
      </c>
      <c r="H2436" s="8"/>
      <c r="I2436" s="8">
        <v>4624</v>
      </c>
      <c r="J2436" s="6"/>
      <c r="K2436" s="6" t="s">
        <v>2269</v>
      </c>
      <c r="L2436" s="6"/>
      <c r="M2436" s="6"/>
      <c r="N2436" s="6" t="s">
        <v>2269</v>
      </c>
      <c r="O2436" s="29">
        <f t="shared" si="55"/>
        <v>4624</v>
      </c>
      <c r="Q2436" s="30" t="s">
        <v>2269</v>
      </c>
      <c r="R2436" s="31">
        <v>4624</v>
      </c>
    </row>
    <row r="2437" s="1" customFormat="1" ht="16.35" hidden="1" customHeight="1" spans="1:18">
      <c r="A2437" s="6"/>
      <c r="B2437" s="6" t="s">
        <v>4123</v>
      </c>
      <c r="C2437" s="6" t="s">
        <v>4236</v>
      </c>
      <c r="D2437" s="7">
        <v>99</v>
      </c>
      <c r="E2437" s="6" t="s">
        <v>6149</v>
      </c>
      <c r="F2437" s="6" t="s">
        <v>5631</v>
      </c>
      <c r="G2437" s="6" t="s">
        <v>5632</v>
      </c>
      <c r="H2437" s="8"/>
      <c r="I2437" s="8">
        <v>826</v>
      </c>
      <c r="J2437" s="6"/>
      <c r="K2437" s="6" t="s">
        <v>2269</v>
      </c>
      <c r="L2437" s="6"/>
      <c r="M2437" s="6"/>
      <c r="N2437" s="6" t="s">
        <v>2269</v>
      </c>
      <c r="O2437" s="29">
        <f t="shared" ref="O2437:O2471" si="56">I2437</f>
        <v>826</v>
      </c>
      <c r="Q2437" s="30" t="s">
        <v>2269</v>
      </c>
      <c r="R2437" s="31">
        <v>826</v>
      </c>
    </row>
    <row r="2438" s="1" customFormat="1" ht="16.35" hidden="1" customHeight="1" spans="1:18">
      <c r="A2438" s="6"/>
      <c r="B2438" s="6" t="s">
        <v>4123</v>
      </c>
      <c r="C2438" s="6" t="s">
        <v>4236</v>
      </c>
      <c r="D2438" s="7">
        <v>99</v>
      </c>
      <c r="E2438" s="6" t="s">
        <v>6150</v>
      </c>
      <c r="F2438" s="6" t="s">
        <v>5631</v>
      </c>
      <c r="G2438" s="6" t="s">
        <v>5632</v>
      </c>
      <c r="H2438" s="8"/>
      <c r="I2438" s="8">
        <v>10637</v>
      </c>
      <c r="J2438" s="6"/>
      <c r="K2438" s="6" t="s">
        <v>2206</v>
      </c>
      <c r="L2438" s="6"/>
      <c r="M2438" s="6"/>
      <c r="N2438" s="6" t="s">
        <v>2206</v>
      </c>
      <c r="O2438" s="29">
        <f t="shared" si="56"/>
        <v>10637</v>
      </c>
      <c r="Q2438" s="30" t="s">
        <v>2206</v>
      </c>
      <c r="R2438" s="31">
        <v>10637</v>
      </c>
    </row>
    <row r="2439" s="1" customFormat="1" ht="16.35" hidden="1" customHeight="1" spans="1:18">
      <c r="A2439" s="6"/>
      <c r="B2439" s="6" t="s">
        <v>4123</v>
      </c>
      <c r="C2439" s="6" t="s">
        <v>4236</v>
      </c>
      <c r="D2439" s="7">
        <v>99</v>
      </c>
      <c r="E2439" s="6" t="s">
        <v>6151</v>
      </c>
      <c r="F2439" s="6" t="s">
        <v>5631</v>
      </c>
      <c r="G2439" s="6" t="s">
        <v>5632</v>
      </c>
      <c r="H2439" s="8"/>
      <c r="I2439" s="8">
        <v>8257</v>
      </c>
      <c r="J2439" s="6"/>
      <c r="K2439" s="6" t="s">
        <v>2206</v>
      </c>
      <c r="L2439" s="6"/>
      <c r="M2439" s="6"/>
      <c r="N2439" s="6" t="s">
        <v>2206</v>
      </c>
      <c r="O2439" s="29">
        <f t="shared" si="56"/>
        <v>8257</v>
      </c>
      <c r="Q2439" s="30" t="s">
        <v>2206</v>
      </c>
      <c r="R2439" s="31">
        <v>8257</v>
      </c>
    </row>
    <row r="2440" s="1" customFormat="1" ht="16.35" hidden="1" customHeight="1" spans="1:18">
      <c r="A2440" s="6"/>
      <c r="B2440" s="6" t="s">
        <v>4123</v>
      </c>
      <c r="C2440" s="6" t="s">
        <v>4236</v>
      </c>
      <c r="D2440" s="7">
        <v>99</v>
      </c>
      <c r="E2440" s="6" t="s">
        <v>6152</v>
      </c>
      <c r="F2440" s="6" t="s">
        <v>5631</v>
      </c>
      <c r="G2440" s="6" t="s">
        <v>5632</v>
      </c>
      <c r="H2440" s="8"/>
      <c r="I2440" s="8">
        <v>5773</v>
      </c>
      <c r="J2440" s="6"/>
      <c r="K2440" s="6" t="s">
        <v>2225</v>
      </c>
      <c r="L2440" s="6"/>
      <c r="M2440" s="6"/>
      <c r="N2440" s="6" t="s">
        <v>2225</v>
      </c>
      <c r="O2440" s="29">
        <f t="shared" si="56"/>
        <v>5773</v>
      </c>
      <c r="Q2440" s="30" t="s">
        <v>2225</v>
      </c>
      <c r="R2440" s="31">
        <v>5773</v>
      </c>
    </row>
    <row r="2441" s="1" customFormat="1" ht="16.35" hidden="1" customHeight="1" spans="1:18">
      <c r="A2441" s="6"/>
      <c r="B2441" s="6" t="s">
        <v>4123</v>
      </c>
      <c r="C2441" s="6" t="s">
        <v>4236</v>
      </c>
      <c r="D2441" s="7">
        <v>99</v>
      </c>
      <c r="E2441" s="6" t="s">
        <v>6153</v>
      </c>
      <c r="F2441" s="6" t="s">
        <v>5631</v>
      </c>
      <c r="G2441" s="6" t="s">
        <v>5632</v>
      </c>
      <c r="H2441" s="8"/>
      <c r="I2441" s="8">
        <v>12385</v>
      </c>
      <c r="J2441" s="6"/>
      <c r="K2441" s="6" t="s">
        <v>2225</v>
      </c>
      <c r="L2441" s="6"/>
      <c r="M2441" s="6"/>
      <c r="N2441" s="6" t="s">
        <v>2225</v>
      </c>
      <c r="O2441" s="29">
        <f t="shared" si="56"/>
        <v>12385</v>
      </c>
      <c r="Q2441" s="30" t="s">
        <v>2225</v>
      </c>
      <c r="R2441" s="31">
        <v>12385</v>
      </c>
    </row>
    <row r="2442" s="1" customFormat="1" ht="16.35" hidden="1" customHeight="1" spans="1:18">
      <c r="A2442" s="6"/>
      <c r="B2442" s="6" t="s">
        <v>4123</v>
      </c>
      <c r="C2442" s="6" t="s">
        <v>4236</v>
      </c>
      <c r="D2442" s="7">
        <v>98</v>
      </c>
      <c r="E2442" s="6" t="s">
        <v>6154</v>
      </c>
      <c r="F2442" s="6" t="s">
        <v>5631</v>
      </c>
      <c r="G2442" s="6" t="s">
        <v>5632</v>
      </c>
      <c r="H2442" s="8"/>
      <c r="I2442" s="8">
        <v>11</v>
      </c>
      <c r="J2442" s="6"/>
      <c r="K2442" s="6" t="s">
        <v>2227</v>
      </c>
      <c r="L2442" s="6"/>
      <c r="M2442" s="6"/>
      <c r="N2442" s="6" t="s">
        <v>2227</v>
      </c>
      <c r="O2442" s="29">
        <f t="shared" si="56"/>
        <v>11</v>
      </c>
      <c r="Q2442" s="30" t="s">
        <v>2227</v>
      </c>
      <c r="R2442" s="31">
        <v>11</v>
      </c>
    </row>
    <row r="2443" s="1" customFormat="1" ht="16.35" hidden="1" customHeight="1" spans="1:18">
      <c r="A2443" s="6"/>
      <c r="B2443" s="6" t="s">
        <v>4123</v>
      </c>
      <c r="C2443" s="6" t="s">
        <v>4236</v>
      </c>
      <c r="D2443" s="7">
        <v>99</v>
      </c>
      <c r="E2443" s="6" t="s">
        <v>6155</v>
      </c>
      <c r="F2443" s="6" t="s">
        <v>5631</v>
      </c>
      <c r="G2443" s="6" t="s">
        <v>5632</v>
      </c>
      <c r="H2443" s="8"/>
      <c r="I2443" s="8">
        <v>7018</v>
      </c>
      <c r="J2443" s="6"/>
      <c r="K2443" s="6" t="s">
        <v>2227</v>
      </c>
      <c r="L2443" s="6"/>
      <c r="M2443" s="6"/>
      <c r="N2443" s="6" t="s">
        <v>2227</v>
      </c>
      <c r="O2443" s="29">
        <f t="shared" si="56"/>
        <v>7018</v>
      </c>
      <c r="Q2443" s="30" t="s">
        <v>2227</v>
      </c>
      <c r="R2443" s="31">
        <v>7018</v>
      </c>
    </row>
    <row r="2444" s="1" customFormat="1" ht="16.35" hidden="1" customHeight="1" spans="1:18">
      <c r="A2444" s="6"/>
      <c r="B2444" s="6" t="s">
        <v>4123</v>
      </c>
      <c r="C2444" s="6" t="s">
        <v>4236</v>
      </c>
      <c r="D2444" s="7">
        <v>99</v>
      </c>
      <c r="E2444" s="6" t="s">
        <v>6156</v>
      </c>
      <c r="F2444" s="6" t="s">
        <v>5631</v>
      </c>
      <c r="G2444" s="6" t="s">
        <v>5632</v>
      </c>
      <c r="H2444" s="8"/>
      <c r="I2444" s="8">
        <v>11560</v>
      </c>
      <c r="J2444" s="6"/>
      <c r="K2444" s="6" t="s">
        <v>2227</v>
      </c>
      <c r="L2444" s="6"/>
      <c r="M2444" s="6"/>
      <c r="N2444" s="6" t="s">
        <v>2227</v>
      </c>
      <c r="O2444" s="29">
        <f t="shared" si="56"/>
        <v>11560</v>
      </c>
      <c r="Q2444" s="30" t="s">
        <v>2227</v>
      </c>
      <c r="R2444" s="31">
        <v>11560</v>
      </c>
    </row>
    <row r="2445" s="1" customFormat="1" ht="16.35" hidden="1" customHeight="1" spans="1:18">
      <c r="A2445" s="6"/>
      <c r="B2445" s="6" t="s">
        <v>4123</v>
      </c>
      <c r="C2445" s="6" t="s">
        <v>4236</v>
      </c>
      <c r="D2445" s="7">
        <v>99</v>
      </c>
      <c r="E2445" s="6" t="s">
        <v>6157</v>
      </c>
      <c r="F2445" s="6" t="s">
        <v>5631</v>
      </c>
      <c r="G2445" s="6" t="s">
        <v>5632</v>
      </c>
      <c r="H2445" s="8"/>
      <c r="I2445" s="8">
        <v>248</v>
      </c>
      <c r="J2445" s="6"/>
      <c r="K2445" s="6" t="s">
        <v>2233</v>
      </c>
      <c r="L2445" s="6"/>
      <c r="M2445" s="6"/>
      <c r="N2445" s="6" t="s">
        <v>2233</v>
      </c>
      <c r="O2445" s="29">
        <f t="shared" si="56"/>
        <v>248</v>
      </c>
      <c r="Q2445" s="30" t="s">
        <v>2233</v>
      </c>
      <c r="R2445" s="31">
        <v>248</v>
      </c>
    </row>
    <row r="2446" s="1" customFormat="1" ht="16.35" hidden="1" customHeight="1" spans="1:18">
      <c r="A2446" s="6"/>
      <c r="B2446" s="6" t="s">
        <v>4123</v>
      </c>
      <c r="C2446" s="6" t="s">
        <v>4236</v>
      </c>
      <c r="D2446" s="7">
        <v>99</v>
      </c>
      <c r="E2446" s="6" t="s">
        <v>6158</v>
      </c>
      <c r="F2446" s="6" t="s">
        <v>5631</v>
      </c>
      <c r="G2446" s="6" t="s">
        <v>5632</v>
      </c>
      <c r="H2446" s="8"/>
      <c r="I2446" s="8">
        <v>578</v>
      </c>
      <c r="J2446" s="6"/>
      <c r="K2446" s="6" t="s">
        <v>2233</v>
      </c>
      <c r="L2446" s="6"/>
      <c r="M2446" s="6"/>
      <c r="N2446" s="6" t="s">
        <v>2233</v>
      </c>
      <c r="O2446" s="29">
        <f t="shared" si="56"/>
        <v>578</v>
      </c>
      <c r="Q2446" s="30" t="s">
        <v>2233</v>
      </c>
      <c r="R2446" s="31">
        <v>578</v>
      </c>
    </row>
    <row r="2447" s="1" customFormat="1" ht="16.35" hidden="1" customHeight="1" spans="1:18">
      <c r="A2447" s="6"/>
      <c r="B2447" s="6" t="s">
        <v>4123</v>
      </c>
      <c r="C2447" s="6" t="s">
        <v>4236</v>
      </c>
      <c r="D2447" s="7">
        <v>99</v>
      </c>
      <c r="E2447" s="6" t="s">
        <v>6159</v>
      </c>
      <c r="F2447" s="6" t="s">
        <v>5631</v>
      </c>
      <c r="G2447" s="6" t="s">
        <v>5632</v>
      </c>
      <c r="H2447" s="8"/>
      <c r="I2447" s="8">
        <v>3468</v>
      </c>
      <c r="J2447" s="6"/>
      <c r="K2447" s="6" t="s">
        <v>2233</v>
      </c>
      <c r="L2447" s="6"/>
      <c r="M2447" s="6"/>
      <c r="N2447" s="6" t="s">
        <v>2233</v>
      </c>
      <c r="O2447" s="29">
        <f t="shared" si="56"/>
        <v>3468</v>
      </c>
      <c r="Q2447" s="30" t="s">
        <v>2233</v>
      </c>
      <c r="R2447" s="31">
        <v>3468</v>
      </c>
    </row>
    <row r="2448" s="1" customFormat="1" ht="16.35" hidden="1" customHeight="1" spans="1:18">
      <c r="A2448" s="6"/>
      <c r="B2448" s="6" t="s">
        <v>4123</v>
      </c>
      <c r="C2448" s="6" t="s">
        <v>4236</v>
      </c>
      <c r="D2448" s="7">
        <v>99</v>
      </c>
      <c r="E2448" s="6" t="s">
        <v>6160</v>
      </c>
      <c r="F2448" s="6" t="s">
        <v>5631</v>
      </c>
      <c r="G2448" s="6" t="s">
        <v>5632</v>
      </c>
      <c r="H2448" s="8"/>
      <c r="I2448" s="8">
        <v>1656</v>
      </c>
      <c r="J2448" s="6"/>
      <c r="K2448" s="6" t="s">
        <v>2233</v>
      </c>
      <c r="L2448" s="6"/>
      <c r="M2448" s="6"/>
      <c r="N2448" s="6" t="s">
        <v>2233</v>
      </c>
      <c r="O2448" s="29">
        <f t="shared" si="56"/>
        <v>1656</v>
      </c>
      <c r="Q2448" s="30" t="s">
        <v>2233</v>
      </c>
      <c r="R2448" s="31">
        <v>1656</v>
      </c>
    </row>
    <row r="2449" s="1" customFormat="1" ht="16.35" hidden="1" customHeight="1" spans="1:18">
      <c r="A2449" s="6"/>
      <c r="B2449" s="6" t="s">
        <v>4123</v>
      </c>
      <c r="C2449" s="6" t="s">
        <v>4236</v>
      </c>
      <c r="D2449" s="7">
        <v>99</v>
      </c>
      <c r="E2449" s="6" t="s">
        <v>6161</v>
      </c>
      <c r="F2449" s="6" t="s">
        <v>5631</v>
      </c>
      <c r="G2449" s="6" t="s">
        <v>5632</v>
      </c>
      <c r="H2449" s="8"/>
      <c r="I2449" s="8">
        <v>13872</v>
      </c>
      <c r="J2449" s="6"/>
      <c r="K2449" s="6" t="s">
        <v>2233</v>
      </c>
      <c r="L2449" s="6"/>
      <c r="M2449" s="6"/>
      <c r="N2449" s="6" t="s">
        <v>2233</v>
      </c>
      <c r="O2449" s="29">
        <f t="shared" si="56"/>
        <v>13872</v>
      </c>
      <c r="Q2449" s="30" t="s">
        <v>2233</v>
      </c>
      <c r="R2449" s="31">
        <v>13872</v>
      </c>
    </row>
    <row r="2450" s="1" customFormat="1" ht="16.35" hidden="1" customHeight="1" spans="1:18">
      <c r="A2450" s="6"/>
      <c r="B2450" s="6" t="s">
        <v>4123</v>
      </c>
      <c r="C2450" s="6" t="s">
        <v>4236</v>
      </c>
      <c r="D2450" s="7">
        <v>99</v>
      </c>
      <c r="E2450" s="6" t="s">
        <v>6162</v>
      </c>
      <c r="F2450" s="6" t="s">
        <v>5631</v>
      </c>
      <c r="G2450" s="6" t="s">
        <v>5632</v>
      </c>
      <c r="H2450" s="8"/>
      <c r="I2450" s="8">
        <v>2477</v>
      </c>
      <c r="J2450" s="6"/>
      <c r="K2450" s="6" t="s">
        <v>2251</v>
      </c>
      <c r="L2450" s="6"/>
      <c r="M2450" s="6"/>
      <c r="N2450" s="6" t="s">
        <v>2251</v>
      </c>
      <c r="O2450" s="29">
        <f t="shared" si="56"/>
        <v>2477</v>
      </c>
      <c r="Q2450" s="30" t="s">
        <v>2251</v>
      </c>
      <c r="R2450" s="31">
        <v>2477</v>
      </c>
    </row>
    <row r="2451" s="1" customFormat="1" ht="16.35" hidden="1" customHeight="1" spans="1:18">
      <c r="A2451" s="6"/>
      <c r="B2451" s="6" t="s">
        <v>4123</v>
      </c>
      <c r="C2451" s="6" t="s">
        <v>4236</v>
      </c>
      <c r="D2451" s="7">
        <v>99</v>
      </c>
      <c r="E2451" s="6" t="s">
        <v>6163</v>
      </c>
      <c r="F2451" s="6" t="s">
        <v>5631</v>
      </c>
      <c r="G2451" s="6" t="s">
        <v>5632</v>
      </c>
      <c r="H2451" s="8"/>
      <c r="I2451" s="8">
        <v>83</v>
      </c>
      <c r="J2451" s="6"/>
      <c r="K2451" s="6" t="s">
        <v>2251</v>
      </c>
      <c r="L2451" s="6"/>
      <c r="M2451" s="6"/>
      <c r="N2451" s="6" t="s">
        <v>2251</v>
      </c>
      <c r="O2451" s="29">
        <f t="shared" si="56"/>
        <v>83</v>
      </c>
      <c r="Q2451" s="30" t="s">
        <v>2251</v>
      </c>
      <c r="R2451" s="31">
        <v>83</v>
      </c>
    </row>
    <row r="2452" s="1" customFormat="1" ht="16.35" hidden="1" customHeight="1" spans="1:18">
      <c r="A2452" s="6"/>
      <c r="B2452" s="6" t="s">
        <v>4123</v>
      </c>
      <c r="C2452" s="6" t="s">
        <v>4236</v>
      </c>
      <c r="D2452" s="7">
        <v>99</v>
      </c>
      <c r="E2452" s="6" t="s">
        <v>6164</v>
      </c>
      <c r="F2452" s="6" t="s">
        <v>5631</v>
      </c>
      <c r="G2452" s="6" t="s">
        <v>5632</v>
      </c>
      <c r="H2452" s="8"/>
      <c r="I2452" s="8">
        <v>3854</v>
      </c>
      <c r="J2452" s="6"/>
      <c r="K2452" s="6" t="s">
        <v>2251</v>
      </c>
      <c r="L2452" s="6"/>
      <c r="M2452" s="6"/>
      <c r="N2452" s="6" t="s">
        <v>2251</v>
      </c>
      <c r="O2452" s="29">
        <f t="shared" si="56"/>
        <v>3854</v>
      </c>
      <c r="Q2452" s="30" t="s">
        <v>2251</v>
      </c>
      <c r="R2452" s="31">
        <v>3854</v>
      </c>
    </row>
    <row r="2453" s="1" customFormat="1" ht="16.35" hidden="1" customHeight="1" spans="1:18">
      <c r="A2453" s="6"/>
      <c r="B2453" s="6" t="s">
        <v>4123</v>
      </c>
      <c r="C2453" s="6" t="s">
        <v>4236</v>
      </c>
      <c r="D2453" s="7">
        <v>99</v>
      </c>
      <c r="E2453" s="6" t="s">
        <v>6165</v>
      </c>
      <c r="F2453" s="6" t="s">
        <v>5631</v>
      </c>
      <c r="G2453" s="6" t="s">
        <v>5632</v>
      </c>
      <c r="H2453" s="8"/>
      <c r="I2453" s="8">
        <v>13624</v>
      </c>
      <c r="J2453" s="6"/>
      <c r="K2453" s="6" t="s">
        <v>2251</v>
      </c>
      <c r="L2453" s="6"/>
      <c r="M2453" s="6"/>
      <c r="N2453" s="6" t="s">
        <v>2251</v>
      </c>
      <c r="O2453" s="29">
        <f t="shared" si="56"/>
        <v>13624</v>
      </c>
      <c r="Q2453" s="30" t="s">
        <v>2251</v>
      </c>
      <c r="R2453" s="31">
        <v>13624</v>
      </c>
    </row>
    <row r="2454" s="1" customFormat="1" ht="16.35" hidden="1" customHeight="1" spans="1:18">
      <c r="A2454" s="6"/>
      <c r="B2454" s="6" t="s">
        <v>4123</v>
      </c>
      <c r="C2454" s="6" t="s">
        <v>4236</v>
      </c>
      <c r="D2454" s="7">
        <v>99</v>
      </c>
      <c r="E2454" s="6" t="s">
        <v>6166</v>
      </c>
      <c r="F2454" s="6" t="s">
        <v>5631</v>
      </c>
      <c r="G2454" s="6" t="s">
        <v>5632</v>
      </c>
      <c r="H2454" s="8"/>
      <c r="I2454" s="8">
        <v>826</v>
      </c>
      <c r="J2454" s="6"/>
      <c r="K2454" s="6" t="s">
        <v>2267</v>
      </c>
      <c r="L2454" s="6"/>
      <c r="M2454" s="6"/>
      <c r="N2454" s="6" t="s">
        <v>2267</v>
      </c>
      <c r="O2454" s="29">
        <f t="shared" si="56"/>
        <v>826</v>
      </c>
      <c r="Q2454" s="30" t="s">
        <v>2267</v>
      </c>
      <c r="R2454" s="31">
        <v>826</v>
      </c>
    </row>
    <row r="2455" s="1" customFormat="1" ht="16.35" hidden="1" customHeight="1" spans="1:18">
      <c r="A2455" s="6"/>
      <c r="B2455" s="6" t="s">
        <v>4123</v>
      </c>
      <c r="C2455" s="6" t="s">
        <v>4236</v>
      </c>
      <c r="D2455" s="7">
        <v>99</v>
      </c>
      <c r="E2455" s="6" t="s">
        <v>6167</v>
      </c>
      <c r="F2455" s="6" t="s">
        <v>5631</v>
      </c>
      <c r="G2455" s="6" t="s">
        <v>5632</v>
      </c>
      <c r="H2455" s="8"/>
      <c r="I2455" s="8">
        <v>5119</v>
      </c>
      <c r="J2455" s="6"/>
      <c r="K2455" s="6" t="s">
        <v>2267</v>
      </c>
      <c r="L2455" s="6"/>
      <c r="M2455" s="6"/>
      <c r="N2455" s="6" t="s">
        <v>2267</v>
      </c>
      <c r="O2455" s="29">
        <f t="shared" si="56"/>
        <v>5119</v>
      </c>
      <c r="Q2455" s="30" t="s">
        <v>2267</v>
      </c>
      <c r="R2455" s="31">
        <v>5119</v>
      </c>
    </row>
    <row r="2456" s="1" customFormat="1" ht="16.35" hidden="1" customHeight="1" spans="1:18">
      <c r="A2456" s="6"/>
      <c r="B2456" s="6" t="s">
        <v>4123</v>
      </c>
      <c r="C2456" s="6" t="s">
        <v>4236</v>
      </c>
      <c r="D2456" s="7">
        <v>99</v>
      </c>
      <c r="E2456" s="6" t="s">
        <v>6168</v>
      </c>
      <c r="F2456" s="6" t="s">
        <v>5631</v>
      </c>
      <c r="G2456" s="6" t="s">
        <v>5632</v>
      </c>
      <c r="H2456" s="8"/>
      <c r="I2456" s="8">
        <v>13872</v>
      </c>
      <c r="J2456" s="6"/>
      <c r="K2456" s="6" t="s">
        <v>2267</v>
      </c>
      <c r="L2456" s="6"/>
      <c r="M2456" s="6"/>
      <c r="N2456" s="6" t="s">
        <v>2267</v>
      </c>
      <c r="O2456" s="29">
        <f t="shared" si="56"/>
        <v>13872</v>
      </c>
      <c r="Q2456" s="30" t="s">
        <v>2267</v>
      </c>
      <c r="R2456" s="31">
        <v>13872</v>
      </c>
    </row>
    <row r="2457" s="1" customFormat="1" ht="16.35" hidden="1" customHeight="1" spans="1:18">
      <c r="A2457" s="6"/>
      <c r="B2457" s="6" t="s">
        <v>4123</v>
      </c>
      <c r="C2457" s="6" t="s">
        <v>4236</v>
      </c>
      <c r="D2457" s="7">
        <v>99</v>
      </c>
      <c r="E2457" s="6" t="s">
        <v>6169</v>
      </c>
      <c r="F2457" s="6" t="s">
        <v>5631</v>
      </c>
      <c r="G2457" s="6" t="s">
        <v>5632</v>
      </c>
      <c r="H2457" s="8"/>
      <c r="I2457" s="8">
        <v>12385</v>
      </c>
      <c r="J2457" s="6"/>
      <c r="K2457" s="6" t="s">
        <v>2271</v>
      </c>
      <c r="L2457" s="6"/>
      <c r="M2457" s="6"/>
      <c r="N2457" s="6" t="s">
        <v>2271</v>
      </c>
      <c r="O2457" s="29">
        <f t="shared" si="56"/>
        <v>12385</v>
      </c>
      <c r="Q2457" s="30" t="s">
        <v>2271</v>
      </c>
      <c r="R2457" s="31">
        <v>12385</v>
      </c>
    </row>
    <row r="2458" s="1" customFormat="1" ht="16.35" hidden="1" customHeight="1" spans="1:18">
      <c r="A2458" s="6"/>
      <c r="B2458" s="6" t="s">
        <v>4123</v>
      </c>
      <c r="C2458" s="6" t="s">
        <v>4236</v>
      </c>
      <c r="D2458" s="7">
        <v>99</v>
      </c>
      <c r="E2458" s="6" t="s">
        <v>6170</v>
      </c>
      <c r="F2458" s="6" t="s">
        <v>5631</v>
      </c>
      <c r="G2458" s="6" t="s">
        <v>5632</v>
      </c>
      <c r="H2458" s="8"/>
      <c r="I2458" s="8">
        <v>6606</v>
      </c>
      <c r="J2458" s="6"/>
      <c r="K2458" s="6" t="s">
        <v>2271</v>
      </c>
      <c r="L2458" s="6"/>
      <c r="M2458" s="6"/>
      <c r="N2458" s="6" t="s">
        <v>2271</v>
      </c>
      <c r="O2458" s="29">
        <f t="shared" si="56"/>
        <v>6606</v>
      </c>
      <c r="Q2458" s="30" t="s">
        <v>2271</v>
      </c>
      <c r="R2458" s="31">
        <v>6606</v>
      </c>
    </row>
    <row r="2459" s="1" customFormat="1" ht="16.35" hidden="1" customHeight="1" spans="1:18">
      <c r="A2459" s="6"/>
      <c r="B2459" s="6" t="s">
        <v>4123</v>
      </c>
      <c r="C2459" s="6" t="s">
        <v>4236</v>
      </c>
      <c r="D2459" s="7">
        <v>99</v>
      </c>
      <c r="E2459" s="6" t="s">
        <v>6171</v>
      </c>
      <c r="F2459" s="6" t="s">
        <v>5631</v>
      </c>
      <c r="G2459" s="6" t="s">
        <v>5632</v>
      </c>
      <c r="H2459" s="8"/>
      <c r="I2459" s="8">
        <v>5996</v>
      </c>
      <c r="J2459" s="6"/>
      <c r="K2459" s="6" t="s">
        <v>2291</v>
      </c>
      <c r="L2459" s="6"/>
      <c r="M2459" s="6"/>
      <c r="N2459" s="6" t="s">
        <v>2291</v>
      </c>
      <c r="O2459" s="29">
        <f t="shared" si="56"/>
        <v>5996</v>
      </c>
      <c r="Q2459" s="30" t="s">
        <v>2291</v>
      </c>
      <c r="R2459" s="31">
        <v>5996</v>
      </c>
    </row>
    <row r="2460" s="1" customFormat="1" ht="16.35" hidden="1" customHeight="1" spans="1:18">
      <c r="A2460" s="6"/>
      <c r="B2460" s="6" t="s">
        <v>4123</v>
      </c>
      <c r="C2460" s="6" t="s">
        <v>4236</v>
      </c>
      <c r="D2460" s="7">
        <v>99</v>
      </c>
      <c r="E2460" s="6" t="s">
        <v>6172</v>
      </c>
      <c r="F2460" s="6" t="s">
        <v>5631</v>
      </c>
      <c r="G2460" s="6" t="s">
        <v>5632</v>
      </c>
      <c r="H2460" s="8"/>
      <c r="I2460" s="8">
        <v>13954</v>
      </c>
      <c r="J2460" s="6"/>
      <c r="K2460" s="6" t="s">
        <v>2291</v>
      </c>
      <c r="L2460" s="6"/>
      <c r="M2460" s="6"/>
      <c r="N2460" s="6" t="s">
        <v>2291</v>
      </c>
      <c r="O2460" s="29">
        <f t="shared" si="56"/>
        <v>13954</v>
      </c>
      <c r="Q2460" s="30" t="s">
        <v>2291</v>
      </c>
      <c r="R2460" s="31">
        <v>13954</v>
      </c>
    </row>
    <row r="2461" s="1" customFormat="1" ht="16.35" hidden="1" customHeight="1" spans="1:18">
      <c r="A2461" s="6"/>
      <c r="B2461" s="6" t="s">
        <v>4123</v>
      </c>
      <c r="C2461" s="6" t="s">
        <v>4236</v>
      </c>
      <c r="D2461" s="7">
        <v>99</v>
      </c>
      <c r="E2461" s="6" t="s">
        <v>6173</v>
      </c>
      <c r="F2461" s="6" t="s">
        <v>5631</v>
      </c>
      <c r="G2461" s="6" t="s">
        <v>5632</v>
      </c>
      <c r="H2461" s="8"/>
      <c r="I2461" s="8">
        <v>826</v>
      </c>
      <c r="J2461" s="6"/>
      <c r="K2461" s="6" t="s">
        <v>2358</v>
      </c>
      <c r="L2461" s="6"/>
      <c r="M2461" s="6"/>
      <c r="N2461" s="6" t="s">
        <v>2358</v>
      </c>
      <c r="O2461" s="29">
        <f t="shared" si="56"/>
        <v>826</v>
      </c>
      <c r="Q2461" s="30" t="s">
        <v>2358</v>
      </c>
      <c r="R2461" s="31">
        <v>826</v>
      </c>
    </row>
    <row r="2462" s="1" customFormat="1" ht="16.35" hidden="1" customHeight="1" spans="1:18">
      <c r="A2462" s="6"/>
      <c r="B2462" s="6" t="s">
        <v>4123</v>
      </c>
      <c r="C2462" s="6" t="s">
        <v>4236</v>
      </c>
      <c r="D2462" s="7">
        <v>99</v>
      </c>
      <c r="E2462" s="6" t="s">
        <v>6174</v>
      </c>
      <c r="F2462" s="6" t="s">
        <v>5631</v>
      </c>
      <c r="G2462" s="6" t="s">
        <v>5632</v>
      </c>
      <c r="H2462" s="8"/>
      <c r="I2462" s="8">
        <v>6045</v>
      </c>
      <c r="J2462" s="6"/>
      <c r="K2462" s="6" t="s">
        <v>2358</v>
      </c>
      <c r="L2462" s="6"/>
      <c r="M2462" s="6"/>
      <c r="N2462" s="6" t="s">
        <v>2358</v>
      </c>
      <c r="O2462" s="29">
        <f t="shared" si="56"/>
        <v>6045</v>
      </c>
      <c r="Q2462" s="30" t="s">
        <v>2358</v>
      </c>
      <c r="R2462" s="31">
        <v>6045</v>
      </c>
    </row>
    <row r="2463" s="1" customFormat="1" ht="16.35" hidden="1" customHeight="1" spans="1:18">
      <c r="A2463" s="6"/>
      <c r="B2463" s="6" t="s">
        <v>4123</v>
      </c>
      <c r="C2463" s="6" t="s">
        <v>4236</v>
      </c>
      <c r="D2463" s="7">
        <v>37</v>
      </c>
      <c r="E2463" s="6" t="s">
        <v>6175</v>
      </c>
      <c r="F2463" s="6" t="s">
        <v>5631</v>
      </c>
      <c r="G2463" s="6" t="s">
        <v>5632</v>
      </c>
      <c r="H2463" s="8"/>
      <c r="I2463" s="8">
        <v>8480</v>
      </c>
      <c r="J2463" s="6"/>
      <c r="K2463" s="6" t="s">
        <v>2858</v>
      </c>
      <c r="L2463" s="6"/>
      <c r="M2463" s="6"/>
      <c r="N2463" s="6" t="s">
        <v>2858</v>
      </c>
      <c r="O2463" s="29">
        <f t="shared" si="56"/>
        <v>8480</v>
      </c>
      <c r="Q2463" s="30" t="s">
        <v>2858</v>
      </c>
      <c r="R2463" s="31">
        <v>8480</v>
      </c>
    </row>
    <row r="2464" s="1" customFormat="1" ht="16.35" hidden="1" customHeight="1" spans="1:18">
      <c r="A2464" s="6"/>
      <c r="B2464" s="6" t="s">
        <v>4123</v>
      </c>
      <c r="C2464" s="6" t="s">
        <v>4236</v>
      </c>
      <c r="D2464" s="7">
        <v>7</v>
      </c>
      <c r="E2464" s="6" t="s">
        <v>6176</v>
      </c>
      <c r="F2464" s="6" t="s">
        <v>5631</v>
      </c>
      <c r="G2464" s="6" t="s">
        <v>5632</v>
      </c>
      <c r="H2464" s="8"/>
      <c r="I2464" s="8">
        <v>95000</v>
      </c>
      <c r="J2464" s="6"/>
      <c r="K2464" s="6" t="s">
        <v>2858</v>
      </c>
      <c r="L2464" s="6"/>
      <c r="M2464" s="6"/>
      <c r="N2464" s="6" t="s">
        <v>2858</v>
      </c>
      <c r="O2464" s="29">
        <f t="shared" si="56"/>
        <v>95000</v>
      </c>
      <c r="Q2464" s="30" t="s">
        <v>2858</v>
      </c>
      <c r="R2464" s="31">
        <v>95000</v>
      </c>
    </row>
    <row r="2465" s="1" customFormat="1" ht="16.35" hidden="1" customHeight="1" spans="1:18">
      <c r="A2465" s="6"/>
      <c r="B2465" s="6" t="s">
        <v>4123</v>
      </c>
      <c r="C2465" s="6" t="s">
        <v>4236</v>
      </c>
      <c r="D2465" s="7">
        <v>37</v>
      </c>
      <c r="E2465" s="6" t="s">
        <v>6177</v>
      </c>
      <c r="F2465" s="6" t="s">
        <v>5631</v>
      </c>
      <c r="G2465" s="6" t="s">
        <v>5632</v>
      </c>
      <c r="H2465" s="8"/>
      <c r="I2465" s="8">
        <v>93500</v>
      </c>
      <c r="J2465" s="6"/>
      <c r="K2465" s="6" t="s">
        <v>2860</v>
      </c>
      <c r="L2465" s="6"/>
      <c r="M2465" s="6"/>
      <c r="N2465" s="6" t="s">
        <v>2860</v>
      </c>
      <c r="O2465" s="29">
        <f t="shared" si="56"/>
        <v>93500</v>
      </c>
      <c r="Q2465" s="30" t="s">
        <v>2860</v>
      </c>
      <c r="R2465" s="31">
        <v>93500</v>
      </c>
    </row>
    <row r="2466" s="1" customFormat="1" ht="16.35" hidden="1" customHeight="1" spans="1:18">
      <c r="A2466" s="6"/>
      <c r="B2466" s="6" t="s">
        <v>4123</v>
      </c>
      <c r="C2466" s="6" t="s">
        <v>4236</v>
      </c>
      <c r="D2466" s="7">
        <v>99</v>
      </c>
      <c r="E2466" s="6" t="s">
        <v>6178</v>
      </c>
      <c r="F2466" s="6" t="s">
        <v>5631</v>
      </c>
      <c r="G2466" s="6" t="s">
        <v>5632</v>
      </c>
      <c r="H2466" s="8"/>
      <c r="I2466" s="8">
        <v>5367</v>
      </c>
      <c r="J2466" s="6"/>
      <c r="K2466" s="6" t="s">
        <v>2877</v>
      </c>
      <c r="L2466" s="6"/>
      <c r="M2466" s="6"/>
      <c r="N2466" s="6" t="s">
        <v>2877</v>
      </c>
      <c r="O2466" s="29">
        <f t="shared" si="56"/>
        <v>5367</v>
      </c>
      <c r="Q2466" s="30" t="s">
        <v>2877</v>
      </c>
      <c r="R2466" s="31">
        <v>5367</v>
      </c>
    </row>
    <row r="2467" s="1" customFormat="1" ht="16.35" hidden="1" customHeight="1" spans="1:18">
      <c r="A2467" s="6"/>
      <c r="B2467" s="6" t="s">
        <v>4123</v>
      </c>
      <c r="C2467" s="6" t="s">
        <v>4236</v>
      </c>
      <c r="D2467" s="7">
        <v>99</v>
      </c>
      <c r="E2467" s="6" t="s">
        <v>6179</v>
      </c>
      <c r="F2467" s="6" t="s">
        <v>5631</v>
      </c>
      <c r="G2467" s="6" t="s">
        <v>5632</v>
      </c>
      <c r="H2467" s="8"/>
      <c r="I2467" s="8">
        <v>8257</v>
      </c>
      <c r="J2467" s="6"/>
      <c r="K2467" s="6" t="s">
        <v>2877</v>
      </c>
      <c r="L2467" s="6"/>
      <c r="M2467" s="6"/>
      <c r="N2467" s="6" t="s">
        <v>2877</v>
      </c>
      <c r="O2467" s="29">
        <f t="shared" si="56"/>
        <v>8257</v>
      </c>
      <c r="Q2467" s="30" t="s">
        <v>2877</v>
      </c>
      <c r="R2467" s="31">
        <v>8257</v>
      </c>
    </row>
    <row r="2468" s="1" customFormat="1" ht="16.35" hidden="1" customHeight="1" spans="1:18">
      <c r="A2468" s="6"/>
      <c r="B2468" s="6" t="s">
        <v>4123</v>
      </c>
      <c r="C2468" s="6" t="s">
        <v>4236</v>
      </c>
      <c r="D2468" s="7">
        <v>99</v>
      </c>
      <c r="E2468" s="6" t="s">
        <v>6180</v>
      </c>
      <c r="F2468" s="6" t="s">
        <v>5631</v>
      </c>
      <c r="G2468" s="6" t="s">
        <v>5632</v>
      </c>
      <c r="H2468" s="8"/>
      <c r="I2468" s="8">
        <v>9083</v>
      </c>
      <c r="J2468" s="6"/>
      <c r="K2468" s="6" t="s">
        <v>2877</v>
      </c>
      <c r="L2468" s="6"/>
      <c r="M2468" s="6"/>
      <c r="N2468" s="6" t="s">
        <v>2877</v>
      </c>
      <c r="O2468" s="29">
        <f t="shared" si="56"/>
        <v>9083</v>
      </c>
      <c r="Q2468" s="30" t="s">
        <v>2877</v>
      </c>
      <c r="R2468" s="31">
        <v>9083</v>
      </c>
    </row>
    <row r="2469" s="1" customFormat="1" ht="16.35" hidden="1" customHeight="1" spans="1:18">
      <c r="A2469" s="6"/>
      <c r="B2469" s="6" t="s">
        <v>4123</v>
      </c>
      <c r="C2469" s="6" t="s">
        <v>4236</v>
      </c>
      <c r="D2469" s="7">
        <v>99</v>
      </c>
      <c r="E2469" s="6" t="s">
        <v>6181</v>
      </c>
      <c r="F2469" s="6" t="s">
        <v>5631</v>
      </c>
      <c r="G2469" s="6" t="s">
        <v>5632</v>
      </c>
      <c r="H2469" s="8"/>
      <c r="I2469" s="8">
        <v>826</v>
      </c>
      <c r="J2469" s="6"/>
      <c r="K2469" s="6" t="s">
        <v>2889</v>
      </c>
      <c r="L2469" s="6"/>
      <c r="M2469" s="6"/>
      <c r="N2469" s="6" t="s">
        <v>2889</v>
      </c>
      <c r="O2469" s="29">
        <f t="shared" si="56"/>
        <v>826</v>
      </c>
      <c r="Q2469" s="30" t="s">
        <v>2889</v>
      </c>
      <c r="R2469" s="31">
        <v>826</v>
      </c>
    </row>
    <row r="2470" s="1" customFormat="1" ht="16.35" hidden="1" customHeight="1" spans="1:18">
      <c r="A2470" s="6"/>
      <c r="B2470" s="6" t="s">
        <v>4123</v>
      </c>
      <c r="C2470" s="6" t="s">
        <v>4236</v>
      </c>
      <c r="D2470" s="7">
        <v>55</v>
      </c>
      <c r="E2470" s="6" t="s">
        <v>6182</v>
      </c>
      <c r="F2470" s="6" t="s">
        <v>5631</v>
      </c>
      <c r="G2470" s="6" t="s">
        <v>5632</v>
      </c>
      <c r="H2470" s="8"/>
      <c r="I2470" s="8">
        <v>10000</v>
      </c>
      <c r="J2470" s="6"/>
      <c r="K2470" s="6" t="s">
        <v>954</v>
      </c>
      <c r="L2470" s="6"/>
      <c r="M2470" s="6"/>
      <c r="N2470" s="6" t="s">
        <v>954</v>
      </c>
      <c r="O2470" s="29">
        <f t="shared" si="56"/>
        <v>10000</v>
      </c>
      <c r="Q2470" s="30" t="s">
        <v>954</v>
      </c>
      <c r="R2470" s="31">
        <v>10000</v>
      </c>
    </row>
    <row r="2471" s="1" customFormat="1" ht="16.35" hidden="1" customHeight="1" spans="1:18">
      <c r="A2471" s="6"/>
      <c r="B2471" s="6" t="s">
        <v>4123</v>
      </c>
      <c r="C2471" s="6" t="s">
        <v>4236</v>
      </c>
      <c r="D2471" s="7">
        <v>56</v>
      </c>
      <c r="E2471" s="6" t="s">
        <v>6182</v>
      </c>
      <c r="F2471" s="6" t="s">
        <v>5631</v>
      </c>
      <c r="G2471" s="6" t="s">
        <v>5632</v>
      </c>
      <c r="H2471" s="8"/>
      <c r="I2471" s="8">
        <v>18769</v>
      </c>
      <c r="J2471" s="6"/>
      <c r="K2471" s="6" t="s">
        <v>954</v>
      </c>
      <c r="L2471" s="6"/>
      <c r="M2471" s="6"/>
      <c r="N2471" s="6" t="s">
        <v>954</v>
      </c>
      <c r="O2471" s="29">
        <f t="shared" si="56"/>
        <v>18769</v>
      </c>
      <c r="Q2471" s="30" t="s">
        <v>954</v>
      </c>
      <c r="R2471" s="31">
        <v>18769</v>
      </c>
    </row>
    <row r="2472" s="1" customFormat="1" ht="16.35" hidden="1" customHeight="1" spans="1:18">
      <c r="A2472" s="6"/>
      <c r="B2472" s="6" t="s">
        <v>4123</v>
      </c>
      <c r="C2472" s="6" t="s">
        <v>4236</v>
      </c>
      <c r="D2472" s="7">
        <v>39</v>
      </c>
      <c r="E2472" s="6" t="s">
        <v>6183</v>
      </c>
      <c r="F2472" s="6" t="s">
        <v>5631</v>
      </c>
      <c r="G2472" s="6" t="s">
        <v>5632</v>
      </c>
      <c r="H2472" s="8"/>
      <c r="I2472" s="8">
        <v>10000</v>
      </c>
      <c r="J2472" s="6"/>
      <c r="K2472" s="6" t="s">
        <v>2382</v>
      </c>
      <c r="L2472" s="6"/>
      <c r="M2472" s="6"/>
      <c r="N2472" s="6" t="s">
        <v>2382</v>
      </c>
      <c r="O2472" s="29">
        <f t="shared" ref="O2472:O2518" si="57">I2472</f>
        <v>10000</v>
      </c>
      <c r="Q2472" s="30" t="s">
        <v>2382</v>
      </c>
      <c r="R2472" s="31">
        <v>10000</v>
      </c>
    </row>
    <row r="2473" s="1" customFormat="1" ht="16.35" hidden="1" customHeight="1" spans="1:18">
      <c r="A2473" s="6"/>
      <c r="B2473" s="6" t="s">
        <v>4123</v>
      </c>
      <c r="C2473" s="6" t="s">
        <v>4236</v>
      </c>
      <c r="D2473" s="7">
        <v>40</v>
      </c>
      <c r="E2473" s="6" t="s">
        <v>6184</v>
      </c>
      <c r="F2473" s="6" t="s">
        <v>5631</v>
      </c>
      <c r="G2473" s="6" t="s">
        <v>5632</v>
      </c>
      <c r="H2473" s="8"/>
      <c r="I2473" s="8">
        <v>49262</v>
      </c>
      <c r="J2473" s="6"/>
      <c r="K2473" s="6" t="s">
        <v>2382</v>
      </c>
      <c r="L2473" s="6"/>
      <c r="M2473" s="6"/>
      <c r="N2473" s="6" t="s">
        <v>2382</v>
      </c>
      <c r="O2473" s="29">
        <f t="shared" si="57"/>
        <v>49262</v>
      </c>
      <c r="Q2473" s="30" t="s">
        <v>2382</v>
      </c>
      <c r="R2473" s="31">
        <v>49262</v>
      </c>
    </row>
    <row r="2474" s="1" customFormat="1" ht="16.35" hidden="1" customHeight="1" spans="1:18">
      <c r="A2474" s="6"/>
      <c r="B2474" s="6" t="s">
        <v>4123</v>
      </c>
      <c r="C2474" s="6" t="s">
        <v>4236</v>
      </c>
      <c r="D2474" s="7">
        <v>42</v>
      </c>
      <c r="E2474" s="6" t="s">
        <v>6185</v>
      </c>
      <c r="F2474" s="6" t="s">
        <v>5631</v>
      </c>
      <c r="G2474" s="6" t="s">
        <v>5632</v>
      </c>
      <c r="H2474" s="8"/>
      <c r="I2474" s="8">
        <v>70000</v>
      </c>
      <c r="J2474" s="6"/>
      <c r="K2474" s="6" t="s">
        <v>2478</v>
      </c>
      <c r="L2474" s="6"/>
      <c r="M2474" s="6"/>
      <c r="N2474" s="6" t="s">
        <v>2478</v>
      </c>
      <c r="O2474" s="29">
        <f t="shared" si="57"/>
        <v>70000</v>
      </c>
      <c r="Q2474" s="30" t="s">
        <v>2478</v>
      </c>
      <c r="R2474" s="31">
        <v>70000</v>
      </c>
    </row>
    <row r="2475" s="1" customFormat="1" ht="16.35" hidden="1" customHeight="1" spans="1:18">
      <c r="A2475" s="6"/>
      <c r="B2475" s="6" t="s">
        <v>4123</v>
      </c>
      <c r="C2475" s="6" t="s">
        <v>4236</v>
      </c>
      <c r="D2475" s="7">
        <v>51</v>
      </c>
      <c r="E2475" s="6" t="s">
        <v>6186</v>
      </c>
      <c r="F2475" s="6" t="s">
        <v>5631</v>
      </c>
      <c r="G2475" s="6" t="s">
        <v>5632</v>
      </c>
      <c r="H2475" s="8"/>
      <c r="I2475" s="8">
        <v>108000</v>
      </c>
      <c r="J2475" s="6"/>
      <c r="K2475" s="6" t="s">
        <v>2478</v>
      </c>
      <c r="L2475" s="6"/>
      <c r="M2475" s="6"/>
      <c r="N2475" s="6" t="s">
        <v>2478</v>
      </c>
      <c r="O2475" s="29">
        <f t="shared" si="57"/>
        <v>108000</v>
      </c>
      <c r="Q2475" s="30" t="s">
        <v>2478</v>
      </c>
      <c r="R2475" s="31">
        <v>108000</v>
      </c>
    </row>
    <row r="2476" s="1" customFormat="1" ht="16.35" hidden="1" customHeight="1" spans="1:18">
      <c r="A2476" s="6"/>
      <c r="B2476" s="6" t="s">
        <v>4123</v>
      </c>
      <c r="C2476" s="6" t="s">
        <v>4236</v>
      </c>
      <c r="D2476" s="7">
        <v>11</v>
      </c>
      <c r="E2476" s="6" t="s">
        <v>6187</v>
      </c>
      <c r="F2476" s="6" t="s">
        <v>5631</v>
      </c>
      <c r="G2476" s="6" t="s">
        <v>5632</v>
      </c>
      <c r="H2476" s="8"/>
      <c r="I2476" s="8">
        <v>5000</v>
      </c>
      <c r="J2476" s="6"/>
      <c r="K2476" s="6" t="s">
        <v>2513</v>
      </c>
      <c r="L2476" s="6"/>
      <c r="M2476" s="6"/>
      <c r="N2476" s="6" t="s">
        <v>2513</v>
      </c>
      <c r="O2476" s="29">
        <f t="shared" si="57"/>
        <v>5000</v>
      </c>
      <c r="Q2476" s="30" t="s">
        <v>2513</v>
      </c>
      <c r="R2476" s="31">
        <v>5000</v>
      </c>
    </row>
    <row r="2477" s="1" customFormat="1" ht="16.35" hidden="1" customHeight="1" spans="1:18">
      <c r="A2477" s="6"/>
      <c r="B2477" s="6" t="s">
        <v>4123</v>
      </c>
      <c r="C2477" s="6" t="s">
        <v>4236</v>
      </c>
      <c r="D2477" s="7">
        <v>54</v>
      </c>
      <c r="E2477" s="6" t="s">
        <v>6188</v>
      </c>
      <c r="F2477" s="6" t="s">
        <v>5631</v>
      </c>
      <c r="G2477" s="6" t="s">
        <v>5632</v>
      </c>
      <c r="H2477" s="8"/>
      <c r="I2477" s="8">
        <v>15000</v>
      </c>
      <c r="J2477" s="6"/>
      <c r="K2477" s="6" t="s">
        <v>2513</v>
      </c>
      <c r="L2477" s="6"/>
      <c r="M2477" s="6"/>
      <c r="N2477" s="6" t="s">
        <v>2513</v>
      </c>
      <c r="O2477" s="29">
        <f t="shared" si="57"/>
        <v>15000</v>
      </c>
      <c r="Q2477" s="30" t="s">
        <v>2513</v>
      </c>
      <c r="R2477" s="31">
        <v>15000</v>
      </c>
    </row>
    <row r="2478" s="1" customFormat="1" ht="16.35" hidden="1" customHeight="1" spans="1:18">
      <c r="A2478" s="6"/>
      <c r="B2478" s="6" t="s">
        <v>4123</v>
      </c>
      <c r="C2478" s="6" t="s">
        <v>4236</v>
      </c>
      <c r="D2478" s="7">
        <v>19</v>
      </c>
      <c r="E2478" s="6" t="s">
        <v>6189</v>
      </c>
      <c r="F2478" s="6" t="s">
        <v>5631</v>
      </c>
      <c r="G2478" s="6" t="s">
        <v>5632</v>
      </c>
      <c r="H2478" s="8"/>
      <c r="I2478" s="8">
        <v>500</v>
      </c>
      <c r="J2478" s="6"/>
      <c r="K2478" s="6" t="s">
        <v>2568</v>
      </c>
      <c r="L2478" s="6"/>
      <c r="M2478" s="6"/>
      <c r="N2478" s="6" t="s">
        <v>2568</v>
      </c>
      <c r="O2478" s="29">
        <f t="shared" si="57"/>
        <v>500</v>
      </c>
      <c r="Q2478" s="30" t="s">
        <v>2568</v>
      </c>
      <c r="R2478" s="31">
        <v>500</v>
      </c>
    </row>
    <row r="2479" s="1" customFormat="1" ht="16.35" hidden="1" customHeight="1" spans="1:18">
      <c r="A2479" s="6"/>
      <c r="B2479" s="6" t="s">
        <v>4123</v>
      </c>
      <c r="C2479" s="6" t="s">
        <v>4236</v>
      </c>
      <c r="D2479" s="7">
        <v>30</v>
      </c>
      <c r="E2479" s="6" t="s">
        <v>6190</v>
      </c>
      <c r="F2479" s="6" t="s">
        <v>5631</v>
      </c>
      <c r="G2479" s="6" t="s">
        <v>5632</v>
      </c>
      <c r="H2479" s="8"/>
      <c r="I2479" s="8">
        <v>99500</v>
      </c>
      <c r="J2479" s="6"/>
      <c r="K2479" s="6" t="s">
        <v>2568</v>
      </c>
      <c r="L2479" s="6"/>
      <c r="M2479" s="6"/>
      <c r="N2479" s="6" t="s">
        <v>2568</v>
      </c>
      <c r="O2479" s="29">
        <f t="shared" si="57"/>
        <v>99500</v>
      </c>
      <c r="Q2479" s="30" t="s">
        <v>2568</v>
      </c>
      <c r="R2479" s="31">
        <v>99500</v>
      </c>
    </row>
    <row r="2480" s="1" customFormat="1" ht="16.35" hidden="1" customHeight="1" spans="1:18">
      <c r="A2480" s="6"/>
      <c r="B2480" s="6" t="s">
        <v>4123</v>
      </c>
      <c r="C2480" s="6" t="s">
        <v>4236</v>
      </c>
      <c r="D2480" s="7">
        <v>20</v>
      </c>
      <c r="E2480" s="6" t="s">
        <v>6191</v>
      </c>
      <c r="F2480" s="6" t="s">
        <v>5631</v>
      </c>
      <c r="G2480" s="6" t="s">
        <v>5632</v>
      </c>
      <c r="H2480" s="8"/>
      <c r="I2480" s="8">
        <v>1600</v>
      </c>
      <c r="J2480" s="6"/>
      <c r="K2480" s="6" t="s">
        <v>2590</v>
      </c>
      <c r="L2480" s="6"/>
      <c r="M2480" s="6"/>
      <c r="N2480" s="6" t="s">
        <v>2590</v>
      </c>
      <c r="O2480" s="29">
        <f t="shared" si="57"/>
        <v>1600</v>
      </c>
      <c r="Q2480" s="30" t="s">
        <v>2590</v>
      </c>
      <c r="R2480" s="31">
        <v>1600</v>
      </c>
    </row>
    <row r="2481" s="1" customFormat="1" ht="16.35" hidden="1" customHeight="1" spans="1:18">
      <c r="A2481" s="6"/>
      <c r="B2481" s="6" t="s">
        <v>4123</v>
      </c>
      <c r="C2481" s="6" t="s">
        <v>4236</v>
      </c>
      <c r="D2481" s="7">
        <v>31</v>
      </c>
      <c r="E2481" s="6" t="s">
        <v>6192</v>
      </c>
      <c r="F2481" s="6" t="s">
        <v>5631</v>
      </c>
      <c r="G2481" s="6" t="s">
        <v>5632</v>
      </c>
      <c r="H2481" s="8"/>
      <c r="I2481" s="8">
        <v>5000</v>
      </c>
      <c r="J2481" s="6"/>
      <c r="K2481" s="6" t="s">
        <v>2590</v>
      </c>
      <c r="L2481" s="6"/>
      <c r="M2481" s="6"/>
      <c r="N2481" s="6" t="s">
        <v>2590</v>
      </c>
      <c r="O2481" s="29">
        <f t="shared" si="57"/>
        <v>5000</v>
      </c>
      <c r="Q2481" s="30" t="s">
        <v>2590</v>
      </c>
      <c r="R2481" s="31">
        <v>5000</v>
      </c>
    </row>
    <row r="2482" s="1" customFormat="1" ht="16.35" hidden="1" customHeight="1" spans="1:18">
      <c r="A2482" s="6"/>
      <c r="B2482" s="6" t="s">
        <v>4123</v>
      </c>
      <c r="C2482" s="6" t="s">
        <v>4236</v>
      </c>
      <c r="D2482" s="7">
        <v>43</v>
      </c>
      <c r="E2482" s="6" t="s">
        <v>6192</v>
      </c>
      <c r="F2482" s="6" t="s">
        <v>5631</v>
      </c>
      <c r="G2482" s="6" t="s">
        <v>5632</v>
      </c>
      <c r="H2482" s="8"/>
      <c r="I2482" s="8">
        <v>46000</v>
      </c>
      <c r="J2482" s="6"/>
      <c r="K2482" s="6" t="s">
        <v>2590</v>
      </c>
      <c r="L2482" s="6"/>
      <c r="M2482" s="6"/>
      <c r="N2482" s="6" t="s">
        <v>2590</v>
      </c>
      <c r="O2482" s="29">
        <f t="shared" si="57"/>
        <v>46000</v>
      </c>
      <c r="Q2482" s="30" t="s">
        <v>2590</v>
      </c>
      <c r="R2482" s="31">
        <v>46000</v>
      </c>
    </row>
    <row r="2483" s="1" customFormat="1" ht="16.35" hidden="1" customHeight="1" spans="1:18">
      <c r="A2483" s="6"/>
      <c r="B2483" s="6" t="s">
        <v>4123</v>
      </c>
      <c r="C2483" s="6" t="s">
        <v>4236</v>
      </c>
      <c r="D2483" s="7">
        <v>42</v>
      </c>
      <c r="E2483" s="6" t="s">
        <v>6193</v>
      </c>
      <c r="F2483" s="6" t="s">
        <v>5631</v>
      </c>
      <c r="G2483" s="6" t="s">
        <v>5632</v>
      </c>
      <c r="H2483" s="8"/>
      <c r="I2483" s="8">
        <v>58112</v>
      </c>
      <c r="J2483" s="6"/>
      <c r="K2483" s="6" t="s">
        <v>2529</v>
      </c>
      <c r="L2483" s="6"/>
      <c r="M2483" s="6"/>
      <c r="N2483" s="6" t="s">
        <v>2529</v>
      </c>
      <c r="O2483" s="29">
        <f t="shared" si="57"/>
        <v>58112</v>
      </c>
      <c r="Q2483" s="30" t="s">
        <v>2529</v>
      </c>
      <c r="R2483" s="31">
        <v>58112</v>
      </c>
    </row>
    <row r="2484" s="1" customFormat="1" ht="16.35" hidden="1" customHeight="1" spans="1:18">
      <c r="A2484" s="6"/>
      <c r="B2484" s="6" t="s">
        <v>4123</v>
      </c>
      <c r="C2484" s="6" t="s">
        <v>4236</v>
      </c>
      <c r="D2484" s="7">
        <v>36</v>
      </c>
      <c r="E2484" s="6" t="s">
        <v>6194</v>
      </c>
      <c r="F2484" s="6" t="s">
        <v>5631</v>
      </c>
      <c r="G2484" s="6" t="s">
        <v>5632</v>
      </c>
      <c r="H2484" s="8"/>
      <c r="I2484" s="8">
        <v>50000</v>
      </c>
      <c r="J2484" s="6"/>
      <c r="K2484" s="6" t="s">
        <v>2618</v>
      </c>
      <c r="L2484" s="6"/>
      <c r="M2484" s="6"/>
      <c r="N2484" s="6" t="s">
        <v>2618</v>
      </c>
      <c r="O2484" s="29">
        <f t="shared" si="57"/>
        <v>50000</v>
      </c>
      <c r="Q2484" s="30" t="s">
        <v>2618</v>
      </c>
      <c r="R2484" s="31">
        <v>50000</v>
      </c>
    </row>
    <row r="2485" s="1" customFormat="1" ht="16.35" hidden="1" customHeight="1" spans="1:18">
      <c r="A2485" s="6"/>
      <c r="B2485" s="6" t="s">
        <v>4123</v>
      </c>
      <c r="C2485" s="6" t="s">
        <v>4236</v>
      </c>
      <c r="D2485" s="7">
        <v>8</v>
      </c>
      <c r="E2485" s="6" t="s">
        <v>5856</v>
      </c>
      <c r="F2485" s="6" t="s">
        <v>5631</v>
      </c>
      <c r="G2485" s="6" t="s">
        <v>5632</v>
      </c>
      <c r="H2485" s="8"/>
      <c r="I2485" s="8">
        <v>573</v>
      </c>
      <c r="J2485" s="6"/>
      <c r="K2485" s="6" t="s">
        <v>2618</v>
      </c>
      <c r="L2485" s="6"/>
      <c r="M2485" s="6"/>
      <c r="N2485" s="6" t="s">
        <v>2618</v>
      </c>
      <c r="O2485" s="29">
        <f t="shared" si="57"/>
        <v>573</v>
      </c>
      <c r="Q2485" s="30" t="s">
        <v>2618</v>
      </c>
      <c r="R2485" s="31">
        <v>573</v>
      </c>
    </row>
    <row r="2486" s="1" customFormat="1" ht="16.35" hidden="1" customHeight="1" spans="1:18">
      <c r="A2486" s="6"/>
      <c r="B2486" s="6" t="s">
        <v>4123</v>
      </c>
      <c r="C2486" s="6" t="s">
        <v>4236</v>
      </c>
      <c r="D2486" s="7">
        <v>23</v>
      </c>
      <c r="E2486" s="6" t="s">
        <v>6195</v>
      </c>
      <c r="F2486" s="6" t="s">
        <v>5631</v>
      </c>
      <c r="G2486" s="6" t="s">
        <v>5632</v>
      </c>
      <c r="H2486" s="8"/>
      <c r="I2486" s="8">
        <v>1000</v>
      </c>
      <c r="J2486" s="6"/>
      <c r="K2486" s="6" t="s">
        <v>2622</v>
      </c>
      <c r="L2486" s="6"/>
      <c r="M2486" s="6"/>
      <c r="N2486" s="6" t="s">
        <v>2622</v>
      </c>
      <c r="O2486" s="29">
        <f t="shared" si="57"/>
        <v>1000</v>
      </c>
      <c r="Q2486" s="30" t="s">
        <v>2622</v>
      </c>
      <c r="R2486" s="31">
        <v>1000</v>
      </c>
    </row>
    <row r="2487" s="1" customFormat="1" ht="16.35" hidden="1" customHeight="1" spans="1:18">
      <c r="A2487" s="6"/>
      <c r="B2487" s="6" t="s">
        <v>4123</v>
      </c>
      <c r="C2487" s="6" t="s">
        <v>4236</v>
      </c>
      <c r="D2487" s="7">
        <v>34</v>
      </c>
      <c r="E2487" s="6" t="s">
        <v>6196</v>
      </c>
      <c r="F2487" s="6" t="s">
        <v>5631</v>
      </c>
      <c r="G2487" s="6" t="s">
        <v>5632</v>
      </c>
      <c r="H2487" s="8"/>
      <c r="I2487" s="8">
        <v>50000</v>
      </c>
      <c r="J2487" s="6"/>
      <c r="K2487" s="6" t="s">
        <v>2638</v>
      </c>
      <c r="L2487" s="6"/>
      <c r="M2487" s="6"/>
      <c r="N2487" s="6" t="s">
        <v>2638</v>
      </c>
      <c r="O2487" s="29">
        <f t="shared" si="57"/>
        <v>50000</v>
      </c>
      <c r="Q2487" s="30" t="s">
        <v>2638</v>
      </c>
      <c r="R2487" s="31">
        <v>50000</v>
      </c>
    </row>
    <row r="2488" s="1" customFormat="1" ht="16.35" hidden="1" customHeight="1" spans="1:18">
      <c r="A2488" s="6"/>
      <c r="B2488" s="6" t="s">
        <v>4123</v>
      </c>
      <c r="C2488" s="6" t="s">
        <v>4236</v>
      </c>
      <c r="D2488" s="7">
        <v>37</v>
      </c>
      <c r="E2488" s="6" t="s">
        <v>6197</v>
      </c>
      <c r="F2488" s="6" t="s">
        <v>5631</v>
      </c>
      <c r="G2488" s="6" t="s">
        <v>5632</v>
      </c>
      <c r="H2488" s="8"/>
      <c r="I2488" s="8">
        <v>20000</v>
      </c>
      <c r="J2488" s="6"/>
      <c r="K2488" s="6" t="s">
        <v>2672</v>
      </c>
      <c r="L2488" s="6"/>
      <c r="M2488" s="6"/>
      <c r="N2488" s="6" t="s">
        <v>2672</v>
      </c>
      <c r="O2488" s="29">
        <f t="shared" si="57"/>
        <v>20000</v>
      </c>
      <c r="Q2488" s="30" t="s">
        <v>2672</v>
      </c>
      <c r="R2488" s="31">
        <v>20000</v>
      </c>
    </row>
    <row r="2489" s="1" customFormat="1" ht="16.35" hidden="1" customHeight="1" spans="1:18">
      <c r="A2489" s="6"/>
      <c r="B2489" s="6" t="s">
        <v>4123</v>
      </c>
      <c r="C2489" s="6" t="s">
        <v>4236</v>
      </c>
      <c r="D2489" s="7">
        <v>37</v>
      </c>
      <c r="E2489" s="6" t="s">
        <v>6197</v>
      </c>
      <c r="F2489" s="6" t="s">
        <v>5631</v>
      </c>
      <c r="G2489" s="6" t="s">
        <v>5632</v>
      </c>
      <c r="H2489" s="8"/>
      <c r="I2489" s="8">
        <v>10000</v>
      </c>
      <c r="J2489" s="6"/>
      <c r="K2489" s="6" t="s">
        <v>2672</v>
      </c>
      <c r="L2489" s="6"/>
      <c r="M2489" s="6"/>
      <c r="N2489" s="6" t="s">
        <v>2672</v>
      </c>
      <c r="O2489" s="29">
        <f t="shared" si="57"/>
        <v>10000</v>
      </c>
      <c r="Q2489" s="30" t="s">
        <v>2672</v>
      </c>
      <c r="R2489" s="31">
        <v>10000</v>
      </c>
    </row>
    <row r="2490" s="1" customFormat="1" ht="16.35" hidden="1" customHeight="1" spans="1:18">
      <c r="A2490" s="6"/>
      <c r="B2490" s="6" t="s">
        <v>4123</v>
      </c>
      <c r="C2490" s="6" t="s">
        <v>4236</v>
      </c>
      <c r="D2490" s="7">
        <v>51</v>
      </c>
      <c r="E2490" s="6" t="s">
        <v>6198</v>
      </c>
      <c r="F2490" s="6" t="s">
        <v>5631</v>
      </c>
      <c r="G2490" s="6" t="s">
        <v>5632</v>
      </c>
      <c r="H2490" s="8"/>
      <c r="I2490" s="8">
        <v>51160</v>
      </c>
      <c r="J2490" s="6"/>
      <c r="K2490" s="6" t="s">
        <v>2690</v>
      </c>
      <c r="L2490" s="6"/>
      <c r="M2490" s="6"/>
      <c r="N2490" s="6" t="s">
        <v>2690</v>
      </c>
      <c r="O2490" s="29">
        <f t="shared" si="57"/>
        <v>51160</v>
      </c>
      <c r="Q2490" s="30" t="s">
        <v>2690</v>
      </c>
      <c r="R2490" s="31">
        <v>51160</v>
      </c>
    </row>
    <row r="2491" s="1" customFormat="1" ht="16.35" hidden="1" customHeight="1" spans="1:18">
      <c r="A2491" s="6"/>
      <c r="B2491" s="6" t="s">
        <v>4123</v>
      </c>
      <c r="C2491" s="6" t="s">
        <v>4236</v>
      </c>
      <c r="D2491" s="7">
        <v>99</v>
      </c>
      <c r="E2491" s="6" t="s">
        <v>6199</v>
      </c>
      <c r="F2491" s="6" t="s">
        <v>5631</v>
      </c>
      <c r="G2491" s="6" t="s">
        <v>5632</v>
      </c>
      <c r="H2491" s="8"/>
      <c r="I2491" s="8">
        <v>1651</v>
      </c>
      <c r="J2491" s="6"/>
      <c r="K2491" s="6" t="s">
        <v>2748</v>
      </c>
      <c r="L2491" s="6"/>
      <c r="M2491" s="6"/>
      <c r="N2491" s="6" t="s">
        <v>2748</v>
      </c>
      <c r="O2491" s="29">
        <f t="shared" si="57"/>
        <v>1651</v>
      </c>
      <c r="Q2491" s="30" t="s">
        <v>2748</v>
      </c>
      <c r="R2491" s="31">
        <v>1651</v>
      </c>
    </row>
    <row r="2492" s="1" customFormat="1" ht="16.35" hidden="1" customHeight="1" spans="1:18">
      <c r="A2492" s="6"/>
      <c r="B2492" s="6" t="s">
        <v>4123</v>
      </c>
      <c r="C2492" s="6" t="s">
        <v>4236</v>
      </c>
      <c r="D2492" s="7">
        <v>99</v>
      </c>
      <c r="E2492" s="6" t="s">
        <v>6200</v>
      </c>
      <c r="F2492" s="6" t="s">
        <v>5631</v>
      </c>
      <c r="G2492" s="6" t="s">
        <v>5632</v>
      </c>
      <c r="H2492" s="8"/>
      <c r="I2492" s="8">
        <v>24459</v>
      </c>
      <c r="J2492" s="6"/>
      <c r="K2492" s="6" t="s">
        <v>2748</v>
      </c>
      <c r="L2492" s="6"/>
      <c r="M2492" s="6"/>
      <c r="N2492" s="6" t="s">
        <v>2748</v>
      </c>
      <c r="O2492" s="29">
        <f t="shared" si="57"/>
        <v>24459</v>
      </c>
      <c r="Q2492" s="30" t="s">
        <v>2748</v>
      </c>
      <c r="R2492" s="31">
        <v>24459</v>
      </c>
    </row>
    <row r="2493" s="1" customFormat="1" ht="16.35" hidden="1" customHeight="1" spans="1:18">
      <c r="A2493" s="6"/>
      <c r="B2493" s="6" t="s">
        <v>4123</v>
      </c>
      <c r="C2493" s="6" t="s">
        <v>4236</v>
      </c>
      <c r="D2493" s="7">
        <v>99</v>
      </c>
      <c r="E2493" s="6" t="s">
        <v>6201</v>
      </c>
      <c r="F2493" s="6" t="s">
        <v>5631</v>
      </c>
      <c r="G2493" s="6" t="s">
        <v>5632</v>
      </c>
      <c r="H2493" s="8"/>
      <c r="I2493" s="8">
        <v>3633</v>
      </c>
      <c r="J2493" s="6"/>
      <c r="K2493" s="6" t="s">
        <v>2740</v>
      </c>
      <c r="L2493" s="6"/>
      <c r="M2493" s="6"/>
      <c r="N2493" s="6" t="s">
        <v>2740</v>
      </c>
      <c r="O2493" s="29">
        <f t="shared" si="57"/>
        <v>3633</v>
      </c>
      <c r="Q2493" s="30" t="s">
        <v>2740</v>
      </c>
      <c r="R2493" s="31">
        <v>3633</v>
      </c>
    </row>
    <row r="2494" s="1" customFormat="1" ht="16.35" hidden="1" customHeight="1" spans="1:18">
      <c r="A2494" s="6"/>
      <c r="B2494" s="6" t="s">
        <v>4123</v>
      </c>
      <c r="C2494" s="6" t="s">
        <v>4236</v>
      </c>
      <c r="D2494" s="7">
        <v>99</v>
      </c>
      <c r="E2494" s="6" t="s">
        <v>6202</v>
      </c>
      <c r="F2494" s="6" t="s">
        <v>5631</v>
      </c>
      <c r="G2494" s="6" t="s">
        <v>5632</v>
      </c>
      <c r="H2494" s="8"/>
      <c r="I2494" s="8">
        <v>41</v>
      </c>
      <c r="J2494" s="6"/>
      <c r="K2494" s="6" t="s">
        <v>2752</v>
      </c>
      <c r="L2494" s="6"/>
      <c r="M2494" s="6"/>
      <c r="N2494" s="6" t="s">
        <v>2752</v>
      </c>
      <c r="O2494" s="29">
        <f t="shared" si="57"/>
        <v>41</v>
      </c>
      <c r="Q2494" s="30" t="s">
        <v>2752</v>
      </c>
      <c r="R2494" s="31">
        <v>41</v>
      </c>
    </row>
    <row r="2495" s="1" customFormat="1" ht="16.35" hidden="1" customHeight="1" spans="1:18">
      <c r="A2495" s="6"/>
      <c r="B2495" s="6" t="s">
        <v>4123</v>
      </c>
      <c r="C2495" s="6" t="s">
        <v>4236</v>
      </c>
      <c r="D2495" s="7">
        <v>99</v>
      </c>
      <c r="E2495" s="6" t="s">
        <v>6203</v>
      </c>
      <c r="F2495" s="6" t="s">
        <v>5631</v>
      </c>
      <c r="G2495" s="6" t="s">
        <v>5632</v>
      </c>
      <c r="H2495" s="8"/>
      <c r="I2495" s="8">
        <v>495</v>
      </c>
      <c r="J2495" s="6"/>
      <c r="K2495" s="6" t="s">
        <v>2752</v>
      </c>
      <c r="L2495" s="6"/>
      <c r="M2495" s="6"/>
      <c r="N2495" s="6" t="s">
        <v>2752</v>
      </c>
      <c r="O2495" s="29">
        <f t="shared" si="57"/>
        <v>495</v>
      </c>
      <c r="Q2495" s="30" t="s">
        <v>2752</v>
      </c>
      <c r="R2495" s="31">
        <v>495</v>
      </c>
    </row>
    <row r="2496" s="1" customFormat="1" ht="16.35" hidden="1" customHeight="1" spans="1:18">
      <c r="A2496" s="6"/>
      <c r="B2496" s="6" t="s">
        <v>4123</v>
      </c>
      <c r="C2496" s="6" t="s">
        <v>4236</v>
      </c>
      <c r="D2496" s="7">
        <v>99</v>
      </c>
      <c r="E2496" s="6" t="s">
        <v>6204</v>
      </c>
      <c r="F2496" s="6" t="s">
        <v>5631</v>
      </c>
      <c r="G2496" s="6" t="s">
        <v>5632</v>
      </c>
      <c r="H2496" s="8"/>
      <c r="I2496" s="8">
        <v>950</v>
      </c>
      <c r="J2496" s="6"/>
      <c r="K2496" s="6" t="s">
        <v>2752</v>
      </c>
      <c r="L2496" s="6"/>
      <c r="M2496" s="6"/>
      <c r="N2496" s="6" t="s">
        <v>2752</v>
      </c>
      <c r="O2496" s="29">
        <f t="shared" si="57"/>
        <v>950</v>
      </c>
      <c r="Q2496" s="30" t="s">
        <v>2752</v>
      </c>
      <c r="R2496" s="31">
        <v>950</v>
      </c>
    </row>
    <row r="2497" s="1" customFormat="1" ht="16.35" hidden="1" customHeight="1" spans="1:18">
      <c r="A2497" s="6"/>
      <c r="B2497" s="6" t="s">
        <v>4123</v>
      </c>
      <c r="C2497" s="6" t="s">
        <v>4236</v>
      </c>
      <c r="D2497" s="7">
        <v>99</v>
      </c>
      <c r="E2497" s="6" t="s">
        <v>6205</v>
      </c>
      <c r="F2497" s="6" t="s">
        <v>5631</v>
      </c>
      <c r="G2497" s="6" t="s">
        <v>5632</v>
      </c>
      <c r="H2497" s="8"/>
      <c r="I2497" s="8">
        <v>2477</v>
      </c>
      <c r="J2497" s="6"/>
      <c r="K2497" s="6" t="s">
        <v>2752</v>
      </c>
      <c r="L2497" s="6"/>
      <c r="M2497" s="6"/>
      <c r="N2497" s="6" t="s">
        <v>2752</v>
      </c>
      <c r="O2497" s="29">
        <f t="shared" si="57"/>
        <v>2477</v>
      </c>
      <c r="Q2497" s="30" t="s">
        <v>2752</v>
      </c>
      <c r="R2497" s="31">
        <v>2477</v>
      </c>
    </row>
    <row r="2498" s="1" customFormat="1" ht="16.35" hidden="1" customHeight="1" spans="1:18">
      <c r="A2498" s="6"/>
      <c r="B2498" s="6" t="s">
        <v>4123</v>
      </c>
      <c r="C2498" s="6" t="s">
        <v>4236</v>
      </c>
      <c r="D2498" s="7">
        <v>99</v>
      </c>
      <c r="E2498" s="6" t="s">
        <v>6206</v>
      </c>
      <c r="F2498" s="6" t="s">
        <v>5631</v>
      </c>
      <c r="G2498" s="6" t="s">
        <v>5632</v>
      </c>
      <c r="H2498" s="8"/>
      <c r="I2498" s="8">
        <v>6063</v>
      </c>
      <c r="J2498" s="6"/>
      <c r="K2498" s="6" t="s">
        <v>2752</v>
      </c>
      <c r="L2498" s="6"/>
      <c r="M2498" s="6"/>
      <c r="N2498" s="6" t="s">
        <v>2752</v>
      </c>
      <c r="O2498" s="29">
        <f t="shared" si="57"/>
        <v>6063</v>
      </c>
      <c r="Q2498" s="30" t="s">
        <v>2752</v>
      </c>
      <c r="R2498" s="31">
        <v>6063</v>
      </c>
    </row>
    <row r="2499" s="1" customFormat="1" ht="16.35" hidden="1" customHeight="1" spans="1:18">
      <c r="A2499" s="6"/>
      <c r="B2499" s="6" t="s">
        <v>4123</v>
      </c>
      <c r="C2499" s="6" t="s">
        <v>4236</v>
      </c>
      <c r="D2499" s="7">
        <v>99</v>
      </c>
      <c r="E2499" s="6" t="s">
        <v>6207</v>
      </c>
      <c r="F2499" s="6" t="s">
        <v>5631</v>
      </c>
      <c r="G2499" s="6" t="s">
        <v>5632</v>
      </c>
      <c r="H2499" s="8"/>
      <c r="I2499" s="8">
        <v>826</v>
      </c>
      <c r="J2499" s="6"/>
      <c r="K2499" s="6" t="s">
        <v>2752</v>
      </c>
      <c r="L2499" s="6"/>
      <c r="M2499" s="6"/>
      <c r="N2499" s="6" t="s">
        <v>2752</v>
      </c>
      <c r="O2499" s="29">
        <f t="shared" si="57"/>
        <v>826</v>
      </c>
      <c r="Q2499" s="30" t="s">
        <v>2752</v>
      </c>
      <c r="R2499" s="31">
        <v>826</v>
      </c>
    </row>
    <row r="2500" s="1" customFormat="1" ht="16.35" hidden="1" customHeight="1" spans="1:18">
      <c r="A2500" s="6"/>
      <c r="B2500" s="6" t="s">
        <v>4123</v>
      </c>
      <c r="C2500" s="6" t="s">
        <v>4236</v>
      </c>
      <c r="D2500" s="7">
        <v>98</v>
      </c>
      <c r="E2500" s="6" t="s">
        <v>6208</v>
      </c>
      <c r="F2500" s="6" t="s">
        <v>5631</v>
      </c>
      <c r="G2500" s="6" t="s">
        <v>5632</v>
      </c>
      <c r="H2500" s="8"/>
      <c r="I2500" s="8">
        <v>238</v>
      </c>
      <c r="J2500" s="6"/>
      <c r="K2500" s="6" t="s">
        <v>1938</v>
      </c>
      <c r="L2500" s="6"/>
      <c r="M2500" s="6"/>
      <c r="N2500" s="6" t="s">
        <v>1938</v>
      </c>
      <c r="O2500" s="29">
        <f t="shared" si="57"/>
        <v>238</v>
      </c>
      <c r="Q2500" s="30" t="s">
        <v>1938</v>
      </c>
      <c r="R2500" s="31">
        <v>238</v>
      </c>
    </row>
    <row r="2501" s="1" customFormat="1" ht="16.35" hidden="1" customHeight="1" spans="1:18">
      <c r="A2501" s="6"/>
      <c r="B2501" s="6" t="s">
        <v>4123</v>
      </c>
      <c r="C2501" s="6" t="s">
        <v>4236</v>
      </c>
      <c r="D2501" s="7">
        <v>99</v>
      </c>
      <c r="E2501" s="6" t="s">
        <v>6209</v>
      </c>
      <c r="F2501" s="6" t="s">
        <v>5631</v>
      </c>
      <c r="G2501" s="6" t="s">
        <v>5632</v>
      </c>
      <c r="H2501" s="8"/>
      <c r="I2501" s="8">
        <v>8814</v>
      </c>
      <c r="J2501" s="6"/>
      <c r="K2501" s="6" t="s">
        <v>1938</v>
      </c>
      <c r="L2501" s="6"/>
      <c r="M2501" s="6"/>
      <c r="N2501" s="6" t="s">
        <v>1938</v>
      </c>
      <c r="O2501" s="29">
        <f t="shared" si="57"/>
        <v>8814</v>
      </c>
      <c r="Q2501" s="30" t="s">
        <v>1938</v>
      </c>
      <c r="R2501" s="31">
        <v>8814</v>
      </c>
    </row>
    <row r="2502" s="1" customFormat="1" ht="16.35" hidden="1" customHeight="1" spans="1:18">
      <c r="A2502" s="6"/>
      <c r="B2502" s="6" t="s">
        <v>4123</v>
      </c>
      <c r="C2502" s="6" t="s">
        <v>4236</v>
      </c>
      <c r="D2502" s="7">
        <v>99</v>
      </c>
      <c r="E2502" s="6" t="s">
        <v>6210</v>
      </c>
      <c r="F2502" s="6" t="s">
        <v>5631</v>
      </c>
      <c r="G2502" s="6" t="s">
        <v>5632</v>
      </c>
      <c r="H2502" s="8"/>
      <c r="I2502" s="8">
        <v>4954</v>
      </c>
      <c r="J2502" s="6"/>
      <c r="K2502" s="6" t="s">
        <v>1938</v>
      </c>
      <c r="L2502" s="6"/>
      <c r="M2502" s="6"/>
      <c r="N2502" s="6" t="s">
        <v>1938</v>
      </c>
      <c r="O2502" s="29">
        <f t="shared" si="57"/>
        <v>4954</v>
      </c>
      <c r="Q2502" s="30" t="s">
        <v>1938</v>
      </c>
      <c r="R2502" s="31">
        <v>4954</v>
      </c>
    </row>
    <row r="2503" s="1" customFormat="1" ht="16.35" hidden="1" customHeight="1" spans="1:18">
      <c r="A2503" s="6"/>
      <c r="B2503" s="6" t="s">
        <v>4123</v>
      </c>
      <c r="C2503" s="6" t="s">
        <v>4236</v>
      </c>
      <c r="D2503" s="7">
        <v>99</v>
      </c>
      <c r="E2503" s="6" t="s">
        <v>6211</v>
      </c>
      <c r="F2503" s="6" t="s">
        <v>5631</v>
      </c>
      <c r="G2503" s="6" t="s">
        <v>5632</v>
      </c>
      <c r="H2503" s="8"/>
      <c r="I2503" s="8">
        <v>5367</v>
      </c>
      <c r="J2503" s="6"/>
      <c r="K2503" s="6" t="s">
        <v>1938</v>
      </c>
      <c r="L2503" s="6"/>
      <c r="M2503" s="6"/>
      <c r="N2503" s="6" t="s">
        <v>1938</v>
      </c>
      <c r="O2503" s="29">
        <f t="shared" si="57"/>
        <v>5367</v>
      </c>
      <c r="Q2503" s="30" t="s">
        <v>1938</v>
      </c>
      <c r="R2503" s="31">
        <v>5367</v>
      </c>
    </row>
    <row r="2504" s="1" customFormat="1" ht="16.35" hidden="1" customHeight="1" spans="1:18">
      <c r="A2504" s="6"/>
      <c r="B2504" s="6" t="s">
        <v>4123</v>
      </c>
      <c r="C2504" s="6" t="s">
        <v>4236</v>
      </c>
      <c r="D2504" s="7">
        <v>99</v>
      </c>
      <c r="E2504" s="6" t="s">
        <v>6212</v>
      </c>
      <c r="F2504" s="6" t="s">
        <v>5631</v>
      </c>
      <c r="G2504" s="6" t="s">
        <v>5632</v>
      </c>
      <c r="H2504" s="8"/>
      <c r="I2504" s="8">
        <v>-413</v>
      </c>
      <c r="J2504" s="6"/>
      <c r="K2504" s="6" t="s">
        <v>1938</v>
      </c>
      <c r="L2504" s="6"/>
      <c r="M2504" s="6"/>
      <c r="N2504" s="6" t="s">
        <v>1938</v>
      </c>
      <c r="O2504" s="29">
        <f t="shared" si="57"/>
        <v>-413</v>
      </c>
      <c r="Q2504" s="30" t="s">
        <v>1938</v>
      </c>
      <c r="R2504" s="31">
        <v>-413</v>
      </c>
    </row>
    <row r="2505" s="1" customFormat="1" ht="16.35" hidden="1" customHeight="1" spans="1:18">
      <c r="A2505" s="6"/>
      <c r="B2505" s="6" t="s">
        <v>4123</v>
      </c>
      <c r="C2505" s="6" t="s">
        <v>4236</v>
      </c>
      <c r="D2505" s="7">
        <v>98</v>
      </c>
      <c r="E2505" s="6" t="s">
        <v>6213</v>
      </c>
      <c r="F2505" s="6" t="s">
        <v>5631</v>
      </c>
      <c r="G2505" s="6" t="s">
        <v>5632</v>
      </c>
      <c r="H2505" s="8"/>
      <c r="I2505" s="8">
        <v>238</v>
      </c>
      <c r="J2505" s="6"/>
      <c r="K2505" s="6" t="s">
        <v>1940</v>
      </c>
      <c r="L2505" s="6"/>
      <c r="M2505" s="6"/>
      <c r="N2505" s="6" t="s">
        <v>1940</v>
      </c>
      <c r="O2505" s="29">
        <f t="shared" si="57"/>
        <v>238</v>
      </c>
      <c r="Q2505" s="30" t="s">
        <v>1940</v>
      </c>
      <c r="R2505" s="31">
        <v>238</v>
      </c>
    </row>
    <row r="2506" s="1" customFormat="1" ht="16.35" hidden="1" customHeight="1" spans="1:18">
      <c r="A2506" s="6"/>
      <c r="B2506" s="6" t="s">
        <v>4123</v>
      </c>
      <c r="C2506" s="6" t="s">
        <v>4236</v>
      </c>
      <c r="D2506" s="7">
        <v>98</v>
      </c>
      <c r="E2506" s="6" t="s">
        <v>6214</v>
      </c>
      <c r="F2506" s="6" t="s">
        <v>5631</v>
      </c>
      <c r="G2506" s="6" t="s">
        <v>5632</v>
      </c>
      <c r="H2506" s="8"/>
      <c r="I2506" s="8">
        <v>476</v>
      </c>
      <c r="J2506" s="6"/>
      <c r="K2506" s="6" t="s">
        <v>1940</v>
      </c>
      <c r="L2506" s="6"/>
      <c r="M2506" s="6"/>
      <c r="N2506" s="6" t="s">
        <v>1940</v>
      </c>
      <c r="O2506" s="29">
        <f t="shared" si="57"/>
        <v>476</v>
      </c>
      <c r="Q2506" s="30" t="s">
        <v>1940</v>
      </c>
      <c r="R2506" s="31">
        <v>476</v>
      </c>
    </row>
    <row r="2507" s="1" customFormat="1" ht="16.35" hidden="1" customHeight="1" spans="1:18">
      <c r="A2507" s="6"/>
      <c r="B2507" s="6" t="s">
        <v>4123</v>
      </c>
      <c r="C2507" s="6" t="s">
        <v>4236</v>
      </c>
      <c r="D2507" s="7">
        <v>99</v>
      </c>
      <c r="E2507" s="6" t="s">
        <v>6215</v>
      </c>
      <c r="F2507" s="6" t="s">
        <v>5631</v>
      </c>
      <c r="G2507" s="6" t="s">
        <v>5632</v>
      </c>
      <c r="H2507" s="8"/>
      <c r="I2507" s="8">
        <v>4348</v>
      </c>
      <c r="J2507" s="6"/>
      <c r="K2507" s="6" t="s">
        <v>1940</v>
      </c>
      <c r="L2507" s="6"/>
      <c r="M2507" s="6"/>
      <c r="N2507" s="6" t="s">
        <v>1940</v>
      </c>
      <c r="O2507" s="29">
        <f t="shared" si="57"/>
        <v>4348</v>
      </c>
      <c r="Q2507" s="30" t="s">
        <v>1940</v>
      </c>
      <c r="R2507" s="31">
        <v>4348</v>
      </c>
    </row>
    <row r="2508" s="1" customFormat="1" ht="16.35" hidden="1" customHeight="1" spans="1:18">
      <c r="A2508" s="6"/>
      <c r="B2508" s="6" t="s">
        <v>4123</v>
      </c>
      <c r="C2508" s="6" t="s">
        <v>4236</v>
      </c>
      <c r="D2508" s="7">
        <v>99</v>
      </c>
      <c r="E2508" s="6" t="s">
        <v>6216</v>
      </c>
      <c r="F2508" s="6" t="s">
        <v>5631</v>
      </c>
      <c r="G2508" s="6" t="s">
        <v>5632</v>
      </c>
      <c r="H2508" s="8"/>
      <c r="I2508" s="8">
        <v>-413</v>
      </c>
      <c r="J2508" s="6"/>
      <c r="K2508" s="6" t="s">
        <v>1940</v>
      </c>
      <c r="L2508" s="6"/>
      <c r="M2508" s="6"/>
      <c r="N2508" s="6" t="s">
        <v>1940</v>
      </c>
      <c r="O2508" s="29">
        <f t="shared" si="57"/>
        <v>-413</v>
      </c>
      <c r="Q2508" s="30" t="s">
        <v>1940</v>
      </c>
      <c r="R2508" s="31">
        <v>-413</v>
      </c>
    </row>
    <row r="2509" s="1" customFormat="1" ht="16.35" hidden="1" customHeight="1" spans="1:18">
      <c r="A2509" s="6"/>
      <c r="B2509" s="6" t="s">
        <v>4123</v>
      </c>
      <c r="C2509" s="6" t="s">
        <v>4236</v>
      </c>
      <c r="D2509" s="7">
        <v>99</v>
      </c>
      <c r="E2509" s="6" t="s">
        <v>6217</v>
      </c>
      <c r="F2509" s="6" t="s">
        <v>5631</v>
      </c>
      <c r="G2509" s="6" t="s">
        <v>5632</v>
      </c>
      <c r="H2509" s="8"/>
      <c r="I2509" s="8">
        <v>1899</v>
      </c>
      <c r="J2509" s="6"/>
      <c r="K2509" s="6" t="s">
        <v>1940</v>
      </c>
      <c r="L2509" s="6"/>
      <c r="M2509" s="6"/>
      <c r="N2509" s="6" t="s">
        <v>1940</v>
      </c>
      <c r="O2509" s="29">
        <f t="shared" si="57"/>
        <v>1899</v>
      </c>
      <c r="Q2509" s="30" t="s">
        <v>1940</v>
      </c>
      <c r="R2509" s="31">
        <v>1899</v>
      </c>
    </row>
    <row r="2510" s="1" customFormat="1" ht="16.35" hidden="1" customHeight="1" spans="1:18">
      <c r="A2510" s="6"/>
      <c r="B2510" s="6" t="s">
        <v>4123</v>
      </c>
      <c r="C2510" s="6" t="s">
        <v>4236</v>
      </c>
      <c r="D2510" s="7">
        <v>99</v>
      </c>
      <c r="E2510" s="6" t="s">
        <v>6218</v>
      </c>
      <c r="F2510" s="6" t="s">
        <v>5631</v>
      </c>
      <c r="G2510" s="6" t="s">
        <v>5632</v>
      </c>
      <c r="H2510" s="8"/>
      <c r="I2510" s="8">
        <v>10734</v>
      </c>
      <c r="J2510" s="6"/>
      <c r="K2510" s="6" t="s">
        <v>1940</v>
      </c>
      <c r="L2510" s="6"/>
      <c r="M2510" s="6"/>
      <c r="N2510" s="6" t="s">
        <v>1940</v>
      </c>
      <c r="O2510" s="29">
        <f t="shared" si="57"/>
        <v>10734</v>
      </c>
      <c r="Q2510" s="30" t="s">
        <v>1940</v>
      </c>
      <c r="R2510" s="31">
        <v>10734</v>
      </c>
    </row>
    <row r="2511" s="1" customFormat="1" ht="16.35" hidden="1" customHeight="1" spans="1:18">
      <c r="A2511" s="6"/>
      <c r="B2511" s="6" t="s">
        <v>4123</v>
      </c>
      <c r="C2511" s="6" t="s">
        <v>4236</v>
      </c>
      <c r="D2511" s="7">
        <v>98</v>
      </c>
      <c r="E2511" s="6" t="s">
        <v>6219</v>
      </c>
      <c r="F2511" s="6" t="s">
        <v>5631</v>
      </c>
      <c r="G2511" s="6" t="s">
        <v>5632</v>
      </c>
      <c r="H2511" s="8"/>
      <c r="I2511" s="8">
        <v>238</v>
      </c>
      <c r="J2511" s="6"/>
      <c r="K2511" s="6" t="s">
        <v>1957</v>
      </c>
      <c r="L2511" s="6"/>
      <c r="M2511" s="6"/>
      <c r="N2511" s="6" t="s">
        <v>1957</v>
      </c>
      <c r="O2511" s="29">
        <f t="shared" si="57"/>
        <v>238</v>
      </c>
      <c r="Q2511" s="30" t="s">
        <v>1957</v>
      </c>
      <c r="R2511" s="31">
        <v>238</v>
      </c>
    </row>
    <row r="2512" s="1" customFormat="1" ht="16.35" hidden="1" customHeight="1" spans="1:18">
      <c r="A2512" s="6"/>
      <c r="B2512" s="6" t="s">
        <v>4123</v>
      </c>
      <c r="C2512" s="6" t="s">
        <v>4236</v>
      </c>
      <c r="D2512" s="7">
        <v>99</v>
      </c>
      <c r="E2512" s="6" t="s">
        <v>6220</v>
      </c>
      <c r="F2512" s="6" t="s">
        <v>5631</v>
      </c>
      <c r="G2512" s="6" t="s">
        <v>5632</v>
      </c>
      <c r="H2512" s="8"/>
      <c r="I2512" s="8">
        <v>4905</v>
      </c>
      <c r="J2512" s="6"/>
      <c r="K2512" s="6" t="s">
        <v>1957</v>
      </c>
      <c r="L2512" s="6"/>
      <c r="M2512" s="6"/>
      <c r="N2512" s="6" t="s">
        <v>1957</v>
      </c>
      <c r="O2512" s="29">
        <f t="shared" si="57"/>
        <v>4905</v>
      </c>
      <c r="Q2512" s="30" t="s">
        <v>1957</v>
      </c>
      <c r="R2512" s="31">
        <v>4905</v>
      </c>
    </row>
    <row r="2513" s="1" customFormat="1" ht="16.35" hidden="1" customHeight="1" spans="1:18">
      <c r="A2513" s="6"/>
      <c r="B2513" s="6" t="s">
        <v>4123</v>
      </c>
      <c r="C2513" s="6" t="s">
        <v>4236</v>
      </c>
      <c r="D2513" s="7">
        <v>99</v>
      </c>
      <c r="E2513" s="6" t="s">
        <v>6221</v>
      </c>
      <c r="F2513" s="6" t="s">
        <v>5631</v>
      </c>
      <c r="G2513" s="6" t="s">
        <v>5632</v>
      </c>
      <c r="H2513" s="8"/>
      <c r="I2513" s="8">
        <v>10817</v>
      </c>
      <c r="J2513" s="6"/>
      <c r="K2513" s="6" t="s">
        <v>1957</v>
      </c>
      <c r="L2513" s="6"/>
      <c r="M2513" s="6"/>
      <c r="N2513" s="6" t="s">
        <v>1957</v>
      </c>
      <c r="O2513" s="29">
        <f t="shared" si="57"/>
        <v>10817</v>
      </c>
      <c r="Q2513" s="30" t="s">
        <v>1957</v>
      </c>
      <c r="R2513" s="31">
        <v>10817</v>
      </c>
    </row>
    <row r="2514" s="1" customFormat="1" ht="16.35" hidden="1" customHeight="1" spans="1:18">
      <c r="A2514" s="6"/>
      <c r="B2514" s="6" t="s">
        <v>4123</v>
      </c>
      <c r="C2514" s="6" t="s">
        <v>4236</v>
      </c>
      <c r="D2514" s="7">
        <v>98</v>
      </c>
      <c r="E2514" s="6" t="s">
        <v>6222</v>
      </c>
      <c r="F2514" s="6" t="s">
        <v>5631</v>
      </c>
      <c r="G2514" s="6" t="s">
        <v>5632</v>
      </c>
      <c r="H2514" s="8"/>
      <c r="I2514" s="8">
        <v>5286</v>
      </c>
      <c r="J2514" s="6"/>
      <c r="K2514" s="6" t="s">
        <v>1961</v>
      </c>
      <c r="L2514" s="6"/>
      <c r="M2514" s="6"/>
      <c r="N2514" s="6" t="s">
        <v>1961</v>
      </c>
      <c r="O2514" s="29">
        <f t="shared" si="57"/>
        <v>5286</v>
      </c>
      <c r="Q2514" s="30" t="s">
        <v>1961</v>
      </c>
      <c r="R2514" s="31">
        <v>5286</v>
      </c>
    </row>
    <row r="2515" s="1" customFormat="1" ht="16.35" hidden="1" customHeight="1" spans="1:18">
      <c r="A2515" s="6"/>
      <c r="B2515" s="6" t="s">
        <v>4123</v>
      </c>
      <c r="C2515" s="6" t="s">
        <v>4236</v>
      </c>
      <c r="D2515" s="7">
        <v>99</v>
      </c>
      <c r="E2515" s="6" t="s">
        <v>6223</v>
      </c>
      <c r="F2515" s="6" t="s">
        <v>5631</v>
      </c>
      <c r="G2515" s="6" t="s">
        <v>5632</v>
      </c>
      <c r="H2515" s="8"/>
      <c r="I2515" s="8">
        <v>8257</v>
      </c>
      <c r="J2515" s="6"/>
      <c r="K2515" s="6" t="s">
        <v>1961</v>
      </c>
      <c r="L2515" s="6"/>
      <c r="M2515" s="6"/>
      <c r="N2515" s="6" t="s">
        <v>1961</v>
      </c>
      <c r="O2515" s="29">
        <f t="shared" si="57"/>
        <v>8257</v>
      </c>
      <c r="Q2515" s="30" t="s">
        <v>1961</v>
      </c>
      <c r="R2515" s="31">
        <v>8257</v>
      </c>
    </row>
    <row r="2516" s="1" customFormat="1" ht="16.35" hidden="1" customHeight="1" spans="1:18">
      <c r="A2516" s="6"/>
      <c r="B2516" s="6" t="s">
        <v>4123</v>
      </c>
      <c r="C2516" s="6" t="s">
        <v>4236</v>
      </c>
      <c r="D2516" s="7">
        <v>98</v>
      </c>
      <c r="E2516" s="6" t="s">
        <v>6224</v>
      </c>
      <c r="F2516" s="6" t="s">
        <v>5631</v>
      </c>
      <c r="G2516" s="6" t="s">
        <v>5632</v>
      </c>
      <c r="H2516" s="8"/>
      <c r="I2516" s="8">
        <v>238</v>
      </c>
      <c r="J2516" s="6"/>
      <c r="K2516" s="6" t="s">
        <v>1965</v>
      </c>
      <c r="L2516" s="6"/>
      <c r="M2516" s="6"/>
      <c r="N2516" s="6" t="s">
        <v>1965</v>
      </c>
      <c r="O2516" s="29">
        <f t="shared" si="57"/>
        <v>238</v>
      </c>
      <c r="Q2516" s="30" t="s">
        <v>1965</v>
      </c>
      <c r="R2516" s="31">
        <v>238</v>
      </c>
    </row>
    <row r="2517" s="1" customFormat="1" ht="16.35" hidden="1" customHeight="1" spans="1:18">
      <c r="A2517" s="6"/>
      <c r="B2517" s="6" t="s">
        <v>4123</v>
      </c>
      <c r="C2517" s="6" t="s">
        <v>4236</v>
      </c>
      <c r="D2517" s="7">
        <v>98</v>
      </c>
      <c r="E2517" s="6" t="s">
        <v>6225</v>
      </c>
      <c r="F2517" s="6" t="s">
        <v>5631</v>
      </c>
      <c r="G2517" s="6" t="s">
        <v>5632</v>
      </c>
      <c r="H2517" s="8"/>
      <c r="I2517" s="8">
        <v>5</v>
      </c>
      <c r="J2517" s="6"/>
      <c r="K2517" s="6" t="s">
        <v>1965</v>
      </c>
      <c r="L2517" s="6"/>
      <c r="M2517" s="6"/>
      <c r="N2517" s="6" t="s">
        <v>1965</v>
      </c>
      <c r="O2517" s="29">
        <f t="shared" si="57"/>
        <v>5</v>
      </c>
      <c r="Q2517" s="30" t="s">
        <v>1965</v>
      </c>
      <c r="R2517" s="31">
        <v>5</v>
      </c>
    </row>
    <row r="2518" s="1" customFormat="1" ht="16.35" hidden="1" customHeight="1" spans="1:18">
      <c r="A2518" s="6"/>
      <c r="B2518" s="6" t="s">
        <v>4123</v>
      </c>
      <c r="C2518" s="6" t="s">
        <v>4236</v>
      </c>
      <c r="D2518" s="7">
        <v>99</v>
      </c>
      <c r="E2518" s="6" t="s">
        <v>6226</v>
      </c>
      <c r="F2518" s="6" t="s">
        <v>5631</v>
      </c>
      <c r="G2518" s="6" t="s">
        <v>5632</v>
      </c>
      <c r="H2518" s="8"/>
      <c r="I2518" s="8">
        <v>9</v>
      </c>
      <c r="J2518" s="6"/>
      <c r="K2518" s="6" t="s">
        <v>1965</v>
      </c>
      <c r="L2518" s="6"/>
      <c r="M2518" s="6"/>
      <c r="N2518" s="6" t="s">
        <v>1965</v>
      </c>
      <c r="O2518" s="29">
        <f t="shared" si="57"/>
        <v>9</v>
      </c>
      <c r="Q2518" s="30" t="s">
        <v>1965</v>
      </c>
      <c r="R2518" s="31">
        <v>9</v>
      </c>
    </row>
    <row r="2519" s="1" customFormat="1" ht="16.35" hidden="1" customHeight="1" spans="1:18">
      <c r="A2519" s="6"/>
      <c r="B2519" s="6" t="s">
        <v>4123</v>
      </c>
      <c r="C2519" s="6" t="s">
        <v>4236</v>
      </c>
      <c r="D2519" s="7">
        <v>99</v>
      </c>
      <c r="E2519" s="6" t="s">
        <v>6227</v>
      </c>
      <c r="F2519" s="6" t="s">
        <v>5631</v>
      </c>
      <c r="G2519" s="6" t="s">
        <v>5632</v>
      </c>
      <c r="H2519" s="8"/>
      <c r="I2519" s="8">
        <v>5119</v>
      </c>
      <c r="J2519" s="6"/>
      <c r="K2519" s="6" t="s">
        <v>1965</v>
      </c>
      <c r="L2519" s="6"/>
      <c r="M2519" s="6"/>
      <c r="N2519" s="6" t="s">
        <v>1965</v>
      </c>
      <c r="O2519" s="29">
        <f t="shared" ref="O2519:O2582" si="58">I2519</f>
        <v>5119</v>
      </c>
      <c r="Q2519" s="30" t="s">
        <v>1965</v>
      </c>
      <c r="R2519" s="31">
        <v>5119</v>
      </c>
    </row>
    <row r="2520" s="1" customFormat="1" ht="16.35" hidden="1" customHeight="1" spans="1:18">
      <c r="A2520" s="6"/>
      <c r="B2520" s="6" t="s">
        <v>4123</v>
      </c>
      <c r="C2520" s="6" t="s">
        <v>4236</v>
      </c>
      <c r="D2520" s="7">
        <v>99</v>
      </c>
      <c r="E2520" s="6" t="s">
        <v>6228</v>
      </c>
      <c r="F2520" s="6" t="s">
        <v>5631</v>
      </c>
      <c r="G2520" s="6" t="s">
        <v>5632</v>
      </c>
      <c r="H2520" s="8"/>
      <c r="I2520" s="8">
        <v>12385</v>
      </c>
      <c r="J2520" s="6"/>
      <c r="K2520" s="6" t="s">
        <v>1965</v>
      </c>
      <c r="L2520" s="6"/>
      <c r="M2520" s="6"/>
      <c r="N2520" s="6" t="s">
        <v>1965</v>
      </c>
      <c r="O2520" s="29">
        <f t="shared" si="58"/>
        <v>12385</v>
      </c>
      <c r="Q2520" s="30" t="s">
        <v>1965</v>
      </c>
      <c r="R2520" s="31">
        <v>12385</v>
      </c>
    </row>
    <row r="2521" s="1" customFormat="1" ht="16.35" hidden="1" customHeight="1" spans="1:18">
      <c r="A2521" s="6"/>
      <c r="B2521" s="6" t="s">
        <v>4123</v>
      </c>
      <c r="C2521" s="6" t="s">
        <v>4236</v>
      </c>
      <c r="D2521" s="7">
        <v>98</v>
      </c>
      <c r="E2521" s="6" t="s">
        <v>6229</v>
      </c>
      <c r="F2521" s="6" t="s">
        <v>5631</v>
      </c>
      <c r="G2521" s="6" t="s">
        <v>5632</v>
      </c>
      <c r="H2521" s="8"/>
      <c r="I2521" s="8">
        <v>238</v>
      </c>
      <c r="J2521" s="6"/>
      <c r="K2521" s="6" t="s">
        <v>1972</v>
      </c>
      <c r="L2521" s="6"/>
      <c r="M2521" s="6"/>
      <c r="N2521" s="6" t="s">
        <v>1972</v>
      </c>
      <c r="O2521" s="29">
        <f t="shared" si="58"/>
        <v>238</v>
      </c>
      <c r="Q2521" s="30" t="s">
        <v>1972</v>
      </c>
      <c r="R2521" s="31">
        <v>238</v>
      </c>
    </row>
    <row r="2522" s="1" customFormat="1" ht="16.35" hidden="1" customHeight="1" spans="1:18">
      <c r="A2522" s="6"/>
      <c r="B2522" s="6" t="s">
        <v>4123</v>
      </c>
      <c r="C2522" s="6" t="s">
        <v>4236</v>
      </c>
      <c r="D2522" s="7">
        <v>99</v>
      </c>
      <c r="E2522" s="6" t="s">
        <v>6230</v>
      </c>
      <c r="F2522" s="6" t="s">
        <v>5631</v>
      </c>
      <c r="G2522" s="6" t="s">
        <v>5632</v>
      </c>
      <c r="H2522" s="8"/>
      <c r="I2522" s="8">
        <v>413</v>
      </c>
      <c r="J2522" s="6"/>
      <c r="K2522" s="6" t="s">
        <v>1972</v>
      </c>
      <c r="L2522" s="6"/>
      <c r="M2522" s="6"/>
      <c r="N2522" s="6" t="s">
        <v>1972</v>
      </c>
      <c r="O2522" s="29">
        <f t="shared" si="58"/>
        <v>413</v>
      </c>
      <c r="Q2522" s="30" t="s">
        <v>1972</v>
      </c>
      <c r="R2522" s="31">
        <v>413</v>
      </c>
    </row>
    <row r="2523" s="1" customFormat="1" ht="16.35" hidden="1" customHeight="1" spans="1:18">
      <c r="A2523" s="6"/>
      <c r="B2523" s="6" t="s">
        <v>4123</v>
      </c>
      <c r="C2523" s="6" t="s">
        <v>4236</v>
      </c>
      <c r="D2523" s="7">
        <v>99</v>
      </c>
      <c r="E2523" s="6" t="s">
        <v>6231</v>
      </c>
      <c r="F2523" s="6" t="s">
        <v>5631</v>
      </c>
      <c r="G2523" s="6" t="s">
        <v>5632</v>
      </c>
      <c r="H2523" s="8"/>
      <c r="I2523" s="8">
        <v>5367</v>
      </c>
      <c r="J2523" s="6"/>
      <c r="K2523" s="6" t="s">
        <v>1972</v>
      </c>
      <c r="L2523" s="6"/>
      <c r="M2523" s="6"/>
      <c r="N2523" s="6" t="s">
        <v>1972</v>
      </c>
      <c r="O2523" s="29">
        <f t="shared" si="58"/>
        <v>5367</v>
      </c>
      <c r="Q2523" s="30" t="s">
        <v>1972</v>
      </c>
      <c r="R2523" s="31">
        <v>5367</v>
      </c>
    </row>
    <row r="2524" s="1" customFormat="1" ht="16.35" hidden="1" customHeight="1" spans="1:18">
      <c r="A2524" s="6"/>
      <c r="B2524" s="6" t="s">
        <v>4123</v>
      </c>
      <c r="C2524" s="6" t="s">
        <v>4236</v>
      </c>
      <c r="D2524" s="7">
        <v>99</v>
      </c>
      <c r="E2524" s="6" t="s">
        <v>6232</v>
      </c>
      <c r="F2524" s="6" t="s">
        <v>5631</v>
      </c>
      <c r="G2524" s="6" t="s">
        <v>5632</v>
      </c>
      <c r="H2524" s="8"/>
      <c r="I2524" s="8">
        <v>33</v>
      </c>
      <c r="J2524" s="6"/>
      <c r="K2524" s="6" t="s">
        <v>1972</v>
      </c>
      <c r="L2524" s="6"/>
      <c r="M2524" s="6"/>
      <c r="N2524" s="6" t="s">
        <v>1972</v>
      </c>
      <c r="O2524" s="29">
        <f t="shared" si="58"/>
        <v>33</v>
      </c>
      <c r="Q2524" s="30" t="s">
        <v>1972</v>
      </c>
      <c r="R2524" s="31">
        <v>33</v>
      </c>
    </row>
    <row r="2525" s="1" customFormat="1" ht="16.35" hidden="1" customHeight="1" spans="1:18">
      <c r="A2525" s="6"/>
      <c r="B2525" s="6" t="s">
        <v>4123</v>
      </c>
      <c r="C2525" s="6" t="s">
        <v>4236</v>
      </c>
      <c r="D2525" s="7">
        <v>99</v>
      </c>
      <c r="E2525" s="6" t="s">
        <v>6233</v>
      </c>
      <c r="F2525" s="6" t="s">
        <v>5631</v>
      </c>
      <c r="G2525" s="6" t="s">
        <v>5632</v>
      </c>
      <c r="H2525" s="8"/>
      <c r="I2525" s="8">
        <v>9908</v>
      </c>
      <c r="J2525" s="6"/>
      <c r="K2525" s="6" t="s">
        <v>1972</v>
      </c>
      <c r="L2525" s="6"/>
      <c r="M2525" s="6"/>
      <c r="N2525" s="6" t="s">
        <v>1972</v>
      </c>
      <c r="O2525" s="29">
        <f t="shared" si="58"/>
        <v>9908</v>
      </c>
      <c r="Q2525" s="30" t="s">
        <v>1972</v>
      </c>
      <c r="R2525" s="31">
        <v>9908</v>
      </c>
    </row>
    <row r="2526" s="1" customFormat="1" ht="16.35" hidden="1" customHeight="1" spans="1:18">
      <c r="A2526" s="6"/>
      <c r="B2526" s="6" t="s">
        <v>4123</v>
      </c>
      <c r="C2526" s="6" t="s">
        <v>4236</v>
      </c>
      <c r="D2526" s="7">
        <v>98</v>
      </c>
      <c r="E2526" s="6" t="s">
        <v>6234</v>
      </c>
      <c r="F2526" s="6" t="s">
        <v>5631</v>
      </c>
      <c r="G2526" s="6" t="s">
        <v>5632</v>
      </c>
      <c r="H2526" s="8"/>
      <c r="I2526" s="8">
        <v>476</v>
      </c>
      <c r="J2526" s="6"/>
      <c r="K2526" s="6" t="s">
        <v>1990</v>
      </c>
      <c r="L2526" s="6"/>
      <c r="M2526" s="6"/>
      <c r="N2526" s="6" t="s">
        <v>1990</v>
      </c>
      <c r="O2526" s="29">
        <f t="shared" si="58"/>
        <v>476</v>
      </c>
      <c r="Q2526" s="30" t="s">
        <v>1990</v>
      </c>
      <c r="R2526" s="31">
        <v>476</v>
      </c>
    </row>
    <row r="2527" s="1" customFormat="1" ht="16.35" hidden="1" customHeight="1" spans="1:18">
      <c r="A2527" s="6"/>
      <c r="B2527" s="6" t="s">
        <v>4123</v>
      </c>
      <c r="C2527" s="6" t="s">
        <v>4236</v>
      </c>
      <c r="D2527" s="7">
        <v>99</v>
      </c>
      <c r="E2527" s="6" t="s">
        <v>6235</v>
      </c>
      <c r="F2527" s="6" t="s">
        <v>5631</v>
      </c>
      <c r="G2527" s="6" t="s">
        <v>5632</v>
      </c>
      <c r="H2527" s="8"/>
      <c r="I2527" s="8">
        <v>3138</v>
      </c>
      <c r="J2527" s="6"/>
      <c r="K2527" s="6" t="s">
        <v>1990</v>
      </c>
      <c r="L2527" s="6"/>
      <c r="M2527" s="6"/>
      <c r="N2527" s="6" t="s">
        <v>1990</v>
      </c>
      <c r="O2527" s="29">
        <f t="shared" si="58"/>
        <v>3138</v>
      </c>
      <c r="Q2527" s="30" t="s">
        <v>1990</v>
      </c>
      <c r="R2527" s="31">
        <v>3138</v>
      </c>
    </row>
    <row r="2528" s="1" customFormat="1" ht="16.35" hidden="1" customHeight="1" spans="1:18">
      <c r="A2528" s="6"/>
      <c r="B2528" s="6" t="s">
        <v>4123</v>
      </c>
      <c r="C2528" s="6" t="s">
        <v>4236</v>
      </c>
      <c r="D2528" s="7">
        <v>99</v>
      </c>
      <c r="E2528" s="6" t="s">
        <v>6236</v>
      </c>
      <c r="F2528" s="6" t="s">
        <v>5631</v>
      </c>
      <c r="G2528" s="6" t="s">
        <v>5632</v>
      </c>
      <c r="H2528" s="8"/>
      <c r="I2528" s="8">
        <v>578</v>
      </c>
      <c r="J2528" s="6"/>
      <c r="K2528" s="6" t="s">
        <v>1990</v>
      </c>
      <c r="L2528" s="6"/>
      <c r="M2528" s="6"/>
      <c r="N2528" s="6" t="s">
        <v>1990</v>
      </c>
      <c r="O2528" s="29">
        <f t="shared" si="58"/>
        <v>578</v>
      </c>
      <c r="Q2528" s="30" t="s">
        <v>1990</v>
      </c>
      <c r="R2528" s="31">
        <v>578</v>
      </c>
    </row>
    <row r="2529" s="1" customFormat="1" ht="16.35" hidden="1" customHeight="1" spans="1:18">
      <c r="A2529" s="6"/>
      <c r="B2529" s="6" t="s">
        <v>4123</v>
      </c>
      <c r="C2529" s="6" t="s">
        <v>4236</v>
      </c>
      <c r="D2529" s="7">
        <v>99</v>
      </c>
      <c r="E2529" s="6" t="s">
        <v>6237</v>
      </c>
      <c r="F2529" s="6" t="s">
        <v>5631</v>
      </c>
      <c r="G2529" s="6" t="s">
        <v>5632</v>
      </c>
      <c r="H2529" s="8"/>
      <c r="I2529" s="8">
        <v>696</v>
      </c>
      <c r="J2529" s="6"/>
      <c r="K2529" s="6" t="s">
        <v>1990</v>
      </c>
      <c r="L2529" s="6"/>
      <c r="M2529" s="6"/>
      <c r="N2529" s="6" t="s">
        <v>1990</v>
      </c>
      <c r="O2529" s="29">
        <f t="shared" si="58"/>
        <v>696</v>
      </c>
      <c r="Q2529" s="30" t="s">
        <v>1990</v>
      </c>
      <c r="R2529" s="31">
        <v>696</v>
      </c>
    </row>
    <row r="2530" s="1" customFormat="1" ht="16.35" hidden="1" customHeight="1" spans="1:18">
      <c r="A2530" s="6"/>
      <c r="B2530" s="6" t="s">
        <v>4123</v>
      </c>
      <c r="C2530" s="6" t="s">
        <v>4236</v>
      </c>
      <c r="D2530" s="7">
        <v>99</v>
      </c>
      <c r="E2530" s="6" t="s">
        <v>6238</v>
      </c>
      <c r="F2530" s="6" t="s">
        <v>5631</v>
      </c>
      <c r="G2530" s="6" t="s">
        <v>5632</v>
      </c>
      <c r="H2530" s="8"/>
      <c r="I2530" s="8">
        <v>11972</v>
      </c>
      <c r="J2530" s="6"/>
      <c r="K2530" s="6" t="s">
        <v>1990</v>
      </c>
      <c r="L2530" s="6"/>
      <c r="M2530" s="6"/>
      <c r="N2530" s="6" t="s">
        <v>1990</v>
      </c>
      <c r="O2530" s="29">
        <f t="shared" si="58"/>
        <v>11972</v>
      </c>
      <c r="Q2530" s="30" t="s">
        <v>1990</v>
      </c>
      <c r="R2530" s="31">
        <v>11972</v>
      </c>
    </row>
    <row r="2531" s="1" customFormat="1" ht="16.35" hidden="1" customHeight="1" spans="1:18">
      <c r="A2531" s="6"/>
      <c r="B2531" s="6" t="s">
        <v>4123</v>
      </c>
      <c r="C2531" s="6" t="s">
        <v>4236</v>
      </c>
      <c r="D2531" s="7">
        <v>99</v>
      </c>
      <c r="E2531" s="6" t="s">
        <v>6239</v>
      </c>
      <c r="F2531" s="6" t="s">
        <v>5631</v>
      </c>
      <c r="G2531" s="6" t="s">
        <v>5632</v>
      </c>
      <c r="H2531" s="8"/>
      <c r="I2531" s="8">
        <v>16514</v>
      </c>
      <c r="J2531" s="6"/>
      <c r="K2531" s="6" t="s">
        <v>2789</v>
      </c>
      <c r="L2531" s="6"/>
      <c r="M2531" s="6"/>
      <c r="N2531" s="6" t="s">
        <v>2789</v>
      </c>
      <c r="O2531" s="29">
        <f t="shared" si="58"/>
        <v>16514</v>
      </c>
      <c r="Q2531" s="30" t="s">
        <v>2789</v>
      </c>
      <c r="R2531" s="31">
        <v>16514</v>
      </c>
    </row>
    <row r="2532" s="1" customFormat="1" ht="16.35" hidden="1" customHeight="1" spans="1:18">
      <c r="A2532" s="6"/>
      <c r="B2532" s="6" t="s">
        <v>4123</v>
      </c>
      <c r="C2532" s="6" t="s">
        <v>4236</v>
      </c>
      <c r="D2532" s="7">
        <v>99</v>
      </c>
      <c r="E2532" s="6" t="s">
        <v>6240</v>
      </c>
      <c r="F2532" s="6" t="s">
        <v>5631</v>
      </c>
      <c r="G2532" s="6" t="s">
        <v>5632</v>
      </c>
      <c r="H2532" s="8"/>
      <c r="I2532" s="8">
        <v>413</v>
      </c>
      <c r="J2532" s="6"/>
      <c r="K2532" s="6" t="s">
        <v>2009</v>
      </c>
      <c r="L2532" s="6"/>
      <c r="M2532" s="6"/>
      <c r="N2532" s="6" t="s">
        <v>2009</v>
      </c>
      <c r="O2532" s="29">
        <f t="shared" si="58"/>
        <v>413</v>
      </c>
      <c r="Q2532" s="30" t="s">
        <v>2009</v>
      </c>
      <c r="R2532" s="31">
        <v>413</v>
      </c>
    </row>
    <row r="2533" s="1" customFormat="1" ht="16.35" hidden="1" customHeight="1" spans="1:18">
      <c r="A2533" s="6"/>
      <c r="B2533" s="6" t="s">
        <v>4123</v>
      </c>
      <c r="C2533" s="6" t="s">
        <v>4236</v>
      </c>
      <c r="D2533" s="7">
        <v>98</v>
      </c>
      <c r="E2533" s="6" t="s">
        <v>6241</v>
      </c>
      <c r="F2533" s="6" t="s">
        <v>5631</v>
      </c>
      <c r="G2533" s="6" t="s">
        <v>5632</v>
      </c>
      <c r="H2533" s="8"/>
      <c r="I2533" s="8">
        <v>238</v>
      </c>
      <c r="J2533" s="6"/>
      <c r="K2533" s="6" t="s">
        <v>2005</v>
      </c>
      <c r="L2533" s="6"/>
      <c r="M2533" s="6"/>
      <c r="N2533" s="6" t="s">
        <v>2005</v>
      </c>
      <c r="O2533" s="29">
        <f t="shared" si="58"/>
        <v>238</v>
      </c>
      <c r="Q2533" s="30" t="s">
        <v>2005</v>
      </c>
      <c r="R2533" s="31">
        <v>238</v>
      </c>
    </row>
    <row r="2534" s="1" customFormat="1" ht="16.35" hidden="1" customHeight="1" spans="1:18">
      <c r="A2534" s="6"/>
      <c r="B2534" s="6" t="s">
        <v>4123</v>
      </c>
      <c r="C2534" s="6" t="s">
        <v>4236</v>
      </c>
      <c r="D2534" s="7">
        <v>98</v>
      </c>
      <c r="E2534" s="6" t="s">
        <v>6242</v>
      </c>
      <c r="F2534" s="6" t="s">
        <v>5631</v>
      </c>
      <c r="G2534" s="6" t="s">
        <v>5632</v>
      </c>
      <c r="H2534" s="8"/>
      <c r="I2534" s="8">
        <v>476</v>
      </c>
      <c r="J2534" s="6"/>
      <c r="K2534" s="6" t="s">
        <v>2005</v>
      </c>
      <c r="L2534" s="6"/>
      <c r="M2534" s="6"/>
      <c r="N2534" s="6" t="s">
        <v>2005</v>
      </c>
      <c r="O2534" s="29">
        <f t="shared" si="58"/>
        <v>476</v>
      </c>
      <c r="Q2534" s="30" t="s">
        <v>2005</v>
      </c>
      <c r="R2534" s="31">
        <v>476</v>
      </c>
    </row>
    <row r="2535" s="1" customFormat="1" ht="16.35" hidden="1" customHeight="1" spans="1:18">
      <c r="A2535" s="6"/>
      <c r="B2535" s="6" t="s">
        <v>4123</v>
      </c>
      <c r="C2535" s="6" t="s">
        <v>4236</v>
      </c>
      <c r="D2535" s="7">
        <v>99</v>
      </c>
      <c r="E2535" s="6" t="s">
        <v>6243</v>
      </c>
      <c r="F2535" s="6" t="s">
        <v>5631</v>
      </c>
      <c r="G2535" s="6" t="s">
        <v>5632</v>
      </c>
      <c r="H2535" s="8"/>
      <c r="I2535" s="8">
        <v>4249</v>
      </c>
      <c r="J2535" s="6"/>
      <c r="K2535" s="6" t="s">
        <v>2005</v>
      </c>
      <c r="L2535" s="6"/>
      <c r="M2535" s="6"/>
      <c r="N2535" s="6" t="s">
        <v>2005</v>
      </c>
      <c r="O2535" s="29">
        <f t="shared" si="58"/>
        <v>4249</v>
      </c>
      <c r="Q2535" s="30" t="s">
        <v>2005</v>
      </c>
      <c r="R2535" s="31">
        <v>4249</v>
      </c>
    </row>
    <row r="2536" s="1" customFormat="1" ht="16.35" hidden="1" customHeight="1" spans="1:18">
      <c r="A2536" s="6"/>
      <c r="B2536" s="6" t="s">
        <v>4123</v>
      </c>
      <c r="C2536" s="6" t="s">
        <v>4236</v>
      </c>
      <c r="D2536" s="7">
        <v>99</v>
      </c>
      <c r="E2536" s="6" t="s">
        <v>6244</v>
      </c>
      <c r="F2536" s="6" t="s">
        <v>5631</v>
      </c>
      <c r="G2536" s="6" t="s">
        <v>5632</v>
      </c>
      <c r="H2536" s="8"/>
      <c r="I2536" s="8">
        <v>8257</v>
      </c>
      <c r="J2536" s="6"/>
      <c r="K2536" s="6" t="s">
        <v>2005</v>
      </c>
      <c r="L2536" s="6"/>
      <c r="M2536" s="6"/>
      <c r="N2536" s="6" t="s">
        <v>2005</v>
      </c>
      <c r="O2536" s="29">
        <f t="shared" si="58"/>
        <v>8257</v>
      </c>
      <c r="Q2536" s="30" t="s">
        <v>2005</v>
      </c>
      <c r="R2536" s="31">
        <v>8257</v>
      </c>
    </row>
    <row r="2537" s="1" customFormat="1" ht="16.35" hidden="1" customHeight="1" spans="1:18">
      <c r="A2537" s="6"/>
      <c r="B2537" s="6" t="s">
        <v>4123</v>
      </c>
      <c r="C2537" s="6" t="s">
        <v>4236</v>
      </c>
      <c r="D2537" s="7">
        <v>99</v>
      </c>
      <c r="E2537" s="6" t="s">
        <v>6245</v>
      </c>
      <c r="F2537" s="6" t="s">
        <v>5631</v>
      </c>
      <c r="G2537" s="6" t="s">
        <v>5632</v>
      </c>
      <c r="H2537" s="8"/>
      <c r="I2537" s="8">
        <v>65</v>
      </c>
      <c r="J2537" s="6"/>
      <c r="K2537" s="6" t="s">
        <v>2007</v>
      </c>
      <c r="L2537" s="6"/>
      <c r="M2537" s="6"/>
      <c r="N2537" s="6" t="s">
        <v>2007</v>
      </c>
      <c r="O2537" s="29">
        <f t="shared" si="58"/>
        <v>65</v>
      </c>
      <c r="Q2537" s="30" t="s">
        <v>2007</v>
      </c>
      <c r="R2537" s="31">
        <v>65</v>
      </c>
    </row>
    <row r="2538" s="1" customFormat="1" ht="16.35" hidden="1" customHeight="1" spans="1:18">
      <c r="A2538" s="6"/>
      <c r="B2538" s="6" t="s">
        <v>4123</v>
      </c>
      <c r="C2538" s="6" t="s">
        <v>4236</v>
      </c>
      <c r="D2538" s="7">
        <v>99</v>
      </c>
      <c r="E2538" s="6" t="s">
        <v>6246</v>
      </c>
      <c r="F2538" s="6" t="s">
        <v>5631</v>
      </c>
      <c r="G2538" s="6" t="s">
        <v>5632</v>
      </c>
      <c r="H2538" s="8"/>
      <c r="I2538" s="8">
        <v>826</v>
      </c>
      <c r="J2538" s="6"/>
      <c r="K2538" s="6" t="s">
        <v>2007</v>
      </c>
      <c r="L2538" s="6"/>
      <c r="M2538" s="6"/>
      <c r="N2538" s="6" t="s">
        <v>2007</v>
      </c>
      <c r="O2538" s="29">
        <f t="shared" si="58"/>
        <v>826</v>
      </c>
      <c r="Q2538" s="30" t="s">
        <v>2007</v>
      </c>
      <c r="R2538" s="31">
        <v>826</v>
      </c>
    </row>
    <row r="2539" s="1" customFormat="1" ht="16.35" hidden="1" customHeight="1" spans="1:18">
      <c r="A2539" s="6"/>
      <c r="B2539" s="6" t="s">
        <v>4123</v>
      </c>
      <c r="C2539" s="6" t="s">
        <v>4236</v>
      </c>
      <c r="D2539" s="7">
        <v>99</v>
      </c>
      <c r="E2539" s="6" t="s">
        <v>6247</v>
      </c>
      <c r="F2539" s="6" t="s">
        <v>5631</v>
      </c>
      <c r="G2539" s="6" t="s">
        <v>5632</v>
      </c>
      <c r="H2539" s="8"/>
      <c r="I2539" s="8">
        <v>4376</v>
      </c>
      <c r="J2539" s="6"/>
      <c r="K2539" s="6" t="s">
        <v>2007</v>
      </c>
      <c r="L2539" s="6"/>
      <c r="M2539" s="6"/>
      <c r="N2539" s="6" t="s">
        <v>2007</v>
      </c>
      <c r="O2539" s="29">
        <f t="shared" si="58"/>
        <v>4376</v>
      </c>
      <c r="Q2539" s="30" t="s">
        <v>2007</v>
      </c>
      <c r="R2539" s="31">
        <v>4376</v>
      </c>
    </row>
    <row r="2540" s="1" customFormat="1" ht="16.35" hidden="1" customHeight="1" spans="1:18">
      <c r="A2540" s="6"/>
      <c r="B2540" s="6" t="s">
        <v>4123</v>
      </c>
      <c r="C2540" s="6" t="s">
        <v>4236</v>
      </c>
      <c r="D2540" s="7">
        <v>99</v>
      </c>
      <c r="E2540" s="6" t="s">
        <v>6248</v>
      </c>
      <c r="F2540" s="6" t="s">
        <v>5631</v>
      </c>
      <c r="G2540" s="6" t="s">
        <v>5632</v>
      </c>
      <c r="H2540" s="8"/>
      <c r="I2540" s="8">
        <v>12798</v>
      </c>
      <c r="J2540" s="6"/>
      <c r="K2540" s="6" t="s">
        <v>2007</v>
      </c>
      <c r="L2540" s="6"/>
      <c r="M2540" s="6"/>
      <c r="N2540" s="6" t="s">
        <v>2007</v>
      </c>
      <c r="O2540" s="29">
        <f t="shared" si="58"/>
        <v>12798</v>
      </c>
      <c r="Q2540" s="30" t="s">
        <v>2007</v>
      </c>
      <c r="R2540" s="31">
        <v>12798</v>
      </c>
    </row>
    <row r="2541" s="1" customFormat="1" ht="16.35" hidden="1" customHeight="1" spans="1:18">
      <c r="A2541" s="6"/>
      <c r="B2541" s="6" t="s">
        <v>4123</v>
      </c>
      <c r="C2541" s="6" t="s">
        <v>4236</v>
      </c>
      <c r="D2541" s="7">
        <v>99</v>
      </c>
      <c r="E2541" s="6" t="s">
        <v>6249</v>
      </c>
      <c r="F2541" s="6" t="s">
        <v>5631</v>
      </c>
      <c r="G2541" s="6" t="s">
        <v>5632</v>
      </c>
      <c r="H2541" s="8"/>
      <c r="I2541" s="8">
        <v>5768</v>
      </c>
      <c r="J2541" s="6"/>
      <c r="K2541" s="6" t="s">
        <v>2019</v>
      </c>
      <c r="L2541" s="6"/>
      <c r="M2541" s="6"/>
      <c r="N2541" s="6" t="s">
        <v>2019</v>
      </c>
      <c r="O2541" s="29">
        <f t="shared" si="58"/>
        <v>5768</v>
      </c>
      <c r="Q2541" s="30" t="s">
        <v>2019</v>
      </c>
      <c r="R2541" s="31">
        <v>5768</v>
      </c>
    </row>
    <row r="2542" s="1" customFormat="1" ht="16.35" hidden="1" customHeight="1" spans="1:18">
      <c r="A2542" s="6"/>
      <c r="B2542" s="6" t="s">
        <v>4123</v>
      </c>
      <c r="C2542" s="6" t="s">
        <v>4236</v>
      </c>
      <c r="D2542" s="7">
        <v>99</v>
      </c>
      <c r="E2542" s="6" t="s">
        <v>6250</v>
      </c>
      <c r="F2542" s="6" t="s">
        <v>5631</v>
      </c>
      <c r="G2542" s="6" t="s">
        <v>5632</v>
      </c>
      <c r="H2542" s="8"/>
      <c r="I2542" s="8">
        <v>12385</v>
      </c>
      <c r="J2542" s="6"/>
      <c r="K2542" s="6" t="s">
        <v>2019</v>
      </c>
      <c r="L2542" s="6"/>
      <c r="M2542" s="6"/>
      <c r="N2542" s="6" t="s">
        <v>2019</v>
      </c>
      <c r="O2542" s="29">
        <f t="shared" si="58"/>
        <v>12385</v>
      </c>
      <c r="Q2542" s="30" t="s">
        <v>2019</v>
      </c>
      <c r="R2542" s="31">
        <v>12385</v>
      </c>
    </row>
    <row r="2543" s="1" customFormat="1" ht="16.35" hidden="1" customHeight="1" spans="1:18">
      <c r="A2543" s="6"/>
      <c r="B2543" s="6" t="s">
        <v>4123</v>
      </c>
      <c r="C2543" s="6" t="s">
        <v>4236</v>
      </c>
      <c r="D2543" s="7">
        <v>98</v>
      </c>
      <c r="E2543" s="6" t="s">
        <v>6251</v>
      </c>
      <c r="F2543" s="6" t="s">
        <v>5631</v>
      </c>
      <c r="G2543" s="6" t="s">
        <v>5632</v>
      </c>
      <c r="H2543" s="8"/>
      <c r="I2543" s="8">
        <v>5762</v>
      </c>
      <c r="J2543" s="6"/>
      <c r="K2543" s="6" t="s">
        <v>2035</v>
      </c>
      <c r="L2543" s="6"/>
      <c r="M2543" s="6"/>
      <c r="N2543" s="6" t="s">
        <v>2035</v>
      </c>
      <c r="O2543" s="29">
        <f t="shared" si="58"/>
        <v>5762</v>
      </c>
      <c r="Q2543" s="30" t="s">
        <v>2035</v>
      </c>
      <c r="R2543" s="31">
        <v>5762</v>
      </c>
    </row>
    <row r="2544" s="1" customFormat="1" ht="16.35" hidden="1" customHeight="1" spans="1:18">
      <c r="A2544" s="6"/>
      <c r="B2544" s="6" t="s">
        <v>4123</v>
      </c>
      <c r="C2544" s="6" t="s">
        <v>4236</v>
      </c>
      <c r="D2544" s="7">
        <v>99</v>
      </c>
      <c r="E2544" s="6" t="s">
        <v>6252</v>
      </c>
      <c r="F2544" s="6" t="s">
        <v>5631</v>
      </c>
      <c r="G2544" s="6" t="s">
        <v>5632</v>
      </c>
      <c r="H2544" s="8"/>
      <c r="I2544" s="8">
        <v>826</v>
      </c>
      <c r="J2544" s="6"/>
      <c r="K2544" s="6" t="s">
        <v>2039</v>
      </c>
      <c r="L2544" s="6"/>
      <c r="M2544" s="6"/>
      <c r="N2544" s="6" t="s">
        <v>2039</v>
      </c>
      <c r="O2544" s="29">
        <f t="shared" si="58"/>
        <v>826</v>
      </c>
      <c r="Q2544" s="30" t="s">
        <v>2039</v>
      </c>
      <c r="R2544" s="31">
        <v>826</v>
      </c>
    </row>
    <row r="2545" s="1" customFormat="1" ht="16.35" hidden="1" customHeight="1" spans="1:18">
      <c r="A2545" s="6"/>
      <c r="B2545" s="6" t="s">
        <v>4123</v>
      </c>
      <c r="C2545" s="6" t="s">
        <v>4236</v>
      </c>
      <c r="D2545" s="7">
        <v>99</v>
      </c>
      <c r="E2545" s="6" t="s">
        <v>6253</v>
      </c>
      <c r="F2545" s="6" t="s">
        <v>5631</v>
      </c>
      <c r="G2545" s="6" t="s">
        <v>5632</v>
      </c>
      <c r="H2545" s="8"/>
      <c r="I2545" s="8">
        <v>22541</v>
      </c>
      <c r="J2545" s="6"/>
      <c r="K2545" s="6" t="s">
        <v>2039</v>
      </c>
      <c r="L2545" s="6"/>
      <c r="M2545" s="6"/>
      <c r="N2545" s="6" t="s">
        <v>2039</v>
      </c>
      <c r="O2545" s="29">
        <f t="shared" si="58"/>
        <v>22541</v>
      </c>
      <c r="Q2545" s="30" t="s">
        <v>2039</v>
      </c>
      <c r="R2545" s="31">
        <v>22541</v>
      </c>
    </row>
    <row r="2546" s="1" customFormat="1" ht="16.35" hidden="1" customHeight="1" spans="1:18">
      <c r="A2546" s="6"/>
      <c r="B2546" s="6" t="s">
        <v>4123</v>
      </c>
      <c r="C2546" s="6" t="s">
        <v>4236</v>
      </c>
      <c r="D2546" s="7">
        <v>98</v>
      </c>
      <c r="E2546" s="6" t="s">
        <v>6254</v>
      </c>
      <c r="F2546" s="6" t="s">
        <v>5631</v>
      </c>
      <c r="G2546" s="6" t="s">
        <v>5632</v>
      </c>
      <c r="H2546" s="8"/>
      <c r="I2546" s="8">
        <v>238</v>
      </c>
      <c r="J2546" s="6"/>
      <c r="K2546" s="6" t="s">
        <v>2041</v>
      </c>
      <c r="L2546" s="6"/>
      <c r="M2546" s="6"/>
      <c r="N2546" s="6" t="s">
        <v>2041</v>
      </c>
      <c r="O2546" s="29">
        <f t="shared" si="58"/>
        <v>238</v>
      </c>
      <c r="Q2546" s="30" t="s">
        <v>2041</v>
      </c>
      <c r="R2546" s="31">
        <v>238</v>
      </c>
    </row>
    <row r="2547" s="1" customFormat="1" ht="16.35" hidden="1" customHeight="1" spans="1:18">
      <c r="A2547" s="6"/>
      <c r="B2547" s="6" t="s">
        <v>4123</v>
      </c>
      <c r="C2547" s="6" t="s">
        <v>4236</v>
      </c>
      <c r="D2547" s="7">
        <v>99</v>
      </c>
      <c r="E2547" s="6" t="s">
        <v>6255</v>
      </c>
      <c r="F2547" s="6" t="s">
        <v>5631</v>
      </c>
      <c r="G2547" s="6" t="s">
        <v>5632</v>
      </c>
      <c r="H2547" s="8"/>
      <c r="I2547" s="8">
        <v>413</v>
      </c>
      <c r="J2547" s="6"/>
      <c r="K2547" s="6" t="s">
        <v>2041</v>
      </c>
      <c r="L2547" s="6"/>
      <c r="M2547" s="6"/>
      <c r="N2547" s="6" t="s">
        <v>2041</v>
      </c>
      <c r="O2547" s="29">
        <f t="shared" si="58"/>
        <v>413</v>
      </c>
      <c r="Q2547" s="30" t="s">
        <v>2041</v>
      </c>
      <c r="R2547" s="31">
        <v>413</v>
      </c>
    </row>
    <row r="2548" s="1" customFormat="1" ht="16.35" hidden="1" customHeight="1" spans="1:18">
      <c r="A2548" s="6"/>
      <c r="B2548" s="6" t="s">
        <v>4123</v>
      </c>
      <c r="C2548" s="6" t="s">
        <v>4236</v>
      </c>
      <c r="D2548" s="7">
        <v>99</v>
      </c>
      <c r="E2548" s="6" t="s">
        <v>6256</v>
      </c>
      <c r="F2548" s="6" t="s">
        <v>5631</v>
      </c>
      <c r="G2548" s="6" t="s">
        <v>5632</v>
      </c>
      <c r="H2548" s="8"/>
      <c r="I2548" s="8">
        <v>4954</v>
      </c>
      <c r="J2548" s="6"/>
      <c r="K2548" s="6" t="s">
        <v>2041</v>
      </c>
      <c r="L2548" s="6"/>
      <c r="M2548" s="6"/>
      <c r="N2548" s="6" t="s">
        <v>2041</v>
      </c>
      <c r="O2548" s="29">
        <f t="shared" si="58"/>
        <v>4954</v>
      </c>
      <c r="Q2548" s="30" t="s">
        <v>2041</v>
      </c>
      <c r="R2548" s="31">
        <v>4954</v>
      </c>
    </row>
    <row r="2549" s="1" customFormat="1" ht="16.35" hidden="1" customHeight="1" spans="1:18">
      <c r="A2549" s="6"/>
      <c r="B2549" s="6" t="s">
        <v>4123</v>
      </c>
      <c r="C2549" s="6" t="s">
        <v>4236</v>
      </c>
      <c r="D2549" s="7">
        <v>99</v>
      </c>
      <c r="E2549" s="6" t="s">
        <v>6257</v>
      </c>
      <c r="F2549" s="6" t="s">
        <v>5631</v>
      </c>
      <c r="G2549" s="6" t="s">
        <v>5632</v>
      </c>
      <c r="H2549" s="8"/>
      <c r="I2549" s="8">
        <v>4954</v>
      </c>
      <c r="J2549" s="6"/>
      <c r="K2549" s="6" t="s">
        <v>2041</v>
      </c>
      <c r="L2549" s="6"/>
      <c r="M2549" s="6"/>
      <c r="N2549" s="6" t="s">
        <v>2041</v>
      </c>
      <c r="O2549" s="29">
        <f t="shared" si="58"/>
        <v>4954</v>
      </c>
      <c r="Q2549" s="30" t="s">
        <v>2041</v>
      </c>
      <c r="R2549" s="31">
        <v>4954</v>
      </c>
    </row>
    <row r="2550" s="1" customFormat="1" ht="16.35" hidden="1" customHeight="1" spans="1:18">
      <c r="A2550" s="6"/>
      <c r="B2550" s="6" t="s">
        <v>4123</v>
      </c>
      <c r="C2550" s="6" t="s">
        <v>4236</v>
      </c>
      <c r="D2550" s="7">
        <v>98</v>
      </c>
      <c r="E2550" s="6" t="s">
        <v>6258</v>
      </c>
      <c r="F2550" s="6" t="s">
        <v>5631</v>
      </c>
      <c r="G2550" s="6" t="s">
        <v>5632</v>
      </c>
      <c r="H2550" s="8"/>
      <c r="I2550" s="8">
        <v>2547</v>
      </c>
      <c r="J2550" s="6"/>
      <c r="K2550" s="6" t="s">
        <v>2047</v>
      </c>
      <c r="L2550" s="6"/>
      <c r="M2550" s="6"/>
      <c r="N2550" s="6" t="s">
        <v>2047</v>
      </c>
      <c r="O2550" s="29">
        <f t="shared" si="58"/>
        <v>2547</v>
      </c>
      <c r="Q2550" s="30" t="s">
        <v>2047</v>
      </c>
      <c r="R2550" s="31">
        <v>2547</v>
      </c>
    </row>
    <row r="2551" s="1" customFormat="1" ht="16.35" hidden="1" customHeight="1" spans="1:18">
      <c r="A2551" s="6"/>
      <c r="B2551" s="6" t="s">
        <v>4123</v>
      </c>
      <c r="C2551" s="6" t="s">
        <v>4236</v>
      </c>
      <c r="D2551" s="7">
        <v>99</v>
      </c>
      <c r="E2551" s="6" t="s">
        <v>6259</v>
      </c>
      <c r="F2551" s="6" t="s">
        <v>5631</v>
      </c>
      <c r="G2551" s="6" t="s">
        <v>5632</v>
      </c>
      <c r="H2551" s="8"/>
      <c r="I2551" s="8">
        <v>5780</v>
      </c>
      <c r="J2551" s="6"/>
      <c r="K2551" s="6" t="s">
        <v>2047</v>
      </c>
      <c r="L2551" s="6"/>
      <c r="M2551" s="6"/>
      <c r="N2551" s="6" t="s">
        <v>2047</v>
      </c>
      <c r="O2551" s="29">
        <f t="shared" si="58"/>
        <v>5780</v>
      </c>
      <c r="Q2551" s="30" t="s">
        <v>2047</v>
      </c>
      <c r="R2551" s="31">
        <v>5780</v>
      </c>
    </row>
    <row r="2552" s="1" customFormat="1" ht="16.35" hidden="1" customHeight="1" spans="1:18">
      <c r="A2552" s="6"/>
      <c r="B2552" s="6" t="s">
        <v>4123</v>
      </c>
      <c r="C2552" s="6" t="s">
        <v>4236</v>
      </c>
      <c r="D2552" s="7">
        <v>99</v>
      </c>
      <c r="E2552" s="6" t="s">
        <v>6260</v>
      </c>
      <c r="F2552" s="6" t="s">
        <v>5631</v>
      </c>
      <c r="G2552" s="6" t="s">
        <v>5632</v>
      </c>
      <c r="H2552" s="8"/>
      <c r="I2552" s="8">
        <v>23367</v>
      </c>
      <c r="J2552" s="6"/>
      <c r="K2552" s="6" t="s">
        <v>2069</v>
      </c>
      <c r="L2552" s="6"/>
      <c r="M2552" s="6"/>
      <c r="N2552" s="6" t="s">
        <v>2069</v>
      </c>
      <c r="O2552" s="29">
        <f t="shared" si="58"/>
        <v>23367</v>
      </c>
      <c r="Q2552" s="30" t="s">
        <v>2069</v>
      </c>
      <c r="R2552" s="31">
        <v>23367</v>
      </c>
    </row>
    <row r="2553" s="1" customFormat="1" ht="16.35" hidden="1" customHeight="1" spans="1:18">
      <c r="A2553" s="6"/>
      <c r="B2553" s="6" t="s">
        <v>4123</v>
      </c>
      <c r="C2553" s="6" t="s">
        <v>4236</v>
      </c>
      <c r="D2553" s="7">
        <v>99</v>
      </c>
      <c r="E2553" s="6" t="s">
        <v>6261</v>
      </c>
      <c r="F2553" s="6" t="s">
        <v>5631</v>
      </c>
      <c r="G2553" s="6" t="s">
        <v>5632</v>
      </c>
      <c r="H2553" s="8"/>
      <c r="I2553" s="8">
        <v>165</v>
      </c>
      <c r="J2553" s="6"/>
      <c r="K2553" s="6" t="s">
        <v>2085</v>
      </c>
      <c r="L2553" s="6"/>
      <c r="M2553" s="6"/>
      <c r="N2553" s="6" t="s">
        <v>2085</v>
      </c>
      <c r="O2553" s="29">
        <f t="shared" si="58"/>
        <v>165</v>
      </c>
      <c r="Q2553" s="30" t="s">
        <v>2085</v>
      </c>
      <c r="R2553" s="31">
        <v>165</v>
      </c>
    </row>
    <row r="2554" s="1" customFormat="1" ht="16.35" hidden="1" customHeight="1" spans="1:18">
      <c r="A2554" s="6"/>
      <c r="B2554" s="6" t="s">
        <v>4123</v>
      </c>
      <c r="C2554" s="6" t="s">
        <v>4236</v>
      </c>
      <c r="D2554" s="7">
        <v>99</v>
      </c>
      <c r="E2554" s="6" t="s">
        <v>6262</v>
      </c>
      <c r="F2554" s="6" t="s">
        <v>5631</v>
      </c>
      <c r="G2554" s="6" t="s">
        <v>5632</v>
      </c>
      <c r="H2554" s="8"/>
      <c r="I2554" s="8">
        <v>5367</v>
      </c>
      <c r="J2554" s="6"/>
      <c r="K2554" s="6" t="s">
        <v>2085</v>
      </c>
      <c r="L2554" s="6"/>
      <c r="M2554" s="6"/>
      <c r="N2554" s="6" t="s">
        <v>2085</v>
      </c>
      <c r="O2554" s="29">
        <f t="shared" si="58"/>
        <v>5367</v>
      </c>
      <c r="Q2554" s="30" t="s">
        <v>2085</v>
      </c>
      <c r="R2554" s="31">
        <v>5367</v>
      </c>
    </row>
    <row r="2555" s="1" customFormat="1" ht="16.35" hidden="1" customHeight="1" spans="1:18">
      <c r="A2555" s="6"/>
      <c r="B2555" s="6" t="s">
        <v>4123</v>
      </c>
      <c r="C2555" s="6" t="s">
        <v>4236</v>
      </c>
      <c r="D2555" s="7">
        <v>99</v>
      </c>
      <c r="E2555" s="6" t="s">
        <v>6263</v>
      </c>
      <c r="F2555" s="6" t="s">
        <v>5631</v>
      </c>
      <c r="G2555" s="6" t="s">
        <v>5632</v>
      </c>
      <c r="H2555" s="8"/>
      <c r="I2555" s="8">
        <v>11972</v>
      </c>
      <c r="J2555" s="6"/>
      <c r="K2555" s="6" t="s">
        <v>2085</v>
      </c>
      <c r="L2555" s="6"/>
      <c r="M2555" s="6"/>
      <c r="N2555" s="6" t="s">
        <v>2085</v>
      </c>
      <c r="O2555" s="29">
        <f t="shared" si="58"/>
        <v>11972</v>
      </c>
      <c r="Q2555" s="30" t="s">
        <v>2085</v>
      </c>
      <c r="R2555" s="31">
        <v>11972</v>
      </c>
    </row>
    <row r="2556" s="1" customFormat="1" ht="16.35" hidden="1" customHeight="1" spans="1:18">
      <c r="A2556" s="6"/>
      <c r="B2556" s="6" t="s">
        <v>4123</v>
      </c>
      <c r="C2556" s="6" t="s">
        <v>4236</v>
      </c>
      <c r="D2556" s="7">
        <v>99</v>
      </c>
      <c r="E2556" s="6" t="s">
        <v>6264</v>
      </c>
      <c r="F2556" s="6" t="s">
        <v>5631</v>
      </c>
      <c r="G2556" s="6" t="s">
        <v>5632</v>
      </c>
      <c r="H2556" s="8"/>
      <c r="I2556" s="8">
        <v>11147</v>
      </c>
      <c r="J2556" s="6"/>
      <c r="K2556" s="6" t="s">
        <v>2774</v>
      </c>
      <c r="L2556" s="6"/>
      <c r="M2556" s="6"/>
      <c r="N2556" s="6" t="s">
        <v>2774</v>
      </c>
      <c r="O2556" s="29">
        <f t="shared" si="58"/>
        <v>11147</v>
      </c>
      <c r="Q2556" s="30" t="s">
        <v>2774</v>
      </c>
      <c r="R2556" s="31">
        <v>11147</v>
      </c>
    </row>
    <row r="2557" s="1" customFormat="1" ht="16.35" hidden="1" customHeight="1" spans="1:18">
      <c r="A2557" s="6"/>
      <c r="B2557" s="6" t="s">
        <v>4123</v>
      </c>
      <c r="C2557" s="6" t="s">
        <v>4236</v>
      </c>
      <c r="D2557" s="7">
        <v>99</v>
      </c>
      <c r="E2557" s="6" t="s">
        <v>6265</v>
      </c>
      <c r="F2557" s="6" t="s">
        <v>5631</v>
      </c>
      <c r="G2557" s="6" t="s">
        <v>5632</v>
      </c>
      <c r="H2557" s="8"/>
      <c r="I2557" s="8">
        <v>826</v>
      </c>
      <c r="J2557" s="6"/>
      <c r="K2557" s="6" t="s">
        <v>2774</v>
      </c>
      <c r="L2557" s="6"/>
      <c r="M2557" s="6"/>
      <c r="N2557" s="6" t="s">
        <v>2774</v>
      </c>
      <c r="O2557" s="29">
        <f t="shared" si="58"/>
        <v>826</v>
      </c>
      <c r="Q2557" s="30" t="s">
        <v>2774</v>
      </c>
      <c r="R2557" s="31">
        <v>826</v>
      </c>
    </row>
    <row r="2558" s="1" customFormat="1" ht="16.35" hidden="1" customHeight="1" spans="1:18">
      <c r="A2558" s="6"/>
      <c r="B2558" s="6" t="s">
        <v>4123</v>
      </c>
      <c r="C2558" s="6" t="s">
        <v>4236</v>
      </c>
      <c r="D2558" s="7">
        <v>99</v>
      </c>
      <c r="E2558" s="6" t="s">
        <v>6266</v>
      </c>
      <c r="F2558" s="6" t="s">
        <v>5631</v>
      </c>
      <c r="G2558" s="6" t="s">
        <v>5632</v>
      </c>
      <c r="H2558" s="8"/>
      <c r="I2558" s="8">
        <v>4545</v>
      </c>
      <c r="J2558" s="6"/>
      <c r="K2558" s="6" t="s">
        <v>2774</v>
      </c>
      <c r="L2558" s="6"/>
      <c r="M2558" s="6"/>
      <c r="N2558" s="6" t="s">
        <v>2774</v>
      </c>
      <c r="O2558" s="29">
        <f t="shared" si="58"/>
        <v>4545</v>
      </c>
      <c r="Q2558" s="30" t="s">
        <v>2774</v>
      </c>
      <c r="R2558" s="31">
        <v>4545</v>
      </c>
    </row>
    <row r="2559" s="1" customFormat="1" ht="16.35" hidden="1" customHeight="1" spans="1:18">
      <c r="A2559" s="6"/>
      <c r="B2559" s="6" t="s">
        <v>4123</v>
      </c>
      <c r="C2559" s="6" t="s">
        <v>4236</v>
      </c>
      <c r="D2559" s="7">
        <v>99</v>
      </c>
      <c r="E2559" s="6" t="s">
        <v>6267</v>
      </c>
      <c r="F2559" s="6" t="s">
        <v>5631</v>
      </c>
      <c r="G2559" s="6" t="s">
        <v>5632</v>
      </c>
      <c r="H2559" s="8"/>
      <c r="I2559" s="8">
        <v>6110</v>
      </c>
      <c r="J2559" s="6"/>
      <c r="K2559" s="6" t="s">
        <v>2774</v>
      </c>
      <c r="L2559" s="6"/>
      <c r="M2559" s="6"/>
      <c r="N2559" s="6" t="s">
        <v>2774</v>
      </c>
      <c r="O2559" s="29">
        <f t="shared" si="58"/>
        <v>6110</v>
      </c>
      <c r="Q2559" s="30" t="s">
        <v>2774</v>
      </c>
      <c r="R2559" s="31">
        <v>6110</v>
      </c>
    </row>
    <row r="2560" s="1" customFormat="1" ht="16.35" hidden="1" customHeight="1" spans="1:18">
      <c r="A2560" s="6"/>
      <c r="B2560" s="6" t="s">
        <v>4123</v>
      </c>
      <c r="C2560" s="6" t="s">
        <v>4236</v>
      </c>
      <c r="D2560" s="7">
        <v>98</v>
      </c>
      <c r="E2560" s="6" t="s">
        <v>6268</v>
      </c>
      <c r="F2560" s="6" t="s">
        <v>5631</v>
      </c>
      <c r="G2560" s="6" t="s">
        <v>5632</v>
      </c>
      <c r="H2560" s="8"/>
      <c r="I2560" s="8">
        <v>476</v>
      </c>
      <c r="J2560" s="6"/>
      <c r="K2560" s="6" t="s">
        <v>2813</v>
      </c>
      <c r="L2560" s="6"/>
      <c r="M2560" s="6"/>
      <c r="N2560" s="6" t="s">
        <v>2813</v>
      </c>
      <c r="O2560" s="29">
        <f t="shared" si="58"/>
        <v>476</v>
      </c>
      <c r="Q2560" s="30" t="s">
        <v>2813</v>
      </c>
      <c r="R2560" s="31">
        <v>476</v>
      </c>
    </row>
    <row r="2561" s="1" customFormat="1" ht="16.35" hidden="1" customHeight="1" spans="1:18">
      <c r="A2561" s="6"/>
      <c r="B2561" s="6" t="s">
        <v>4123</v>
      </c>
      <c r="C2561" s="6" t="s">
        <v>4236</v>
      </c>
      <c r="D2561" s="7">
        <v>99</v>
      </c>
      <c r="E2561" s="6" t="s">
        <v>6269</v>
      </c>
      <c r="F2561" s="6" t="s">
        <v>5631</v>
      </c>
      <c r="G2561" s="6" t="s">
        <v>5632</v>
      </c>
      <c r="H2561" s="8"/>
      <c r="I2561" s="8">
        <v>1651</v>
      </c>
      <c r="J2561" s="6"/>
      <c r="K2561" s="6" t="s">
        <v>2791</v>
      </c>
      <c r="L2561" s="6"/>
      <c r="M2561" s="6"/>
      <c r="N2561" s="6" t="s">
        <v>2791</v>
      </c>
      <c r="O2561" s="29">
        <f t="shared" si="58"/>
        <v>1651</v>
      </c>
      <c r="Q2561" s="30" t="s">
        <v>2791</v>
      </c>
      <c r="R2561" s="31">
        <v>1651</v>
      </c>
    </row>
    <row r="2562" s="1" customFormat="1" ht="16.35" hidden="1" customHeight="1" spans="1:18">
      <c r="A2562" s="6"/>
      <c r="B2562" s="6" t="s">
        <v>4123</v>
      </c>
      <c r="C2562" s="6" t="s">
        <v>4236</v>
      </c>
      <c r="D2562" s="7">
        <v>99</v>
      </c>
      <c r="E2562" s="6" t="s">
        <v>6270</v>
      </c>
      <c r="F2562" s="6" t="s">
        <v>5631</v>
      </c>
      <c r="G2562" s="6" t="s">
        <v>5632</v>
      </c>
      <c r="H2562" s="8"/>
      <c r="I2562" s="8">
        <v>9702</v>
      </c>
      <c r="J2562" s="6"/>
      <c r="K2562" s="6" t="s">
        <v>2791</v>
      </c>
      <c r="L2562" s="6"/>
      <c r="M2562" s="6"/>
      <c r="N2562" s="6" t="s">
        <v>2791</v>
      </c>
      <c r="O2562" s="29">
        <f t="shared" si="58"/>
        <v>9702</v>
      </c>
      <c r="Q2562" s="30" t="s">
        <v>2791</v>
      </c>
      <c r="R2562" s="31">
        <v>9702</v>
      </c>
    </row>
    <row r="2563" s="1" customFormat="1" ht="16.35" hidden="1" customHeight="1" spans="1:18">
      <c r="A2563" s="6"/>
      <c r="B2563" s="6" t="s">
        <v>4123</v>
      </c>
      <c r="C2563" s="6" t="s">
        <v>4236</v>
      </c>
      <c r="D2563" s="7">
        <v>99</v>
      </c>
      <c r="E2563" s="6" t="s">
        <v>6271</v>
      </c>
      <c r="F2563" s="6" t="s">
        <v>5631</v>
      </c>
      <c r="G2563" s="6" t="s">
        <v>5632</v>
      </c>
      <c r="H2563" s="8"/>
      <c r="I2563" s="8">
        <v>11560</v>
      </c>
      <c r="J2563" s="6"/>
      <c r="K2563" s="6" t="s">
        <v>2797</v>
      </c>
      <c r="L2563" s="6"/>
      <c r="M2563" s="6"/>
      <c r="N2563" s="6" t="s">
        <v>2797</v>
      </c>
      <c r="O2563" s="29">
        <f t="shared" si="58"/>
        <v>11560</v>
      </c>
      <c r="Q2563" s="30" t="s">
        <v>2797</v>
      </c>
      <c r="R2563" s="31">
        <v>11560</v>
      </c>
    </row>
    <row r="2564" s="1" customFormat="1" ht="16.35" hidden="1" customHeight="1" spans="1:18">
      <c r="A2564" s="6"/>
      <c r="B2564" s="6" t="s">
        <v>4123</v>
      </c>
      <c r="C2564" s="6" t="s">
        <v>4236</v>
      </c>
      <c r="D2564" s="7">
        <v>98</v>
      </c>
      <c r="E2564" s="6" t="s">
        <v>6272</v>
      </c>
      <c r="F2564" s="6" t="s">
        <v>5631</v>
      </c>
      <c r="G2564" s="6" t="s">
        <v>5632</v>
      </c>
      <c r="H2564" s="8"/>
      <c r="I2564" s="8">
        <v>4286</v>
      </c>
      <c r="J2564" s="6"/>
      <c r="K2564" s="6" t="s">
        <v>2818</v>
      </c>
      <c r="L2564" s="6"/>
      <c r="M2564" s="6"/>
      <c r="N2564" s="6" t="s">
        <v>2818</v>
      </c>
      <c r="O2564" s="29">
        <f t="shared" si="58"/>
        <v>4286</v>
      </c>
      <c r="Q2564" s="30" t="s">
        <v>2818</v>
      </c>
      <c r="R2564" s="31">
        <v>4286</v>
      </c>
    </row>
    <row r="2565" s="1" customFormat="1" ht="16.35" hidden="1" customHeight="1" spans="1:18">
      <c r="A2565" s="6"/>
      <c r="B2565" s="6" t="s">
        <v>4123</v>
      </c>
      <c r="C2565" s="6" t="s">
        <v>4236</v>
      </c>
      <c r="D2565" s="7">
        <v>98</v>
      </c>
      <c r="E2565" s="6" t="s">
        <v>6273</v>
      </c>
      <c r="F2565" s="6" t="s">
        <v>5631</v>
      </c>
      <c r="G2565" s="6" t="s">
        <v>5632</v>
      </c>
      <c r="H2565" s="8"/>
      <c r="I2565" s="8">
        <v>188</v>
      </c>
      <c r="J2565" s="6"/>
      <c r="K2565" s="6" t="s">
        <v>2818</v>
      </c>
      <c r="L2565" s="6"/>
      <c r="M2565" s="6"/>
      <c r="N2565" s="6" t="s">
        <v>2818</v>
      </c>
      <c r="O2565" s="29">
        <f t="shared" si="58"/>
        <v>188</v>
      </c>
      <c r="Q2565" s="30" t="s">
        <v>2818</v>
      </c>
      <c r="R2565" s="31">
        <v>188</v>
      </c>
    </row>
    <row r="2566" s="1" customFormat="1" ht="16.35" hidden="1" customHeight="1" spans="1:18">
      <c r="A2566" s="6"/>
      <c r="B2566" s="6" t="s">
        <v>4123</v>
      </c>
      <c r="C2566" s="6" t="s">
        <v>4236</v>
      </c>
      <c r="D2566" s="7">
        <v>98</v>
      </c>
      <c r="E2566" s="6" t="s">
        <v>6274</v>
      </c>
      <c r="F2566" s="6" t="s">
        <v>5631</v>
      </c>
      <c r="G2566" s="6" t="s">
        <v>5632</v>
      </c>
      <c r="H2566" s="8"/>
      <c r="I2566" s="8">
        <v>2381</v>
      </c>
      <c r="J2566" s="6"/>
      <c r="K2566" s="6" t="s">
        <v>2818</v>
      </c>
      <c r="L2566" s="6"/>
      <c r="M2566" s="6"/>
      <c r="N2566" s="6" t="s">
        <v>2818</v>
      </c>
      <c r="O2566" s="29">
        <f t="shared" si="58"/>
        <v>2381</v>
      </c>
      <c r="Q2566" s="30" t="s">
        <v>2818</v>
      </c>
      <c r="R2566" s="31">
        <v>2381</v>
      </c>
    </row>
    <row r="2567" s="1" customFormat="1" ht="16.35" hidden="1" customHeight="1" spans="1:18">
      <c r="A2567" s="6"/>
      <c r="B2567" s="6" t="s">
        <v>4123</v>
      </c>
      <c r="C2567" s="6" t="s">
        <v>4236</v>
      </c>
      <c r="D2567" s="7">
        <v>99</v>
      </c>
      <c r="E2567" s="6" t="s">
        <v>6275</v>
      </c>
      <c r="F2567" s="6" t="s">
        <v>5631</v>
      </c>
      <c r="G2567" s="6" t="s">
        <v>5632</v>
      </c>
      <c r="H2567" s="8"/>
      <c r="I2567" s="8">
        <v>12385</v>
      </c>
      <c r="J2567" s="6"/>
      <c r="K2567" s="6" t="s">
        <v>2818</v>
      </c>
      <c r="L2567" s="6"/>
      <c r="M2567" s="6"/>
      <c r="N2567" s="6" t="s">
        <v>2818</v>
      </c>
      <c r="O2567" s="29">
        <f t="shared" si="58"/>
        <v>12385</v>
      </c>
      <c r="Q2567" s="30" t="s">
        <v>2818</v>
      </c>
      <c r="R2567" s="31">
        <v>12385</v>
      </c>
    </row>
    <row r="2568" s="1" customFormat="1" ht="16.35" hidden="1" customHeight="1" spans="1:18">
      <c r="A2568" s="6"/>
      <c r="B2568" s="6" t="s">
        <v>4123</v>
      </c>
      <c r="C2568" s="6" t="s">
        <v>4236</v>
      </c>
      <c r="D2568" s="7">
        <v>99</v>
      </c>
      <c r="E2568" s="6" t="s">
        <v>6276</v>
      </c>
      <c r="F2568" s="6" t="s">
        <v>5631</v>
      </c>
      <c r="G2568" s="6" t="s">
        <v>5632</v>
      </c>
      <c r="H2568" s="8"/>
      <c r="I2568" s="8">
        <v>8257</v>
      </c>
      <c r="J2568" s="6"/>
      <c r="K2568" s="6" t="s">
        <v>2818</v>
      </c>
      <c r="L2568" s="6"/>
      <c r="M2568" s="6"/>
      <c r="N2568" s="6" t="s">
        <v>2818</v>
      </c>
      <c r="O2568" s="29">
        <f t="shared" si="58"/>
        <v>8257</v>
      </c>
      <c r="Q2568" s="30" t="s">
        <v>2818</v>
      </c>
      <c r="R2568" s="31">
        <v>8257</v>
      </c>
    </row>
    <row r="2569" s="1" customFormat="1" ht="16.35" hidden="1" customHeight="1" spans="1:18">
      <c r="A2569" s="6"/>
      <c r="B2569" s="6" t="s">
        <v>4123</v>
      </c>
      <c r="C2569" s="6" t="s">
        <v>4236</v>
      </c>
      <c r="D2569" s="7">
        <v>99</v>
      </c>
      <c r="E2569" s="6" t="s">
        <v>6277</v>
      </c>
      <c r="F2569" s="6" t="s">
        <v>5631</v>
      </c>
      <c r="G2569" s="6" t="s">
        <v>5632</v>
      </c>
      <c r="H2569" s="8"/>
      <c r="I2569" s="8">
        <v>78</v>
      </c>
      <c r="J2569" s="6"/>
      <c r="K2569" s="6" t="s">
        <v>2131</v>
      </c>
      <c r="L2569" s="6"/>
      <c r="M2569" s="6"/>
      <c r="N2569" s="6" t="s">
        <v>2131</v>
      </c>
      <c r="O2569" s="29">
        <f t="shared" si="58"/>
        <v>78</v>
      </c>
      <c r="Q2569" s="30" t="s">
        <v>2131</v>
      </c>
      <c r="R2569" s="31">
        <v>78</v>
      </c>
    </row>
    <row r="2570" s="1" customFormat="1" ht="16.35" hidden="1" customHeight="1" spans="1:18">
      <c r="A2570" s="6"/>
      <c r="B2570" s="6" t="s">
        <v>4123</v>
      </c>
      <c r="C2570" s="6" t="s">
        <v>4236</v>
      </c>
      <c r="D2570" s="7">
        <v>99</v>
      </c>
      <c r="E2570" s="6" t="s">
        <v>6278</v>
      </c>
      <c r="F2570" s="6" t="s">
        <v>5631</v>
      </c>
      <c r="G2570" s="6" t="s">
        <v>5632</v>
      </c>
      <c r="H2570" s="8"/>
      <c r="I2570" s="8">
        <v>855</v>
      </c>
      <c r="J2570" s="6"/>
      <c r="K2570" s="6" t="s">
        <v>2131</v>
      </c>
      <c r="L2570" s="6"/>
      <c r="M2570" s="6"/>
      <c r="N2570" s="6" t="s">
        <v>2131</v>
      </c>
      <c r="O2570" s="29">
        <f t="shared" si="58"/>
        <v>855</v>
      </c>
      <c r="Q2570" s="30" t="s">
        <v>2131</v>
      </c>
      <c r="R2570" s="31">
        <v>855</v>
      </c>
    </row>
    <row r="2571" s="1" customFormat="1" ht="16.35" hidden="1" customHeight="1" spans="1:18">
      <c r="A2571" s="6"/>
      <c r="B2571" s="6" t="s">
        <v>4123</v>
      </c>
      <c r="C2571" s="6" t="s">
        <v>4236</v>
      </c>
      <c r="D2571" s="7">
        <v>99</v>
      </c>
      <c r="E2571" s="6" t="s">
        <v>6279</v>
      </c>
      <c r="F2571" s="6" t="s">
        <v>5631</v>
      </c>
      <c r="G2571" s="6" t="s">
        <v>5632</v>
      </c>
      <c r="H2571" s="8"/>
      <c r="I2571" s="8">
        <v>9743</v>
      </c>
      <c r="J2571" s="6"/>
      <c r="K2571" s="6" t="s">
        <v>2131</v>
      </c>
      <c r="L2571" s="6"/>
      <c r="M2571" s="6"/>
      <c r="N2571" s="6" t="s">
        <v>2131</v>
      </c>
      <c r="O2571" s="29">
        <f t="shared" si="58"/>
        <v>9743</v>
      </c>
      <c r="Q2571" s="30" t="s">
        <v>2131</v>
      </c>
      <c r="R2571" s="31">
        <v>9743</v>
      </c>
    </row>
    <row r="2572" s="1" customFormat="1" ht="16.35" hidden="1" customHeight="1" spans="1:18">
      <c r="A2572" s="6"/>
      <c r="B2572" s="6" t="s">
        <v>4123</v>
      </c>
      <c r="C2572" s="6" t="s">
        <v>4236</v>
      </c>
      <c r="D2572" s="7">
        <v>99</v>
      </c>
      <c r="E2572" s="6" t="s">
        <v>6280</v>
      </c>
      <c r="F2572" s="6" t="s">
        <v>5631</v>
      </c>
      <c r="G2572" s="6" t="s">
        <v>5632</v>
      </c>
      <c r="H2572" s="8"/>
      <c r="I2572" s="8">
        <v>12716</v>
      </c>
      <c r="J2572" s="6"/>
      <c r="K2572" s="6" t="s">
        <v>2131</v>
      </c>
      <c r="L2572" s="6"/>
      <c r="M2572" s="6"/>
      <c r="N2572" s="6" t="s">
        <v>2131</v>
      </c>
      <c r="O2572" s="29">
        <f t="shared" si="58"/>
        <v>12716</v>
      </c>
      <c r="Q2572" s="30" t="s">
        <v>2131</v>
      </c>
      <c r="R2572" s="31">
        <v>12716</v>
      </c>
    </row>
    <row r="2573" s="1" customFormat="1" ht="16.35" hidden="1" customHeight="1" spans="1:18">
      <c r="A2573" s="6"/>
      <c r="B2573" s="6" t="s">
        <v>4123</v>
      </c>
      <c r="C2573" s="6" t="s">
        <v>4236</v>
      </c>
      <c r="D2573" s="7">
        <v>99</v>
      </c>
      <c r="E2573" s="6" t="s">
        <v>6281</v>
      </c>
      <c r="F2573" s="6" t="s">
        <v>5631</v>
      </c>
      <c r="G2573" s="6" t="s">
        <v>5632</v>
      </c>
      <c r="H2573" s="8"/>
      <c r="I2573" s="8">
        <v>6237</v>
      </c>
      <c r="J2573" s="6"/>
      <c r="K2573" s="6" t="s">
        <v>2141</v>
      </c>
      <c r="L2573" s="6"/>
      <c r="M2573" s="6"/>
      <c r="N2573" s="6" t="s">
        <v>2141</v>
      </c>
      <c r="O2573" s="29">
        <f t="shared" si="58"/>
        <v>6237</v>
      </c>
      <c r="Q2573" s="30" t="s">
        <v>2141</v>
      </c>
      <c r="R2573" s="31">
        <v>6237</v>
      </c>
    </row>
    <row r="2574" s="1" customFormat="1" ht="16.35" hidden="1" customHeight="1" spans="1:18">
      <c r="A2574" s="6"/>
      <c r="B2574" s="6" t="s">
        <v>4123</v>
      </c>
      <c r="C2574" s="6" t="s">
        <v>4236</v>
      </c>
      <c r="D2574" s="7">
        <v>99</v>
      </c>
      <c r="E2574" s="6" t="s">
        <v>6282</v>
      </c>
      <c r="F2574" s="6" t="s">
        <v>5631</v>
      </c>
      <c r="G2574" s="6" t="s">
        <v>5632</v>
      </c>
      <c r="H2574" s="8"/>
      <c r="I2574" s="8">
        <v>83</v>
      </c>
      <c r="J2574" s="6"/>
      <c r="K2574" s="6" t="s">
        <v>2141</v>
      </c>
      <c r="L2574" s="6"/>
      <c r="M2574" s="6"/>
      <c r="N2574" s="6" t="s">
        <v>2141</v>
      </c>
      <c r="O2574" s="29">
        <f t="shared" si="58"/>
        <v>83</v>
      </c>
      <c r="Q2574" s="30" t="s">
        <v>2141</v>
      </c>
      <c r="R2574" s="31">
        <v>83</v>
      </c>
    </row>
    <row r="2575" s="1" customFormat="1" ht="16.35" hidden="1" customHeight="1" spans="1:18">
      <c r="A2575" s="6"/>
      <c r="B2575" s="6" t="s">
        <v>4123</v>
      </c>
      <c r="C2575" s="6" t="s">
        <v>4236</v>
      </c>
      <c r="D2575" s="7">
        <v>99</v>
      </c>
      <c r="E2575" s="6" t="s">
        <v>6283</v>
      </c>
      <c r="F2575" s="6" t="s">
        <v>5631</v>
      </c>
      <c r="G2575" s="6" t="s">
        <v>5632</v>
      </c>
      <c r="H2575" s="8"/>
      <c r="I2575" s="8">
        <v>14697</v>
      </c>
      <c r="J2575" s="6"/>
      <c r="K2575" s="6" t="s">
        <v>2141</v>
      </c>
      <c r="L2575" s="6"/>
      <c r="M2575" s="6"/>
      <c r="N2575" s="6" t="s">
        <v>2141</v>
      </c>
      <c r="O2575" s="29">
        <f t="shared" si="58"/>
        <v>14697</v>
      </c>
      <c r="Q2575" s="30" t="s">
        <v>2141</v>
      </c>
      <c r="R2575" s="31">
        <v>14697</v>
      </c>
    </row>
    <row r="2576" s="1" customFormat="1" ht="16.35" hidden="1" customHeight="1" spans="1:18">
      <c r="A2576" s="6"/>
      <c r="B2576" s="6" t="s">
        <v>4123</v>
      </c>
      <c r="C2576" s="6" t="s">
        <v>4236</v>
      </c>
      <c r="D2576" s="7">
        <v>99</v>
      </c>
      <c r="E2576" s="6" t="s">
        <v>6284</v>
      </c>
      <c r="F2576" s="6" t="s">
        <v>5631</v>
      </c>
      <c r="G2576" s="6" t="s">
        <v>5632</v>
      </c>
      <c r="H2576" s="8"/>
      <c r="I2576" s="8">
        <v>3343</v>
      </c>
      <c r="J2576" s="6"/>
      <c r="K2576" s="6" t="s">
        <v>2174</v>
      </c>
      <c r="L2576" s="6"/>
      <c r="M2576" s="6"/>
      <c r="N2576" s="6" t="s">
        <v>2174</v>
      </c>
      <c r="O2576" s="29">
        <f t="shared" si="58"/>
        <v>3343</v>
      </c>
      <c r="Q2576" s="30" t="s">
        <v>2174</v>
      </c>
      <c r="R2576" s="31">
        <v>3343</v>
      </c>
    </row>
    <row r="2577" s="1" customFormat="1" ht="16.35" hidden="1" customHeight="1" spans="1:18">
      <c r="A2577" s="6"/>
      <c r="B2577" s="6" t="s">
        <v>4123</v>
      </c>
      <c r="C2577" s="6" t="s">
        <v>4236</v>
      </c>
      <c r="D2577" s="7">
        <v>99</v>
      </c>
      <c r="E2577" s="6" t="s">
        <v>6285</v>
      </c>
      <c r="F2577" s="6" t="s">
        <v>5631</v>
      </c>
      <c r="G2577" s="6" t="s">
        <v>5632</v>
      </c>
      <c r="H2577" s="8"/>
      <c r="I2577" s="8">
        <v>8257</v>
      </c>
      <c r="J2577" s="6"/>
      <c r="K2577" s="6" t="s">
        <v>2174</v>
      </c>
      <c r="L2577" s="6"/>
      <c r="M2577" s="6"/>
      <c r="N2577" s="6" t="s">
        <v>2174</v>
      </c>
      <c r="O2577" s="29">
        <f t="shared" si="58"/>
        <v>8257</v>
      </c>
      <c r="Q2577" s="30" t="s">
        <v>2174</v>
      </c>
      <c r="R2577" s="31">
        <v>8257</v>
      </c>
    </row>
    <row r="2578" s="1" customFormat="1" ht="16.35" hidden="1" customHeight="1" spans="1:18">
      <c r="A2578" s="6"/>
      <c r="B2578" s="6" t="s">
        <v>4123</v>
      </c>
      <c r="C2578" s="6" t="s">
        <v>4236</v>
      </c>
      <c r="D2578" s="7">
        <v>99</v>
      </c>
      <c r="E2578" s="6" t="s">
        <v>6286</v>
      </c>
      <c r="F2578" s="6" t="s">
        <v>5631</v>
      </c>
      <c r="G2578" s="6" t="s">
        <v>5632</v>
      </c>
      <c r="H2578" s="8"/>
      <c r="I2578" s="8">
        <v>413</v>
      </c>
      <c r="J2578" s="6"/>
      <c r="K2578" s="6" t="s">
        <v>2295</v>
      </c>
      <c r="L2578" s="6"/>
      <c r="M2578" s="6"/>
      <c r="N2578" s="6" t="s">
        <v>2295</v>
      </c>
      <c r="O2578" s="29">
        <f t="shared" si="58"/>
        <v>413</v>
      </c>
      <c r="Q2578" s="30" t="s">
        <v>2295</v>
      </c>
      <c r="R2578" s="31">
        <v>413</v>
      </c>
    </row>
    <row r="2579" s="1" customFormat="1" ht="16.35" hidden="1" customHeight="1" spans="1:18">
      <c r="A2579" s="6"/>
      <c r="B2579" s="6" t="s">
        <v>4123</v>
      </c>
      <c r="C2579" s="6" t="s">
        <v>4236</v>
      </c>
      <c r="D2579" s="7">
        <v>99</v>
      </c>
      <c r="E2579" s="6" t="s">
        <v>6287</v>
      </c>
      <c r="F2579" s="6" t="s">
        <v>5631</v>
      </c>
      <c r="G2579" s="6" t="s">
        <v>5632</v>
      </c>
      <c r="H2579" s="8"/>
      <c r="I2579" s="8">
        <v>5319</v>
      </c>
      <c r="J2579" s="6"/>
      <c r="K2579" s="6" t="s">
        <v>2295</v>
      </c>
      <c r="L2579" s="6"/>
      <c r="M2579" s="6"/>
      <c r="N2579" s="6" t="s">
        <v>2295</v>
      </c>
      <c r="O2579" s="29">
        <f t="shared" si="58"/>
        <v>5319</v>
      </c>
      <c r="Q2579" s="30" t="s">
        <v>2295</v>
      </c>
      <c r="R2579" s="31">
        <v>5319</v>
      </c>
    </row>
    <row r="2580" s="1" customFormat="1" ht="16.35" hidden="1" customHeight="1" spans="1:18">
      <c r="A2580" s="6"/>
      <c r="B2580" s="6" t="s">
        <v>4123</v>
      </c>
      <c r="C2580" s="6" t="s">
        <v>4236</v>
      </c>
      <c r="D2580" s="7">
        <v>99</v>
      </c>
      <c r="E2580" s="6" t="s">
        <v>6288</v>
      </c>
      <c r="F2580" s="6" t="s">
        <v>5631</v>
      </c>
      <c r="G2580" s="6" t="s">
        <v>5632</v>
      </c>
      <c r="H2580" s="8"/>
      <c r="I2580" s="8">
        <v>3303</v>
      </c>
      <c r="J2580" s="6"/>
      <c r="K2580" s="6" t="s">
        <v>2235</v>
      </c>
      <c r="L2580" s="6"/>
      <c r="M2580" s="6"/>
      <c r="N2580" s="6" t="s">
        <v>2235</v>
      </c>
      <c r="O2580" s="29">
        <f t="shared" si="58"/>
        <v>3303</v>
      </c>
      <c r="Q2580" s="30" t="s">
        <v>2235</v>
      </c>
      <c r="R2580" s="31">
        <v>3303</v>
      </c>
    </row>
    <row r="2581" s="1" customFormat="1" ht="16.35" hidden="1" customHeight="1" spans="1:18">
      <c r="A2581" s="6"/>
      <c r="B2581" s="6" t="s">
        <v>4123</v>
      </c>
      <c r="C2581" s="6" t="s">
        <v>4236</v>
      </c>
      <c r="D2581" s="7">
        <v>99</v>
      </c>
      <c r="E2581" s="6" t="s">
        <v>6289</v>
      </c>
      <c r="F2581" s="6" t="s">
        <v>5631</v>
      </c>
      <c r="G2581" s="6" t="s">
        <v>5632</v>
      </c>
      <c r="H2581" s="8"/>
      <c r="I2581" s="8">
        <v>2477</v>
      </c>
      <c r="J2581" s="6"/>
      <c r="K2581" s="6" t="s">
        <v>2235</v>
      </c>
      <c r="L2581" s="6"/>
      <c r="M2581" s="6"/>
      <c r="N2581" s="6" t="s">
        <v>2235</v>
      </c>
      <c r="O2581" s="29">
        <f t="shared" si="58"/>
        <v>2477</v>
      </c>
      <c r="Q2581" s="30" t="s">
        <v>2235</v>
      </c>
      <c r="R2581" s="31">
        <v>2477</v>
      </c>
    </row>
    <row r="2582" s="1" customFormat="1" ht="16.35" hidden="1" customHeight="1" spans="1:18">
      <c r="A2582" s="6"/>
      <c r="B2582" s="6" t="s">
        <v>4123</v>
      </c>
      <c r="C2582" s="6" t="s">
        <v>4236</v>
      </c>
      <c r="D2582" s="7">
        <v>6</v>
      </c>
      <c r="E2582" s="6" t="s">
        <v>6290</v>
      </c>
      <c r="F2582" s="6" t="s">
        <v>5631</v>
      </c>
      <c r="G2582" s="6" t="s">
        <v>5632</v>
      </c>
      <c r="H2582" s="8"/>
      <c r="I2582" s="8">
        <v>10000</v>
      </c>
      <c r="J2582" s="6"/>
      <c r="K2582" s="6" t="s">
        <v>2247</v>
      </c>
      <c r="L2582" s="6"/>
      <c r="M2582" s="6"/>
      <c r="N2582" s="6" t="s">
        <v>2247</v>
      </c>
      <c r="O2582" s="29">
        <f t="shared" si="58"/>
        <v>10000</v>
      </c>
      <c r="Q2582" s="30" t="s">
        <v>2247</v>
      </c>
      <c r="R2582" s="31">
        <v>10000</v>
      </c>
    </row>
    <row r="2583" s="1" customFormat="1" ht="16.35" hidden="1" customHeight="1" spans="1:18">
      <c r="A2583" s="6"/>
      <c r="B2583" s="6" t="s">
        <v>4123</v>
      </c>
      <c r="C2583" s="6" t="s">
        <v>4236</v>
      </c>
      <c r="D2583" s="7">
        <v>99</v>
      </c>
      <c r="E2583" s="6" t="s">
        <v>6291</v>
      </c>
      <c r="F2583" s="6" t="s">
        <v>5631</v>
      </c>
      <c r="G2583" s="6" t="s">
        <v>5632</v>
      </c>
      <c r="H2583" s="8"/>
      <c r="I2583" s="8">
        <v>4128</v>
      </c>
      <c r="J2583" s="6"/>
      <c r="K2583" s="6" t="s">
        <v>2247</v>
      </c>
      <c r="L2583" s="6"/>
      <c r="M2583" s="6"/>
      <c r="N2583" s="6" t="s">
        <v>2247</v>
      </c>
      <c r="O2583" s="29">
        <f t="shared" ref="O2583:O2646" si="59">I2583</f>
        <v>4128</v>
      </c>
      <c r="Q2583" s="30" t="s">
        <v>2247</v>
      </c>
      <c r="R2583" s="31">
        <v>4128</v>
      </c>
    </row>
    <row r="2584" s="1" customFormat="1" ht="16.35" hidden="1" customHeight="1" spans="1:18">
      <c r="A2584" s="6"/>
      <c r="B2584" s="6" t="s">
        <v>4123</v>
      </c>
      <c r="C2584" s="6" t="s">
        <v>4236</v>
      </c>
      <c r="D2584" s="7">
        <v>99</v>
      </c>
      <c r="E2584" s="6" t="s">
        <v>6292</v>
      </c>
      <c r="F2584" s="6" t="s">
        <v>5631</v>
      </c>
      <c r="G2584" s="6" t="s">
        <v>5632</v>
      </c>
      <c r="H2584" s="8"/>
      <c r="I2584" s="8">
        <v>826</v>
      </c>
      <c r="J2584" s="6"/>
      <c r="K2584" s="6" t="s">
        <v>2247</v>
      </c>
      <c r="L2584" s="6"/>
      <c r="M2584" s="6"/>
      <c r="N2584" s="6" t="s">
        <v>2247</v>
      </c>
      <c r="O2584" s="29">
        <f t="shared" si="59"/>
        <v>826</v>
      </c>
      <c r="Q2584" s="30" t="s">
        <v>2247</v>
      </c>
      <c r="R2584" s="31">
        <v>826</v>
      </c>
    </row>
    <row r="2585" s="1" customFormat="1" ht="16.35" hidden="1" customHeight="1" spans="1:18">
      <c r="A2585" s="6"/>
      <c r="B2585" s="6" t="s">
        <v>4123</v>
      </c>
      <c r="C2585" s="6" t="s">
        <v>4236</v>
      </c>
      <c r="D2585" s="7">
        <v>99</v>
      </c>
      <c r="E2585" s="6" t="s">
        <v>6293</v>
      </c>
      <c r="F2585" s="6" t="s">
        <v>5631</v>
      </c>
      <c r="G2585" s="6" t="s">
        <v>5632</v>
      </c>
      <c r="H2585" s="8"/>
      <c r="I2585" s="8">
        <v>3690</v>
      </c>
      <c r="J2585" s="6"/>
      <c r="K2585" s="6" t="s">
        <v>2247</v>
      </c>
      <c r="L2585" s="6"/>
      <c r="M2585" s="6"/>
      <c r="N2585" s="6" t="s">
        <v>2247</v>
      </c>
      <c r="O2585" s="29">
        <f t="shared" si="59"/>
        <v>3690</v>
      </c>
      <c r="Q2585" s="30" t="s">
        <v>2247</v>
      </c>
      <c r="R2585" s="31">
        <v>3690</v>
      </c>
    </row>
    <row r="2586" s="1" customFormat="1" ht="16.35" hidden="1" customHeight="1" spans="1:18">
      <c r="A2586" s="6"/>
      <c r="B2586" s="6" t="s">
        <v>4123</v>
      </c>
      <c r="C2586" s="6" t="s">
        <v>4236</v>
      </c>
      <c r="D2586" s="7">
        <v>99</v>
      </c>
      <c r="E2586" s="6" t="s">
        <v>6294</v>
      </c>
      <c r="F2586" s="6" t="s">
        <v>5631</v>
      </c>
      <c r="G2586" s="6" t="s">
        <v>5632</v>
      </c>
      <c r="H2586" s="8"/>
      <c r="I2586" s="8">
        <v>826</v>
      </c>
      <c r="J2586" s="6"/>
      <c r="K2586" s="6" t="s">
        <v>2247</v>
      </c>
      <c r="L2586" s="6"/>
      <c r="M2586" s="6"/>
      <c r="N2586" s="6" t="s">
        <v>2247</v>
      </c>
      <c r="O2586" s="29">
        <f t="shared" si="59"/>
        <v>826</v>
      </c>
      <c r="Q2586" s="30" t="s">
        <v>2247</v>
      </c>
      <c r="R2586" s="31">
        <v>826</v>
      </c>
    </row>
    <row r="2587" s="1" customFormat="1" ht="16.35" hidden="1" customHeight="1" spans="1:18">
      <c r="A2587" s="6"/>
      <c r="B2587" s="6" t="s">
        <v>4123</v>
      </c>
      <c r="C2587" s="6" t="s">
        <v>4236</v>
      </c>
      <c r="D2587" s="7">
        <v>99</v>
      </c>
      <c r="E2587" s="6" t="s">
        <v>6295</v>
      </c>
      <c r="F2587" s="6" t="s">
        <v>5631</v>
      </c>
      <c r="G2587" s="6" t="s">
        <v>5632</v>
      </c>
      <c r="H2587" s="8"/>
      <c r="I2587" s="8">
        <v>4706</v>
      </c>
      <c r="J2587" s="6"/>
      <c r="K2587" s="6" t="s">
        <v>2247</v>
      </c>
      <c r="L2587" s="6"/>
      <c r="M2587" s="6"/>
      <c r="N2587" s="6" t="s">
        <v>2247</v>
      </c>
      <c r="O2587" s="29">
        <f t="shared" si="59"/>
        <v>4706</v>
      </c>
      <c r="Q2587" s="30" t="s">
        <v>2247</v>
      </c>
      <c r="R2587" s="31">
        <v>4706</v>
      </c>
    </row>
    <row r="2588" s="1" customFormat="1" ht="16.35" hidden="1" customHeight="1" spans="1:18">
      <c r="A2588" s="6"/>
      <c r="B2588" s="6" t="s">
        <v>4123</v>
      </c>
      <c r="C2588" s="6" t="s">
        <v>4236</v>
      </c>
      <c r="D2588" s="7">
        <v>99</v>
      </c>
      <c r="E2588" s="6" t="s">
        <v>6296</v>
      </c>
      <c r="F2588" s="6" t="s">
        <v>5631</v>
      </c>
      <c r="G2588" s="6" t="s">
        <v>5632</v>
      </c>
      <c r="H2588" s="8"/>
      <c r="I2588" s="8">
        <v>413</v>
      </c>
      <c r="J2588" s="6"/>
      <c r="K2588" s="6" t="s">
        <v>2190</v>
      </c>
      <c r="L2588" s="6"/>
      <c r="M2588" s="6"/>
      <c r="N2588" s="6" t="s">
        <v>2190</v>
      </c>
      <c r="O2588" s="29">
        <f t="shared" si="59"/>
        <v>413</v>
      </c>
      <c r="Q2588" s="30" t="s">
        <v>2190</v>
      </c>
      <c r="R2588" s="31">
        <v>413</v>
      </c>
    </row>
    <row r="2589" s="1" customFormat="1" ht="16.35" hidden="1" customHeight="1" spans="1:18">
      <c r="A2589" s="6"/>
      <c r="B2589" s="6" t="s">
        <v>4123</v>
      </c>
      <c r="C2589" s="6" t="s">
        <v>4236</v>
      </c>
      <c r="D2589" s="7">
        <v>99</v>
      </c>
      <c r="E2589" s="6" t="s">
        <v>6297</v>
      </c>
      <c r="F2589" s="6" t="s">
        <v>5631</v>
      </c>
      <c r="G2589" s="6" t="s">
        <v>5632</v>
      </c>
      <c r="H2589" s="8"/>
      <c r="I2589" s="8">
        <v>83</v>
      </c>
      <c r="J2589" s="6"/>
      <c r="K2589" s="6" t="s">
        <v>2215</v>
      </c>
      <c r="L2589" s="6"/>
      <c r="M2589" s="6"/>
      <c r="N2589" s="6" t="s">
        <v>2215</v>
      </c>
      <c r="O2589" s="29">
        <f t="shared" si="59"/>
        <v>83</v>
      </c>
      <c r="Q2589" s="30" t="s">
        <v>2215</v>
      </c>
      <c r="R2589" s="31">
        <v>83</v>
      </c>
    </row>
    <row r="2590" s="1" customFormat="1" ht="16.35" hidden="1" customHeight="1" spans="1:18">
      <c r="A2590" s="6"/>
      <c r="B2590" s="6" t="s">
        <v>4123</v>
      </c>
      <c r="C2590" s="6" t="s">
        <v>4236</v>
      </c>
      <c r="D2590" s="7">
        <v>99</v>
      </c>
      <c r="E2590" s="6" t="s">
        <v>6298</v>
      </c>
      <c r="F2590" s="6" t="s">
        <v>5631</v>
      </c>
      <c r="G2590" s="6" t="s">
        <v>5632</v>
      </c>
      <c r="H2590" s="8"/>
      <c r="I2590" s="8">
        <v>1454</v>
      </c>
      <c r="J2590" s="6"/>
      <c r="K2590" s="6" t="s">
        <v>2192</v>
      </c>
      <c r="L2590" s="6"/>
      <c r="M2590" s="6"/>
      <c r="N2590" s="6" t="s">
        <v>2192</v>
      </c>
      <c r="O2590" s="29">
        <f t="shared" si="59"/>
        <v>1454</v>
      </c>
      <c r="Q2590" s="30" t="s">
        <v>2192</v>
      </c>
      <c r="R2590" s="31">
        <v>1454</v>
      </c>
    </row>
    <row r="2591" s="1" customFormat="1" ht="16.35" hidden="1" customHeight="1" spans="1:18">
      <c r="A2591" s="6"/>
      <c r="B2591" s="6" t="s">
        <v>4123</v>
      </c>
      <c r="C2591" s="6" t="s">
        <v>4236</v>
      </c>
      <c r="D2591" s="7">
        <v>99</v>
      </c>
      <c r="E2591" s="6" t="s">
        <v>6299</v>
      </c>
      <c r="F2591" s="6" t="s">
        <v>5631</v>
      </c>
      <c r="G2591" s="6" t="s">
        <v>5632</v>
      </c>
      <c r="H2591" s="8"/>
      <c r="I2591" s="8">
        <v>6936</v>
      </c>
      <c r="J2591" s="6"/>
      <c r="K2591" s="6" t="s">
        <v>2192</v>
      </c>
      <c r="L2591" s="6"/>
      <c r="M2591" s="6"/>
      <c r="N2591" s="6" t="s">
        <v>2192</v>
      </c>
      <c r="O2591" s="29">
        <f t="shared" si="59"/>
        <v>6936</v>
      </c>
      <c r="Q2591" s="30" t="s">
        <v>2192</v>
      </c>
      <c r="R2591" s="31">
        <v>6936</v>
      </c>
    </row>
    <row r="2592" s="1" customFormat="1" ht="16.35" hidden="1" customHeight="1" spans="1:18">
      <c r="A2592" s="6"/>
      <c r="B2592" s="6" t="s">
        <v>4123</v>
      </c>
      <c r="C2592" s="6" t="s">
        <v>4236</v>
      </c>
      <c r="D2592" s="7">
        <v>99</v>
      </c>
      <c r="E2592" s="6" t="s">
        <v>6300</v>
      </c>
      <c r="F2592" s="6" t="s">
        <v>5631</v>
      </c>
      <c r="G2592" s="6" t="s">
        <v>5632</v>
      </c>
      <c r="H2592" s="8"/>
      <c r="I2592" s="8">
        <v>83</v>
      </c>
      <c r="J2592" s="6"/>
      <c r="K2592" s="6" t="s">
        <v>2213</v>
      </c>
      <c r="L2592" s="6"/>
      <c r="M2592" s="6"/>
      <c r="N2592" s="6" t="s">
        <v>2213</v>
      </c>
      <c r="O2592" s="29">
        <f t="shared" si="59"/>
        <v>83</v>
      </c>
      <c r="Q2592" s="30" t="s">
        <v>2213</v>
      </c>
      <c r="R2592" s="31">
        <v>83</v>
      </c>
    </row>
    <row r="2593" s="1" customFormat="1" ht="16.35" hidden="1" customHeight="1" spans="1:18">
      <c r="A2593" s="6"/>
      <c r="B2593" s="6" t="s">
        <v>4123</v>
      </c>
      <c r="C2593" s="6" t="s">
        <v>4236</v>
      </c>
      <c r="D2593" s="7">
        <v>99</v>
      </c>
      <c r="E2593" s="6" t="s">
        <v>6301</v>
      </c>
      <c r="F2593" s="6" t="s">
        <v>5631</v>
      </c>
      <c r="G2593" s="6" t="s">
        <v>5632</v>
      </c>
      <c r="H2593" s="8"/>
      <c r="I2593" s="8">
        <v>826</v>
      </c>
      <c r="J2593" s="6"/>
      <c r="K2593" s="6" t="s">
        <v>2219</v>
      </c>
      <c r="L2593" s="6"/>
      <c r="M2593" s="6"/>
      <c r="N2593" s="6" t="s">
        <v>2219</v>
      </c>
      <c r="O2593" s="29">
        <f t="shared" si="59"/>
        <v>826</v>
      </c>
      <c r="Q2593" s="30" t="s">
        <v>2219</v>
      </c>
      <c r="R2593" s="31">
        <v>826</v>
      </c>
    </row>
    <row r="2594" s="1" customFormat="1" ht="16.35" hidden="1" customHeight="1" spans="1:18">
      <c r="A2594" s="6"/>
      <c r="B2594" s="6" t="s">
        <v>4123</v>
      </c>
      <c r="C2594" s="6" t="s">
        <v>4236</v>
      </c>
      <c r="D2594" s="7">
        <v>99</v>
      </c>
      <c r="E2594" s="6" t="s">
        <v>6302</v>
      </c>
      <c r="F2594" s="6" t="s">
        <v>5631</v>
      </c>
      <c r="G2594" s="6" t="s">
        <v>5632</v>
      </c>
      <c r="H2594" s="8"/>
      <c r="I2594" s="8">
        <v>4808</v>
      </c>
      <c r="J2594" s="6"/>
      <c r="K2594" s="6" t="s">
        <v>2219</v>
      </c>
      <c r="L2594" s="6"/>
      <c r="M2594" s="6"/>
      <c r="N2594" s="6" t="s">
        <v>2219</v>
      </c>
      <c r="O2594" s="29">
        <f t="shared" si="59"/>
        <v>4808</v>
      </c>
      <c r="Q2594" s="30" t="s">
        <v>2219</v>
      </c>
      <c r="R2594" s="31">
        <v>4808</v>
      </c>
    </row>
    <row r="2595" s="1" customFormat="1" ht="16.35" hidden="1" customHeight="1" spans="1:18">
      <c r="A2595" s="6"/>
      <c r="B2595" s="6" t="s">
        <v>4123</v>
      </c>
      <c r="C2595" s="6" t="s">
        <v>4236</v>
      </c>
      <c r="D2595" s="7">
        <v>99</v>
      </c>
      <c r="E2595" s="6" t="s">
        <v>6303</v>
      </c>
      <c r="F2595" s="6" t="s">
        <v>5631</v>
      </c>
      <c r="G2595" s="6" t="s">
        <v>5632</v>
      </c>
      <c r="H2595" s="8"/>
      <c r="I2595" s="8">
        <v>12385</v>
      </c>
      <c r="J2595" s="6"/>
      <c r="K2595" s="6" t="s">
        <v>2219</v>
      </c>
      <c r="L2595" s="6"/>
      <c r="M2595" s="6"/>
      <c r="N2595" s="6" t="s">
        <v>2219</v>
      </c>
      <c r="O2595" s="29">
        <f t="shared" si="59"/>
        <v>12385</v>
      </c>
      <c r="Q2595" s="30" t="s">
        <v>2219</v>
      </c>
      <c r="R2595" s="31">
        <v>12385</v>
      </c>
    </row>
    <row r="2596" s="1" customFormat="1" ht="16.35" hidden="1" customHeight="1" spans="1:18">
      <c r="A2596" s="6"/>
      <c r="B2596" s="6" t="s">
        <v>4123</v>
      </c>
      <c r="C2596" s="6" t="s">
        <v>4236</v>
      </c>
      <c r="D2596" s="7">
        <v>98</v>
      </c>
      <c r="E2596" s="6" t="s">
        <v>6304</v>
      </c>
      <c r="F2596" s="6" t="s">
        <v>5631</v>
      </c>
      <c r="G2596" s="6" t="s">
        <v>5632</v>
      </c>
      <c r="H2596" s="8"/>
      <c r="I2596" s="8">
        <v>952</v>
      </c>
      <c r="J2596" s="6"/>
      <c r="K2596" s="6" t="s">
        <v>2229</v>
      </c>
      <c r="L2596" s="6"/>
      <c r="M2596" s="6"/>
      <c r="N2596" s="6" t="s">
        <v>2229</v>
      </c>
      <c r="O2596" s="29">
        <f t="shared" si="59"/>
        <v>952</v>
      </c>
      <c r="Q2596" s="30" t="s">
        <v>2229</v>
      </c>
      <c r="R2596" s="31">
        <v>952</v>
      </c>
    </row>
    <row r="2597" s="1" customFormat="1" ht="16.35" hidden="1" customHeight="1" spans="1:18">
      <c r="A2597" s="6"/>
      <c r="B2597" s="6" t="s">
        <v>4123</v>
      </c>
      <c r="C2597" s="6" t="s">
        <v>4236</v>
      </c>
      <c r="D2597" s="7">
        <v>99</v>
      </c>
      <c r="E2597" s="6" t="s">
        <v>6305</v>
      </c>
      <c r="F2597" s="6" t="s">
        <v>5631</v>
      </c>
      <c r="G2597" s="6" t="s">
        <v>5632</v>
      </c>
      <c r="H2597" s="8"/>
      <c r="I2597" s="8">
        <v>2477</v>
      </c>
      <c r="J2597" s="6"/>
      <c r="K2597" s="6" t="s">
        <v>2229</v>
      </c>
      <c r="L2597" s="6"/>
      <c r="M2597" s="6"/>
      <c r="N2597" s="6" t="s">
        <v>2229</v>
      </c>
      <c r="O2597" s="29">
        <f t="shared" si="59"/>
        <v>2477</v>
      </c>
      <c r="Q2597" s="30" t="s">
        <v>2229</v>
      </c>
      <c r="R2597" s="31">
        <v>2477</v>
      </c>
    </row>
    <row r="2598" s="1" customFormat="1" ht="16.35" hidden="1" customHeight="1" spans="1:18">
      <c r="A2598" s="6"/>
      <c r="B2598" s="6" t="s">
        <v>4123</v>
      </c>
      <c r="C2598" s="6" t="s">
        <v>4236</v>
      </c>
      <c r="D2598" s="7">
        <v>99</v>
      </c>
      <c r="E2598" s="6" t="s">
        <v>6306</v>
      </c>
      <c r="F2598" s="6" t="s">
        <v>5631</v>
      </c>
      <c r="G2598" s="6" t="s">
        <v>5632</v>
      </c>
      <c r="H2598" s="8"/>
      <c r="I2598" s="8">
        <v>233</v>
      </c>
      <c r="J2598" s="6"/>
      <c r="K2598" s="6" t="s">
        <v>2229</v>
      </c>
      <c r="L2598" s="6"/>
      <c r="M2598" s="6"/>
      <c r="N2598" s="6" t="s">
        <v>2229</v>
      </c>
      <c r="O2598" s="29">
        <f t="shared" si="59"/>
        <v>233</v>
      </c>
      <c r="Q2598" s="30" t="s">
        <v>2229</v>
      </c>
      <c r="R2598" s="31">
        <v>233</v>
      </c>
    </row>
    <row r="2599" s="1" customFormat="1" ht="16.35" hidden="1" customHeight="1" spans="1:18">
      <c r="A2599" s="6"/>
      <c r="B2599" s="6" t="s">
        <v>4123</v>
      </c>
      <c r="C2599" s="6" t="s">
        <v>4236</v>
      </c>
      <c r="D2599" s="7">
        <v>99</v>
      </c>
      <c r="E2599" s="6" t="s">
        <v>6307</v>
      </c>
      <c r="F2599" s="6" t="s">
        <v>5631</v>
      </c>
      <c r="G2599" s="6" t="s">
        <v>5632</v>
      </c>
      <c r="H2599" s="8"/>
      <c r="I2599" s="8">
        <v>1734</v>
      </c>
      <c r="J2599" s="6"/>
      <c r="K2599" s="6" t="s">
        <v>2229</v>
      </c>
      <c r="L2599" s="6"/>
      <c r="M2599" s="6"/>
      <c r="N2599" s="6" t="s">
        <v>2229</v>
      </c>
      <c r="O2599" s="29">
        <f t="shared" si="59"/>
        <v>1734</v>
      </c>
      <c r="Q2599" s="30" t="s">
        <v>2229</v>
      </c>
      <c r="R2599" s="31">
        <v>1734</v>
      </c>
    </row>
    <row r="2600" s="1" customFormat="1" ht="16.35" hidden="1" customHeight="1" spans="1:18">
      <c r="A2600" s="6"/>
      <c r="B2600" s="6" t="s">
        <v>4123</v>
      </c>
      <c r="C2600" s="6" t="s">
        <v>4236</v>
      </c>
      <c r="D2600" s="7">
        <v>99</v>
      </c>
      <c r="E2600" s="6" t="s">
        <v>6308</v>
      </c>
      <c r="F2600" s="6" t="s">
        <v>5631</v>
      </c>
      <c r="G2600" s="6" t="s">
        <v>5632</v>
      </c>
      <c r="H2600" s="8"/>
      <c r="I2600" s="8">
        <v>14037</v>
      </c>
      <c r="J2600" s="6"/>
      <c r="K2600" s="6" t="s">
        <v>2229</v>
      </c>
      <c r="L2600" s="6"/>
      <c r="M2600" s="6"/>
      <c r="N2600" s="6" t="s">
        <v>2229</v>
      </c>
      <c r="O2600" s="29">
        <f t="shared" si="59"/>
        <v>14037</v>
      </c>
      <c r="Q2600" s="30" t="s">
        <v>2229</v>
      </c>
      <c r="R2600" s="31">
        <v>14037</v>
      </c>
    </row>
    <row r="2601" s="1" customFormat="1" ht="16.35" hidden="1" customHeight="1" spans="1:18">
      <c r="A2601" s="6"/>
      <c r="B2601" s="6" t="s">
        <v>4123</v>
      </c>
      <c r="C2601" s="6" t="s">
        <v>4236</v>
      </c>
      <c r="D2601" s="7">
        <v>98</v>
      </c>
      <c r="E2601" s="6" t="s">
        <v>6309</v>
      </c>
      <c r="F2601" s="6" t="s">
        <v>5631</v>
      </c>
      <c r="G2601" s="6" t="s">
        <v>5632</v>
      </c>
      <c r="H2601" s="8"/>
      <c r="I2601" s="8">
        <v>3476</v>
      </c>
      <c r="J2601" s="6"/>
      <c r="K2601" s="6" t="s">
        <v>2289</v>
      </c>
      <c r="L2601" s="6"/>
      <c r="M2601" s="6"/>
      <c r="N2601" s="6" t="s">
        <v>2289</v>
      </c>
      <c r="O2601" s="29">
        <f t="shared" si="59"/>
        <v>3476</v>
      </c>
      <c r="Q2601" s="30" t="s">
        <v>2289</v>
      </c>
      <c r="R2601" s="31">
        <v>3476</v>
      </c>
    </row>
    <row r="2602" s="1" customFormat="1" ht="16.35" hidden="1" customHeight="1" spans="1:18">
      <c r="A2602" s="6"/>
      <c r="B2602" s="6" t="s">
        <v>4123</v>
      </c>
      <c r="C2602" s="6" t="s">
        <v>4236</v>
      </c>
      <c r="D2602" s="7">
        <v>99</v>
      </c>
      <c r="E2602" s="6" t="s">
        <v>6310</v>
      </c>
      <c r="F2602" s="6" t="s">
        <v>5631</v>
      </c>
      <c r="G2602" s="6" t="s">
        <v>5632</v>
      </c>
      <c r="H2602" s="8"/>
      <c r="I2602" s="8">
        <v>13872</v>
      </c>
      <c r="J2602" s="6"/>
      <c r="K2602" s="6" t="s">
        <v>2289</v>
      </c>
      <c r="L2602" s="6"/>
      <c r="M2602" s="6"/>
      <c r="N2602" s="6" t="s">
        <v>2289</v>
      </c>
      <c r="O2602" s="29">
        <f t="shared" si="59"/>
        <v>13872</v>
      </c>
      <c r="Q2602" s="30" t="s">
        <v>2289</v>
      </c>
      <c r="R2602" s="31">
        <v>13872</v>
      </c>
    </row>
    <row r="2603" s="1" customFormat="1" ht="16.35" hidden="1" customHeight="1" spans="1:18">
      <c r="A2603" s="6"/>
      <c r="B2603" s="6" t="s">
        <v>4123</v>
      </c>
      <c r="C2603" s="6" t="s">
        <v>4236</v>
      </c>
      <c r="D2603" s="7">
        <v>98</v>
      </c>
      <c r="E2603" s="6" t="s">
        <v>6311</v>
      </c>
      <c r="F2603" s="6" t="s">
        <v>5631</v>
      </c>
      <c r="G2603" s="6" t="s">
        <v>5632</v>
      </c>
      <c r="H2603" s="8"/>
      <c r="I2603" s="8">
        <v>4762</v>
      </c>
      <c r="J2603" s="6"/>
      <c r="K2603" s="6" t="s">
        <v>2293</v>
      </c>
      <c r="L2603" s="6"/>
      <c r="M2603" s="6"/>
      <c r="N2603" s="6" t="s">
        <v>2293</v>
      </c>
      <c r="O2603" s="29">
        <f t="shared" si="59"/>
        <v>4762</v>
      </c>
      <c r="Q2603" s="30" t="s">
        <v>2293</v>
      </c>
      <c r="R2603" s="31">
        <v>4762</v>
      </c>
    </row>
    <row r="2604" s="1" customFormat="1" ht="16.35" hidden="1" customHeight="1" spans="1:18">
      <c r="A2604" s="6"/>
      <c r="B2604" s="6" t="s">
        <v>4123</v>
      </c>
      <c r="C2604" s="6" t="s">
        <v>4236</v>
      </c>
      <c r="D2604" s="7">
        <v>99</v>
      </c>
      <c r="E2604" s="6" t="s">
        <v>6312</v>
      </c>
      <c r="F2604" s="6" t="s">
        <v>5631</v>
      </c>
      <c r="G2604" s="6" t="s">
        <v>5632</v>
      </c>
      <c r="H2604" s="8"/>
      <c r="I2604" s="8">
        <v>2279</v>
      </c>
      <c r="J2604" s="6"/>
      <c r="K2604" s="6" t="s">
        <v>2293</v>
      </c>
      <c r="L2604" s="6"/>
      <c r="M2604" s="6"/>
      <c r="N2604" s="6" t="s">
        <v>2293</v>
      </c>
      <c r="O2604" s="29">
        <f t="shared" si="59"/>
        <v>2279</v>
      </c>
      <c r="Q2604" s="30" t="s">
        <v>2293</v>
      </c>
      <c r="R2604" s="31">
        <v>2279</v>
      </c>
    </row>
    <row r="2605" s="1" customFormat="1" ht="16.35" hidden="1" customHeight="1" spans="1:18">
      <c r="A2605" s="6"/>
      <c r="B2605" s="6" t="s">
        <v>4123</v>
      </c>
      <c r="C2605" s="6" t="s">
        <v>4236</v>
      </c>
      <c r="D2605" s="7">
        <v>99</v>
      </c>
      <c r="E2605" s="6" t="s">
        <v>6313</v>
      </c>
      <c r="F2605" s="6" t="s">
        <v>5631</v>
      </c>
      <c r="G2605" s="6" t="s">
        <v>5632</v>
      </c>
      <c r="H2605" s="8"/>
      <c r="I2605" s="8">
        <v>8257</v>
      </c>
      <c r="J2605" s="6"/>
      <c r="K2605" s="6" t="s">
        <v>2293</v>
      </c>
      <c r="L2605" s="6"/>
      <c r="M2605" s="6"/>
      <c r="N2605" s="6" t="s">
        <v>2293</v>
      </c>
      <c r="O2605" s="29">
        <f t="shared" si="59"/>
        <v>8257</v>
      </c>
      <c r="Q2605" s="30" t="s">
        <v>2293</v>
      </c>
      <c r="R2605" s="31">
        <v>8257</v>
      </c>
    </row>
    <row r="2606" s="1" customFormat="1" ht="16.35" hidden="1" customHeight="1" spans="1:18">
      <c r="A2606" s="6"/>
      <c r="B2606" s="6" t="s">
        <v>4123</v>
      </c>
      <c r="C2606" s="6" t="s">
        <v>4236</v>
      </c>
      <c r="D2606" s="7">
        <v>98</v>
      </c>
      <c r="E2606" s="6" t="s">
        <v>6314</v>
      </c>
      <c r="F2606" s="6" t="s">
        <v>5631</v>
      </c>
      <c r="G2606" s="6" t="s">
        <v>5632</v>
      </c>
      <c r="H2606" s="8"/>
      <c r="I2606" s="8">
        <v>4762</v>
      </c>
      <c r="J2606" s="6"/>
      <c r="K2606" s="6" t="s">
        <v>2758</v>
      </c>
      <c r="L2606" s="6"/>
      <c r="M2606" s="6"/>
      <c r="N2606" s="6" t="s">
        <v>2758</v>
      </c>
      <c r="O2606" s="29">
        <f t="shared" si="59"/>
        <v>4762</v>
      </c>
      <c r="Q2606" s="30" t="s">
        <v>2758</v>
      </c>
      <c r="R2606" s="31">
        <v>4762</v>
      </c>
    </row>
    <row r="2607" s="1" customFormat="1" ht="16.35" hidden="1" customHeight="1" spans="1:18">
      <c r="A2607" s="6"/>
      <c r="B2607" s="6" t="s">
        <v>4123</v>
      </c>
      <c r="C2607" s="6" t="s">
        <v>4236</v>
      </c>
      <c r="D2607" s="7">
        <v>99</v>
      </c>
      <c r="E2607" s="6" t="s">
        <v>6315</v>
      </c>
      <c r="F2607" s="6" t="s">
        <v>5631</v>
      </c>
      <c r="G2607" s="6" t="s">
        <v>5632</v>
      </c>
      <c r="H2607" s="8"/>
      <c r="I2607" s="8">
        <v>14862</v>
      </c>
      <c r="J2607" s="6"/>
      <c r="K2607" s="6" t="s">
        <v>2758</v>
      </c>
      <c r="L2607" s="6"/>
      <c r="M2607" s="6"/>
      <c r="N2607" s="6" t="s">
        <v>2758</v>
      </c>
      <c r="O2607" s="29">
        <f t="shared" si="59"/>
        <v>14862</v>
      </c>
      <c r="Q2607" s="30" t="s">
        <v>2758</v>
      </c>
      <c r="R2607" s="31">
        <v>14862</v>
      </c>
    </row>
    <row r="2608" s="1" customFormat="1" ht="16.35" hidden="1" customHeight="1" spans="1:18">
      <c r="A2608" s="6"/>
      <c r="B2608" s="6" t="s">
        <v>4123</v>
      </c>
      <c r="C2608" s="6" t="s">
        <v>4236</v>
      </c>
      <c r="D2608" s="7">
        <v>99</v>
      </c>
      <c r="E2608" s="6" t="s">
        <v>6316</v>
      </c>
      <c r="F2608" s="6" t="s">
        <v>5631</v>
      </c>
      <c r="G2608" s="6" t="s">
        <v>5632</v>
      </c>
      <c r="H2608" s="8"/>
      <c r="I2608" s="8">
        <v>3198</v>
      </c>
      <c r="J2608" s="6"/>
      <c r="K2608" s="6" t="s">
        <v>2758</v>
      </c>
      <c r="L2608" s="6"/>
      <c r="M2608" s="6"/>
      <c r="N2608" s="6" t="s">
        <v>2758</v>
      </c>
      <c r="O2608" s="29">
        <f t="shared" si="59"/>
        <v>3198</v>
      </c>
      <c r="Q2608" s="30" t="s">
        <v>2758</v>
      </c>
      <c r="R2608" s="31">
        <v>3198</v>
      </c>
    </row>
    <row r="2609" s="1" customFormat="1" ht="16.35" hidden="1" customHeight="1" spans="1:18">
      <c r="A2609" s="6"/>
      <c r="B2609" s="6" t="s">
        <v>4123</v>
      </c>
      <c r="C2609" s="6" t="s">
        <v>4236</v>
      </c>
      <c r="D2609" s="7">
        <v>99</v>
      </c>
      <c r="E2609" s="6" t="s">
        <v>6317</v>
      </c>
      <c r="F2609" s="6" t="s">
        <v>5631</v>
      </c>
      <c r="G2609" s="6" t="s">
        <v>5632</v>
      </c>
      <c r="H2609" s="8"/>
      <c r="I2609" s="8">
        <v>13046</v>
      </c>
      <c r="J2609" s="6"/>
      <c r="K2609" s="6" t="s">
        <v>2742</v>
      </c>
      <c r="L2609" s="6"/>
      <c r="M2609" s="6"/>
      <c r="N2609" s="6" t="s">
        <v>2742</v>
      </c>
      <c r="O2609" s="29">
        <f t="shared" si="59"/>
        <v>13046</v>
      </c>
      <c r="Q2609" s="30" t="s">
        <v>2742</v>
      </c>
      <c r="R2609" s="31">
        <v>13046</v>
      </c>
    </row>
    <row r="2610" s="1" customFormat="1" ht="16.35" hidden="1" customHeight="1" spans="1:18">
      <c r="A2610" s="6"/>
      <c r="B2610" s="6" t="s">
        <v>4123</v>
      </c>
      <c r="C2610" s="6" t="s">
        <v>4236</v>
      </c>
      <c r="D2610" s="7">
        <v>99</v>
      </c>
      <c r="E2610" s="6" t="s">
        <v>6318</v>
      </c>
      <c r="F2610" s="6" t="s">
        <v>5631</v>
      </c>
      <c r="G2610" s="6" t="s">
        <v>5632</v>
      </c>
      <c r="H2610" s="8"/>
      <c r="I2610" s="8">
        <v>17092</v>
      </c>
      <c r="J2610" s="6"/>
      <c r="K2610" s="6" t="s">
        <v>2742</v>
      </c>
      <c r="L2610" s="6"/>
      <c r="M2610" s="6"/>
      <c r="N2610" s="6" t="s">
        <v>2742</v>
      </c>
      <c r="O2610" s="29">
        <f t="shared" si="59"/>
        <v>17092</v>
      </c>
      <c r="Q2610" s="30" t="s">
        <v>2742</v>
      </c>
      <c r="R2610" s="31">
        <v>17092</v>
      </c>
    </row>
    <row r="2611" s="1" customFormat="1" ht="16.35" hidden="1" customHeight="1" spans="1:18">
      <c r="A2611" s="6"/>
      <c r="B2611" s="6" t="s">
        <v>4123</v>
      </c>
      <c r="C2611" s="6" t="s">
        <v>4236</v>
      </c>
      <c r="D2611" s="7">
        <v>98</v>
      </c>
      <c r="E2611" s="6" t="s">
        <v>6319</v>
      </c>
      <c r="F2611" s="6" t="s">
        <v>5631</v>
      </c>
      <c r="G2611" s="6" t="s">
        <v>5632</v>
      </c>
      <c r="H2611" s="8"/>
      <c r="I2611" s="8">
        <v>238</v>
      </c>
      <c r="J2611" s="6"/>
      <c r="K2611" s="6" t="s">
        <v>2744</v>
      </c>
      <c r="L2611" s="6"/>
      <c r="M2611" s="6"/>
      <c r="N2611" s="6" t="s">
        <v>2744</v>
      </c>
      <c r="O2611" s="29">
        <f t="shared" si="59"/>
        <v>238</v>
      </c>
      <c r="Q2611" s="30" t="s">
        <v>2744</v>
      </c>
      <c r="R2611" s="31">
        <v>238</v>
      </c>
    </row>
    <row r="2612" s="1" customFormat="1" ht="16.35" hidden="1" customHeight="1" spans="1:18">
      <c r="A2612" s="6"/>
      <c r="B2612" s="6" t="s">
        <v>4123</v>
      </c>
      <c r="C2612" s="6" t="s">
        <v>4236</v>
      </c>
      <c r="D2612" s="7">
        <v>99</v>
      </c>
      <c r="E2612" s="6" t="s">
        <v>6320</v>
      </c>
      <c r="F2612" s="6" t="s">
        <v>5631</v>
      </c>
      <c r="G2612" s="6" t="s">
        <v>5632</v>
      </c>
      <c r="H2612" s="8"/>
      <c r="I2612" s="8">
        <v>5161</v>
      </c>
      <c r="J2612" s="6"/>
      <c r="K2612" s="6" t="s">
        <v>2744</v>
      </c>
      <c r="L2612" s="6"/>
      <c r="M2612" s="6"/>
      <c r="N2612" s="6" t="s">
        <v>2744</v>
      </c>
      <c r="O2612" s="29">
        <f t="shared" si="59"/>
        <v>5161</v>
      </c>
      <c r="Q2612" s="30" t="s">
        <v>2744</v>
      </c>
      <c r="R2612" s="31">
        <v>5161</v>
      </c>
    </row>
    <row r="2613" s="1" customFormat="1" ht="16.35" hidden="1" customHeight="1" spans="1:18">
      <c r="A2613" s="6"/>
      <c r="B2613" s="6" t="s">
        <v>4123</v>
      </c>
      <c r="C2613" s="6" t="s">
        <v>4236</v>
      </c>
      <c r="D2613" s="7">
        <v>99</v>
      </c>
      <c r="E2613" s="6" t="s">
        <v>6321</v>
      </c>
      <c r="F2613" s="6" t="s">
        <v>5631</v>
      </c>
      <c r="G2613" s="6" t="s">
        <v>5632</v>
      </c>
      <c r="H2613" s="8"/>
      <c r="I2613" s="8">
        <v>5573</v>
      </c>
      <c r="J2613" s="6"/>
      <c r="K2613" s="6" t="s">
        <v>2744</v>
      </c>
      <c r="L2613" s="6"/>
      <c r="M2613" s="6"/>
      <c r="N2613" s="6" t="s">
        <v>2744</v>
      </c>
      <c r="O2613" s="29">
        <f t="shared" si="59"/>
        <v>5573</v>
      </c>
      <c r="Q2613" s="30" t="s">
        <v>2744</v>
      </c>
      <c r="R2613" s="31">
        <v>5573</v>
      </c>
    </row>
    <row r="2614" s="1" customFormat="1" ht="16.35" hidden="1" customHeight="1" spans="1:18">
      <c r="A2614" s="6"/>
      <c r="B2614" s="6" t="s">
        <v>4123</v>
      </c>
      <c r="C2614" s="6" t="s">
        <v>4236</v>
      </c>
      <c r="D2614" s="7">
        <v>98</v>
      </c>
      <c r="E2614" s="6" t="s">
        <v>6322</v>
      </c>
      <c r="F2614" s="6" t="s">
        <v>5631</v>
      </c>
      <c r="G2614" s="6" t="s">
        <v>5632</v>
      </c>
      <c r="H2614" s="8"/>
      <c r="I2614" s="8">
        <v>11</v>
      </c>
      <c r="J2614" s="6"/>
      <c r="K2614" s="6" t="s">
        <v>1950</v>
      </c>
      <c r="L2614" s="6"/>
      <c r="M2614" s="6"/>
      <c r="N2614" s="6" t="s">
        <v>1950</v>
      </c>
      <c r="O2614" s="29">
        <f t="shared" si="59"/>
        <v>11</v>
      </c>
      <c r="Q2614" s="30" t="s">
        <v>1950</v>
      </c>
      <c r="R2614" s="31">
        <v>11</v>
      </c>
    </row>
    <row r="2615" s="1" customFormat="1" ht="16.35" hidden="1" customHeight="1" spans="1:18">
      <c r="A2615" s="6"/>
      <c r="B2615" s="6" t="s">
        <v>4123</v>
      </c>
      <c r="C2615" s="6" t="s">
        <v>4236</v>
      </c>
      <c r="D2615" s="7">
        <v>99</v>
      </c>
      <c r="E2615" s="6" t="s">
        <v>6323</v>
      </c>
      <c r="F2615" s="6" t="s">
        <v>5631</v>
      </c>
      <c r="G2615" s="6" t="s">
        <v>5632</v>
      </c>
      <c r="H2615" s="8"/>
      <c r="I2615" s="8">
        <v>11312</v>
      </c>
      <c r="J2615" s="6"/>
      <c r="K2615" s="6" t="s">
        <v>1950</v>
      </c>
      <c r="L2615" s="6"/>
      <c r="M2615" s="6"/>
      <c r="N2615" s="6" t="s">
        <v>1950</v>
      </c>
      <c r="O2615" s="29">
        <f t="shared" si="59"/>
        <v>11312</v>
      </c>
      <c r="Q2615" s="30" t="s">
        <v>1950</v>
      </c>
      <c r="R2615" s="31">
        <v>11312</v>
      </c>
    </row>
    <row r="2616" s="1" customFormat="1" ht="16.35" hidden="1" customHeight="1" spans="1:18">
      <c r="A2616" s="6"/>
      <c r="B2616" s="6" t="s">
        <v>4123</v>
      </c>
      <c r="C2616" s="6" t="s">
        <v>4236</v>
      </c>
      <c r="D2616" s="7">
        <v>98</v>
      </c>
      <c r="E2616" s="6" t="s">
        <v>6324</v>
      </c>
      <c r="F2616" s="6" t="s">
        <v>5631</v>
      </c>
      <c r="G2616" s="6" t="s">
        <v>5632</v>
      </c>
      <c r="H2616" s="8"/>
      <c r="I2616" s="8">
        <v>2736</v>
      </c>
      <c r="J2616" s="6"/>
      <c r="K2616" s="6" t="s">
        <v>1970</v>
      </c>
      <c r="L2616" s="6"/>
      <c r="M2616" s="6"/>
      <c r="N2616" s="6" t="s">
        <v>1970</v>
      </c>
      <c r="O2616" s="29">
        <f t="shared" si="59"/>
        <v>2736</v>
      </c>
      <c r="Q2616" s="30" t="s">
        <v>1970</v>
      </c>
      <c r="R2616" s="31">
        <v>2736</v>
      </c>
    </row>
    <row r="2617" s="1" customFormat="1" ht="16.35" hidden="1" customHeight="1" spans="1:18">
      <c r="A2617" s="6"/>
      <c r="B2617" s="6" t="s">
        <v>4123</v>
      </c>
      <c r="C2617" s="6" t="s">
        <v>4236</v>
      </c>
      <c r="D2617" s="7">
        <v>99</v>
      </c>
      <c r="E2617" s="6" t="s">
        <v>6325</v>
      </c>
      <c r="F2617" s="6" t="s">
        <v>5631</v>
      </c>
      <c r="G2617" s="6" t="s">
        <v>5632</v>
      </c>
      <c r="H2617" s="8"/>
      <c r="I2617" s="8">
        <v>11807</v>
      </c>
      <c r="J2617" s="6"/>
      <c r="K2617" s="6" t="s">
        <v>1970</v>
      </c>
      <c r="L2617" s="6"/>
      <c r="M2617" s="6"/>
      <c r="N2617" s="6" t="s">
        <v>1970</v>
      </c>
      <c r="O2617" s="29">
        <f t="shared" si="59"/>
        <v>11807</v>
      </c>
      <c r="Q2617" s="30" t="s">
        <v>1970</v>
      </c>
      <c r="R2617" s="31">
        <v>11807</v>
      </c>
    </row>
    <row r="2618" s="1" customFormat="1" ht="16.35" hidden="1" customHeight="1" spans="1:18">
      <c r="A2618" s="6"/>
      <c r="B2618" s="6" t="s">
        <v>4123</v>
      </c>
      <c r="C2618" s="6" t="s">
        <v>4236</v>
      </c>
      <c r="D2618" s="7">
        <v>99</v>
      </c>
      <c r="E2618" s="6" t="s">
        <v>6326</v>
      </c>
      <c r="F2618" s="6" t="s">
        <v>5631</v>
      </c>
      <c r="G2618" s="6" t="s">
        <v>5632</v>
      </c>
      <c r="H2618" s="8"/>
      <c r="I2618" s="8">
        <v>165</v>
      </c>
      <c r="J2618" s="6"/>
      <c r="K2618" s="6" t="s">
        <v>1992</v>
      </c>
      <c r="L2618" s="6"/>
      <c r="M2618" s="6"/>
      <c r="N2618" s="6" t="s">
        <v>1992</v>
      </c>
      <c r="O2618" s="29">
        <f t="shared" si="59"/>
        <v>165</v>
      </c>
      <c r="Q2618" s="30" t="s">
        <v>1992</v>
      </c>
      <c r="R2618" s="31">
        <v>165</v>
      </c>
    </row>
    <row r="2619" s="1" customFormat="1" ht="16.35" hidden="1" customHeight="1" spans="1:18">
      <c r="A2619" s="6"/>
      <c r="B2619" s="6" t="s">
        <v>4123</v>
      </c>
      <c r="C2619" s="6" t="s">
        <v>4236</v>
      </c>
      <c r="D2619" s="7">
        <v>99</v>
      </c>
      <c r="E2619" s="6" t="s">
        <v>6327</v>
      </c>
      <c r="F2619" s="6" t="s">
        <v>5631</v>
      </c>
      <c r="G2619" s="6" t="s">
        <v>5632</v>
      </c>
      <c r="H2619" s="8"/>
      <c r="I2619" s="8">
        <v>5463</v>
      </c>
      <c r="J2619" s="6"/>
      <c r="K2619" s="6" t="s">
        <v>1992</v>
      </c>
      <c r="L2619" s="6"/>
      <c r="M2619" s="6"/>
      <c r="N2619" s="6" t="s">
        <v>1992</v>
      </c>
      <c r="O2619" s="29">
        <f t="shared" si="59"/>
        <v>5463</v>
      </c>
      <c r="Q2619" s="30" t="s">
        <v>1992</v>
      </c>
      <c r="R2619" s="31">
        <v>5463</v>
      </c>
    </row>
    <row r="2620" s="1" customFormat="1" ht="16.35" hidden="1" customHeight="1" spans="1:18">
      <c r="A2620" s="6"/>
      <c r="B2620" s="6" t="s">
        <v>4123</v>
      </c>
      <c r="C2620" s="6" t="s">
        <v>4236</v>
      </c>
      <c r="D2620" s="7">
        <v>99</v>
      </c>
      <c r="E2620" s="6" t="s">
        <v>6328</v>
      </c>
      <c r="F2620" s="6" t="s">
        <v>5631</v>
      </c>
      <c r="G2620" s="6" t="s">
        <v>5632</v>
      </c>
      <c r="H2620" s="8"/>
      <c r="I2620" s="8">
        <v>10734</v>
      </c>
      <c r="J2620" s="6"/>
      <c r="K2620" s="6" t="s">
        <v>1992</v>
      </c>
      <c r="L2620" s="6"/>
      <c r="M2620" s="6"/>
      <c r="N2620" s="6" t="s">
        <v>1992</v>
      </c>
      <c r="O2620" s="29">
        <f t="shared" si="59"/>
        <v>10734</v>
      </c>
      <c r="Q2620" s="30" t="s">
        <v>1992</v>
      </c>
      <c r="R2620" s="31">
        <v>10734</v>
      </c>
    </row>
    <row r="2621" s="1" customFormat="1" ht="16.35" hidden="1" customHeight="1" spans="1:18">
      <c r="A2621" s="6"/>
      <c r="B2621" s="6" t="s">
        <v>4123</v>
      </c>
      <c r="C2621" s="6" t="s">
        <v>4236</v>
      </c>
      <c r="D2621" s="7">
        <v>99</v>
      </c>
      <c r="E2621" s="6" t="s">
        <v>6329</v>
      </c>
      <c r="F2621" s="6" t="s">
        <v>5631</v>
      </c>
      <c r="G2621" s="6" t="s">
        <v>5632</v>
      </c>
      <c r="H2621" s="8"/>
      <c r="I2621" s="8">
        <v>826</v>
      </c>
      <c r="J2621" s="6"/>
      <c r="K2621" s="6" t="s">
        <v>1992</v>
      </c>
      <c r="L2621" s="6"/>
      <c r="M2621" s="6"/>
      <c r="N2621" s="6" t="s">
        <v>1992</v>
      </c>
      <c r="O2621" s="29">
        <f t="shared" si="59"/>
        <v>826</v>
      </c>
      <c r="Q2621" s="30" t="s">
        <v>1992</v>
      </c>
      <c r="R2621" s="31">
        <v>826</v>
      </c>
    </row>
    <row r="2622" s="1" customFormat="1" ht="16.35" hidden="1" customHeight="1" spans="1:18">
      <c r="A2622" s="6"/>
      <c r="B2622" s="6" t="s">
        <v>4123</v>
      </c>
      <c r="C2622" s="6" t="s">
        <v>4236</v>
      </c>
      <c r="D2622" s="7">
        <v>99</v>
      </c>
      <c r="E2622" s="6" t="s">
        <v>6330</v>
      </c>
      <c r="F2622" s="6" t="s">
        <v>5631</v>
      </c>
      <c r="G2622" s="6" t="s">
        <v>5632</v>
      </c>
      <c r="H2622" s="8"/>
      <c r="I2622" s="8">
        <v>826</v>
      </c>
      <c r="J2622" s="6"/>
      <c r="K2622" s="6" t="s">
        <v>1992</v>
      </c>
      <c r="L2622" s="6"/>
      <c r="M2622" s="6"/>
      <c r="N2622" s="6" t="s">
        <v>1992</v>
      </c>
      <c r="O2622" s="29">
        <f t="shared" si="59"/>
        <v>826</v>
      </c>
      <c r="Q2622" s="30" t="s">
        <v>1992</v>
      </c>
      <c r="R2622" s="31">
        <v>826</v>
      </c>
    </row>
    <row r="2623" s="1" customFormat="1" ht="16.35" hidden="1" customHeight="1" spans="1:18">
      <c r="A2623" s="6"/>
      <c r="B2623" s="6" t="s">
        <v>4123</v>
      </c>
      <c r="C2623" s="6" t="s">
        <v>4236</v>
      </c>
      <c r="D2623" s="7">
        <v>99</v>
      </c>
      <c r="E2623" s="6" t="s">
        <v>6331</v>
      </c>
      <c r="F2623" s="6" t="s">
        <v>5631</v>
      </c>
      <c r="G2623" s="6" t="s">
        <v>5632</v>
      </c>
      <c r="H2623" s="8"/>
      <c r="I2623" s="8">
        <v>413</v>
      </c>
      <c r="J2623" s="6"/>
      <c r="K2623" s="6" t="s">
        <v>1994</v>
      </c>
      <c r="L2623" s="6"/>
      <c r="M2623" s="6"/>
      <c r="N2623" s="6" t="s">
        <v>1994</v>
      </c>
      <c r="O2623" s="29">
        <f t="shared" si="59"/>
        <v>413</v>
      </c>
      <c r="Q2623" s="30" t="s">
        <v>1994</v>
      </c>
      <c r="R2623" s="31">
        <v>413</v>
      </c>
    </row>
    <row r="2624" s="1" customFormat="1" ht="16.35" hidden="1" customHeight="1" spans="1:18">
      <c r="A2624" s="6"/>
      <c r="B2624" s="6" t="s">
        <v>4123</v>
      </c>
      <c r="C2624" s="6" t="s">
        <v>4236</v>
      </c>
      <c r="D2624" s="7">
        <v>99</v>
      </c>
      <c r="E2624" s="6" t="s">
        <v>6332</v>
      </c>
      <c r="F2624" s="6" t="s">
        <v>5631</v>
      </c>
      <c r="G2624" s="6" t="s">
        <v>5632</v>
      </c>
      <c r="H2624" s="8"/>
      <c r="I2624" s="8">
        <v>4905</v>
      </c>
      <c r="J2624" s="6"/>
      <c r="K2624" s="6" t="s">
        <v>1994</v>
      </c>
      <c r="L2624" s="6"/>
      <c r="M2624" s="6"/>
      <c r="N2624" s="6" t="s">
        <v>1994</v>
      </c>
      <c r="O2624" s="29">
        <f t="shared" si="59"/>
        <v>4905</v>
      </c>
      <c r="Q2624" s="30" t="s">
        <v>1994</v>
      </c>
      <c r="R2624" s="31">
        <v>4905</v>
      </c>
    </row>
    <row r="2625" s="1" customFormat="1" ht="16.35" hidden="1" customHeight="1" spans="1:18">
      <c r="A2625" s="6"/>
      <c r="B2625" s="6" t="s">
        <v>4123</v>
      </c>
      <c r="C2625" s="6" t="s">
        <v>4236</v>
      </c>
      <c r="D2625" s="7">
        <v>99</v>
      </c>
      <c r="E2625" s="6" t="s">
        <v>6333</v>
      </c>
      <c r="F2625" s="6" t="s">
        <v>5631</v>
      </c>
      <c r="G2625" s="6" t="s">
        <v>5632</v>
      </c>
      <c r="H2625" s="8"/>
      <c r="I2625" s="8">
        <v>11229</v>
      </c>
      <c r="J2625" s="6"/>
      <c r="K2625" s="6" t="s">
        <v>1994</v>
      </c>
      <c r="L2625" s="6"/>
      <c r="M2625" s="6"/>
      <c r="N2625" s="6" t="s">
        <v>1994</v>
      </c>
      <c r="O2625" s="29">
        <f t="shared" si="59"/>
        <v>11229</v>
      </c>
      <c r="Q2625" s="30" t="s">
        <v>1994</v>
      </c>
      <c r="R2625" s="31">
        <v>11229</v>
      </c>
    </row>
    <row r="2626" s="1" customFormat="1" ht="16.35" hidden="1" customHeight="1" spans="1:18">
      <c r="A2626" s="6"/>
      <c r="B2626" s="6" t="s">
        <v>4123</v>
      </c>
      <c r="C2626" s="6" t="s">
        <v>4236</v>
      </c>
      <c r="D2626" s="7">
        <v>99</v>
      </c>
      <c r="E2626" s="6" t="s">
        <v>6334</v>
      </c>
      <c r="F2626" s="6" t="s">
        <v>5631</v>
      </c>
      <c r="G2626" s="6" t="s">
        <v>5632</v>
      </c>
      <c r="H2626" s="8"/>
      <c r="I2626" s="8">
        <v>826</v>
      </c>
      <c r="J2626" s="6"/>
      <c r="K2626" s="6" t="s">
        <v>2762</v>
      </c>
      <c r="L2626" s="6"/>
      <c r="M2626" s="6"/>
      <c r="N2626" s="6" t="s">
        <v>2762</v>
      </c>
      <c r="O2626" s="29">
        <f t="shared" si="59"/>
        <v>826</v>
      </c>
      <c r="Q2626" s="30" t="s">
        <v>2762</v>
      </c>
      <c r="R2626" s="31">
        <v>826</v>
      </c>
    </row>
    <row r="2627" s="1" customFormat="1" ht="16.35" hidden="1" customHeight="1" spans="1:18">
      <c r="A2627" s="6"/>
      <c r="B2627" s="6" t="s">
        <v>4123</v>
      </c>
      <c r="C2627" s="6" t="s">
        <v>4236</v>
      </c>
      <c r="D2627" s="7">
        <v>99</v>
      </c>
      <c r="E2627" s="6" t="s">
        <v>6335</v>
      </c>
      <c r="F2627" s="6" t="s">
        <v>5631</v>
      </c>
      <c r="G2627" s="6" t="s">
        <v>5632</v>
      </c>
      <c r="H2627" s="8"/>
      <c r="I2627" s="8">
        <v>4199</v>
      </c>
      <c r="J2627" s="6"/>
      <c r="K2627" s="6" t="s">
        <v>2025</v>
      </c>
      <c r="L2627" s="6"/>
      <c r="M2627" s="6"/>
      <c r="N2627" s="6" t="s">
        <v>2025</v>
      </c>
      <c r="O2627" s="29">
        <f t="shared" si="59"/>
        <v>4199</v>
      </c>
      <c r="Q2627" s="30" t="s">
        <v>2025</v>
      </c>
      <c r="R2627" s="31">
        <v>4199</v>
      </c>
    </row>
    <row r="2628" s="1" customFormat="1" ht="16.35" hidden="1" customHeight="1" spans="1:18">
      <c r="A2628" s="6"/>
      <c r="B2628" s="6" t="s">
        <v>4123</v>
      </c>
      <c r="C2628" s="6" t="s">
        <v>4236</v>
      </c>
      <c r="D2628" s="7">
        <v>99</v>
      </c>
      <c r="E2628" s="6" t="s">
        <v>6336</v>
      </c>
      <c r="F2628" s="6" t="s">
        <v>5631</v>
      </c>
      <c r="G2628" s="6" t="s">
        <v>5632</v>
      </c>
      <c r="H2628" s="8"/>
      <c r="I2628" s="8">
        <v>413</v>
      </c>
      <c r="J2628" s="6"/>
      <c r="K2628" s="6" t="s">
        <v>2025</v>
      </c>
      <c r="L2628" s="6"/>
      <c r="M2628" s="6"/>
      <c r="N2628" s="6" t="s">
        <v>2025</v>
      </c>
      <c r="O2628" s="29">
        <f t="shared" si="59"/>
        <v>413</v>
      </c>
      <c r="Q2628" s="30" t="s">
        <v>2025</v>
      </c>
      <c r="R2628" s="31">
        <v>413</v>
      </c>
    </row>
    <row r="2629" s="1" customFormat="1" ht="16.35" hidden="1" customHeight="1" spans="1:18">
      <c r="A2629" s="6"/>
      <c r="B2629" s="6" t="s">
        <v>4123</v>
      </c>
      <c r="C2629" s="6" t="s">
        <v>4236</v>
      </c>
      <c r="D2629" s="7">
        <v>99</v>
      </c>
      <c r="E2629" s="6" t="s">
        <v>6337</v>
      </c>
      <c r="F2629" s="6" t="s">
        <v>5631</v>
      </c>
      <c r="G2629" s="6" t="s">
        <v>5632</v>
      </c>
      <c r="H2629" s="8"/>
      <c r="I2629" s="8">
        <v>4954</v>
      </c>
      <c r="J2629" s="6"/>
      <c r="K2629" s="6" t="s">
        <v>2770</v>
      </c>
      <c r="L2629" s="6"/>
      <c r="M2629" s="6"/>
      <c r="N2629" s="6" t="s">
        <v>2770</v>
      </c>
      <c r="O2629" s="29">
        <f t="shared" si="59"/>
        <v>4954</v>
      </c>
      <c r="Q2629" s="30" t="s">
        <v>2770</v>
      </c>
      <c r="R2629" s="31">
        <v>4954</v>
      </c>
    </row>
    <row r="2630" s="1" customFormat="1" ht="16.35" hidden="1" customHeight="1" spans="1:18">
      <c r="A2630" s="6"/>
      <c r="B2630" s="6" t="s">
        <v>4123</v>
      </c>
      <c r="C2630" s="6" t="s">
        <v>4236</v>
      </c>
      <c r="D2630" s="7">
        <v>99</v>
      </c>
      <c r="E2630" s="6" t="s">
        <v>6338</v>
      </c>
      <c r="F2630" s="6" t="s">
        <v>5631</v>
      </c>
      <c r="G2630" s="6" t="s">
        <v>5632</v>
      </c>
      <c r="H2630" s="8"/>
      <c r="I2630" s="8">
        <v>413</v>
      </c>
      <c r="J2630" s="6"/>
      <c r="K2630" s="6" t="s">
        <v>2770</v>
      </c>
      <c r="L2630" s="6"/>
      <c r="M2630" s="6"/>
      <c r="N2630" s="6" t="s">
        <v>2770</v>
      </c>
      <c r="O2630" s="29">
        <f t="shared" si="59"/>
        <v>413</v>
      </c>
      <c r="Q2630" s="30" t="s">
        <v>2770</v>
      </c>
      <c r="R2630" s="31">
        <v>413</v>
      </c>
    </row>
    <row r="2631" s="1" customFormat="1" ht="16.35" hidden="1" customHeight="1" spans="1:18">
      <c r="A2631" s="6"/>
      <c r="B2631" s="6" t="s">
        <v>4123</v>
      </c>
      <c r="C2631" s="6" t="s">
        <v>4236</v>
      </c>
      <c r="D2631" s="7">
        <v>99</v>
      </c>
      <c r="E2631" s="6" t="s">
        <v>6339</v>
      </c>
      <c r="F2631" s="6" t="s">
        <v>5631</v>
      </c>
      <c r="G2631" s="6" t="s">
        <v>5632</v>
      </c>
      <c r="H2631" s="8"/>
      <c r="I2631" s="8">
        <v>4541</v>
      </c>
      <c r="J2631" s="6"/>
      <c r="K2631" s="6" t="s">
        <v>2770</v>
      </c>
      <c r="L2631" s="6"/>
      <c r="M2631" s="6"/>
      <c r="N2631" s="6" t="s">
        <v>2770</v>
      </c>
      <c r="O2631" s="29">
        <f t="shared" si="59"/>
        <v>4541</v>
      </c>
      <c r="Q2631" s="30" t="s">
        <v>2770</v>
      </c>
      <c r="R2631" s="31">
        <v>4541</v>
      </c>
    </row>
    <row r="2632" s="1" customFormat="1" ht="16.35" hidden="1" customHeight="1" spans="1:18">
      <c r="A2632" s="6"/>
      <c r="B2632" s="6" t="s">
        <v>4123</v>
      </c>
      <c r="C2632" s="6" t="s">
        <v>4236</v>
      </c>
      <c r="D2632" s="7">
        <v>99</v>
      </c>
      <c r="E2632" s="6" t="s">
        <v>6340</v>
      </c>
      <c r="F2632" s="6" t="s">
        <v>5631</v>
      </c>
      <c r="G2632" s="6" t="s">
        <v>5632</v>
      </c>
      <c r="H2632" s="8"/>
      <c r="I2632" s="8">
        <v>10633</v>
      </c>
      <c r="J2632" s="6"/>
      <c r="K2632" s="6" t="s">
        <v>2761</v>
      </c>
      <c r="L2632" s="6"/>
      <c r="M2632" s="6"/>
      <c r="N2632" s="6" t="s">
        <v>2761</v>
      </c>
      <c r="O2632" s="29">
        <f t="shared" si="59"/>
        <v>10633</v>
      </c>
      <c r="Q2632" s="30" t="s">
        <v>2761</v>
      </c>
      <c r="R2632" s="31">
        <v>10633</v>
      </c>
    </row>
    <row r="2633" s="1" customFormat="1" ht="16.35" hidden="1" customHeight="1" spans="1:18">
      <c r="A2633" s="6"/>
      <c r="B2633" s="6" t="s">
        <v>4123</v>
      </c>
      <c r="C2633" s="6" t="s">
        <v>4236</v>
      </c>
      <c r="D2633" s="7">
        <v>99</v>
      </c>
      <c r="E2633" s="6" t="s">
        <v>6341</v>
      </c>
      <c r="F2633" s="6" t="s">
        <v>5631</v>
      </c>
      <c r="G2633" s="6" t="s">
        <v>5632</v>
      </c>
      <c r="H2633" s="8"/>
      <c r="I2633" s="8">
        <v>40963</v>
      </c>
      <c r="J2633" s="6"/>
      <c r="K2633" s="6" t="s">
        <v>2766</v>
      </c>
      <c r="L2633" s="6"/>
      <c r="M2633" s="6"/>
      <c r="N2633" s="6" t="s">
        <v>2766</v>
      </c>
      <c r="O2633" s="29">
        <f t="shared" si="59"/>
        <v>40963</v>
      </c>
      <c r="Q2633" s="30" t="s">
        <v>2766</v>
      </c>
      <c r="R2633" s="31">
        <v>40963</v>
      </c>
    </row>
    <row r="2634" s="1" customFormat="1" ht="16.35" hidden="1" customHeight="1" spans="1:18">
      <c r="A2634" s="6"/>
      <c r="B2634" s="6" t="s">
        <v>4123</v>
      </c>
      <c r="C2634" s="6" t="s">
        <v>4236</v>
      </c>
      <c r="D2634" s="7">
        <v>99</v>
      </c>
      <c r="E2634" s="6" t="s">
        <v>6342</v>
      </c>
      <c r="F2634" s="6" t="s">
        <v>5631</v>
      </c>
      <c r="G2634" s="6" t="s">
        <v>5632</v>
      </c>
      <c r="H2634" s="8"/>
      <c r="I2634" s="8">
        <v>7431</v>
      </c>
      <c r="J2634" s="6"/>
      <c r="K2634" s="6" t="s">
        <v>2766</v>
      </c>
      <c r="L2634" s="6"/>
      <c r="M2634" s="6"/>
      <c r="N2634" s="6" t="s">
        <v>2766</v>
      </c>
      <c r="O2634" s="29">
        <f t="shared" si="59"/>
        <v>7431</v>
      </c>
      <c r="Q2634" s="30" t="s">
        <v>2766</v>
      </c>
      <c r="R2634" s="31">
        <v>7431</v>
      </c>
    </row>
    <row r="2635" s="1" customFormat="1" ht="16.35" hidden="1" customHeight="1" spans="1:18">
      <c r="A2635" s="6"/>
      <c r="B2635" s="6" t="s">
        <v>4123</v>
      </c>
      <c r="C2635" s="6" t="s">
        <v>4236</v>
      </c>
      <c r="D2635" s="7">
        <v>99</v>
      </c>
      <c r="E2635" s="6" t="s">
        <v>6343</v>
      </c>
      <c r="F2635" s="6" t="s">
        <v>5631</v>
      </c>
      <c r="G2635" s="6" t="s">
        <v>5632</v>
      </c>
      <c r="H2635" s="8"/>
      <c r="I2635" s="8">
        <v>19105</v>
      </c>
      <c r="J2635" s="6"/>
      <c r="K2635" s="6" t="s">
        <v>2782</v>
      </c>
      <c r="L2635" s="6"/>
      <c r="M2635" s="6"/>
      <c r="N2635" s="6" t="s">
        <v>2782</v>
      </c>
      <c r="O2635" s="29">
        <f t="shared" si="59"/>
        <v>19105</v>
      </c>
      <c r="Q2635" s="30" t="s">
        <v>2782</v>
      </c>
      <c r="R2635" s="31">
        <v>19105</v>
      </c>
    </row>
    <row r="2636" s="1" customFormat="1" ht="16.35" hidden="1" customHeight="1" spans="1:18">
      <c r="A2636" s="6"/>
      <c r="B2636" s="6" t="s">
        <v>4123</v>
      </c>
      <c r="C2636" s="6" t="s">
        <v>4236</v>
      </c>
      <c r="D2636" s="7">
        <v>99</v>
      </c>
      <c r="E2636" s="6" t="s">
        <v>6344</v>
      </c>
      <c r="F2636" s="6" t="s">
        <v>5631</v>
      </c>
      <c r="G2636" s="6" t="s">
        <v>5632</v>
      </c>
      <c r="H2636" s="8"/>
      <c r="I2636" s="8">
        <v>826</v>
      </c>
      <c r="J2636" s="6"/>
      <c r="K2636" s="6" t="s">
        <v>2782</v>
      </c>
      <c r="L2636" s="6"/>
      <c r="M2636" s="6"/>
      <c r="N2636" s="6" t="s">
        <v>2782</v>
      </c>
      <c r="O2636" s="29">
        <f t="shared" si="59"/>
        <v>826</v>
      </c>
      <c r="Q2636" s="30" t="s">
        <v>2782</v>
      </c>
      <c r="R2636" s="31">
        <v>826</v>
      </c>
    </row>
    <row r="2637" s="1" customFormat="1" ht="16.35" hidden="1" customHeight="1" spans="1:18">
      <c r="A2637" s="6"/>
      <c r="B2637" s="6" t="s">
        <v>4123</v>
      </c>
      <c r="C2637" s="6" t="s">
        <v>4236</v>
      </c>
      <c r="D2637" s="7">
        <v>98</v>
      </c>
      <c r="E2637" s="6" t="s">
        <v>6345</v>
      </c>
      <c r="F2637" s="6" t="s">
        <v>5631</v>
      </c>
      <c r="G2637" s="6" t="s">
        <v>5632</v>
      </c>
      <c r="H2637" s="8"/>
      <c r="I2637" s="8">
        <v>2000</v>
      </c>
      <c r="J2637" s="6"/>
      <c r="K2637" s="6" t="s">
        <v>2023</v>
      </c>
      <c r="L2637" s="6"/>
      <c r="M2637" s="6"/>
      <c r="N2637" s="6" t="s">
        <v>2023</v>
      </c>
      <c r="O2637" s="29">
        <f t="shared" si="59"/>
        <v>2000</v>
      </c>
      <c r="Q2637" s="30" t="s">
        <v>2023</v>
      </c>
      <c r="R2637" s="31">
        <v>2000</v>
      </c>
    </row>
    <row r="2638" s="1" customFormat="1" ht="16.35" hidden="1" customHeight="1" spans="1:18">
      <c r="A2638" s="6"/>
      <c r="B2638" s="6" t="s">
        <v>4123</v>
      </c>
      <c r="C2638" s="6" t="s">
        <v>4236</v>
      </c>
      <c r="D2638" s="7">
        <v>98</v>
      </c>
      <c r="E2638" s="6" t="s">
        <v>6346</v>
      </c>
      <c r="F2638" s="6" t="s">
        <v>5631</v>
      </c>
      <c r="G2638" s="6" t="s">
        <v>5632</v>
      </c>
      <c r="H2638" s="8"/>
      <c r="I2638" s="8">
        <v>143</v>
      </c>
      <c r="J2638" s="6"/>
      <c r="K2638" s="6" t="s">
        <v>2023</v>
      </c>
      <c r="L2638" s="6"/>
      <c r="M2638" s="6"/>
      <c r="N2638" s="6" t="s">
        <v>2023</v>
      </c>
      <c r="O2638" s="29">
        <f t="shared" si="59"/>
        <v>143</v>
      </c>
      <c r="Q2638" s="30" t="s">
        <v>2023</v>
      </c>
      <c r="R2638" s="31">
        <v>143</v>
      </c>
    </row>
    <row r="2639" s="1" customFormat="1" ht="16.35" hidden="1" customHeight="1" spans="1:18">
      <c r="A2639" s="6"/>
      <c r="B2639" s="6" t="s">
        <v>4123</v>
      </c>
      <c r="C2639" s="6" t="s">
        <v>4236</v>
      </c>
      <c r="D2639" s="7">
        <v>98</v>
      </c>
      <c r="E2639" s="6" t="s">
        <v>6347</v>
      </c>
      <c r="F2639" s="6" t="s">
        <v>5631</v>
      </c>
      <c r="G2639" s="6" t="s">
        <v>5632</v>
      </c>
      <c r="H2639" s="8"/>
      <c r="I2639" s="8">
        <v>107</v>
      </c>
      <c r="J2639" s="6"/>
      <c r="K2639" s="6" t="s">
        <v>2023</v>
      </c>
      <c r="L2639" s="6"/>
      <c r="M2639" s="6"/>
      <c r="N2639" s="6" t="s">
        <v>2023</v>
      </c>
      <c r="O2639" s="29">
        <f t="shared" si="59"/>
        <v>107</v>
      </c>
      <c r="Q2639" s="30" t="s">
        <v>2023</v>
      </c>
      <c r="R2639" s="31">
        <v>107</v>
      </c>
    </row>
    <row r="2640" s="1" customFormat="1" ht="16.35" hidden="1" customHeight="1" spans="1:18">
      <c r="A2640" s="6"/>
      <c r="B2640" s="6" t="s">
        <v>4123</v>
      </c>
      <c r="C2640" s="6" t="s">
        <v>4236</v>
      </c>
      <c r="D2640" s="7">
        <v>99</v>
      </c>
      <c r="E2640" s="6" t="s">
        <v>6348</v>
      </c>
      <c r="F2640" s="6" t="s">
        <v>5631</v>
      </c>
      <c r="G2640" s="6" t="s">
        <v>5632</v>
      </c>
      <c r="H2640" s="8"/>
      <c r="I2640" s="8">
        <v>8257</v>
      </c>
      <c r="J2640" s="6"/>
      <c r="K2640" s="6" t="s">
        <v>2023</v>
      </c>
      <c r="L2640" s="6"/>
      <c r="M2640" s="6"/>
      <c r="N2640" s="6" t="s">
        <v>2023</v>
      </c>
      <c r="O2640" s="29">
        <f t="shared" si="59"/>
        <v>8257</v>
      </c>
      <c r="Q2640" s="30" t="s">
        <v>2023</v>
      </c>
      <c r="R2640" s="31">
        <v>8257</v>
      </c>
    </row>
    <row r="2641" s="1" customFormat="1" ht="16.35" hidden="1" customHeight="1" spans="1:18">
      <c r="A2641" s="6"/>
      <c r="B2641" s="6" t="s">
        <v>4123</v>
      </c>
      <c r="C2641" s="6" t="s">
        <v>4236</v>
      </c>
      <c r="D2641" s="7">
        <v>98</v>
      </c>
      <c r="E2641" s="6" t="s">
        <v>6349</v>
      </c>
      <c r="F2641" s="6" t="s">
        <v>5631</v>
      </c>
      <c r="G2641" s="6" t="s">
        <v>5632</v>
      </c>
      <c r="H2641" s="8"/>
      <c r="I2641" s="8">
        <v>10667</v>
      </c>
      <c r="J2641" s="6"/>
      <c r="K2641" s="6" t="s">
        <v>2067</v>
      </c>
      <c r="L2641" s="6"/>
      <c r="M2641" s="6"/>
      <c r="N2641" s="6" t="s">
        <v>2067</v>
      </c>
      <c r="O2641" s="29">
        <f t="shared" si="59"/>
        <v>10667</v>
      </c>
      <c r="Q2641" s="30" t="s">
        <v>2067</v>
      </c>
      <c r="R2641" s="31">
        <v>10667</v>
      </c>
    </row>
    <row r="2642" s="1" customFormat="1" ht="16.35" hidden="1" customHeight="1" spans="1:18">
      <c r="A2642" s="6"/>
      <c r="B2642" s="6" t="s">
        <v>4123</v>
      </c>
      <c r="C2642" s="6" t="s">
        <v>4236</v>
      </c>
      <c r="D2642" s="7">
        <v>99</v>
      </c>
      <c r="E2642" s="6" t="s">
        <v>6350</v>
      </c>
      <c r="F2642" s="6" t="s">
        <v>5631</v>
      </c>
      <c r="G2642" s="6" t="s">
        <v>5632</v>
      </c>
      <c r="H2642" s="8"/>
      <c r="I2642" s="8">
        <v>3</v>
      </c>
      <c r="J2642" s="6"/>
      <c r="K2642" s="6" t="s">
        <v>2067</v>
      </c>
      <c r="L2642" s="6"/>
      <c r="M2642" s="6"/>
      <c r="N2642" s="6" t="s">
        <v>2067</v>
      </c>
      <c r="O2642" s="29">
        <f t="shared" si="59"/>
        <v>3</v>
      </c>
      <c r="Q2642" s="30" t="s">
        <v>2067</v>
      </c>
      <c r="R2642" s="31">
        <v>3</v>
      </c>
    </row>
    <row r="2643" s="1" customFormat="1" ht="16.35" hidden="1" customHeight="1" spans="1:18">
      <c r="A2643" s="6"/>
      <c r="B2643" s="6" t="s">
        <v>4123</v>
      </c>
      <c r="C2643" s="6" t="s">
        <v>4236</v>
      </c>
      <c r="D2643" s="7">
        <v>98</v>
      </c>
      <c r="E2643" s="6" t="s">
        <v>6351</v>
      </c>
      <c r="F2643" s="6" t="s">
        <v>5631</v>
      </c>
      <c r="G2643" s="6" t="s">
        <v>5632</v>
      </c>
      <c r="H2643" s="8"/>
      <c r="I2643" s="8">
        <v>1430</v>
      </c>
      <c r="J2643" s="6"/>
      <c r="K2643" s="6" t="s">
        <v>2083</v>
      </c>
      <c r="L2643" s="6"/>
      <c r="M2643" s="6"/>
      <c r="N2643" s="6" t="s">
        <v>2083</v>
      </c>
      <c r="O2643" s="29">
        <f t="shared" si="59"/>
        <v>1430</v>
      </c>
      <c r="Q2643" s="30" t="s">
        <v>2083</v>
      </c>
      <c r="R2643" s="31">
        <v>1430</v>
      </c>
    </row>
    <row r="2644" s="1" customFormat="1" ht="16.35" hidden="1" customHeight="1" spans="1:18">
      <c r="A2644" s="6"/>
      <c r="B2644" s="6" t="s">
        <v>4123</v>
      </c>
      <c r="C2644" s="6" t="s">
        <v>4236</v>
      </c>
      <c r="D2644" s="7">
        <v>98</v>
      </c>
      <c r="E2644" s="6" t="s">
        <v>6352</v>
      </c>
      <c r="F2644" s="6" t="s">
        <v>5631</v>
      </c>
      <c r="G2644" s="6" t="s">
        <v>5632</v>
      </c>
      <c r="H2644" s="8"/>
      <c r="I2644" s="8">
        <v>476</v>
      </c>
      <c r="J2644" s="6"/>
      <c r="K2644" s="6" t="s">
        <v>2083</v>
      </c>
      <c r="L2644" s="6"/>
      <c r="M2644" s="6"/>
      <c r="N2644" s="6" t="s">
        <v>2083</v>
      </c>
      <c r="O2644" s="29">
        <f t="shared" si="59"/>
        <v>476</v>
      </c>
      <c r="Q2644" s="30" t="s">
        <v>2083</v>
      </c>
      <c r="R2644" s="31">
        <v>476</v>
      </c>
    </row>
    <row r="2645" s="1" customFormat="1" ht="16.35" hidden="1" customHeight="1" spans="1:18">
      <c r="A2645" s="6"/>
      <c r="B2645" s="6" t="s">
        <v>4123</v>
      </c>
      <c r="C2645" s="6" t="s">
        <v>4236</v>
      </c>
      <c r="D2645" s="7">
        <v>99</v>
      </c>
      <c r="E2645" s="6" t="s">
        <v>6353</v>
      </c>
      <c r="F2645" s="6" t="s">
        <v>5631</v>
      </c>
      <c r="G2645" s="6" t="s">
        <v>5632</v>
      </c>
      <c r="H2645" s="8"/>
      <c r="I2645" s="8">
        <v>8257</v>
      </c>
      <c r="J2645" s="6"/>
      <c r="K2645" s="6" t="s">
        <v>2083</v>
      </c>
      <c r="L2645" s="6"/>
      <c r="M2645" s="6"/>
      <c r="N2645" s="6" t="s">
        <v>2083</v>
      </c>
      <c r="O2645" s="29">
        <f t="shared" si="59"/>
        <v>8257</v>
      </c>
      <c r="Q2645" s="30" t="s">
        <v>2083</v>
      </c>
      <c r="R2645" s="31">
        <v>8257</v>
      </c>
    </row>
    <row r="2646" s="1" customFormat="1" ht="16.35" hidden="1" customHeight="1" spans="1:18">
      <c r="A2646" s="6"/>
      <c r="B2646" s="6" t="s">
        <v>4123</v>
      </c>
      <c r="C2646" s="6" t="s">
        <v>4236</v>
      </c>
      <c r="D2646" s="7">
        <v>98</v>
      </c>
      <c r="E2646" s="6" t="s">
        <v>6354</v>
      </c>
      <c r="F2646" s="6" t="s">
        <v>5631</v>
      </c>
      <c r="G2646" s="6" t="s">
        <v>5632</v>
      </c>
      <c r="H2646" s="8"/>
      <c r="I2646" s="8">
        <v>238</v>
      </c>
      <c r="J2646" s="6"/>
      <c r="K2646" s="6" t="s">
        <v>2089</v>
      </c>
      <c r="L2646" s="6"/>
      <c r="M2646" s="6"/>
      <c r="N2646" s="6" t="s">
        <v>2089</v>
      </c>
      <c r="O2646" s="29">
        <f t="shared" si="59"/>
        <v>238</v>
      </c>
      <c r="Q2646" s="30" t="s">
        <v>2089</v>
      </c>
      <c r="R2646" s="31">
        <v>238</v>
      </c>
    </row>
    <row r="2647" s="1" customFormat="1" ht="16.35" hidden="1" customHeight="1" spans="1:18">
      <c r="A2647" s="6"/>
      <c r="B2647" s="6" t="s">
        <v>4123</v>
      </c>
      <c r="C2647" s="6" t="s">
        <v>4236</v>
      </c>
      <c r="D2647" s="7">
        <v>99</v>
      </c>
      <c r="E2647" s="6" t="s">
        <v>6355</v>
      </c>
      <c r="F2647" s="6" t="s">
        <v>5631</v>
      </c>
      <c r="G2647" s="6" t="s">
        <v>5632</v>
      </c>
      <c r="H2647" s="8"/>
      <c r="I2647" s="8">
        <v>413</v>
      </c>
      <c r="J2647" s="6"/>
      <c r="K2647" s="6" t="s">
        <v>2089</v>
      </c>
      <c r="L2647" s="6"/>
      <c r="M2647" s="6"/>
      <c r="N2647" s="6" t="s">
        <v>2089</v>
      </c>
      <c r="O2647" s="29">
        <f t="shared" ref="O2647:O2710" si="60">I2647</f>
        <v>413</v>
      </c>
      <c r="Q2647" s="30" t="s">
        <v>2089</v>
      </c>
      <c r="R2647" s="31">
        <v>413</v>
      </c>
    </row>
    <row r="2648" s="1" customFormat="1" ht="16.35" hidden="1" customHeight="1" spans="1:18">
      <c r="A2648" s="6"/>
      <c r="B2648" s="6" t="s">
        <v>4123</v>
      </c>
      <c r="C2648" s="6" t="s">
        <v>4236</v>
      </c>
      <c r="D2648" s="7">
        <v>99</v>
      </c>
      <c r="E2648" s="6" t="s">
        <v>6356</v>
      </c>
      <c r="F2648" s="6" t="s">
        <v>5631</v>
      </c>
      <c r="G2648" s="6" t="s">
        <v>5632</v>
      </c>
      <c r="H2648" s="8"/>
      <c r="I2648" s="8">
        <v>3572</v>
      </c>
      <c r="J2648" s="6"/>
      <c r="K2648" s="6" t="s">
        <v>2089</v>
      </c>
      <c r="L2648" s="6"/>
      <c r="M2648" s="6"/>
      <c r="N2648" s="6" t="s">
        <v>2089</v>
      </c>
      <c r="O2648" s="29">
        <f t="shared" si="60"/>
        <v>3572</v>
      </c>
      <c r="Q2648" s="30" t="s">
        <v>2089</v>
      </c>
      <c r="R2648" s="31">
        <v>3572</v>
      </c>
    </row>
    <row r="2649" s="1" customFormat="1" ht="16.35" hidden="1" customHeight="1" spans="1:18">
      <c r="A2649" s="6"/>
      <c r="B2649" s="6" t="s">
        <v>4123</v>
      </c>
      <c r="C2649" s="6" t="s">
        <v>4236</v>
      </c>
      <c r="D2649" s="7">
        <v>99</v>
      </c>
      <c r="E2649" s="6" t="s">
        <v>6357</v>
      </c>
      <c r="F2649" s="6" t="s">
        <v>5631</v>
      </c>
      <c r="G2649" s="6" t="s">
        <v>5632</v>
      </c>
      <c r="H2649" s="8"/>
      <c r="I2649" s="8">
        <v>8257</v>
      </c>
      <c r="J2649" s="6"/>
      <c r="K2649" s="6" t="s">
        <v>2089</v>
      </c>
      <c r="L2649" s="6"/>
      <c r="M2649" s="6"/>
      <c r="N2649" s="6" t="s">
        <v>2089</v>
      </c>
      <c r="O2649" s="29">
        <f t="shared" si="60"/>
        <v>8257</v>
      </c>
      <c r="Q2649" s="30" t="s">
        <v>2089</v>
      </c>
      <c r="R2649" s="31">
        <v>8257</v>
      </c>
    </row>
    <row r="2650" s="1" customFormat="1" ht="16.35" hidden="1" customHeight="1" spans="1:18">
      <c r="A2650" s="6"/>
      <c r="B2650" s="6" t="s">
        <v>4123</v>
      </c>
      <c r="C2650" s="6" t="s">
        <v>4236</v>
      </c>
      <c r="D2650" s="7">
        <v>99</v>
      </c>
      <c r="E2650" s="6" t="s">
        <v>6358</v>
      </c>
      <c r="F2650" s="6" t="s">
        <v>5631</v>
      </c>
      <c r="G2650" s="6" t="s">
        <v>5632</v>
      </c>
      <c r="H2650" s="8"/>
      <c r="I2650" s="8">
        <v>413</v>
      </c>
      <c r="J2650" s="6"/>
      <c r="K2650" s="6" t="s">
        <v>2135</v>
      </c>
      <c r="L2650" s="6"/>
      <c r="M2650" s="6"/>
      <c r="N2650" s="6" t="s">
        <v>2135</v>
      </c>
      <c r="O2650" s="29">
        <f t="shared" si="60"/>
        <v>413</v>
      </c>
      <c r="Q2650" s="30" t="s">
        <v>2135</v>
      </c>
      <c r="R2650" s="31">
        <v>413</v>
      </c>
    </row>
    <row r="2651" s="1" customFormat="1" ht="16.35" hidden="1" customHeight="1" spans="1:18">
      <c r="A2651" s="6"/>
      <c r="B2651" s="6" t="s">
        <v>4123</v>
      </c>
      <c r="C2651" s="6" t="s">
        <v>4236</v>
      </c>
      <c r="D2651" s="7">
        <v>99</v>
      </c>
      <c r="E2651" s="6" t="s">
        <v>6359</v>
      </c>
      <c r="F2651" s="6" t="s">
        <v>5631</v>
      </c>
      <c r="G2651" s="6" t="s">
        <v>5632</v>
      </c>
      <c r="H2651" s="8"/>
      <c r="I2651" s="8">
        <v>1651</v>
      </c>
      <c r="J2651" s="6"/>
      <c r="K2651" s="6" t="s">
        <v>2135</v>
      </c>
      <c r="L2651" s="6"/>
      <c r="M2651" s="6"/>
      <c r="N2651" s="6" t="s">
        <v>2135</v>
      </c>
      <c r="O2651" s="29">
        <f t="shared" si="60"/>
        <v>1651</v>
      </c>
      <c r="Q2651" s="30" t="s">
        <v>2135</v>
      </c>
      <c r="R2651" s="31">
        <v>1651</v>
      </c>
    </row>
    <row r="2652" s="1" customFormat="1" ht="16.35" hidden="1" customHeight="1" spans="1:18">
      <c r="A2652" s="6"/>
      <c r="B2652" s="6" t="s">
        <v>4123</v>
      </c>
      <c r="C2652" s="6" t="s">
        <v>4236</v>
      </c>
      <c r="D2652" s="7">
        <v>99</v>
      </c>
      <c r="E2652" s="6" t="s">
        <v>6360</v>
      </c>
      <c r="F2652" s="6" t="s">
        <v>5631</v>
      </c>
      <c r="G2652" s="6" t="s">
        <v>5632</v>
      </c>
      <c r="H2652" s="8"/>
      <c r="I2652" s="8">
        <v>5196</v>
      </c>
      <c r="J2652" s="6"/>
      <c r="K2652" s="6" t="s">
        <v>2135</v>
      </c>
      <c r="L2652" s="6"/>
      <c r="M2652" s="6"/>
      <c r="N2652" s="6" t="s">
        <v>2135</v>
      </c>
      <c r="O2652" s="29">
        <f t="shared" si="60"/>
        <v>5196</v>
      </c>
      <c r="Q2652" s="30" t="s">
        <v>2135</v>
      </c>
      <c r="R2652" s="31">
        <v>5196</v>
      </c>
    </row>
    <row r="2653" s="1" customFormat="1" ht="16.35" hidden="1" customHeight="1" spans="1:18">
      <c r="A2653" s="6"/>
      <c r="B2653" s="6" t="s">
        <v>4123</v>
      </c>
      <c r="C2653" s="6" t="s">
        <v>4236</v>
      </c>
      <c r="D2653" s="7">
        <v>99</v>
      </c>
      <c r="E2653" s="6" t="s">
        <v>6361</v>
      </c>
      <c r="F2653" s="6" t="s">
        <v>5631</v>
      </c>
      <c r="G2653" s="6" t="s">
        <v>5632</v>
      </c>
      <c r="H2653" s="8"/>
      <c r="I2653" s="8">
        <v>826</v>
      </c>
      <c r="J2653" s="6"/>
      <c r="K2653" s="6" t="s">
        <v>2795</v>
      </c>
      <c r="L2653" s="6"/>
      <c r="M2653" s="6"/>
      <c r="N2653" s="6" t="s">
        <v>2795</v>
      </c>
      <c r="O2653" s="29">
        <f t="shared" si="60"/>
        <v>826</v>
      </c>
      <c r="Q2653" s="30" t="s">
        <v>2795</v>
      </c>
      <c r="R2653" s="31">
        <v>826</v>
      </c>
    </row>
    <row r="2654" s="1" customFormat="1" ht="16.35" hidden="1" customHeight="1" spans="1:18">
      <c r="A2654" s="6"/>
      <c r="B2654" s="6" t="s">
        <v>4123</v>
      </c>
      <c r="C2654" s="6" t="s">
        <v>4236</v>
      </c>
      <c r="D2654" s="7">
        <v>99</v>
      </c>
      <c r="E2654" s="6" t="s">
        <v>6362</v>
      </c>
      <c r="F2654" s="6" t="s">
        <v>5631</v>
      </c>
      <c r="G2654" s="6" t="s">
        <v>5632</v>
      </c>
      <c r="H2654" s="8"/>
      <c r="I2654" s="8">
        <v>4191</v>
      </c>
      <c r="J2654" s="6"/>
      <c r="K2654" s="6" t="s">
        <v>2795</v>
      </c>
      <c r="L2654" s="6"/>
      <c r="M2654" s="6"/>
      <c r="N2654" s="6" t="s">
        <v>2795</v>
      </c>
      <c r="O2654" s="29">
        <f t="shared" si="60"/>
        <v>4191</v>
      </c>
      <c r="Q2654" s="30" t="s">
        <v>2795</v>
      </c>
      <c r="R2654" s="31">
        <v>4191</v>
      </c>
    </row>
    <row r="2655" s="1" customFormat="1" ht="16.35" hidden="1" customHeight="1" spans="1:18">
      <c r="A2655" s="6"/>
      <c r="B2655" s="6" t="s">
        <v>4123</v>
      </c>
      <c r="C2655" s="6" t="s">
        <v>4236</v>
      </c>
      <c r="D2655" s="7">
        <v>99</v>
      </c>
      <c r="E2655" s="6" t="s">
        <v>6363</v>
      </c>
      <c r="F2655" s="6" t="s">
        <v>5631</v>
      </c>
      <c r="G2655" s="6" t="s">
        <v>5632</v>
      </c>
      <c r="H2655" s="8"/>
      <c r="I2655" s="8">
        <v>165</v>
      </c>
      <c r="J2655" s="6"/>
      <c r="K2655" s="6" t="s">
        <v>2121</v>
      </c>
      <c r="L2655" s="6"/>
      <c r="M2655" s="6"/>
      <c r="N2655" s="6" t="s">
        <v>2121</v>
      </c>
      <c r="O2655" s="29">
        <f t="shared" si="60"/>
        <v>165</v>
      </c>
      <c r="Q2655" s="30" t="s">
        <v>2121</v>
      </c>
      <c r="R2655" s="31">
        <v>165</v>
      </c>
    </row>
    <row r="2656" s="1" customFormat="1" ht="16.35" hidden="1" customHeight="1" spans="1:18">
      <c r="A2656" s="6"/>
      <c r="B2656" s="6" t="s">
        <v>4123</v>
      </c>
      <c r="C2656" s="6" t="s">
        <v>4236</v>
      </c>
      <c r="D2656" s="7">
        <v>99</v>
      </c>
      <c r="E2656" s="6" t="s">
        <v>6364</v>
      </c>
      <c r="F2656" s="6" t="s">
        <v>5631</v>
      </c>
      <c r="G2656" s="6" t="s">
        <v>5632</v>
      </c>
      <c r="H2656" s="8"/>
      <c r="I2656" s="8">
        <v>9908</v>
      </c>
      <c r="J2656" s="6"/>
      <c r="K2656" s="6" t="s">
        <v>2161</v>
      </c>
      <c r="L2656" s="6"/>
      <c r="M2656" s="6"/>
      <c r="N2656" s="6" t="s">
        <v>2161</v>
      </c>
      <c r="O2656" s="29">
        <f t="shared" si="60"/>
        <v>9908</v>
      </c>
      <c r="Q2656" s="30" t="s">
        <v>2161</v>
      </c>
      <c r="R2656" s="31">
        <v>9908</v>
      </c>
    </row>
    <row r="2657" s="1" customFormat="1" ht="16.35" hidden="1" customHeight="1" spans="1:18">
      <c r="A2657" s="6"/>
      <c r="B2657" s="6" t="s">
        <v>4123</v>
      </c>
      <c r="C2657" s="6" t="s">
        <v>4236</v>
      </c>
      <c r="D2657" s="7">
        <v>98</v>
      </c>
      <c r="E2657" s="6" t="s">
        <v>6365</v>
      </c>
      <c r="F2657" s="6" t="s">
        <v>5631</v>
      </c>
      <c r="G2657" s="6" t="s">
        <v>5632</v>
      </c>
      <c r="H2657" s="8"/>
      <c r="I2657" s="8">
        <v>2298</v>
      </c>
      <c r="J2657" s="6"/>
      <c r="K2657" s="6" t="s">
        <v>2113</v>
      </c>
      <c r="L2657" s="6"/>
      <c r="M2657" s="6"/>
      <c r="N2657" s="6" t="s">
        <v>2113</v>
      </c>
      <c r="O2657" s="29">
        <f t="shared" si="60"/>
        <v>2298</v>
      </c>
      <c r="Q2657" s="30" t="s">
        <v>2113</v>
      </c>
      <c r="R2657" s="31">
        <v>2298</v>
      </c>
    </row>
    <row r="2658" s="1" customFormat="1" ht="16.35" hidden="1" customHeight="1" spans="1:18">
      <c r="A2658" s="6"/>
      <c r="B2658" s="6" t="s">
        <v>4123</v>
      </c>
      <c r="C2658" s="6" t="s">
        <v>4236</v>
      </c>
      <c r="D2658" s="7">
        <v>99</v>
      </c>
      <c r="E2658" s="6" t="s">
        <v>6366</v>
      </c>
      <c r="F2658" s="6" t="s">
        <v>5631</v>
      </c>
      <c r="G2658" s="6" t="s">
        <v>5632</v>
      </c>
      <c r="H2658" s="8"/>
      <c r="I2658" s="8">
        <v>4128</v>
      </c>
      <c r="J2658" s="6"/>
      <c r="K2658" s="6" t="s">
        <v>2113</v>
      </c>
      <c r="L2658" s="6"/>
      <c r="M2658" s="6"/>
      <c r="N2658" s="6" t="s">
        <v>2113</v>
      </c>
      <c r="O2658" s="29">
        <f t="shared" si="60"/>
        <v>4128</v>
      </c>
      <c r="Q2658" s="30" t="s">
        <v>2113</v>
      </c>
      <c r="R2658" s="31">
        <v>4128</v>
      </c>
    </row>
    <row r="2659" s="1" customFormat="1" ht="16.35" hidden="1" customHeight="1" spans="1:18">
      <c r="A2659" s="6"/>
      <c r="B2659" s="6" t="s">
        <v>4123</v>
      </c>
      <c r="C2659" s="6" t="s">
        <v>4236</v>
      </c>
      <c r="D2659" s="7">
        <v>99</v>
      </c>
      <c r="E2659" s="6" t="s">
        <v>6367</v>
      </c>
      <c r="F2659" s="6" t="s">
        <v>5631</v>
      </c>
      <c r="G2659" s="6" t="s">
        <v>5632</v>
      </c>
      <c r="H2659" s="8"/>
      <c r="I2659" s="8">
        <v>4126</v>
      </c>
      <c r="J2659" s="6"/>
      <c r="K2659" s="6" t="s">
        <v>2113</v>
      </c>
      <c r="L2659" s="6"/>
      <c r="M2659" s="6"/>
      <c r="N2659" s="6" t="s">
        <v>2113</v>
      </c>
      <c r="O2659" s="29">
        <f t="shared" si="60"/>
        <v>4126</v>
      </c>
      <c r="Q2659" s="30" t="s">
        <v>2113</v>
      </c>
      <c r="R2659" s="31">
        <v>4126</v>
      </c>
    </row>
    <row r="2660" s="1" customFormat="1" ht="16.35" hidden="1" customHeight="1" spans="1:18">
      <c r="A2660" s="6"/>
      <c r="B2660" s="6" t="s">
        <v>4123</v>
      </c>
      <c r="C2660" s="6" t="s">
        <v>4236</v>
      </c>
      <c r="D2660" s="7">
        <v>98</v>
      </c>
      <c r="E2660" s="6" t="s">
        <v>6368</v>
      </c>
      <c r="F2660" s="6" t="s">
        <v>5631</v>
      </c>
      <c r="G2660" s="6" t="s">
        <v>5632</v>
      </c>
      <c r="H2660" s="8"/>
      <c r="I2660" s="8">
        <v>476</v>
      </c>
      <c r="J2660" s="6"/>
      <c r="K2660" s="6" t="s">
        <v>2809</v>
      </c>
      <c r="L2660" s="6"/>
      <c r="M2660" s="6"/>
      <c r="N2660" s="6" t="s">
        <v>2809</v>
      </c>
      <c r="O2660" s="29">
        <f t="shared" si="60"/>
        <v>476</v>
      </c>
      <c r="Q2660" s="30" t="s">
        <v>2809</v>
      </c>
      <c r="R2660" s="31">
        <v>476</v>
      </c>
    </row>
    <row r="2661" s="1" customFormat="1" ht="16.35" hidden="1" customHeight="1" spans="1:18">
      <c r="A2661" s="6"/>
      <c r="B2661" s="6" t="s">
        <v>4123</v>
      </c>
      <c r="C2661" s="6" t="s">
        <v>4236</v>
      </c>
      <c r="D2661" s="7">
        <v>99</v>
      </c>
      <c r="E2661" s="6" t="s">
        <v>6369</v>
      </c>
      <c r="F2661" s="6" t="s">
        <v>5631</v>
      </c>
      <c r="G2661" s="6" t="s">
        <v>5632</v>
      </c>
      <c r="H2661" s="8"/>
      <c r="I2661" s="8">
        <v>5367</v>
      </c>
      <c r="J2661" s="6"/>
      <c r="K2661" s="6" t="s">
        <v>2809</v>
      </c>
      <c r="L2661" s="6"/>
      <c r="M2661" s="6"/>
      <c r="N2661" s="6" t="s">
        <v>2809</v>
      </c>
      <c r="O2661" s="29">
        <f t="shared" si="60"/>
        <v>5367</v>
      </c>
      <c r="Q2661" s="30" t="s">
        <v>2809</v>
      </c>
      <c r="R2661" s="31">
        <v>5367</v>
      </c>
    </row>
    <row r="2662" s="1" customFormat="1" ht="16.35" hidden="1" customHeight="1" spans="1:18">
      <c r="A2662" s="6"/>
      <c r="B2662" s="6" t="s">
        <v>4123</v>
      </c>
      <c r="C2662" s="6" t="s">
        <v>4236</v>
      </c>
      <c r="D2662" s="7">
        <v>99</v>
      </c>
      <c r="E2662" s="6" t="s">
        <v>6370</v>
      </c>
      <c r="F2662" s="6" t="s">
        <v>5631</v>
      </c>
      <c r="G2662" s="6" t="s">
        <v>5632</v>
      </c>
      <c r="H2662" s="8"/>
      <c r="I2662" s="8">
        <v>2066</v>
      </c>
      <c r="J2662" s="6"/>
      <c r="K2662" s="6" t="s">
        <v>2809</v>
      </c>
      <c r="L2662" s="6"/>
      <c r="M2662" s="6"/>
      <c r="N2662" s="6" t="s">
        <v>2809</v>
      </c>
      <c r="O2662" s="29">
        <f t="shared" si="60"/>
        <v>2066</v>
      </c>
      <c r="Q2662" s="30" t="s">
        <v>2809</v>
      </c>
      <c r="R2662" s="31">
        <v>2066</v>
      </c>
    </row>
    <row r="2663" s="1" customFormat="1" ht="16.35" hidden="1" customHeight="1" spans="1:18">
      <c r="A2663" s="6"/>
      <c r="B2663" s="6" t="s">
        <v>4123</v>
      </c>
      <c r="C2663" s="6" t="s">
        <v>4236</v>
      </c>
      <c r="D2663" s="7">
        <v>99</v>
      </c>
      <c r="E2663" s="6" t="s">
        <v>6371</v>
      </c>
      <c r="F2663" s="6" t="s">
        <v>5631</v>
      </c>
      <c r="G2663" s="6" t="s">
        <v>5632</v>
      </c>
      <c r="H2663" s="8"/>
      <c r="I2663" s="8">
        <v>413</v>
      </c>
      <c r="J2663" s="6"/>
      <c r="K2663" s="6" t="s">
        <v>2809</v>
      </c>
      <c r="L2663" s="6"/>
      <c r="M2663" s="6"/>
      <c r="N2663" s="6" t="s">
        <v>2809</v>
      </c>
      <c r="O2663" s="29">
        <f t="shared" si="60"/>
        <v>413</v>
      </c>
      <c r="Q2663" s="30" t="s">
        <v>2809</v>
      </c>
      <c r="R2663" s="31">
        <v>413</v>
      </c>
    </row>
    <row r="2664" s="1" customFormat="1" ht="16.35" hidden="1" customHeight="1" spans="1:18">
      <c r="A2664" s="6"/>
      <c r="B2664" s="6" t="s">
        <v>4123</v>
      </c>
      <c r="C2664" s="6" t="s">
        <v>4236</v>
      </c>
      <c r="D2664" s="7">
        <v>99</v>
      </c>
      <c r="E2664" s="6" t="s">
        <v>6372</v>
      </c>
      <c r="F2664" s="6" t="s">
        <v>5631</v>
      </c>
      <c r="G2664" s="6" t="s">
        <v>5632</v>
      </c>
      <c r="H2664" s="8"/>
      <c r="I2664" s="8">
        <v>1486</v>
      </c>
      <c r="J2664" s="6"/>
      <c r="K2664" s="6" t="s">
        <v>2809</v>
      </c>
      <c r="L2664" s="6"/>
      <c r="M2664" s="6"/>
      <c r="N2664" s="6" t="s">
        <v>2809</v>
      </c>
      <c r="O2664" s="29">
        <f t="shared" si="60"/>
        <v>1486</v>
      </c>
      <c r="Q2664" s="30" t="s">
        <v>2809</v>
      </c>
      <c r="R2664" s="31">
        <v>1486</v>
      </c>
    </row>
    <row r="2665" s="1" customFormat="1" ht="16.35" hidden="1" customHeight="1" spans="1:18">
      <c r="A2665" s="6"/>
      <c r="B2665" s="6" t="s">
        <v>4123</v>
      </c>
      <c r="C2665" s="6" t="s">
        <v>4236</v>
      </c>
      <c r="D2665" s="7">
        <v>99</v>
      </c>
      <c r="E2665" s="6" t="s">
        <v>6373</v>
      </c>
      <c r="F2665" s="6" t="s">
        <v>5631</v>
      </c>
      <c r="G2665" s="6" t="s">
        <v>5632</v>
      </c>
      <c r="H2665" s="8"/>
      <c r="I2665" s="8">
        <v>553</v>
      </c>
      <c r="J2665" s="6"/>
      <c r="K2665" s="6" t="s">
        <v>2809</v>
      </c>
      <c r="L2665" s="6"/>
      <c r="M2665" s="6"/>
      <c r="N2665" s="6" t="s">
        <v>2809</v>
      </c>
      <c r="O2665" s="29">
        <f t="shared" si="60"/>
        <v>553</v>
      </c>
      <c r="Q2665" s="30" t="s">
        <v>2809</v>
      </c>
      <c r="R2665" s="31">
        <v>553</v>
      </c>
    </row>
    <row r="2666" s="1" customFormat="1" ht="16.35" hidden="1" customHeight="1" spans="1:18">
      <c r="A2666" s="6"/>
      <c r="B2666" s="6" t="s">
        <v>4123</v>
      </c>
      <c r="C2666" s="6" t="s">
        <v>4236</v>
      </c>
      <c r="D2666" s="7">
        <v>99</v>
      </c>
      <c r="E2666" s="6" t="s">
        <v>6374</v>
      </c>
      <c r="F2666" s="6" t="s">
        <v>5631</v>
      </c>
      <c r="G2666" s="6" t="s">
        <v>5632</v>
      </c>
      <c r="H2666" s="8"/>
      <c r="I2666" s="8">
        <v>1404</v>
      </c>
      <c r="J2666" s="6"/>
      <c r="K2666" s="6" t="s">
        <v>2809</v>
      </c>
      <c r="L2666" s="6"/>
      <c r="M2666" s="6"/>
      <c r="N2666" s="6" t="s">
        <v>2809</v>
      </c>
      <c r="O2666" s="29">
        <f t="shared" si="60"/>
        <v>1404</v>
      </c>
      <c r="Q2666" s="30" t="s">
        <v>2809</v>
      </c>
      <c r="R2666" s="31">
        <v>1404</v>
      </c>
    </row>
    <row r="2667" s="1" customFormat="1" ht="16.35" hidden="1" customHeight="1" spans="1:18">
      <c r="A2667" s="6"/>
      <c r="B2667" s="6" t="s">
        <v>4123</v>
      </c>
      <c r="C2667" s="6" t="s">
        <v>4236</v>
      </c>
      <c r="D2667" s="7">
        <v>99</v>
      </c>
      <c r="E2667" s="6" t="s">
        <v>6375</v>
      </c>
      <c r="F2667" s="6" t="s">
        <v>5631</v>
      </c>
      <c r="G2667" s="6" t="s">
        <v>5632</v>
      </c>
      <c r="H2667" s="8"/>
      <c r="I2667" s="8">
        <v>6606</v>
      </c>
      <c r="J2667" s="6"/>
      <c r="K2667" s="6" t="s">
        <v>2093</v>
      </c>
      <c r="L2667" s="6"/>
      <c r="M2667" s="6"/>
      <c r="N2667" s="6" t="s">
        <v>2093</v>
      </c>
      <c r="O2667" s="29">
        <f t="shared" si="60"/>
        <v>6606</v>
      </c>
      <c r="Q2667" s="30" t="s">
        <v>2093</v>
      </c>
      <c r="R2667" s="31">
        <v>6606</v>
      </c>
    </row>
    <row r="2668" s="1" customFormat="1" ht="16.35" hidden="1" customHeight="1" spans="1:18">
      <c r="A2668" s="6"/>
      <c r="B2668" s="6" t="s">
        <v>4123</v>
      </c>
      <c r="C2668" s="6" t="s">
        <v>4236</v>
      </c>
      <c r="D2668" s="7">
        <v>99</v>
      </c>
      <c r="E2668" s="6" t="s">
        <v>6376</v>
      </c>
      <c r="F2668" s="6" t="s">
        <v>5631</v>
      </c>
      <c r="G2668" s="6" t="s">
        <v>5632</v>
      </c>
      <c r="H2668" s="8"/>
      <c r="I2668" s="8">
        <v>16101</v>
      </c>
      <c r="J2668" s="6"/>
      <c r="K2668" s="6" t="s">
        <v>2093</v>
      </c>
      <c r="L2668" s="6"/>
      <c r="M2668" s="6"/>
      <c r="N2668" s="6" t="s">
        <v>2093</v>
      </c>
      <c r="O2668" s="29">
        <f t="shared" si="60"/>
        <v>16101</v>
      </c>
      <c r="Q2668" s="30" t="s">
        <v>2093</v>
      </c>
      <c r="R2668" s="31">
        <v>16101</v>
      </c>
    </row>
    <row r="2669" s="1" customFormat="1" ht="16.35" hidden="1" customHeight="1" spans="1:18">
      <c r="A2669" s="6"/>
      <c r="B2669" s="6" t="s">
        <v>4123</v>
      </c>
      <c r="C2669" s="6" t="s">
        <v>4236</v>
      </c>
      <c r="D2669" s="7">
        <v>98</v>
      </c>
      <c r="E2669" s="6" t="s">
        <v>6377</v>
      </c>
      <c r="F2669" s="6" t="s">
        <v>5631</v>
      </c>
      <c r="G2669" s="6" t="s">
        <v>5632</v>
      </c>
      <c r="H2669" s="8"/>
      <c r="I2669" s="8">
        <v>476</v>
      </c>
      <c r="J2669" s="6"/>
      <c r="K2669" s="6" t="s">
        <v>2101</v>
      </c>
      <c r="L2669" s="6"/>
      <c r="M2669" s="6"/>
      <c r="N2669" s="6" t="s">
        <v>2101</v>
      </c>
      <c r="O2669" s="29">
        <f t="shared" si="60"/>
        <v>476</v>
      </c>
      <c r="Q2669" s="30" t="s">
        <v>2101</v>
      </c>
      <c r="R2669" s="31">
        <v>476</v>
      </c>
    </row>
    <row r="2670" s="1" customFormat="1" ht="16.35" hidden="1" customHeight="1" spans="1:18">
      <c r="A2670" s="6"/>
      <c r="B2670" s="6" t="s">
        <v>4123</v>
      </c>
      <c r="C2670" s="6" t="s">
        <v>4236</v>
      </c>
      <c r="D2670" s="7">
        <v>98</v>
      </c>
      <c r="E2670" s="6" t="s">
        <v>6378</v>
      </c>
      <c r="F2670" s="6" t="s">
        <v>5631</v>
      </c>
      <c r="G2670" s="6" t="s">
        <v>5632</v>
      </c>
      <c r="H2670" s="8"/>
      <c r="I2670" s="8">
        <v>190</v>
      </c>
      <c r="J2670" s="6"/>
      <c r="K2670" s="6" t="s">
        <v>2101</v>
      </c>
      <c r="L2670" s="6"/>
      <c r="M2670" s="6"/>
      <c r="N2670" s="6" t="s">
        <v>2101</v>
      </c>
      <c r="O2670" s="29">
        <f t="shared" si="60"/>
        <v>190</v>
      </c>
      <c r="Q2670" s="30" t="s">
        <v>2101</v>
      </c>
      <c r="R2670" s="31">
        <v>190</v>
      </c>
    </row>
    <row r="2671" s="1" customFormat="1" ht="16.35" hidden="1" customHeight="1" spans="1:18">
      <c r="A2671" s="6"/>
      <c r="B2671" s="6" t="s">
        <v>4123</v>
      </c>
      <c r="C2671" s="6" t="s">
        <v>4236</v>
      </c>
      <c r="D2671" s="7">
        <v>99</v>
      </c>
      <c r="E2671" s="6" t="s">
        <v>6379</v>
      </c>
      <c r="F2671" s="6" t="s">
        <v>5631</v>
      </c>
      <c r="G2671" s="6" t="s">
        <v>5632</v>
      </c>
      <c r="H2671" s="8"/>
      <c r="I2671" s="8">
        <v>1486</v>
      </c>
      <c r="J2671" s="6"/>
      <c r="K2671" s="6" t="s">
        <v>2101</v>
      </c>
      <c r="L2671" s="6"/>
      <c r="M2671" s="6"/>
      <c r="N2671" s="6" t="s">
        <v>2101</v>
      </c>
      <c r="O2671" s="29">
        <f t="shared" si="60"/>
        <v>1486</v>
      </c>
      <c r="Q2671" s="30" t="s">
        <v>2101</v>
      </c>
      <c r="R2671" s="31">
        <v>1486</v>
      </c>
    </row>
    <row r="2672" s="1" customFormat="1" ht="16.35" hidden="1" customHeight="1" spans="1:18">
      <c r="A2672" s="6"/>
      <c r="B2672" s="6" t="s">
        <v>4123</v>
      </c>
      <c r="C2672" s="6" t="s">
        <v>4236</v>
      </c>
      <c r="D2672" s="7">
        <v>99</v>
      </c>
      <c r="E2672" s="6" t="s">
        <v>6380</v>
      </c>
      <c r="F2672" s="6" t="s">
        <v>5631</v>
      </c>
      <c r="G2672" s="6" t="s">
        <v>5632</v>
      </c>
      <c r="H2672" s="8"/>
      <c r="I2672" s="8">
        <v>2392</v>
      </c>
      <c r="J2672" s="6"/>
      <c r="K2672" s="6" t="s">
        <v>2101</v>
      </c>
      <c r="L2672" s="6"/>
      <c r="M2672" s="6"/>
      <c r="N2672" s="6" t="s">
        <v>2101</v>
      </c>
      <c r="O2672" s="29">
        <f t="shared" si="60"/>
        <v>2392</v>
      </c>
      <c r="Q2672" s="30" t="s">
        <v>2101</v>
      </c>
      <c r="R2672" s="31">
        <v>2392</v>
      </c>
    </row>
    <row r="2673" s="1" customFormat="1" ht="16.35" hidden="1" customHeight="1" spans="1:18">
      <c r="A2673" s="6"/>
      <c r="B2673" s="6" t="s">
        <v>4123</v>
      </c>
      <c r="C2673" s="6" t="s">
        <v>4236</v>
      </c>
      <c r="D2673" s="7">
        <v>99</v>
      </c>
      <c r="E2673" s="6" t="s">
        <v>6381</v>
      </c>
      <c r="F2673" s="6" t="s">
        <v>5631</v>
      </c>
      <c r="G2673" s="6" t="s">
        <v>5632</v>
      </c>
      <c r="H2673" s="8"/>
      <c r="I2673" s="8">
        <v>9083</v>
      </c>
      <c r="J2673" s="6"/>
      <c r="K2673" s="6" t="s">
        <v>2101</v>
      </c>
      <c r="L2673" s="6"/>
      <c r="M2673" s="6"/>
      <c r="N2673" s="6" t="s">
        <v>2101</v>
      </c>
      <c r="O2673" s="29">
        <f t="shared" si="60"/>
        <v>9083</v>
      </c>
      <c r="Q2673" s="30" t="s">
        <v>2101</v>
      </c>
      <c r="R2673" s="31">
        <v>9083</v>
      </c>
    </row>
    <row r="2674" s="1" customFormat="1" ht="16.35" hidden="1" customHeight="1" spans="1:18">
      <c r="A2674" s="6"/>
      <c r="B2674" s="6" t="s">
        <v>4123</v>
      </c>
      <c r="C2674" s="6" t="s">
        <v>4236</v>
      </c>
      <c r="D2674" s="7">
        <v>99</v>
      </c>
      <c r="E2674" s="6" t="s">
        <v>6382</v>
      </c>
      <c r="F2674" s="6" t="s">
        <v>5631</v>
      </c>
      <c r="G2674" s="6" t="s">
        <v>5632</v>
      </c>
      <c r="H2674" s="8"/>
      <c r="I2674" s="8">
        <v>413</v>
      </c>
      <c r="J2674" s="6"/>
      <c r="K2674" s="6" t="s">
        <v>2109</v>
      </c>
      <c r="L2674" s="6"/>
      <c r="M2674" s="6"/>
      <c r="N2674" s="6" t="s">
        <v>2109</v>
      </c>
      <c r="O2674" s="29">
        <f t="shared" si="60"/>
        <v>413</v>
      </c>
      <c r="Q2674" s="30" t="s">
        <v>2109</v>
      </c>
      <c r="R2674" s="31">
        <v>413</v>
      </c>
    </row>
    <row r="2675" s="1" customFormat="1" ht="16.35" hidden="1" customHeight="1" spans="1:18">
      <c r="A2675" s="6"/>
      <c r="B2675" s="6" t="s">
        <v>4123</v>
      </c>
      <c r="C2675" s="6" t="s">
        <v>4236</v>
      </c>
      <c r="D2675" s="7">
        <v>99</v>
      </c>
      <c r="E2675" s="6" t="s">
        <v>6383</v>
      </c>
      <c r="F2675" s="6" t="s">
        <v>5631</v>
      </c>
      <c r="G2675" s="6" t="s">
        <v>5632</v>
      </c>
      <c r="H2675" s="8"/>
      <c r="I2675" s="8">
        <v>7002</v>
      </c>
      <c r="J2675" s="6"/>
      <c r="K2675" s="6" t="s">
        <v>2109</v>
      </c>
      <c r="L2675" s="6"/>
      <c r="M2675" s="6"/>
      <c r="N2675" s="6" t="s">
        <v>2109</v>
      </c>
      <c r="O2675" s="29">
        <f t="shared" si="60"/>
        <v>7002</v>
      </c>
      <c r="Q2675" s="30" t="s">
        <v>2109</v>
      </c>
      <c r="R2675" s="31">
        <v>7002</v>
      </c>
    </row>
    <row r="2676" s="1" customFormat="1" ht="16.35" hidden="1" customHeight="1" spans="1:18">
      <c r="A2676" s="6"/>
      <c r="B2676" s="6" t="s">
        <v>4123</v>
      </c>
      <c r="C2676" s="6" t="s">
        <v>4236</v>
      </c>
      <c r="D2676" s="7">
        <v>99</v>
      </c>
      <c r="E2676" s="6" t="s">
        <v>6384</v>
      </c>
      <c r="F2676" s="6" t="s">
        <v>5631</v>
      </c>
      <c r="G2676" s="6" t="s">
        <v>5632</v>
      </c>
      <c r="H2676" s="8"/>
      <c r="I2676" s="8">
        <v>10734</v>
      </c>
      <c r="J2676" s="6"/>
      <c r="K2676" s="6" t="s">
        <v>2109</v>
      </c>
      <c r="L2676" s="6"/>
      <c r="M2676" s="6"/>
      <c r="N2676" s="6" t="s">
        <v>2109</v>
      </c>
      <c r="O2676" s="29">
        <f t="shared" si="60"/>
        <v>10734</v>
      </c>
      <c r="Q2676" s="30" t="s">
        <v>2109</v>
      </c>
      <c r="R2676" s="31">
        <v>10734</v>
      </c>
    </row>
    <row r="2677" s="1" customFormat="1" ht="16.35" hidden="1" customHeight="1" spans="1:18">
      <c r="A2677" s="6"/>
      <c r="B2677" s="6" t="s">
        <v>4123</v>
      </c>
      <c r="C2677" s="6" t="s">
        <v>4236</v>
      </c>
      <c r="D2677" s="7">
        <v>98</v>
      </c>
      <c r="E2677" s="6" t="s">
        <v>6385</v>
      </c>
      <c r="F2677" s="6" t="s">
        <v>5631</v>
      </c>
      <c r="G2677" s="6" t="s">
        <v>5632</v>
      </c>
      <c r="H2677" s="8"/>
      <c r="I2677" s="8">
        <v>2381</v>
      </c>
      <c r="J2677" s="6"/>
      <c r="K2677" s="6" t="s">
        <v>2119</v>
      </c>
      <c r="L2677" s="6"/>
      <c r="M2677" s="6"/>
      <c r="N2677" s="6" t="s">
        <v>2119</v>
      </c>
      <c r="O2677" s="29">
        <f t="shared" si="60"/>
        <v>2381</v>
      </c>
      <c r="Q2677" s="30" t="s">
        <v>2119</v>
      </c>
      <c r="R2677" s="31">
        <v>2381</v>
      </c>
    </row>
    <row r="2678" s="1" customFormat="1" ht="16.35" hidden="1" customHeight="1" spans="1:18">
      <c r="A2678" s="6"/>
      <c r="B2678" s="6" t="s">
        <v>4123</v>
      </c>
      <c r="C2678" s="6" t="s">
        <v>4236</v>
      </c>
      <c r="D2678" s="7">
        <v>99</v>
      </c>
      <c r="E2678" s="6" t="s">
        <v>6386</v>
      </c>
      <c r="F2678" s="6" t="s">
        <v>5631</v>
      </c>
      <c r="G2678" s="6" t="s">
        <v>5632</v>
      </c>
      <c r="H2678" s="8"/>
      <c r="I2678" s="8">
        <v>4147</v>
      </c>
      <c r="J2678" s="6"/>
      <c r="K2678" s="6" t="s">
        <v>2119</v>
      </c>
      <c r="L2678" s="6"/>
      <c r="M2678" s="6"/>
      <c r="N2678" s="6" t="s">
        <v>2119</v>
      </c>
      <c r="O2678" s="29">
        <f t="shared" si="60"/>
        <v>4147</v>
      </c>
      <c r="Q2678" s="30" t="s">
        <v>2119</v>
      </c>
      <c r="R2678" s="31">
        <v>4147</v>
      </c>
    </row>
    <row r="2679" s="1" customFormat="1" ht="16.35" hidden="1" customHeight="1" spans="1:18">
      <c r="A2679" s="6"/>
      <c r="B2679" s="6" t="s">
        <v>4123</v>
      </c>
      <c r="C2679" s="6" t="s">
        <v>4236</v>
      </c>
      <c r="D2679" s="7">
        <v>99</v>
      </c>
      <c r="E2679" s="6" t="s">
        <v>6387</v>
      </c>
      <c r="F2679" s="6" t="s">
        <v>5631</v>
      </c>
      <c r="G2679" s="6" t="s">
        <v>5632</v>
      </c>
      <c r="H2679" s="8"/>
      <c r="I2679" s="8">
        <v>3963</v>
      </c>
      <c r="J2679" s="6"/>
      <c r="K2679" s="6" t="s">
        <v>2119</v>
      </c>
      <c r="L2679" s="6"/>
      <c r="M2679" s="6"/>
      <c r="N2679" s="6" t="s">
        <v>2119</v>
      </c>
      <c r="O2679" s="29">
        <f t="shared" si="60"/>
        <v>3963</v>
      </c>
      <c r="Q2679" s="30" t="s">
        <v>2119</v>
      </c>
      <c r="R2679" s="31">
        <v>3963</v>
      </c>
    </row>
    <row r="2680" s="1" customFormat="1" ht="16.35" hidden="1" customHeight="1" spans="1:18">
      <c r="A2680" s="6"/>
      <c r="B2680" s="6" t="s">
        <v>4123</v>
      </c>
      <c r="C2680" s="6" t="s">
        <v>4236</v>
      </c>
      <c r="D2680" s="7">
        <v>99</v>
      </c>
      <c r="E2680" s="6" t="s">
        <v>6388</v>
      </c>
      <c r="F2680" s="6" t="s">
        <v>5631</v>
      </c>
      <c r="G2680" s="6" t="s">
        <v>5632</v>
      </c>
      <c r="H2680" s="8"/>
      <c r="I2680" s="8">
        <v>897</v>
      </c>
      <c r="J2680" s="6"/>
      <c r="K2680" s="6" t="s">
        <v>2127</v>
      </c>
      <c r="L2680" s="6"/>
      <c r="M2680" s="6"/>
      <c r="N2680" s="6" t="s">
        <v>2127</v>
      </c>
      <c r="O2680" s="29">
        <f t="shared" si="60"/>
        <v>897</v>
      </c>
      <c r="Q2680" s="30" t="s">
        <v>2127</v>
      </c>
      <c r="R2680" s="31">
        <v>897</v>
      </c>
    </row>
    <row r="2681" s="1" customFormat="1" ht="16.35" hidden="1" customHeight="1" spans="1:18">
      <c r="A2681" s="6"/>
      <c r="B2681" s="6" t="s">
        <v>4123</v>
      </c>
      <c r="C2681" s="6" t="s">
        <v>4236</v>
      </c>
      <c r="D2681" s="7">
        <v>99</v>
      </c>
      <c r="E2681" s="6" t="s">
        <v>6389</v>
      </c>
      <c r="F2681" s="6" t="s">
        <v>5631</v>
      </c>
      <c r="G2681" s="6" t="s">
        <v>5632</v>
      </c>
      <c r="H2681" s="8"/>
      <c r="I2681" s="8">
        <v>6275</v>
      </c>
      <c r="J2681" s="6"/>
      <c r="K2681" s="6" t="s">
        <v>2127</v>
      </c>
      <c r="L2681" s="6"/>
      <c r="M2681" s="6"/>
      <c r="N2681" s="6" t="s">
        <v>2127</v>
      </c>
      <c r="O2681" s="29">
        <f t="shared" si="60"/>
        <v>6275</v>
      </c>
      <c r="Q2681" s="30" t="s">
        <v>2127</v>
      </c>
      <c r="R2681" s="31">
        <v>6275</v>
      </c>
    </row>
    <row r="2682" s="1" customFormat="1" ht="16.35" hidden="1" customHeight="1" spans="1:18">
      <c r="A2682" s="6"/>
      <c r="B2682" s="6" t="s">
        <v>4123</v>
      </c>
      <c r="C2682" s="6" t="s">
        <v>4236</v>
      </c>
      <c r="D2682" s="7">
        <v>99</v>
      </c>
      <c r="E2682" s="6" t="s">
        <v>6390</v>
      </c>
      <c r="F2682" s="6" t="s">
        <v>5631</v>
      </c>
      <c r="G2682" s="6" t="s">
        <v>5632</v>
      </c>
      <c r="H2682" s="8"/>
      <c r="I2682" s="8">
        <v>15688</v>
      </c>
      <c r="J2682" s="6"/>
      <c r="K2682" s="6" t="s">
        <v>2127</v>
      </c>
      <c r="L2682" s="6"/>
      <c r="M2682" s="6"/>
      <c r="N2682" s="6" t="s">
        <v>2127</v>
      </c>
      <c r="O2682" s="29">
        <f t="shared" si="60"/>
        <v>15688</v>
      </c>
      <c r="Q2682" s="30" t="s">
        <v>2127</v>
      </c>
      <c r="R2682" s="31">
        <v>15688</v>
      </c>
    </row>
    <row r="2683" s="1" customFormat="1" ht="16.35" hidden="1" customHeight="1" spans="1:18">
      <c r="A2683" s="6"/>
      <c r="B2683" s="6" t="s">
        <v>4123</v>
      </c>
      <c r="C2683" s="6" t="s">
        <v>4236</v>
      </c>
      <c r="D2683" s="7">
        <v>98</v>
      </c>
      <c r="E2683" s="6" t="s">
        <v>6391</v>
      </c>
      <c r="F2683" s="6" t="s">
        <v>5631</v>
      </c>
      <c r="G2683" s="6" t="s">
        <v>5632</v>
      </c>
      <c r="H2683" s="8"/>
      <c r="I2683" s="8">
        <v>1423</v>
      </c>
      <c r="J2683" s="6"/>
      <c r="K2683" s="6" t="s">
        <v>2139</v>
      </c>
      <c r="L2683" s="6"/>
      <c r="M2683" s="6"/>
      <c r="N2683" s="6" t="s">
        <v>2139</v>
      </c>
      <c r="O2683" s="29">
        <f t="shared" si="60"/>
        <v>1423</v>
      </c>
      <c r="Q2683" s="30" t="s">
        <v>2139</v>
      </c>
      <c r="R2683" s="31">
        <v>1423</v>
      </c>
    </row>
    <row r="2684" s="1" customFormat="1" ht="16.35" hidden="1" customHeight="1" spans="1:18">
      <c r="A2684" s="6"/>
      <c r="B2684" s="6" t="s">
        <v>4123</v>
      </c>
      <c r="C2684" s="6" t="s">
        <v>4236</v>
      </c>
      <c r="D2684" s="7">
        <v>99</v>
      </c>
      <c r="E2684" s="6" t="s">
        <v>6392</v>
      </c>
      <c r="F2684" s="6" t="s">
        <v>5631</v>
      </c>
      <c r="G2684" s="6" t="s">
        <v>5632</v>
      </c>
      <c r="H2684" s="8"/>
      <c r="I2684" s="8">
        <v>7018</v>
      </c>
      <c r="J2684" s="6"/>
      <c r="K2684" s="6" t="s">
        <v>2139</v>
      </c>
      <c r="L2684" s="6"/>
      <c r="M2684" s="6"/>
      <c r="N2684" s="6" t="s">
        <v>2139</v>
      </c>
      <c r="O2684" s="29">
        <f t="shared" si="60"/>
        <v>7018</v>
      </c>
      <c r="Q2684" s="30" t="s">
        <v>2139</v>
      </c>
      <c r="R2684" s="31">
        <v>7018</v>
      </c>
    </row>
    <row r="2685" s="1" customFormat="1" ht="16.35" hidden="1" customHeight="1" spans="1:18">
      <c r="A2685" s="6"/>
      <c r="B2685" s="6" t="s">
        <v>4123</v>
      </c>
      <c r="C2685" s="6" t="s">
        <v>4236</v>
      </c>
      <c r="D2685" s="7">
        <v>99</v>
      </c>
      <c r="E2685" s="6" t="s">
        <v>6393</v>
      </c>
      <c r="F2685" s="6" t="s">
        <v>5631</v>
      </c>
      <c r="G2685" s="6" t="s">
        <v>5632</v>
      </c>
      <c r="H2685" s="8"/>
      <c r="I2685" s="8">
        <v>4128</v>
      </c>
      <c r="J2685" s="6"/>
      <c r="K2685" s="6" t="s">
        <v>2171</v>
      </c>
      <c r="L2685" s="6"/>
      <c r="M2685" s="6"/>
      <c r="N2685" s="6" t="s">
        <v>2171</v>
      </c>
      <c r="O2685" s="29">
        <f t="shared" si="60"/>
        <v>4128</v>
      </c>
      <c r="Q2685" s="30" t="s">
        <v>2171</v>
      </c>
      <c r="R2685" s="31">
        <v>4128</v>
      </c>
    </row>
    <row r="2686" s="1" customFormat="1" ht="16.35" hidden="1" customHeight="1" spans="1:18">
      <c r="A2686" s="6"/>
      <c r="B2686" s="6" t="s">
        <v>4123</v>
      </c>
      <c r="C2686" s="6" t="s">
        <v>4236</v>
      </c>
      <c r="D2686" s="7">
        <v>99</v>
      </c>
      <c r="E2686" s="6" t="s">
        <v>6394</v>
      </c>
      <c r="F2686" s="6" t="s">
        <v>5631</v>
      </c>
      <c r="G2686" s="6" t="s">
        <v>5632</v>
      </c>
      <c r="H2686" s="8"/>
      <c r="I2686" s="8">
        <v>1304</v>
      </c>
      <c r="J2686" s="6"/>
      <c r="K2686" s="6" t="s">
        <v>2171</v>
      </c>
      <c r="L2686" s="6"/>
      <c r="M2686" s="6"/>
      <c r="N2686" s="6" t="s">
        <v>2171</v>
      </c>
      <c r="O2686" s="29">
        <f t="shared" si="60"/>
        <v>1304</v>
      </c>
      <c r="Q2686" s="30" t="s">
        <v>2171</v>
      </c>
      <c r="R2686" s="31">
        <v>1304</v>
      </c>
    </row>
    <row r="2687" s="1" customFormat="1" ht="16.35" hidden="1" customHeight="1" spans="1:18">
      <c r="A2687" s="6"/>
      <c r="B2687" s="6" t="s">
        <v>4123</v>
      </c>
      <c r="C2687" s="6" t="s">
        <v>4236</v>
      </c>
      <c r="D2687" s="7">
        <v>99</v>
      </c>
      <c r="E2687" s="6" t="s">
        <v>6395</v>
      </c>
      <c r="F2687" s="6" t="s">
        <v>5631</v>
      </c>
      <c r="G2687" s="6" t="s">
        <v>5632</v>
      </c>
      <c r="H2687" s="8"/>
      <c r="I2687" s="8">
        <v>12385</v>
      </c>
      <c r="J2687" s="6"/>
      <c r="K2687" s="6" t="s">
        <v>2171</v>
      </c>
      <c r="L2687" s="6"/>
      <c r="M2687" s="6"/>
      <c r="N2687" s="6" t="s">
        <v>2171</v>
      </c>
      <c r="O2687" s="29">
        <f t="shared" si="60"/>
        <v>12385</v>
      </c>
      <c r="Q2687" s="30" t="s">
        <v>2171</v>
      </c>
      <c r="R2687" s="31">
        <v>12385</v>
      </c>
    </row>
    <row r="2688" s="1" customFormat="1" ht="16.35" hidden="1" customHeight="1" spans="1:18">
      <c r="A2688" s="6"/>
      <c r="B2688" s="6" t="s">
        <v>4123</v>
      </c>
      <c r="C2688" s="6" t="s">
        <v>4236</v>
      </c>
      <c r="D2688" s="7">
        <v>99</v>
      </c>
      <c r="E2688" s="6" t="s">
        <v>6396</v>
      </c>
      <c r="F2688" s="6" t="s">
        <v>5631</v>
      </c>
      <c r="G2688" s="6" t="s">
        <v>5632</v>
      </c>
      <c r="H2688" s="8"/>
      <c r="I2688" s="8">
        <v>165</v>
      </c>
      <c r="J2688" s="6"/>
      <c r="K2688" s="6" t="s">
        <v>2177</v>
      </c>
      <c r="L2688" s="6"/>
      <c r="M2688" s="6"/>
      <c r="N2688" s="6" t="s">
        <v>2177</v>
      </c>
      <c r="O2688" s="29">
        <f t="shared" si="60"/>
        <v>165</v>
      </c>
      <c r="Q2688" s="30" t="s">
        <v>2177</v>
      </c>
      <c r="R2688" s="31">
        <v>165</v>
      </c>
    </row>
    <row r="2689" s="1" customFormat="1" ht="16.35" hidden="1" customHeight="1" spans="1:18">
      <c r="A2689" s="6"/>
      <c r="B2689" s="6" t="s">
        <v>4123</v>
      </c>
      <c r="C2689" s="6" t="s">
        <v>4236</v>
      </c>
      <c r="D2689" s="7">
        <v>99</v>
      </c>
      <c r="E2689" s="6" t="s">
        <v>6397</v>
      </c>
      <c r="F2689" s="6" t="s">
        <v>5631</v>
      </c>
      <c r="G2689" s="6" t="s">
        <v>5632</v>
      </c>
      <c r="H2689" s="8"/>
      <c r="I2689" s="8">
        <v>5870</v>
      </c>
      <c r="J2689" s="6"/>
      <c r="K2689" s="6" t="s">
        <v>2177</v>
      </c>
      <c r="L2689" s="6"/>
      <c r="M2689" s="6"/>
      <c r="N2689" s="6" t="s">
        <v>2177</v>
      </c>
      <c r="O2689" s="29">
        <f t="shared" si="60"/>
        <v>5870</v>
      </c>
      <c r="Q2689" s="30" t="s">
        <v>2177</v>
      </c>
      <c r="R2689" s="31">
        <v>5870</v>
      </c>
    </row>
    <row r="2690" s="1" customFormat="1" ht="16.35" hidden="1" customHeight="1" spans="1:18">
      <c r="A2690" s="6"/>
      <c r="B2690" s="6" t="s">
        <v>4123</v>
      </c>
      <c r="C2690" s="6" t="s">
        <v>4236</v>
      </c>
      <c r="D2690" s="7">
        <v>99</v>
      </c>
      <c r="E2690" s="6" t="s">
        <v>6398</v>
      </c>
      <c r="F2690" s="6" t="s">
        <v>5631</v>
      </c>
      <c r="G2690" s="6" t="s">
        <v>5632</v>
      </c>
      <c r="H2690" s="8"/>
      <c r="I2690" s="8">
        <v>11147</v>
      </c>
      <c r="J2690" s="6"/>
      <c r="K2690" s="6" t="s">
        <v>2177</v>
      </c>
      <c r="L2690" s="6"/>
      <c r="M2690" s="6"/>
      <c r="N2690" s="6" t="s">
        <v>2177</v>
      </c>
      <c r="O2690" s="29">
        <f t="shared" si="60"/>
        <v>11147</v>
      </c>
      <c r="Q2690" s="30" t="s">
        <v>2177</v>
      </c>
      <c r="R2690" s="31">
        <v>11147</v>
      </c>
    </row>
    <row r="2691" s="1" customFormat="1" ht="16.35" hidden="1" customHeight="1" spans="1:18">
      <c r="A2691" s="6"/>
      <c r="B2691" s="6" t="s">
        <v>4123</v>
      </c>
      <c r="C2691" s="6" t="s">
        <v>4236</v>
      </c>
      <c r="D2691" s="7">
        <v>99</v>
      </c>
      <c r="E2691" s="6" t="s">
        <v>6399</v>
      </c>
      <c r="F2691" s="6" t="s">
        <v>5631</v>
      </c>
      <c r="G2691" s="6" t="s">
        <v>5632</v>
      </c>
      <c r="H2691" s="8"/>
      <c r="I2691" s="8">
        <v>826</v>
      </c>
      <c r="J2691" s="6"/>
      <c r="K2691" s="6" t="s">
        <v>2305</v>
      </c>
      <c r="L2691" s="6"/>
      <c r="M2691" s="6"/>
      <c r="N2691" s="6" t="s">
        <v>2305</v>
      </c>
      <c r="O2691" s="29">
        <f t="shared" si="60"/>
        <v>826</v>
      </c>
      <c r="Q2691" s="30" t="s">
        <v>2305</v>
      </c>
      <c r="R2691" s="31">
        <v>826</v>
      </c>
    </row>
    <row r="2692" s="1" customFormat="1" ht="16.35" hidden="1" customHeight="1" spans="1:18">
      <c r="A2692" s="6"/>
      <c r="B2692" s="6" t="s">
        <v>4123</v>
      </c>
      <c r="C2692" s="6" t="s">
        <v>4236</v>
      </c>
      <c r="D2692" s="7">
        <v>99</v>
      </c>
      <c r="E2692" s="6" t="s">
        <v>6400</v>
      </c>
      <c r="F2692" s="6" t="s">
        <v>5631</v>
      </c>
      <c r="G2692" s="6" t="s">
        <v>5632</v>
      </c>
      <c r="H2692" s="8"/>
      <c r="I2692" s="8">
        <v>83</v>
      </c>
      <c r="J2692" s="6"/>
      <c r="K2692" s="6" t="s">
        <v>2186</v>
      </c>
      <c r="L2692" s="6"/>
      <c r="M2692" s="6"/>
      <c r="N2692" s="6" t="s">
        <v>2186</v>
      </c>
      <c r="O2692" s="29">
        <f t="shared" si="60"/>
        <v>83</v>
      </c>
      <c r="Q2692" s="30" t="s">
        <v>2186</v>
      </c>
      <c r="R2692" s="31">
        <v>83</v>
      </c>
    </row>
    <row r="2693" s="1" customFormat="1" ht="16.35" hidden="1" customHeight="1" spans="1:18">
      <c r="A2693" s="6"/>
      <c r="B2693" s="6" t="s">
        <v>4123</v>
      </c>
      <c r="C2693" s="6" t="s">
        <v>4236</v>
      </c>
      <c r="D2693" s="7">
        <v>99</v>
      </c>
      <c r="E2693" s="6" t="s">
        <v>6401</v>
      </c>
      <c r="F2693" s="6" t="s">
        <v>5631</v>
      </c>
      <c r="G2693" s="6" t="s">
        <v>5632</v>
      </c>
      <c r="H2693" s="8"/>
      <c r="I2693" s="8">
        <v>7266</v>
      </c>
      <c r="J2693" s="6"/>
      <c r="K2693" s="6" t="s">
        <v>2186</v>
      </c>
      <c r="L2693" s="6"/>
      <c r="M2693" s="6"/>
      <c r="N2693" s="6" t="s">
        <v>2186</v>
      </c>
      <c r="O2693" s="29">
        <f t="shared" si="60"/>
        <v>7266</v>
      </c>
      <c r="Q2693" s="30" t="s">
        <v>2186</v>
      </c>
      <c r="R2693" s="31">
        <v>7266</v>
      </c>
    </row>
    <row r="2694" s="1" customFormat="1" ht="16.35" hidden="1" customHeight="1" spans="1:18">
      <c r="A2694" s="6"/>
      <c r="B2694" s="6" t="s">
        <v>4123</v>
      </c>
      <c r="C2694" s="6" t="s">
        <v>4236</v>
      </c>
      <c r="D2694" s="7">
        <v>99</v>
      </c>
      <c r="E2694" s="6" t="s">
        <v>6402</v>
      </c>
      <c r="F2694" s="6" t="s">
        <v>5631</v>
      </c>
      <c r="G2694" s="6" t="s">
        <v>5632</v>
      </c>
      <c r="H2694" s="8"/>
      <c r="I2694" s="8">
        <v>12550</v>
      </c>
      <c r="J2694" s="6"/>
      <c r="K2694" s="6" t="s">
        <v>2186</v>
      </c>
      <c r="L2694" s="6"/>
      <c r="M2694" s="6"/>
      <c r="N2694" s="6" t="s">
        <v>2186</v>
      </c>
      <c r="O2694" s="29">
        <f t="shared" si="60"/>
        <v>12550</v>
      </c>
      <c r="Q2694" s="30" t="s">
        <v>2186</v>
      </c>
      <c r="R2694" s="31">
        <v>12550</v>
      </c>
    </row>
    <row r="2695" s="1" customFormat="1" ht="16.35" hidden="1" customHeight="1" spans="1:18">
      <c r="A2695" s="6"/>
      <c r="B2695" s="6" t="s">
        <v>4123</v>
      </c>
      <c r="C2695" s="6" t="s">
        <v>4236</v>
      </c>
      <c r="D2695" s="7">
        <v>99</v>
      </c>
      <c r="E2695" s="6" t="s">
        <v>6403</v>
      </c>
      <c r="F2695" s="6" t="s">
        <v>5631</v>
      </c>
      <c r="G2695" s="6" t="s">
        <v>5632</v>
      </c>
      <c r="H2695" s="8"/>
      <c r="I2695" s="8">
        <v>743</v>
      </c>
      <c r="J2695" s="6"/>
      <c r="K2695" s="6" t="s">
        <v>2200</v>
      </c>
      <c r="L2695" s="6"/>
      <c r="M2695" s="6"/>
      <c r="N2695" s="6" t="s">
        <v>2200</v>
      </c>
      <c r="O2695" s="29">
        <f t="shared" si="60"/>
        <v>743</v>
      </c>
      <c r="Q2695" s="30" t="s">
        <v>2200</v>
      </c>
      <c r="R2695" s="31">
        <v>743</v>
      </c>
    </row>
    <row r="2696" s="1" customFormat="1" ht="16.35" hidden="1" customHeight="1" spans="1:18">
      <c r="A2696" s="6"/>
      <c r="B2696" s="6" t="s">
        <v>4123</v>
      </c>
      <c r="C2696" s="6" t="s">
        <v>4236</v>
      </c>
      <c r="D2696" s="7">
        <v>99</v>
      </c>
      <c r="E2696" s="6" t="s">
        <v>6404</v>
      </c>
      <c r="F2696" s="6" t="s">
        <v>5631</v>
      </c>
      <c r="G2696" s="6" t="s">
        <v>5632</v>
      </c>
      <c r="H2696" s="8"/>
      <c r="I2696" s="8">
        <v>2890</v>
      </c>
      <c r="J2696" s="6"/>
      <c r="K2696" s="6" t="s">
        <v>2200</v>
      </c>
      <c r="L2696" s="6"/>
      <c r="M2696" s="6"/>
      <c r="N2696" s="6" t="s">
        <v>2200</v>
      </c>
      <c r="O2696" s="29">
        <f t="shared" si="60"/>
        <v>2890</v>
      </c>
      <c r="Q2696" s="30" t="s">
        <v>2200</v>
      </c>
      <c r="R2696" s="31">
        <v>2890</v>
      </c>
    </row>
    <row r="2697" s="1" customFormat="1" ht="16.35" hidden="1" customHeight="1" spans="1:18">
      <c r="A2697" s="6"/>
      <c r="B2697" s="6" t="s">
        <v>4123</v>
      </c>
      <c r="C2697" s="6" t="s">
        <v>4236</v>
      </c>
      <c r="D2697" s="7">
        <v>99</v>
      </c>
      <c r="E2697" s="6" t="s">
        <v>6405</v>
      </c>
      <c r="F2697" s="6" t="s">
        <v>5631</v>
      </c>
      <c r="G2697" s="6" t="s">
        <v>5632</v>
      </c>
      <c r="H2697" s="8"/>
      <c r="I2697" s="8">
        <v>515</v>
      </c>
      <c r="J2697" s="6"/>
      <c r="K2697" s="6" t="s">
        <v>2200</v>
      </c>
      <c r="L2697" s="6"/>
      <c r="M2697" s="6"/>
      <c r="N2697" s="6" t="s">
        <v>2200</v>
      </c>
      <c r="O2697" s="29">
        <f t="shared" si="60"/>
        <v>515</v>
      </c>
      <c r="Q2697" s="30" t="s">
        <v>2200</v>
      </c>
      <c r="R2697" s="31">
        <v>515</v>
      </c>
    </row>
    <row r="2698" s="1" customFormat="1" ht="16.35" hidden="1" customHeight="1" spans="1:18">
      <c r="A2698" s="6"/>
      <c r="B2698" s="6" t="s">
        <v>4123</v>
      </c>
      <c r="C2698" s="6" t="s">
        <v>4236</v>
      </c>
      <c r="D2698" s="7">
        <v>99</v>
      </c>
      <c r="E2698" s="6" t="s">
        <v>6406</v>
      </c>
      <c r="F2698" s="6" t="s">
        <v>5631</v>
      </c>
      <c r="G2698" s="6" t="s">
        <v>5632</v>
      </c>
      <c r="H2698" s="8"/>
      <c r="I2698" s="8">
        <v>12385</v>
      </c>
      <c r="J2698" s="6"/>
      <c r="K2698" s="6" t="s">
        <v>2200</v>
      </c>
      <c r="L2698" s="6"/>
      <c r="M2698" s="6"/>
      <c r="N2698" s="6" t="s">
        <v>2200</v>
      </c>
      <c r="O2698" s="29">
        <f t="shared" si="60"/>
        <v>12385</v>
      </c>
      <c r="Q2698" s="30" t="s">
        <v>2200</v>
      </c>
      <c r="R2698" s="31">
        <v>12385</v>
      </c>
    </row>
    <row r="2699" s="1" customFormat="1" ht="16.35" hidden="1" customHeight="1" spans="1:18">
      <c r="A2699" s="6"/>
      <c r="B2699" s="6" t="s">
        <v>4123</v>
      </c>
      <c r="C2699" s="6" t="s">
        <v>4236</v>
      </c>
      <c r="D2699" s="7">
        <v>99</v>
      </c>
      <c r="E2699" s="6" t="s">
        <v>6407</v>
      </c>
      <c r="F2699" s="6" t="s">
        <v>5631</v>
      </c>
      <c r="G2699" s="6" t="s">
        <v>5632</v>
      </c>
      <c r="H2699" s="8"/>
      <c r="I2699" s="8">
        <v>1486</v>
      </c>
      <c r="J2699" s="6"/>
      <c r="K2699" s="6" t="s">
        <v>2200</v>
      </c>
      <c r="L2699" s="6"/>
      <c r="M2699" s="6"/>
      <c r="N2699" s="6" t="s">
        <v>2200</v>
      </c>
      <c r="O2699" s="29">
        <f t="shared" si="60"/>
        <v>1486</v>
      </c>
      <c r="Q2699" s="30" t="s">
        <v>2200</v>
      </c>
      <c r="R2699" s="31">
        <v>1486</v>
      </c>
    </row>
    <row r="2700" s="1" customFormat="1" ht="16.35" hidden="1" customHeight="1" spans="1:18">
      <c r="A2700" s="6"/>
      <c r="B2700" s="6" t="s">
        <v>4123</v>
      </c>
      <c r="C2700" s="6" t="s">
        <v>4236</v>
      </c>
      <c r="D2700" s="7">
        <v>99</v>
      </c>
      <c r="E2700" s="6" t="s">
        <v>6408</v>
      </c>
      <c r="F2700" s="6" t="s">
        <v>5631</v>
      </c>
      <c r="G2700" s="6" t="s">
        <v>5632</v>
      </c>
      <c r="H2700" s="8"/>
      <c r="I2700" s="8">
        <v>248</v>
      </c>
      <c r="J2700" s="6"/>
      <c r="K2700" s="6" t="s">
        <v>2231</v>
      </c>
      <c r="L2700" s="6"/>
      <c r="M2700" s="6"/>
      <c r="N2700" s="6" t="s">
        <v>2231</v>
      </c>
      <c r="O2700" s="29">
        <f t="shared" si="60"/>
        <v>248</v>
      </c>
      <c r="Q2700" s="30" t="s">
        <v>2231</v>
      </c>
      <c r="R2700" s="31">
        <v>248</v>
      </c>
    </row>
    <row r="2701" s="1" customFormat="1" ht="16.35" hidden="1" customHeight="1" spans="1:18">
      <c r="A2701" s="6"/>
      <c r="B2701" s="6" t="s">
        <v>4123</v>
      </c>
      <c r="C2701" s="6" t="s">
        <v>4236</v>
      </c>
      <c r="D2701" s="7">
        <v>99</v>
      </c>
      <c r="E2701" s="6" t="s">
        <v>6409</v>
      </c>
      <c r="F2701" s="6" t="s">
        <v>5631</v>
      </c>
      <c r="G2701" s="6" t="s">
        <v>5632</v>
      </c>
      <c r="H2701" s="8"/>
      <c r="I2701" s="8">
        <v>578</v>
      </c>
      <c r="J2701" s="6"/>
      <c r="K2701" s="6" t="s">
        <v>2231</v>
      </c>
      <c r="L2701" s="6"/>
      <c r="M2701" s="6"/>
      <c r="N2701" s="6" t="s">
        <v>2231</v>
      </c>
      <c r="O2701" s="29">
        <f t="shared" si="60"/>
        <v>578</v>
      </c>
      <c r="Q2701" s="30" t="s">
        <v>2231</v>
      </c>
      <c r="R2701" s="31">
        <v>578</v>
      </c>
    </row>
    <row r="2702" s="1" customFormat="1" ht="16.35" hidden="1" customHeight="1" spans="1:18">
      <c r="A2702" s="6"/>
      <c r="B2702" s="6" t="s">
        <v>4123</v>
      </c>
      <c r="C2702" s="6" t="s">
        <v>4236</v>
      </c>
      <c r="D2702" s="7">
        <v>99</v>
      </c>
      <c r="E2702" s="6" t="s">
        <v>6410</v>
      </c>
      <c r="F2702" s="6" t="s">
        <v>5631</v>
      </c>
      <c r="G2702" s="6" t="s">
        <v>5632</v>
      </c>
      <c r="H2702" s="8"/>
      <c r="I2702" s="8">
        <v>6358</v>
      </c>
      <c r="J2702" s="6"/>
      <c r="K2702" s="6" t="s">
        <v>2231</v>
      </c>
      <c r="L2702" s="6"/>
      <c r="M2702" s="6"/>
      <c r="N2702" s="6" t="s">
        <v>2231</v>
      </c>
      <c r="O2702" s="29">
        <f t="shared" si="60"/>
        <v>6358</v>
      </c>
      <c r="Q2702" s="30" t="s">
        <v>2231</v>
      </c>
      <c r="R2702" s="31">
        <v>6358</v>
      </c>
    </row>
    <row r="2703" s="1" customFormat="1" ht="16.35" hidden="1" customHeight="1" spans="1:18">
      <c r="A2703" s="6"/>
      <c r="B2703" s="6" t="s">
        <v>4123</v>
      </c>
      <c r="C2703" s="6" t="s">
        <v>4236</v>
      </c>
      <c r="D2703" s="7">
        <v>99</v>
      </c>
      <c r="E2703" s="6" t="s">
        <v>6411</v>
      </c>
      <c r="F2703" s="6" t="s">
        <v>5631</v>
      </c>
      <c r="G2703" s="6" t="s">
        <v>5632</v>
      </c>
      <c r="H2703" s="8"/>
      <c r="I2703" s="8">
        <v>11725</v>
      </c>
      <c r="J2703" s="6"/>
      <c r="K2703" s="6" t="s">
        <v>2231</v>
      </c>
      <c r="L2703" s="6"/>
      <c r="M2703" s="6"/>
      <c r="N2703" s="6" t="s">
        <v>2231</v>
      </c>
      <c r="O2703" s="29">
        <f t="shared" si="60"/>
        <v>11725</v>
      </c>
      <c r="Q2703" s="30" t="s">
        <v>2231</v>
      </c>
      <c r="R2703" s="31">
        <v>11725</v>
      </c>
    </row>
    <row r="2704" s="1" customFormat="1" ht="16.35" hidden="1" customHeight="1" spans="1:18">
      <c r="A2704" s="6"/>
      <c r="B2704" s="6" t="s">
        <v>4123</v>
      </c>
      <c r="C2704" s="6" t="s">
        <v>4236</v>
      </c>
      <c r="D2704" s="7">
        <v>99</v>
      </c>
      <c r="E2704" s="6" t="s">
        <v>6412</v>
      </c>
      <c r="F2704" s="6" t="s">
        <v>5631</v>
      </c>
      <c r="G2704" s="6" t="s">
        <v>5632</v>
      </c>
      <c r="H2704" s="8"/>
      <c r="I2704" s="8">
        <v>5335</v>
      </c>
      <c r="J2704" s="6"/>
      <c r="K2704" s="6" t="s">
        <v>2253</v>
      </c>
      <c r="L2704" s="6"/>
      <c r="M2704" s="6"/>
      <c r="N2704" s="6" t="s">
        <v>2253</v>
      </c>
      <c r="O2704" s="29">
        <f t="shared" si="60"/>
        <v>5335</v>
      </c>
      <c r="Q2704" s="30" t="s">
        <v>2253</v>
      </c>
      <c r="R2704" s="31">
        <v>5335</v>
      </c>
    </row>
    <row r="2705" s="1" customFormat="1" ht="16.35" hidden="1" customHeight="1" spans="1:18">
      <c r="A2705" s="6"/>
      <c r="B2705" s="6" t="s">
        <v>4123</v>
      </c>
      <c r="C2705" s="6" t="s">
        <v>4236</v>
      </c>
      <c r="D2705" s="7">
        <v>99</v>
      </c>
      <c r="E2705" s="6" t="s">
        <v>6413</v>
      </c>
      <c r="F2705" s="6" t="s">
        <v>5631</v>
      </c>
      <c r="G2705" s="6" t="s">
        <v>5632</v>
      </c>
      <c r="H2705" s="8"/>
      <c r="I2705" s="8">
        <v>165</v>
      </c>
      <c r="J2705" s="6"/>
      <c r="K2705" s="6" t="s">
        <v>2253</v>
      </c>
      <c r="L2705" s="6"/>
      <c r="M2705" s="6"/>
      <c r="N2705" s="6" t="s">
        <v>2253</v>
      </c>
      <c r="O2705" s="29">
        <f t="shared" si="60"/>
        <v>165</v>
      </c>
      <c r="Q2705" s="30" t="s">
        <v>2253</v>
      </c>
      <c r="R2705" s="31">
        <v>165</v>
      </c>
    </row>
    <row r="2706" s="1" customFormat="1" ht="16.35" hidden="1" customHeight="1" spans="1:18">
      <c r="A2706" s="6"/>
      <c r="B2706" s="6" t="s">
        <v>4123</v>
      </c>
      <c r="C2706" s="6" t="s">
        <v>4236</v>
      </c>
      <c r="D2706" s="7">
        <v>99</v>
      </c>
      <c r="E2706" s="6" t="s">
        <v>6414</v>
      </c>
      <c r="F2706" s="6" t="s">
        <v>5631</v>
      </c>
      <c r="G2706" s="6" t="s">
        <v>5632</v>
      </c>
      <c r="H2706" s="8"/>
      <c r="I2706" s="8">
        <v>13211</v>
      </c>
      <c r="J2706" s="6"/>
      <c r="K2706" s="6" t="s">
        <v>2253</v>
      </c>
      <c r="L2706" s="6"/>
      <c r="M2706" s="6"/>
      <c r="N2706" s="6" t="s">
        <v>2253</v>
      </c>
      <c r="O2706" s="29">
        <f t="shared" si="60"/>
        <v>13211</v>
      </c>
      <c r="Q2706" s="30" t="s">
        <v>2253</v>
      </c>
      <c r="R2706" s="31">
        <v>13211</v>
      </c>
    </row>
    <row r="2707" s="1" customFormat="1" ht="16.35" hidden="1" customHeight="1" spans="1:18">
      <c r="A2707" s="6"/>
      <c r="B2707" s="6" t="s">
        <v>4123</v>
      </c>
      <c r="C2707" s="6" t="s">
        <v>4236</v>
      </c>
      <c r="D2707" s="7">
        <v>99</v>
      </c>
      <c r="E2707" s="6" t="s">
        <v>6415</v>
      </c>
      <c r="F2707" s="6" t="s">
        <v>5631</v>
      </c>
      <c r="G2707" s="6" t="s">
        <v>5632</v>
      </c>
      <c r="H2707" s="8"/>
      <c r="I2707" s="8">
        <v>1239</v>
      </c>
      <c r="J2707" s="6"/>
      <c r="K2707" s="6" t="s">
        <v>2253</v>
      </c>
      <c r="L2707" s="6"/>
      <c r="M2707" s="6"/>
      <c r="N2707" s="6" t="s">
        <v>2253</v>
      </c>
      <c r="O2707" s="29">
        <f t="shared" si="60"/>
        <v>1239</v>
      </c>
      <c r="Q2707" s="30" t="s">
        <v>2253</v>
      </c>
      <c r="R2707" s="31">
        <v>1239</v>
      </c>
    </row>
    <row r="2708" s="1" customFormat="1" ht="16.35" hidden="1" customHeight="1" spans="1:18">
      <c r="A2708" s="6"/>
      <c r="B2708" s="6" t="s">
        <v>4123</v>
      </c>
      <c r="C2708" s="6" t="s">
        <v>4236</v>
      </c>
      <c r="D2708" s="7">
        <v>99</v>
      </c>
      <c r="E2708" s="6" t="s">
        <v>6416</v>
      </c>
      <c r="F2708" s="6" t="s">
        <v>5631</v>
      </c>
      <c r="G2708" s="6" t="s">
        <v>5632</v>
      </c>
      <c r="H2708" s="8"/>
      <c r="I2708" s="8">
        <v>7259</v>
      </c>
      <c r="J2708" s="6"/>
      <c r="K2708" s="6" t="s">
        <v>2273</v>
      </c>
      <c r="L2708" s="6"/>
      <c r="M2708" s="6"/>
      <c r="N2708" s="6" t="s">
        <v>2273</v>
      </c>
      <c r="O2708" s="29">
        <f t="shared" si="60"/>
        <v>7259</v>
      </c>
      <c r="Q2708" s="30" t="s">
        <v>2273</v>
      </c>
      <c r="R2708" s="31">
        <v>7259</v>
      </c>
    </row>
    <row r="2709" s="1" customFormat="1" ht="16.35" hidden="1" customHeight="1" spans="1:18">
      <c r="A2709" s="6"/>
      <c r="B2709" s="6" t="s">
        <v>4123</v>
      </c>
      <c r="C2709" s="6" t="s">
        <v>4236</v>
      </c>
      <c r="D2709" s="7">
        <v>99</v>
      </c>
      <c r="E2709" s="6" t="s">
        <v>6417</v>
      </c>
      <c r="F2709" s="6" t="s">
        <v>5631</v>
      </c>
      <c r="G2709" s="6" t="s">
        <v>5632</v>
      </c>
      <c r="H2709" s="8"/>
      <c r="I2709" s="8">
        <v>83</v>
      </c>
      <c r="J2709" s="6"/>
      <c r="K2709" s="6" t="s">
        <v>2273</v>
      </c>
      <c r="L2709" s="6"/>
      <c r="M2709" s="6"/>
      <c r="N2709" s="6" t="s">
        <v>2273</v>
      </c>
      <c r="O2709" s="29">
        <f t="shared" si="60"/>
        <v>83</v>
      </c>
      <c r="Q2709" s="30" t="s">
        <v>2273</v>
      </c>
      <c r="R2709" s="31">
        <v>83</v>
      </c>
    </row>
    <row r="2710" s="1" customFormat="1" ht="16.35" hidden="1" customHeight="1" spans="1:18">
      <c r="A2710" s="6"/>
      <c r="B2710" s="6" t="s">
        <v>4123</v>
      </c>
      <c r="C2710" s="6" t="s">
        <v>4236</v>
      </c>
      <c r="D2710" s="7">
        <v>99</v>
      </c>
      <c r="E2710" s="6" t="s">
        <v>6418</v>
      </c>
      <c r="F2710" s="6" t="s">
        <v>5631</v>
      </c>
      <c r="G2710" s="6" t="s">
        <v>5632</v>
      </c>
      <c r="H2710" s="8"/>
      <c r="I2710" s="8">
        <v>12798</v>
      </c>
      <c r="J2710" s="6"/>
      <c r="K2710" s="6" t="s">
        <v>2273</v>
      </c>
      <c r="L2710" s="6"/>
      <c r="M2710" s="6"/>
      <c r="N2710" s="6" t="s">
        <v>2273</v>
      </c>
      <c r="O2710" s="29">
        <f t="shared" si="60"/>
        <v>12798</v>
      </c>
      <c r="Q2710" s="30" t="s">
        <v>2273</v>
      </c>
      <c r="R2710" s="31">
        <v>12798</v>
      </c>
    </row>
    <row r="2711" s="1" customFormat="1" ht="16.35" hidden="1" customHeight="1" spans="1:18">
      <c r="A2711" s="6"/>
      <c r="B2711" s="6" t="s">
        <v>4123</v>
      </c>
      <c r="C2711" s="6" t="s">
        <v>4236</v>
      </c>
      <c r="D2711" s="7">
        <v>99</v>
      </c>
      <c r="E2711" s="6" t="s">
        <v>6419</v>
      </c>
      <c r="F2711" s="6" t="s">
        <v>5631</v>
      </c>
      <c r="G2711" s="6" t="s">
        <v>5632</v>
      </c>
      <c r="H2711" s="8"/>
      <c r="I2711" s="8">
        <v>413</v>
      </c>
      <c r="J2711" s="6"/>
      <c r="K2711" s="6" t="s">
        <v>2275</v>
      </c>
      <c r="L2711" s="6"/>
      <c r="M2711" s="6"/>
      <c r="N2711" s="6" t="s">
        <v>2275</v>
      </c>
      <c r="O2711" s="29">
        <f t="shared" ref="O2711:O2741" si="61">I2711</f>
        <v>413</v>
      </c>
      <c r="Q2711" s="30" t="s">
        <v>2275</v>
      </c>
      <c r="R2711" s="31">
        <v>413</v>
      </c>
    </row>
    <row r="2712" s="1" customFormat="1" ht="16.35" hidden="1" customHeight="1" spans="1:18">
      <c r="A2712" s="6"/>
      <c r="B2712" s="6" t="s">
        <v>4123</v>
      </c>
      <c r="C2712" s="6" t="s">
        <v>4236</v>
      </c>
      <c r="D2712" s="7">
        <v>99</v>
      </c>
      <c r="E2712" s="6" t="s">
        <v>6420</v>
      </c>
      <c r="F2712" s="6" t="s">
        <v>5631</v>
      </c>
      <c r="G2712" s="6" t="s">
        <v>5632</v>
      </c>
      <c r="H2712" s="8"/>
      <c r="I2712" s="8">
        <v>3716</v>
      </c>
      <c r="J2712" s="6"/>
      <c r="K2712" s="6" t="s">
        <v>2275</v>
      </c>
      <c r="L2712" s="6"/>
      <c r="M2712" s="6"/>
      <c r="N2712" s="6" t="s">
        <v>2275</v>
      </c>
      <c r="O2712" s="29">
        <f t="shared" si="61"/>
        <v>3716</v>
      </c>
      <c r="Q2712" s="30" t="s">
        <v>2275</v>
      </c>
      <c r="R2712" s="31">
        <v>3716</v>
      </c>
    </row>
    <row r="2713" s="1" customFormat="1" ht="16.35" hidden="1" customHeight="1" spans="1:18">
      <c r="A2713" s="6"/>
      <c r="B2713" s="6" t="s">
        <v>4123</v>
      </c>
      <c r="C2713" s="6" t="s">
        <v>4236</v>
      </c>
      <c r="D2713" s="7">
        <v>99</v>
      </c>
      <c r="E2713" s="6" t="s">
        <v>6421</v>
      </c>
      <c r="F2713" s="6" t="s">
        <v>5631</v>
      </c>
      <c r="G2713" s="6" t="s">
        <v>5632</v>
      </c>
      <c r="H2713" s="8"/>
      <c r="I2713" s="8">
        <v>315</v>
      </c>
      <c r="J2713" s="6"/>
      <c r="K2713" s="6" t="s">
        <v>2275</v>
      </c>
      <c r="L2713" s="6"/>
      <c r="M2713" s="6"/>
      <c r="N2713" s="6" t="s">
        <v>2275</v>
      </c>
      <c r="O2713" s="29">
        <f t="shared" si="61"/>
        <v>315</v>
      </c>
      <c r="Q2713" s="30" t="s">
        <v>2275</v>
      </c>
      <c r="R2713" s="31">
        <v>315</v>
      </c>
    </row>
    <row r="2714" s="1" customFormat="1" ht="16.35" hidden="1" customHeight="1" spans="1:18">
      <c r="A2714" s="6"/>
      <c r="B2714" s="6" t="s">
        <v>4123</v>
      </c>
      <c r="C2714" s="6" t="s">
        <v>4236</v>
      </c>
      <c r="D2714" s="7">
        <v>99</v>
      </c>
      <c r="E2714" s="6" t="s">
        <v>6422</v>
      </c>
      <c r="F2714" s="6" t="s">
        <v>5631</v>
      </c>
      <c r="G2714" s="6" t="s">
        <v>5632</v>
      </c>
      <c r="H2714" s="8"/>
      <c r="I2714" s="8">
        <v>13211</v>
      </c>
      <c r="J2714" s="6"/>
      <c r="K2714" s="6" t="s">
        <v>2275</v>
      </c>
      <c r="L2714" s="6"/>
      <c r="M2714" s="6"/>
      <c r="N2714" s="6" t="s">
        <v>2275</v>
      </c>
      <c r="O2714" s="29">
        <f t="shared" si="61"/>
        <v>13211</v>
      </c>
      <c r="Q2714" s="30" t="s">
        <v>2275</v>
      </c>
      <c r="R2714" s="31">
        <v>13211</v>
      </c>
    </row>
    <row r="2715" s="1" customFormat="1" ht="16.35" hidden="1" customHeight="1" spans="1:18">
      <c r="A2715" s="6"/>
      <c r="B2715" s="6" t="s">
        <v>4123</v>
      </c>
      <c r="C2715" s="6" t="s">
        <v>4236</v>
      </c>
      <c r="D2715" s="7">
        <v>99</v>
      </c>
      <c r="E2715" s="6" t="s">
        <v>6423</v>
      </c>
      <c r="F2715" s="6" t="s">
        <v>5631</v>
      </c>
      <c r="G2715" s="6" t="s">
        <v>5632</v>
      </c>
      <c r="H2715" s="8"/>
      <c r="I2715" s="8">
        <v>1651</v>
      </c>
      <c r="J2715" s="6"/>
      <c r="K2715" s="6" t="s">
        <v>2275</v>
      </c>
      <c r="L2715" s="6"/>
      <c r="M2715" s="6"/>
      <c r="N2715" s="6" t="s">
        <v>2275</v>
      </c>
      <c r="O2715" s="29">
        <f t="shared" si="61"/>
        <v>1651</v>
      </c>
      <c r="Q2715" s="30" t="s">
        <v>2275</v>
      </c>
      <c r="R2715" s="31">
        <v>1651</v>
      </c>
    </row>
    <row r="2716" s="1" customFormat="1" ht="16.35" hidden="1" customHeight="1" spans="1:18">
      <c r="A2716" s="6"/>
      <c r="B2716" s="6" t="s">
        <v>4123</v>
      </c>
      <c r="C2716" s="6" t="s">
        <v>4236</v>
      </c>
      <c r="D2716" s="7">
        <v>98</v>
      </c>
      <c r="E2716" s="6" t="s">
        <v>6424</v>
      </c>
      <c r="F2716" s="6" t="s">
        <v>5631</v>
      </c>
      <c r="G2716" s="6" t="s">
        <v>5632</v>
      </c>
      <c r="H2716" s="8"/>
      <c r="I2716" s="8">
        <v>2619</v>
      </c>
      <c r="J2716" s="6"/>
      <c r="K2716" s="6" t="s">
        <v>2287</v>
      </c>
      <c r="L2716" s="6"/>
      <c r="M2716" s="6"/>
      <c r="N2716" s="6" t="s">
        <v>2287</v>
      </c>
      <c r="O2716" s="29">
        <f t="shared" si="61"/>
        <v>2619</v>
      </c>
      <c r="Q2716" s="30" t="s">
        <v>2287</v>
      </c>
      <c r="R2716" s="31">
        <v>2619</v>
      </c>
    </row>
    <row r="2717" s="1" customFormat="1" ht="16.35" hidden="1" customHeight="1" spans="1:18">
      <c r="A2717" s="6"/>
      <c r="B2717" s="6" t="s">
        <v>4123</v>
      </c>
      <c r="C2717" s="6" t="s">
        <v>4236</v>
      </c>
      <c r="D2717" s="7">
        <v>98</v>
      </c>
      <c r="E2717" s="6" t="s">
        <v>6425</v>
      </c>
      <c r="F2717" s="6" t="s">
        <v>5631</v>
      </c>
      <c r="G2717" s="6" t="s">
        <v>5632</v>
      </c>
      <c r="H2717" s="8"/>
      <c r="I2717" s="8">
        <v>658</v>
      </c>
      <c r="J2717" s="6"/>
      <c r="K2717" s="6" t="s">
        <v>2287</v>
      </c>
      <c r="L2717" s="6"/>
      <c r="M2717" s="6"/>
      <c r="N2717" s="6" t="s">
        <v>2287</v>
      </c>
      <c r="O2717" s="29">
        <f t="shared" si="61"/>
        <v>658</v>
      </c>
      <c r="Q2717" s="30" t="s">
        <v>2287</v>
      </c>
      <c r="R2717" s="31">
        <v>658</v>
      </c>
    </row>
    <row r="2718" s="1" customFormat="1" ht="16.35" hidden="1" customHeight="1" spans="1:18">
      <c r="A2718" s="6"/>
      <c r="B2718" s="6" t="s">
        <v>4123</v>
      </c>
      <c r="C2718" s="6" t="s">
        <v>4236</v>
      </c>
      <c r="D2718" s="7">
        <v>99</v>
      </c>
      <c r="E2718" s="6" t="s">
        <v>6426</v>
      </c>
      <c r="F2718" s="6" t="s">
        <v>5631</v>
      </c>
      <c r="G2718" s="6" t="s">
        <v>5632</v>
      </c>
      <c r="H2718" s="8"/>
      <c r="I2718" s="8">
        <v>13211</v>
      </c>
      <c r="J2718" s="6"/>
      <c r="K2718" s="6" t="s">
        <v>2287</v>
      </c>
      <c r="L2718" s="6"/>
      <c r="M2718" s="6"/>
      <c r="N2718" s="6" t="s">
        <v>2287</v>
      </c>
      <c r="O2718" s="29">
        <f t="shared" si="61"/>
        <v>13211</v>
      </c>
      <c r="Q2718" s="30" t="s">
        <v>2287</v>
      </c>
      <c r="R2718" s="31">
        <v>13211</v>
      </c>
    </row>
    <row r="2719" s="1" customFormat="1" ht="16.35" hidden="1" customHeight="1" spans="1:18">
      <c r="A2719" s="6"/>
      <c r="B2719" s="6" t="s">
        <v>4123</v>
      </c>
      <c r="C2719" s="6" t="s">
        <v>4236</v>
      </c>
      <c r="D2719" s="7">
        <v>99</v>
      </c>
      <c r="E2719" s="6" t="s">
        <v>6427</v>
      </c>
      <c r="F2719" s="6" t="s">
        <v>5631</v>
      </c>
      <c r="G2719" s="6" t="s">
        <v>5632</v>
      </c>
      <c r="H2719" s="8"/>
      <c r="I2719" s="8">
        <v>826</v>
      </c>
      <c r="J2719" s="6"/>
      <c r="K2719" s="6" t="s">
        <v>2879</v>
      </c>
      <c r="L2719" s="6"/>
      <c r="M2719" s="6"/>
      <c r="N2719" s="6" t="s">
        <v>2879</v>
      </c>
      <c r="O2719" s="29">
        <f t="shared" si="61"/>
        <v>826</v>
      </c>
      <c r="Q2719" s="30" t="s">
        <v>2879</v>
      </c>
      <c r="R2719" s="31">
        <v>826</v>
      </c>
    </row>
    <row r="2720" s="1" customFormat="1" ht="16.35" hidden="1" customHeight="1" spans="1:18">
      <c r="A2720" s="6"/>
      <c r="B2720" s="6" t="s">
        <v>4123</v>
      </c>
      <c r="C2720" s="6" t="s">
        <v>4236</v>
      </c>
      <c r="D2720" s="7">
        <v>99</v>
      </c>
      <c r="E2720" s="6" t="s">
        <v>6428</v>
      </c>
      <c r="F2720" s="6" t="s">
        <v>5631</v>
      </c>
      <c r="G2720" s="6" t="s">
        <v>5632</v>
      </c>
      <c r="H2720" s="8"/>
      <c r="I2720" s="8">
        <v>24011</v>
      </c>
      <c r="J2720" s="6"/>
      <c r="K2720" s="6" t="s">
        <v>2879</v>
      </c>
      <c r="L2720" s="6"/>
      <c r="M2720" s="6"/>
      <c r="N2720" s="6" t="s">
        <v>2879</v>
      </c>
      <c r="O2720" s="29">
        <f t="shared" si="61"/>
        <v>24011</v>
      </c>
      <c r="Q2720" s="30" t="s">
        <v>2879</v>
      </c>
      <c r="R2720" s="31">
        <v>24011</v>
      </c>
    </row>
    <row r="2721" s="1" customFormat="1" ht="16.35" hidden="1" customHeight="1" spans="1:18">
      <c r="A2721" s="6"/>
      <c r="B2721" s="6" t="s">
        <v>4123</v>
      </c>
      <c r="C2721" s="6" t="s">
        <v>4236</v>
      </c>
      <c r="D2721" s="7">
        <v>99</v>
      </c>
      <c r="E2721" s="6" t="s">
        <v>6429</v>
      </c>
      <c r="F2721" s="6" t="s">
        <v>5631</v>
      </c>
      <c r="G2721" s="6" t="s">
        <v>5632</v>
      </c>
      <c r="H2721" s="8"/>
      <c r="I2721" s="8">
        <v>330</v>
      </c>
      <c r="J2721" s="6"/>
      <c r="K2721" s="6" t="s">
        <v>2879</v>
      </c>
      <c r="L2721" s="6"/>
      <c r="M2721" s="6"/>
      <c r="N2721" s="6" t="s">
        <v>2879</v>
      </c>
      <c r="O2721" s="29">
        <f t="shared" si="61"/>
        <v>330</v>
      </c>
      <c r="Q2721" s="30" t="s">
        <v>2879</v>
      </c>
      <c r="R2721" s="31">
        <v>330</v>
      </c>
    </row>
    <row r="2722" s="1" customFormat="1" ht="16.35" hidden="1" customHeight="1" spans="1:18">
      <c r="A2722" s="6"/>
      <c r="B2722" s="6" t="s">
        <v>4123</v>
      </c>
      <c r="C2722" s="6" t="s">
        <v>4236</v>
      </c>
      <c r="D2722" s="7">
        <v>99</v>
      </c>
      <c r="E2722" s="6" t="s">
        <v>6430</v>
      </c>
      <c r="F2722" s="6" t="s">
        <v>5631</v>
      </c>
      <c r="G2722" s="6" t="s">
        <v>5632</v>
      </c>
      <c r="H2722" s="8"/>
      <c r="I2722" s="8">
        <v>9083</v>
      </c>
      <c r="J2722" s="6"/>
      <c r="K2722" s="6" t="s">
        <v>2879</v>
      </c>
      <c r="L2722" s="6"/>
      <c r="M2722" s="6"/>
      <c r="N2722" s="6" t="s">
        <v>2879</v>
      </c>
      <c r="O2722" s="29">
        <f t="shared" si="61"/>
        <v>9083</v>
      </c>
      <c r="Q2722" s="30" t="s">
        <v>2879</v>
      </c>
      <c r="R2722" s="31">
        <v>9083</v>
      </c>
    </row>
    <row r="2723" s="1" customFormat="1" ht="16.35" hidden="1" customHeight="1" spans="1:18">
      <c r="A2723" s="6"/>
      <c r="B2723" s="6" t="s">
        <v>4123</v>
      </c>
      <c r="C2723" s="6" t="s">
        <v>4236</v>
      </c>
      <c r="D2723" s="7">
        <v>99</v>
      </c>
      <c r="E2723" s="6" t="s">
        <v>6431</v>
      </c>
      <c r="F2723" s="6" t="s">
        <v>5631</v>
      </c>
      <c r="G2723" s="6" t="s">
        <v>5632</v>
      </c>
      <c r="H2723" s="8"/>
      <c r="I2723" s="8">
        <v>33178</v>
      </c>
      <c r="J2723" s="6"/>
      <c r="K2723" s="6" t="s">
        <v>2881</v>
      </c>
      <c r="L2723" s="6"/>
      <c r="M2723" s="6"/>
      <c r="N2723" s="6" t="s">
        <v>2881</v>
      </c>
      <c r="O2723" s="29">
        <f t="shared" si="61"/>
        <v>33178</v>
      </c>
      <c r="Q2723" s="30" t="s">
        <v>2881</v>
      </c>
      <c r="R2723" s="31">
        <v>33178</v>
      </c>
    </row>
    <row r="2724" s="1" customFormat="1" ht="16.35" hidden="1" customHeight="1" spans="1:18">
      <c r="A2724" s="6"/>
      <c r="B2724" s="6" t="s">
        <v>4123</v>
      </c>
      <c r="C2724" s="6" t="s">
        <v>4236</v>
      </c>
      <c r="D2724" s="7">
        <v>16</v>
      </c>
      <c r="E2724" s="6" t="s">
        <v>6432</v>
      </c>
      <c r="F2724" s="6" t="s">
        <v>5631</v>
      </c>
      <c r="G2724" s="6" t="s">
        <v>5632</v>
      </c>
      <c r="H2724" s="8"/>
      <c r="I2724" s="8">
        <v>10000</v>
      </c>
      <c r="J2724" s="6"/>
      <c r="K2724" s="6" t="s">
        <v>2476</v>
      </c>
      <c r="L2724" s="6"/>
      <c r="M2724" s="6"/>
      <c r="N2724" s="6" t="s">
        <v>2476</v>
      </c>
      <c r="O2724" s="29">
        <f t="shared" si="61"/>
        <v>10000</v>
      </c>
      <c r="Q2724" s="30" t="s">
        <v>2476</v>
      </c>
      <c r="R2724" s="31">
        <v>10000</v>
      </c>
    </row>
    <row r="2725" s="1" customFormat="1" ht="16.35" hidden="1" customHeight="1" spans="1:18">
      <c r="A2725" s="6"/>
      <c r="B2725" s="6" t="s">
        <v>4123</v>
      </c>
      <c r="C2725" s="6" t="s">
        <v>4236</v>
      </c>
      <c r="D2725" s="7">
        <v>34</v>
      </c>
      <c r="E2725" s="6" t="s">
        <v>6433</v>
      </c>
      <c r="F2725" s="6" t="s">
        <v>5631</v>
      </c>
      <c r="G2725" s="6" t="s">
        <v>5632</v>
      </c>
      <c r="H2725" s="8"/>
      <c r="I2725" s="8">
        <v>20000</v>
      </c>
      <c r="J2725" s="6"/>
      <c r="K2725" s="6" t="s">
        <v>2426</v>
      </c>
      <c r="L2725" s="6"/>
      <c r="M2725" s="6"/>
      <c r="N2725" s="6" t="s">
        <v>2426</v>
      </c>
      <c r="O2725" s="29">
        <f t="shared" si="61"/>
        <v>20000</v>
      </c>
      <c r="Q2725" s="30" t="s">
        <v>2426</v>
      </c>
      <c r="R2725" s="31">
        <v>20000</v>
      </c>
    </row>
    <row r="2726" s="1" customFormat="1" ht="16.35" hidden="1" customHeight="1" spans="1:18">
      <c r="A2726" s="6"/>
      <c r="B2726" s="6" t="s">
        <v>4123</v>
      </c>
      <c r="C2726" s="6" t="s">
        <v>4236</v>
      </c>
      <c r="D2726" s="7">
        <v>46</v>
      </c>
      <c r="E2726" s="6" t="s">
        <v>6434</v>
      </c>
      <c r="F2726" s="6" t="s">
        <v>5631</v>
      </c>
      <c r="G2726" s="6" t="s">
        <v>5632</v>
      </c>
      <c r="H2726" s="8"/>
      <c r="I2726" s="8">
        <v>51000</v>
      </c>
      <c r="J2726" s="6"/>
      <c r="K2726" s="6" t="s">
        <v>2426</v>
      </c>
      <c r="L2726" s="6"/>
      <c r="M2726" s="6"/>
      <c r="N2726" s="6" t="s">
        <v>2426</v>
      </c>
      <c r="O2726" s="29">
        <f t="shared" si="61"/>
        <v>51000</v>
      </c>
      <c r="Q2726" s="30" t="s">
        <v>2426</v>
      </c>
      <c r="R2726" s="31">
        <v>51000</v>
      </c>
    </row>
    <row r="2727" s="1" customFormat="1" ht="16.35" hidden="1" customHeight="1" spans="1:18">
      <c r="A2727" s="6"/>
      <c r="B2727" s="6" t="s">
        <v>4123</v>
      </c>
      <c r="C2727" s="6" t="s">
        <v>4236</v>
      </c>
      <c r="D2727" s="7">
        <v>41</v>
      </c>
      <c r="E2727" s="6" t="s">
        <v>6435</v>
      </c>
      <c r="F2727" s="6" t="s">
        <v>5631</v>
      </c>
      <c r="G2727" s="6" t="s">
        <v>5632</v>
      </c>
      <c r="H2727" s="8"/>
      <c r="I2727" s="8">
        <v>46000</v>
      </c>
      <c r="J2727" s="6"/>
      <c r="K2727" s="6" t="s">
        <v>2564</v>
      </c>
      <c r="L2727" s="6"/>
      <c r="M2727" s="6"/>
      <c r="N2727" s="6" t="s">
        <v>2564</v>
      </c>
      <c r="O2727" s="29">
        <f t="shared" si="61"/>
        <v>46000</v>
      </c>
      <c r="Q2727" s="30" t="s">
        <v>2564</v>
      </c>
      <c r="R2727" s="31">
        <v>46000</v>
      </c>
    </row>
    <row r="2728" s="1" customFormat="1" ht="16.35" hidden="1" customHeight="1" spans="1:18">
      <c r="A2728" s="6"/>
      <c r="B2728" s="6" t="s">
        <v>4123</v>
      </c>
      <c r="C2728" s="6" t="s">
        <v>4236</v>
      </c>
      <c r="D2728" s="7">
        <v>50</v>
      </c>
      <c r="E2728" s="6" t="s">
        <v>6436</v>
      </c>
      <c r="F2728" s="6" t="s">
        <v>5631</v>
      </c>
      <c r="G2728" s="6" t="s">
        <v>5632</v>
      </c>
      <c r="H2728" s="8"/>
      <c r="I2728" s="8">
        <v>7171</v>
      </c>
      <c r="J2728" s="6"/>
      <c r="K2728" s="6" t="s">
        <v>2564</v>
      </c>
      <c r="L2728" s="6"/>
      <c r="M2728" s="6"/>
      <c r="N2728" s="6" t="s">
        <v>2564</v>
      </c>
      <c r="O2728" s="29">
        <f t="shared" si="61"/>
        <v>7171</v>
      </c>
      <c r="Q2728" s="30" t="s">
        <v>2564</v>
      </c>
      <c r="R2728" s="31">
        <v>7171</v>
      </c>
    </row>
    <row r="2729" s="1" customFormat="1" ht="16.35" hidden="1" customHeight="1" spans="1:18">
      <c r="A2729" s="6"/>
      <c r="B2729" s="6" t="s">
        <v>4123</v>
      </c>
      <c r="C2729" s="6" t="s">
        <v>4236</v>
      </c>
      <c r="D2729" s="7">
        <v>47</v>
      </c>
      <c r="E2729" s="6" t="s">
        <v>6437</v>
      </c>
      <c r="F2729" s="6" t="s">
        <v>5631</v>
      </c>
      <c r="G2729" s="6" t="s">
        <v>5632</v>
      </c>
      <c r="H2729" s="8"/>
      <c r="I2729" s="8">
        <v>40000</v>
      </c>
      <c r="J2729" s="6"/>
      <c r="K2729" s="6" t="s">
        <v>2498</v>
      </c>
      <c r="L2729" s="6"/>
      <c r="M2729" s="6"/>
      <c r="N2729" s="6" t="s">
        <v>2498</v>
      </c>
      <c r="O2729" s="29">
        <f t="shared" si="61"/>
        <v>40000</v>
      </c>
      <c r="Q2729" s="30" t="s">
        <v>2498</v>
      </c>
      <c r="R2729" s="31">
        <v>40000</v>
      </c>
    </row>
    <row r="2730" s="1" customFormat="1" ht="16.35" hidden="1" customHeight="1" spans="1:18">
      <c r="A2730" s="6"/>
      <c r="B2730" s="6" t="s">
        <v>4123</v>
      </c>
      <c r="C2730" s="6" t="s">
        <v>4236</v>
      </c>
      <c r="D2730" s="7">
        <v>47</v>
      </c>
      <c r="E2730" s="6" t="s">
        <v>6438</v>
      </c>
      <c r="F2730" s="6" t="s">
        <v>5631</v>
      </c>
      <c r="G2730" s="6" t="s">
        <v>5632</v>
      </c>
      <c r="H2730" s="8"/>
      <c r="I2730" s="8">
        <v>50000</v>
      </c>
      <c r="J2730" s="6"/>
      <c r="K2730" s="6" t="s">
        <v>2498</v>
      </c>
      <c r="L2730" s="6"/>
      <c r="M2730" s="6"/>
      <c r="N2730" s="6" t="s">
        <v>2498</v>
      </c>
      <c r="O2730" s="29">
        <f t="shared" si="61"/>
        <v>50000</v>
      </c>
      <c r="Q2730" s="30" t="s">
        <v>2498</v>
      </c>
      <c r="R2730" s="31">
        <v>50000</v>
      </c>
    </row>
    <row r="2731" s="1" customFormat="1" ht="16.35" hidden="1" customHeight="1" spans="1:18">
      <c r="A2731" s="6"/>
      <c r="B2731" s="6" t="s">
        <v>4123</v>
      </c>
      <c r="C2731" s="6" t="s">
        <v>4236</v>
      </c>
      <c r="D2731" s="7">
        <v>26</v>
      </c>
      <c r="E2731" s="6" t="s">
        <v>6439</v>
      </c>
      <c r="F2731" s="6" t="s">
        <v>5631</v>
      </c>
      <c r="G2731" s="6" t="s">
        <v>5632</v>
      </c>
      <c r="H2731" s="8"/>
      <c r="I2731" s="8">
        <v>510</v>
      </c>
      <c r="J2731" s="6"/>
      <c r="K2731" s="6" t="s">
        <v>2498</v>
      </c>
      <c r="L2731" s="6"/>
      <c r="M2731" s="6"/>
      <c r="N2731" s="6" t="s">
        <v>2498</v>
      </c>
      <c r="O2731" s="29">
        <f t="shared" si="61"/>
        <v>510</v>
      </c>
      <c r="Q2731" s="30" t="s">
        <v>2498</v>
      </c>
      <c r="R2731" s="31">
        <v>510</v>
      </c>
    </row>
    <row r="2732" s="1" customFormat="1" ht="16.35" hidden="1" customHeight="1" spans="1:18">
      <c r="A2732" s="6"/>
      <c r="B2732" s="6" t="s">
        <v>4123</v>
      </c>
      <c r="C2732" s="6" t="s">
        <v>4236</v>
      </c>
      <c r="D2732" s="7">
        <v>36</v>
      </c>
      <c r="E2732" s="6" t="s">
        <v>6440</v>
      </c>
      <c r="F2732" s="6" t="s">
        <v>5631</v>
      </c>
      <c r="G2732" s="6" t="s">
        <v>5632</v>
      </c>
      <c r="H2732" s="8"/>
      <c r="I2732" s="8">
        <v>60000</v>
      </c>
      <c r="J2732" s="6"/>
      <c r="K2732" s="6" t="s">
        <v>2506</v>
      </c>
      <c r="L2732" s="6"/>
      <c r="M2732" s="6"/>
      <c r="N2732" s="6" t="s">
        <v>2506</v>
      </c>
      <c r="O2732" s="29">
        <f t="shared" si="61"/>
        <v>60000</v>
      </c>
      <c r="Q2732" s="30" t="s">
        <v>2506</v>
      </c>
      <c r="R2732" s="31">
        <v>60000</v>
      </c>
    </row>
    <row r="2733" s="1" customFormat="1" ht="16.35" hidden="1" customHeight="1" spans="1:18">
      <c r="A2733" s="6"/>
      <c r="B2733" s="6" t="s">
        <v>4123</v>
      </c>
      <c r="C2733" s="6" t="s">
        <v>4236</v>
      </c>
      <c r="D2733" s="7">
        <v>44</v>
      </c>
      <c r="E2733" s="6" t="s">
        <v>6441</v>
      </c>
      <c r="F2733" s="6" t="s">
        <v>5631</v>
      </c>
      <c r="G2733" s="6" t="s">
        <v>5632</v>
      </c>
      <c r="H2733" s="8"/>
      <c r="I2733" s="8">
        <v>10000</v>
      </c>
      <c r="J2733" s="6"/>
      <c r="K2733" s="6" t="s">
        <v>2574</v>
      </c>
      <c r="L2733" s="6"/>
      <c r="M2733" s="6"/>
      <c r="N2733" s="6" t="s">
        <v>2574</v>
      </c>
      <c r="O2733" s="29">
        <f t="shared" si="61"/>
        <v>10000</v>
      </c>
      <c r="Q2733" s="30" t="s">
        <v>2574</v>
      </c>
      <c r="R2733" s="31">
        <v>10000</v>
      </c>
    </row>
    <row r="2734" s="1" customFormat="1" ht="16.35" hidden="1" customHeight="1" spans="1:18">
      <c r="A2734" s="6"/>
      <c r="B2734" s="6" t="s">
        <v>4123</v>
      </c>
      <c r="C2734" s="6" t="s">
        <v>4236</v>
      </c>
      <c r="D2734" s="7">
        <v>46</v>
      </c>
      <c r="E2734" s="6" t="s">
        <v>6442</v>
      </c>
      <c r="F2734" s="6" t="s">
        <v>5631</v>
      </c>
      <c r="G2734" s="6" t="s">
        <v>5632</v>
      </c>
      <c r="H2734" s="8"/>
      <c r="I2734" s="8">
        <v>7829</v>
      </c>
      <c r="J2734" s="6"/>
      <c r="K2734" s="6" t="s">
        <v>2574</v>
      </c>
      <c r="L2734" s="6"/>
      <c r="M2734" s="6"/>
      <c r="N2734" s="6" t="s">
        <v>2574</v>
      </c>
      <c r="O2734" s="29">
        <f t="shared" si="61"/>
        <v>7829</v>
      </c>
      <c r="Q2734" s="30" t="s">
        <v>2574</v>
      </c>
      <c r="R2734" s="31">
        <v>7829</v>
      </c>
    </row>
    <row r="2735" s="1" customFormat="1" ht="16.35" hidden="1" customHeight="1" spans="1:18">
      <c r="A2735" s="6"/>
      <c r="B2735" s="6" t="s">
        <v>4123</v>
      </c>
      <c r="C2735" s="6" t="s">
        <v>4236</v>
      </c>
      <c r="D2735" s="7">
        <v>53</v>
      </c>
      <c r="E2735" s="6" t="s">
        <v>6443</v>
      </c>
      <c r="F2735" s="6" t="s">
        <v>5631</v>
      </c>
      <c r="G2735" s="6" t="s">
        <v>5632</v>
      </c>
      <c r="H2735" s="8"/>
      <c r="I2735" s="8">
        <v>45000</v>
      </c>
      <c r="J2735" s="6"/>
      <c r="K2735" s="6" t="s">
        <v>2574</v>
      </c>
      <c r="L2735" s="6"/>
      <c r="M2735" s="6"/>
      <c r="N2735" s="6" t="s">
        <v>2574</v>
      </c>
      <c r="O2735" s="29">
        <f t="shared" si="61"/>
        <v>45000</v>
      </c>
      <c r="Q2735" s="30" t="s">
        <v>2574</v>
      </c>
      <c r="R2735" s="31">
        <v>45000</v>
      </c>
    </row>
    <row r="2736" s="1" customFormat="1" ht="16.35" hidden="1" customHeight="1" spans="1:18">
      <c r="A2736" s="6"/>
      <c r="B2736" s="6" t="s">
        <v>4123</v>
      </c>
      <c r="C2736" s="6" t="s">
        <v>4236</v>
      </c>
      <c r="D2736" s="7">
        <v>9</v>
      </c>
      <c r="E2736" s="6" t="s">
        <v>6444</v>
      </c>
      <c r="F2736" s="6" t="s">
        <v>5631</v>
      </c>
      <c r="G2736" s="6" t="s">
        <v>5632</v>
      </c>
      <c r="H2736" s="8"/>
      <c r="I2736" s="8">
        <v>1000</v>
      </c>
      <c r="J2736" s="6"/>
      <c r="K2736" s="6" t="s">
        <v>2646</v>
      </c>
      <c r="L2736" s="6"/>
      <c r="M2736" s="6"/>
      <c r="N2736" s="6" t="s">
        <v>2646</v>
      </c>
      <c r="O2736" s="29">
        <f t="shared" si="61"/>
        <v>1000</v>
      </c>
      <c r="Q2736" s="30" t="s">
        <v>2646</v>
      </c>
      <c r="R2736" s="31">
        <v>1000</v>
      </c>
    </row>
    <row r="2737" s="1" customFormat="1" ht="16.35" hidden="1" customHeight="1" spans="1:18">
      <c r="A2737" s="6"/>
      <c r="B2737" s="6" t="s">
        <v>4123</v>
      </c>
      <c r="C2737" s="6" t="s">
        <v>4236</v>
      </c>
      <c r="D2737" s="7">
        <v>22</v>
      </c>
      <c r="E2737" s="6" t="s">
        <v>6445</v>
      </c>
      <c r="F2737" s="6" t="s">
        <v>5631</v>
      </c>
      <c r="G2737" s="6" t="s">
        <v>5632</v>
      </c>
      <c r="H2737" s="8"/>
      <c r="I2737" s="8">
        <v>1000</v>
      </c>
      <c r="J2737" s="6"/>
      <c r="K2737" s="6" t="s">
        <v>2626</v>
      </c>
      <c r="L2737" s="6"/>
      <c r="M2737" s="6"/>
      <c r="N2737" s="6" t="s">
        <v>2626</v>
      </c>
      <c r="O2737" s="29">
        <f t="shared" si="61"/>
        <v>1000</v>
      </c>
      <c r="Q2737" s="30" t="s">
        <v>2626</v>
      </c>
      <c r="R2737" s="31">
        <v>1000</v>
      </c>
    </row>
    <row r="2738" s="1" customFormat="1" ht="16.35" hidden="1" customHeight="1" spans="1:18">
      <c r="A2738" s="6"/>
      <c r="B2738" s="6" t="s">
        <v>4123</v>
      </c>
      <c r="C2738" s="6" t="s">
        <v>4236</v>
      </c>
      <c r="D2738" s="7">
        <v>51</v>
      </c>
      <c r="E2738" s="6" t="s">
        <v>6446</v>
      </c>
      <c r="F2738" s="6" t="s">
        <v>5631</v>
      </c>
      <c r="G2738" s="6" t="s">
        <v>5632</v>
      </c>
      <c r="H2738" s="8"/>
      <c r="I2738" s="8">
        <v>64610</v>
      </c>
      <c r="J2738" s="6"/>
      <c r="K2738" s="6" t="s">
        <v>2626</v>
      </c>
      <c r="L2738" s="6"/>
      <c r="M2738" s="6"/>
      <c r="N2738" s="6" t="s">
        <v>2626</v>
      </c>
      <c r="O2738" s="29">
        <f t="shared" si="61"/>
        <v>64610</v>
      </c>
      <c r="Q2738" s="30" t="s">
        <v>2626</v>
      </c>
      <c r="R2738" s="31">
        <v>64610</v>
      </c>
    </row>
    <row r="2739" s="1" customFormat="1" ht="16.35" hidden="1" customHeight="1" spans="1:18">
      <c r="A2739" s="6"/>
      <c r="B2739" s="6" t="s">
        <v>4123</v>
      </c>
      <c r="C2739" s="6" t="s">
        <v>4236</v>
      </c>
      <c r="D2739" s="7">
        <v>36</v>
      </c>
      <c r="E2739" s="6" t="s">
        <v>6198</v>
      </c>
      <c r="F2739" s="6" t="s">
        <v>5631</v>
      </c>
      <c r="G2739" s="6" t="s">
        <v>5632</v>
      </c>
      <c r="H2739" s="8"/>
      <c r="I2739" s="8">
        <v>10000</v>
      </c>
      <c r="J2739" s="6"/>
      <c r="K2739" s="6" t="s">
        <v>6447</v>
      </c>
      <c r="L2739" s="6"/>
      <c r="M2739" s="6"/>
      <c r="N2739" s="6" t="s">
        <v>6447</v>
      </c>
      <c r="O2739" s="29">
        <f t="shared" si="61"/>
        <v>10000</v>
      </c>
      <c r="Q2739" s="30" t="s">
        <v>6447</v>
      </c>
      <c r="R2739" s="31">
        <v>10000</v>
      </c>
    </row>
    <row r="2740" s="1" customFormat="1" ht="16.35" hidden="1" customHeight="1" spans="1:18">
      <c r="A2740" s="6"/>
      <c r="B2740" s="6" t="s">
        <v>4123</v>
      </c>
      <c r="C2740" s="6" t="s">
        <v>4248</v>
      </c>
      <c r="D2740" s="7">
        <v>27</v>
      </c>
      <c r="E2740" s="6" t="s">
        <v>6448</v>
      </c>
      <c r="F2740" s="6" t="s">
        <v>5631</v>
      </c>
      <c r="G2740" s="6" t="s">
        <v>5632</v>
      </c>
      <c r="H2740" s="8"/>
      <c r="I2740" s="8">
        <v>53333</v>
      </c>
      <c r="J2740" s="6"/>
      <c r="K2740" s="6" t="s">
        <v>2322</v>
      </c>
      <c r="L2740" s="6"/>
      <c r="M2740" s="6"/>
      <c r="N2740" s="6" t="s">
        <v>2322</v>
      </c>
      <c r="O2740" s="29">
        <f t="shared" si="61"/>
        <v>53333</v>
      </c>
      <c r="Q2740" s="30" t="s">
        <v>2322</v>
      </c>
      <c r="R2740" s="31">
        <v>53333</v>
      </c>
    </row>
    <row r="2741" s="1" customFormat="1" ht="16.35" hidden="1" customHeight="1" spans="1:18">
      <c r="A2741" s="6"/>
      <c r="B2741" s="6" t="s">
        <v>4123</v>
      </c>
      <c r="C2741" s="6" t="s">
        <v>4248</v>
      </c>
      <c r="D2741" s="7">
        <v>52</v>
      </c>
      <c r="E2741" s="6" t="s">
        <v>6449</v>
      </c>
      <c r="F2741" s="6" t="s">
        <v>5631</v>
      </c>
      <c r="G2741" s="6" t="s">
        <v>5632</v>
      </c>
      <c r="H2741" s="8"/>
      <c r="I2741" s="8">
        <v>100000</v>
      </c>
      <c r="J2741" s="6"/>
      <c r="K2741" s="6" t="s">
        <v>890</v>
      </c>
      <c r="L2741" s="6"/>
      <c r="M2741" s="6"/>
      <c r="N2741" s="6" t="s">
        <v>890</v>
      </c>
      <c r="O2741" s="29">
        <f t="shared" si="61"/>
        <v>100000</v>
      </c>
      <c r="Q2741" s="30" t="s">
        <v>890</v>
      </c>
      <c r="R2741" s="31">
        <v>100000</v>
      </c>
    </row>
    <row r="2742" s="1" customFormat="1" ht="16.35" hidden="1" customHeight="1" spans="1:18">
      <c r="A2742" s="6"/>
      <c r="B2742" s="6" t="s">
        <v>4123</v>
      </c>
      <c r="C2742" s="6" t="s">
        <v>4248</v>
      </c>
      <c r="D2742" s="7">
        <v>43</v>
      </c>
      <c r="E2742" s="6" t="s">
        <v>6450</v>
      </c>
      <c r="F2742" s="6" t="s">
        <v>5631</v>
      </c>
      <c r="G2742" s="6" t="s">
        <v>5632</v>
      </c>
      <c r="H2742" s="8"/>
      <c r="I2742" s="8">
        <v>12520</v>
      </c>
      <c r="J2742" s="6"/>
      <c r="K2742" s="6" t="s">
        <v>2402</v>
      </c>
      <c r="L2742" s="6"/>
      <c r="M2742" s="6"/>
      <c r="N2742" s="6" t="s">
        <v>2402</v>
      </c>
      <c r="O2742" s="29">
        <f t="shared" ref="O2742:O2765" si="62">I2742</f>
        <v>12520</v>
      </c>
      <c r="Q2742" s="30" t="s">
        <v>2402</v>
      </c>
      <c r="R2742" s="31">
        <v>12520</v>
      </c>
    </row>
    <row r="2743" s="1" customFormat="1" ht="16.35" hidden="1" customHeight="1" spans="1:18">
      <c r="A2743" s="6"/>
      <c r="B2743" s="6" t="s">
        <v>4123</v>
      </c>
      <c r="C2743" s="6" t="s">
        <v>4248</v>
      </c>
      <c r="D2743" s="7">
        <v>18</v>
      </c>
      <c r="E2743" s="6" t="s">
        <v>6451</v>
      </c>
      <c r="F2743" s="6" t="s">
        <v>5631</v>
      </c>
      <c r="G2743" s="6" t="s">
        <v>5632</v>
      </c>
      <c r="H2743" s="8"/>
      <c r="I2743" s="8">
        <v>5000</v>
      </c>
      <c r="J2743" s="6"/>
      <c r="K2743" s="6" t="s">
        <v>2416</v>
      </c>
      <c r="L2743" s="6"/>
      <c r="M2743" s="6"/>
      <c r="N2743" s="6" t="s">
        <v>2416</v>
      </c>
      <c r="O2743" s="29">
        <f t="shared" si="62"/>
        <v>5000</v>
      </c>
      <c r="Q2743" s="30" t="s">
        <v>2416</v>
      </c>
      <c r="R2743" s="31">
        <v>5000</v>
      </c>
    </row>
    <row r="2744" s="1" customFormat="1" ht="16.35" hidden="1" customHeight="1" spans="1:18">
      <c r="A2744" s="6"/>
      <c r="B2744" s="6" t="s">
        <v>4123</v>
      </c>
      <c r="C2744" s="6" t="s">
        <v>4248</v>
      </c>
      <c r="D2744" s="7">
        <v>48</v>
      </c>
      <c r="E2744" s="6" t="s">
        <v>6452</v>
      </c>
      <c r="F2744" s="6" t="s">
        <v>5631</v>
      </c>
      <c r="G2744" s="6" t="s">
        <v>5632</v>
      </c>
      <c r="H2744" s="8"/>
      <c r="I2744" s="8">
        <v>16</v>
      </c>
      <c r="J2744" s="6"/>
      <c r="K2744" s="6" t="s">
        <v>2430</v>
      </c>
      <c r="L2744" s="6"/>
      <c r="M2744" s="6"/>
      <c r="N2744" s="6" t="s">
        <v>2430</v>
      </c>
      <c r="O2744" s="29">
        <f t="shared" si="62"/>
        <v>16</v>
      </c>
      <c r="Q2744" s="30" t="s">
        <v>2430</v>
      </c>
      <c r="R2744" s="31">
        <v>16</v>
      </c>
    </row>
    <row r="2745" s="1" customFormat="1" ht="16.35" hidden="1" customHeight="1" spans="1:18">
      <c r="A2745" s="6"/>
      <c r="B2745" s="6" t="s">
        <v>4123</v>
      </c>
      <c r="C2745" s="6" t="s">
        <v>4248</v>
      </c>
      <c r="D2745" s="7">
        <v>37</v>
      </c>
      <c r="E2745" s="6" t="s">
        <v>6453</v>
      </c>
      <c r="F2745" s="6" t="s">
        <v>5631</v>
      </c>
      <c r="G2745" s="6" t="s">
        <v>5632</v>
      </c>
      <c r="H2745" s="8"/>
      <c r="I2745" s="8">
        <v>70339</v>
      </c>
      <c r="J2745" s="6"/>
      <c r="K2745" s="6" t="s">
        <v>2430</v>
      </c>
      <c r="L2745" s="6"/>
      <c r="M2745" s="6"/>
      <c r="N2745" s="6" t="s">
        <v>2430</v>
      </c>
      <c r="O2745" s="29">
        <f t="shared" si="62"/>
        <v>70339</v>
      </c>
      <c r="Q2745" s="30" t="s">
        <v>2430</v>
      </c>
      <c r="R2745" s="31">
        <v>70339</v>
      </c>
    </row>
    <row r="2746" s="1" customFormat="1" ht="16.35" hidden="1" customHeight="1" spans="1:18">
      <c r="A2746" s="6"/>
      <c r="B2746" s="6" t="s">
        <v>4123</v>
      </c>
      <c r="C2746" s="6" t="s">
        <v>4248</v>
      </c>
      <c r="D2746" s="7">
        <v>29</v>
      </c>
      <c r="E2746" s="6" t="s">
        <v>6454</v>
      </c>
      <c r="F2746" s="6" t="s">
        <v>5631</v>
      </c>
      <c r="G2746" s="6" t="s">
        <v>5632</v>
      </c>
      <c r="H2746" s="8"/>
      <c r="I2746" s="8">
        <v>65000</v>
      </c>
      <c r="J2746" s="6"/>
      <c r="K2746" s="6" t="s">
        <v>2454</v>
      </c>
      <c r="L2746" s="6"/>
      <c r="M2746" s="6"/>
      <c r="N2746" s="6" t="s">
        <v>2454</v>
      </c>
      <c r="O2746" s="29">
        <f t="shared" si="62"/>
        <v>65000</v>
      </c>
      <c r="Q2746" s="30" t="s">
        <v>2454</v>
      </c>
      <c r="R2746" s="31">
        <v>65000</v>
      </c>
    </row>
    <row r="2747" s="1" customFormat="1" ht="16.35" hidden="1" customHeight="1" spans="1:18">
      <c r="A2747" s="6"/>
      <c r="B2747" s="6" t="s">
        <v>4123</v>
      </c>
      <c r="C2747" s="6" t="s">
        <v>4248</v>
      </c>
      <c r="D2747" s="7">
        <v>22</v>
      </c>
      <c r="E2747" s="6" t="s">
        <v>6455</v>
      </c>
      <c r="F2747" s="6" t="s">
        <v>5631</v>
      </c>
      <c r="G2747" s="6" t="s">
        <v>5632</v>
      </c>
      <c r="H2747" s="8"/>
      <c r="I2747" s="8">
        <v>121000</v>
      </c>
      <c r="J2747" s="6"/>
      <c r="K2747" s="6" t="s">
        <v>2442</v>
      </c>
      <c r="L2747" s="6"/>
      <c r="M2747" s="6"/>
      <c r="N2747" s="6" t="s">
        <v>2442</v>
      </c>
      <c r="O2747" s="29">
        <f t="shared" si="62"/>
        <v>121000</v>
      </c>
      <c r="Q2747" s="30" t="s">
        <v>2442</v>
      </c>
      <c r="R2747" s="31">
        <v>121000</v>
      </c>
    </row>
    <row r="2748" s="1" customFormat="1" ht="16.35" hidden="1" customHeight="1" spans="1:18">
      <c r="A2748" s="6"/>
      <c r="B2748" s="6" t="s">
        <v>4123</v>
      </c>
      <c r="C2748" s="6" t="s">
        <v>4248</v>
      </c>
      <c r="D2748" s="7">
        <v>7</v>
      </c>
      <c r="E2748" s="6" t="s">
        <v>6456</v>
      </c>
      <c r="F2748" s="6" t="s">
        <v>5631</v>
      </c>
      <c r="G2748" s="6" t="s">
        <v>5632</v>
      </c>
      <c r="H2748" s="8"/>
      <c r="I2748" s="8">
        <v>200</v>
      </c>
      <c r="J2748" s="6"/>
      <c r="K2748" s="6" t="s">
        <v>2480</v>
      </c>
      <c r="L2748" s="6"/>
      <c r="M2748" s="6"/>
      <c r="N2748" s="6" t="s">
        <v>2480</v>
      </c>
      <c r="O2748" s="29">
        <f t="shared" si="62"/>
        <v>200</v>
      </c>
      <c r="Q2748" s="30" t="s">
        <v>2480</v>
      </c>
      <c r="R2748" s="31">
        <v>200</v>
      </c>
    </row>
    <row r="2749" s="1" customFormat="1" ht="16.35" hidden="1" customHeight="1" spans="1:18">
      <c r="A2749" s="6"/>
      <c r="B2749" s="6" t="s">
        <v>4123</v>
      </c>
      <c r="C2749" s="6" t="s">
        <v>4248</v>
      </c>
      <c r="D2749" s="7">
        <v>46</v>
      </c>
      <c r="E2749" s="6" t="s">
        <v>6456</v>
      </c>
      <c r="F2749" s="6" t="s">
        <v>5631</v>
      </c>
      <c r="G2749" s="6" t="s">
        <v>5632</v>
      </c>
      <c r="H2749" s="8"/>
      <c r="I2749" s="8">
        <v>8794</v>
      </c>
      <c r="J2749" s="6"/>
      <c r="K2749" s="6" t="s">
        <v>2480</v>
      </c>
      <c r="L2749" s="6"/>
      <c r="M2749" s="6"/>
      <c r="N2749" s="6" t="s">
        <v>2480</v>
      </c>
      <c r="O2749" s="29">
        <f t="shared" si="62"/>
        <v>8794</v>
      </c>
      <c r="Q2749" s="30" t="s">
        <v>2480</v>
      </c>
      <c r="R2749" s="31">
        <v>8794</v>
      </c>
    </row>
    <row r="2750" s="1" customFormat="1" ht="16.35" hidden="1" customHeight="1" spans="1:18">
      <c r="A2750" s="6"/>
      <c r="B2750" s="6" t="s">
        <v>4123</v>
      </c>
      <c r="C2750" s="6" t="s">
        <v>4248</v>
      </c>
      <c r="D2750" s="7">
        <v>25</v>
      </c>
      <c r="E2750" s="6" t="s">
        <v>6457</v>
      </c>
      <c r="F2750" s="6" t="s">
        <v>5631</v>
      </c>
      <c r="G2750" s="6" t="s">
        <v>5632</v>
      </c>
      <c r="H2750" s="8"/>
      <c r="I2750" s="8">
        <v>259463.97</v>
      </c>
      <c r="J2750" s="6"/>
      <c r="K2750" s="6" t="s">
        <v>2424</v>
      </c>
      <c r="L2750" s="6"/>
      <c r="M2750" s="6"/>
      <c r="N2750" s="6" t="s">
        <v>2424</v>
      </c>
      <c r="O2750" s="29">
        <f t="shared" si="62"/>
        <v>259463.97</v>
      </c>
      <c r="Q2750" s="30" t="s">
        <v>2424</v>
      </c>
      <c r="R2750" s="31">
        <v>259463.97</v>
      </c>
    </row>
    <row r="2751" s="1" customFormat="1" ht="16.35" hidden="1" customHeight="1" spans="1:18">
      <c r="A2751" s="6"/>
      <c r="B2751" s="6" t="s">
        <v>4123</v>
      </c>
      <c r="C2751" s="6" t="s">
        <v>4248</v>
      </c>
      <c r="D2751" s="7">
        <v>39</v>
      </c>
      <c r="E2751" s="6" t="s">
        <v>6458</v>
      </c>
      <c r="F2751" s="6" t="s">
        <v>5631</v>
      </c>
      <c r="G2751" s="6" t="s">
        <v>5632</v>
      </c>
      <c r="H2751" s="8"/>
      <c r="I2751" s="8">
        <v>107704</v>
      </c>
      <c r="J2751" s="6"/>
      <c r="K2751" s="6" t="s">
        <v>2492</v>
      </c>
      <c r="L2751" s="6"/>
      <c r="M2751" s="6"/>
      <c r="N2751" s="6" t="s">
        <v>2492</v>
      </c>
      <c r="O2751" s="29">
        <f t="shared" si="62"/>
        <v>107704</v>
      </c>
      <c r="Q2751" s="30" t="s">
        <v>2492</v>
      </c>
      <c r="R2751" s="31">
        <v>107704</v>
      </c>
    </row>
    <row r="2752" s="1" customFormat="1" ht="16.35" hidden="1" customHeight="1" spans="1:18">
      <c r="A2752" s="6"/>
      <c r="B2752" s="6" t="s">
        <v>4123</v>
      </c>
      <c r="C2752" s="6" t="s">
        <v>4248</v>
      </c>
      <c r="D2752" s="7">
        <v>6</v>
      </c>
      <c r="E2752" s="6" t="s">
        <v>6459</v>
      </c>
      <c r="F2752" s="6" t="s">
        <v>5631</v>
      </c>
      <c r="G2752" s="6" t="s">
        <v>5632</v>
      </c>
      <c r="H2752" s="8"/>
      <c r="I2752" s="8">
        <v>1</v>
      </c>
      <c r="J2752" s="6"/>
      <c r="K2752" s="6" t="s">
        <v>2592</v>
      </c>
      <c r="L2752" s="6"/>
      <c r="M2752" s="6"/>
      <c r="N2752" s="6" t="s">
        <v>2592</v>
      </c>
      <c r="O2752" s="29">
        <f t="shared" si="62"/>
        <v>1</v>
      </c>
      <c r="Q2752" s="30" t="s">
        <v>2592</v>
      </c>
      <c r="R2752" s="31">
        <v>1</v>
      </c>
    </row>
    <row r="2753" s="1" customFormat="1" ht="16.35" hidden="1" customHeight="1" spans="1:18">
      <c r="A2753" s="6"/>
      <c r="B2753" s="6" t="s">
        <v>4123</v>
      </c>
      <c r="C2753" s="6" t="s">
        <v>4248</v>
      </c>
      <c r="D2753" s="7">
        <v>28</v>
      </c>
      <c r="E2753" s="6" t="s">
        <v>6460</v>
      </c>
      <c r="F2753" s="6" t="s">
        <v>5631</v>
      </c>
      <c r="G2753" s="6" t="s">
        <v>5632</v>
      </c>
      <c r="H2753" s="8"/>
      <c r="I2753" s="8">
        <v>105000</v>
      </c>
      <c r="J2753" s="6"/>
      <c r="K2753" s="6" t="s">
        <v>2654</v>
      </c>
      <c r="L2753" s="6"/>
      <c r="M2753" s="6"/>
      <c r="N2753" s="6" t="s">
        <v>2654</v>
      </c>
      <c r="O2753" s="29">
        <f t="shared" si="62"/>
        <v>105000</v>
      </c>
      <c r="Q2753" s="30" t="s">
        <v>2654</v>
      </c>
      <c r="R2753" s="31">
        <v>105000</v>
      </c>
    </row>
    <row r="2754" s="1" customFormat="1" ht="16.35" hidden="1" customHeight="1" spans="1:18">
      <c r="A2754" s="6"/>
      <c r="B2754" s="6" t="s">
        <v>4123</v>
      </c>
      <c r="C2754" s="6" t="s">
        <v>4248</v>
      </c>
      <c r="D2754" s="7">
        <v>8</v>
      </c>
      <c r="E2754" s="6" t="s">
        <v>6461</v>
      </c>
      <c r="F2754" s="6" t="s">
        <v>5631</v>
      </c>
      <c r="G2754" s="6" t="s">
        <v>5632</v>
      </c>
      <c r="H2754" s="8"/>
      <c r="I2754" s="8">
        <v>18000</v>
      </c>
      <c r="J2754" s="6"/>
      <c r="K2754" s="6" t="s">
        <v>2642</v>
      </c>
      <c r="L2754" s="6"/>
      <c r="M2754" s="6"/>
      <c r="N2754" s="6" t="s">
        <v>2642</v>
      </c>
      <c r="O2754" s="29">
        <f t="shared" si="62"/>
        <v>18000</v>
      </c>
      <c r="Q2754" s="30" t="s">
        <v>2642</v>
      </c>
      <c r="R2754" s="31">
        <v>18000</v>
      </c>
    </row>
    <row r="2755" s="1" customFormat="1" ht="16.35" hidden="1" customHeight="1" spans="1:18">
      <c r="A2755" s="6"/>
      <c r="B2755" s="6" t="s">
        <v>4123</v>
      </c>
      <c r="C2755" s="6" t="s">
        <v>4248</v>
      </c>
      <c r="D2755" s="7">
        <v>27</v>
      </c>
      <c r="E2755" s="6" t="s">
        <v>6462</v>
      </c>
      <c r="F2755" s="6" t="s">
        <v>5631</v>
      </c>
      <c r="G2755" s="6" t="s">
        <v>5632</v>
      </c>
      <c r="H2755" s="8"/>
      <c r="I2755" s="8">
        <v>100734</v>
      </c>
      <c r="J2755" s="6"/>
      <c r="K2755" s="6" t="s">
        <v>2664</v>
      </c>
      <c r="L2755" s="6"/>
      <c r="M2755" s="6"/>
      <c r="N2755" s="6" t="s">
        <v>2664</v>
      </c>
      <c r="O2755" s="29">
        <f t="shared" si="62"/>
        <v>100734</v>
      </c>
      <c r="Q2755" s="30" t="s">
        <v>2664</v>
      </c>
      <c r="R2755" s="31">
        <v>100734</v>
      </c>
    </row>
    <row r="2756" s="1" customFormat="1" ht="16.35" hidden="1" customHeight="1" spans="1:18">
      <c r="A2756" s="6"/>
      <c r="B2756" s="6" t="s">
        <v>4123</v>
      </c>
      <c r="C2756" s="6" t="s">
        <v>4248</v>
      </c>
      <c r="D2756" s="7">
        <v>38</v>
      </c>
      <c r="E2756" s="6" t="s">
        <v>6463</v>
      </c>
      <c r="F2756" s="6" t="s">
        <v>5631</v>
      </c>
      <c r="G2756" s="6" t="s">
        <v>5632</v>
      </c>
      <c r="H2756" s="8"/>
      <c r="I2756" s="8">
        <v>25000</v>
      </c>
      <c r="J2756" s="6"/>
      <c r="K2756" s="6" t="s">
        <v>2710</v>
      </c>
      <c r="L2756" s="6"/>
      <c r="M2756" s="6"/>
      <c r="N2756" s="6" t="s">
        <v>2710</v>
      </c>
      <c r="O2756" s="29">
        <f t="shared" si="62"/>
        <v>25000</v>
      </c>
      <c r="Q2756" s="30" t="s">
        <v>2710</v>
      </c>
      <c r="R2756" s="31">
        <v>25000</v>
      </c>
    </row>
    <row r="2757" s="1" customFormat="1" ht="16.35" hidden="1" customHeight="1" spans="1:18">
      <c r="A2757" s="6"/>
      <c r="B2757" s="6" t="s">
        <v>4123</v>
      </c>
      <c r="C2757" s="6" t="s">
        <v>4248</v>
      </c>
      <c r="D2757" s="7">
        <v>36</v>
      </c>
      <c r="E2757" s="6" t="s">
        <v>6464</v>
      </c>
      <c r="F2757" s="6" t="s">
        <v>5631</v>
      </c>
      <c r="G2757" s="6" t="s">
        <v>5632</v>
      </c>
      <c r="H2757" s="8"/>
      <c r="I2757" s="8">
        <v>10000</v>
      </c>
      <c r="J2757" s="6"/>
      <c r="K2757" s="6" t="s">
        <v>2732</v>
      </c>
      <c r="L2757" s="6"/>
      <c r="M2757" s="6"/>
      <c r="N2757" s="6" t="s">
        <v>2732</v>
      </c>
      <c r="O2757" s="29">
        <f t="shared" si="62"/>
        <v>10000</v>
      </c>
      <c r="Q2757" s="30" t="s">
        <v>2732</v>
      </c>
      <c r="R2757" s="31">
        <v>10000</v>
      </c>
    </row>
    <row r="2758" s="1" customFormat="1" ht="16.35" hidden="1" customHeight="1" spans="1:18">
      <c r="A2758" s="6"/>
      <c r="B2758" s="6" t="s">
        <v>4123</v>
      </c>
      <c r="C2758" s="6" t="s">
        <v>4248</v>
      </c>
      <c r="D2758" s="7">
        <v>5</v>
      </c>
      <c r="E2758" s="6" t="s">
        <v>6465</v>
      </c>
      <c r="F2758" s="6" t="s">
        <v>5631</v>
      </c>
      <c r="G2758" s="6" t="s">
        <v>5632</v>
      </c>
      <c r="H2758" s="8"/>
      <c r="I2758" s="8">
        <v>10000</v>
      </c>
      <c r="J2758" s="6"/>
      <c r="K2758" s="6" t="s">
        <v>2887</v>
      </c>
      <c r="L2758" s="6"/>
      <c r="M2758" s="6"/>
      <c r="N2758" s="6" t="s">
        <v>2887</v>
      </c>
      <c r="O2758" s="29">
        <f t="shared" si="62"/>
        <v>10000</v>
      </c>
      <c r="Q2758" s="30" t="s">
        <v>2887</v>
      </c>
      <c r="R2758" s="31">
        <v>10000</v>
      </c>
    </row>
    <row r="2759" s="1" customFormat="1" ht="16.35" hidden="1" customHeight="1" spans="1:18">
      <c r="A2759" s="6"/>
      <c r="B2759" s="6" t="s">
        <v>4123</v>
      </c>
      <c r="C2759" s="6" t="s">
        <v>4248</v>
      </c>
      <c r="D2759" s="7">
        <v>44</v>
      </c>
      <c r="E2759" s="6" t="s">
        <v>6466</v>
      </c>
      <c r="F2759" s="6" t="s">
        <v>5631</v>
      </c>
      <c r="G2759" s="6" t="s">
        <v>5632</v>
      </c>
      <c r="H2759" s="8"/>
      <c r="I2759" s="8">
        <v>20000</v>
      </c>
      <c r="J2759" s="6"/>
      <c r="K2759" s="6" t="s">
        <v>2155</v>
      </c>
      <c r="L2759" s="6"/>
      <c r="M2759" s="6"/>
      <c r="N2759" s="6" t="s">
        <v>2155</v>
      </c>
      <c r="O2759" s="29">
        <f t="shared" si="62"/>
        <v>20000</v>
      </c>
      <c r="Q2759" s="30" t="s">
        <v>2155</v>
      </c>
      <c r="R2759" s="31">
        <v>20000</v>
      </c>
    </row>
    <row r="2760" s="1" customFormat="1" ht="16.35" hidden="1" customHeight="1" spans="1:18">
      <c r="A2760" s="6"/>
      <c r="B2760" s="6" t="s">
        <v>4123</v>
      </c>
      <c r="C2760" s="6" t="s">
        <v>4248</v>
      </c>
      <c r="D2760" s="7">
        <v>50</v>
      </c>
      <c r="E2760" s="6" t="s">
        <v>6467</v>
      </c>
      <c r="F2760" s="6" t="s">
        <v>5631</v>
      </c>
      <c r="G2760" s="6" t="s">
        <v>5632</v>
      </c>
      <c r="H2760" s="8"/>
      <c r="I2760" s="8">
        <v>170000</v>
      </c>
      <c r="J2760" s="6"/>
      <c r="K2760" s="6" t="s">
        <v>2370</v>
      </c>
      <c r="L2760" s="6"/>
      <c r="M2760" s="6"/>
      <c r="N2760" s="6" t="s">
        <v>2370</v>
      </c>
      <c r="O2760" s="29">
        <f t="shared" si="62"/>
        <v>170000</v>
      </c>
      <c r="Q2760" s="30" t="s">
        <v>2370</v>
      </c>
      <c r="R2760" s="31">
        <v>170000</v>
      </c>
    </row>
    <row r="2761" s="1" customFormat="1" ht="16.35" hidden="1" customHeight="1" spans="1:18">
      <c r="A2761" s="6"/>
      <c r="B2761" s="6" t="s">
        <v>4123</v>
      </c>
      <c r="C2761" s="6" t="s">
        <v>4248</v>
      </c>
      <c r="D2761" s="7">
        <v>26</v>
      </c>
      <c r="E2761" s="6" t="s">
        <v>6468</v>
      </c>
      <c r="F2761" s="6" t="s">
        <v>5631</v>
      </c>
      <c r="G2761" s="6" t="s">
        <v>5632</v>
      </c>
      <c r="H2761" s="8"/>
      <c r="I2761" s="8">
        <v>30000</v>
      </c>
      <c r="J2761" s="6"/>
      <c r="K2761" s="6" t="s">
        <v>2320</v>
      </c>
      <c r="L2761" s="6"/>
      <c r="M2761" s="6"/>
      <c r="N2761" s="6" t="s">
        <v>2320</v>
      </c>
      <c r="O2761" s="29">
        <f t="shared" si="62"/>
        <v>30000</v>
      </c>
      <c r="Q2761" s="30" t="s">
        <v>2320</v>
      </c>
      <c r="R2761" s="31">
        <v>30000</v>
      </c>
    </row>
    <row r="2762" s="1" customFormat="1" ht="16.35" hidden="1" customHeight="1" spans="1:18">
      <c r="A2762" s="6"/>
      <c r="B2762" s="6" t="s">
        <v>4123</v>
      </c>
      <c r="C2762" s="6" t="s">
        <v>4248</v>
      </c>
      <c r="D2762" s="7">
        <v>28</v>
      </c>
      <c r="E2762" s="6" t="s">
        <v>6468</v>
      </c>
      <c r="F2762" s="6" t="s">
        <v>5631</v>
      </c>
      <c r="G2762" s="6" t="s">
        <v>5632</v>
      </c>
      <c r="H2762" s="8"/>
      <c r="I2762" s="8">
        <v>49035</v>
      </c>
      <c r="J2762" s="6"/>
      <c r="K2762" s="6" t="s">
        <v>2320</v>
      </c>
      <c r="L2762" s="6"/>
      <c r="M2762" s="6"/>
      <c r="N2762" s="6" t="s">
        <v>2320</v>
      </c>
      <c r="O2762" s="29">
        <f t="shared" si="62"/>
        <v>49035</v>
      </c>
      <c r="Q2762" s="30" t="s">
        <v>2320</v>
      </c>
      <c r="R2762" s="31">
        <v>49035</v>
      </c>
    </row>
    <row r="2763" s="1" customFormat="1" ht="16.35" hidden="1" customHeight="1" spans="1:18">
      <c r="A2763" s="6"/>
      <c r="B2763" s="6" t="s">
        <v>4123</v>
      </c>
      <c r="C2763" s="6" t="s">
        <v>4248</v>
      </c>
      <c r="D2763" s="7">
        <v>34</v>
      </c>
      <c r="E2763" s="6" t="s">
        <v>6469</v>
      </c>
      <c r="F2763" s="6" t="s">
        <v>5631</v>
      </c>
      <c r="G2763" s="6" t="s">
        <v>5632</v>
      </c>
      <c r="H2763" s="8"/>
      <c r="I2763" s="8">
        <v>40000</v>
      </c>
      <c r="J2763" s="6"/>
      <c r="K2763" s="6" t="s">
        <v>2572</v>
      </c>
      <c r="L2763" s="6"/>
      <c r="M2763" s="6"/>
      <c r="N2763" s="6" t="s">
        <v>2572</v>
      </c>
      <c r="O2763" s="29">
        <f t="shared" si="62"/>
        <v>40000</v>
      </c>
      <c r="Q2763" s="30" t="s">
        <v>2572</v>
      </c>
      <c r="R2763" s="31">
        <v>40000</v>
      </c>
    </row>
    <row r="2764" s="1" customFormat="1" ht="16.35" hidden="1" customHeight="1" spans="1:18">
      <c r="A2764" s="6"/>
      <c r="B2764" s="6" t="s">
        <v>4123</v>
      </c>
      <c r="C2764" s="6" t="s">
        <v>4248</v>
      </c>
      <c r="D2764" s="7">
        <v>35</v>
      </c>
      <c r="E2764" s="6" t="s">
        <v>6470</v>
      </c>
      <c r="F2764" s="6" t="s">
        <v>5631</v>
      </c>
      <c r="G2764" s="6" t="s">
        <v>5632</v>
      </c>
      <c r="H2764" s="8"/>
      <c r="I2764" s="8">
        <v>4848</v>
      </c>
      <c r="J2764" s="6"/>
      <c r="K2764" s="6" t="s">
        <v>2572</v>
      </c>
      <c r="L2764" s="6"/>
      <c r="M2764" s="6"/>
      <c r="N2764" s="6" t="s">
        <v>2572</v>
      </c>
      <c r="O2764" s="29">
        <f t="shared" si="62"/>
        <v>4848</v>
      </c>
      <c r="Q2764" s="30" t="s">
        <v>2572</v>
      </c>
      <c r="R2764" s="31">
        <v>4848</v>
      </c>
    </row>
    <row r="2765" s="1" customFormat="1" ht="16.35" hidden="1" customHeight="1" spans="1:18">
      <c r="A2765" s="6"/>
      <c r="B2765" s="6" t="s">
        <v>4123</v>
      </c>
      <c r="C2765" s="6" t="s">
        <v>4248</v>
      </c>
      <c r="D2765" s="7">
        <v>51</v>
      </c>
      <c r="E2765" s="6" t="s">
        <v>6471</v>
      </c>
      <c r="F2765" s="6" t="s">
        <v>5631</v>
      </c>
      <c r="G2765" s="6" t="s">
        <v>5632</v>
      </c>
      <c r="H2765" s="8"/>
      <c r="I2765" s="8">
        <v>153844</v>
      </c>
      <c r="J2765" s="6"/>
      <c r="K2765" s="6" t="s">
        <v>285</v>
      </c>
      <c r="L2765" s="6"/>
      <c r="M2765" s="6"/>
      <c r="N2765" s="6" t="s">
        <v>285</v>
      </c>
      <c r="O2765" s="29">
        <f t="shared" si="62"/>
        <v>153844</v>
      </c>
      <c r="Q2765" s="30" t="s">
        <v>285</v>
      </c>
      <c r="R2765" s="31">
        <v>153844</v>
      </c>
    </row>
    <row r="2766" s="1" customFormat="1" ht="16.35" hidden="1" customHeight="1" spans="1:18">
      <c r="A2766" s="6"/>
      <c r="B2766" s="6" t="s">
        <v>4123</v>
      </c>
      <c r="C2766" s="6" t="s">
        <v>4248</v>
      </c>
      <c r="D2766" s="7">
        <v>47</v>
      </c>
      <c r="E2766" s="6" t="s">
        <v>6472</v>
      </c>
      <c r="F2766" s="6" t="s">
        <v>5631</v>
      </c>
      <c r="G2766" s="6" t="s">
        <v>5632</v>
      </c>
      <c r="H2766" s="8"/>
      <c r="I2766" s="8">
        <v>170000</v>
      </c>
      <c r="J2766" s="6"/>
      <c r="K2766" s="6" t="s">
        <v>2408</v>
      </c>
      <c r="L2766" s="6"/>
      <c r="M2766" s="6"/>
      <c r="N2766" s="6" t="s">
        <v>2408</v>
      </c>
      <c r="O2766" s="29">
        <f t="shared" ref="O2766:O2797" si="63">I2766</f>
        <v>170000</v>
      </c>
      <c r="Q2766" s="30" t="s">
        <v>2408</v>
      </c>
      <c r="R2766" s="31">
        <v>170000</v>
      </c>
    </row>
    <row r="2767" s="1" customFormat="1" ht="16.35" hidden="1" customHeight="1" spans="1:18">
      <c r="A2767" s="6"/>
      <c r="B2767" s="6" t="s">
        <v>4123</v>
      </c>
      <c r="C2767" s="6" t="s">
        <v>4248</v>
      </c>
      <c r="D2767" s="7">
        <v>45</v>
      </c>
      <c r="E2767" s="6" t="s">
        <v>6473</v>
      </c>
      <c r="F2767" s="6" t="s">
        <v>5631</v>
      </c>
      <c r="G2767" s="6" t="s">
        <v>5632</v>
      </c>
      <c r="H2767" s="8"/>
      <c r="I2767" s="8">
        <v>2</v>
      </c>
      <c r="J2767" s="6"/>
      <c r="K2767" s="6" t="s">
        <v>2386</v>
      </c>
      <c r="L2767" s="6"/>
      <c r="M2767" s="6"/>
      <c r="N2767" s="6" t="s">
        <v>2386</v>
      </c>
      <c r="O2767" s="29">
        <f t="shared" si="63"/>
        <v>2</v>
      </c>
      <c r="Q2767" s="30" t="s">
        <v>2386</v>
      </c>
      <c r="R2767" s="31">
        <v>2</v>
      </c>
    </row>
    <row r="2768" s="1" customFormat="1" ht="16.35" hidden="1" customHeight="1" spans="1:18">
      <c r="A2768" s="6"/>
      <c r="B2768" s="6" t="s">
        <v>4123</v>
      </c>
      <c r="C2768" s="6" t="s">
        <v>4248</v>
      </c>
      <c r="D2768" s="7">
        <v>9</v>
      </c>
      <c r="E2768" s="6" t="s">
        <v>6474</v>
      </c>
      <c r="F2768" s="6" t="s">
        <v>5631</v>
      </c>
      <c r="G2768" s="6" t="s">
        <v>5632</v>
      </c>
      <c r="H2768" s="8"/>
      <c r="I2768" s="8">
        <v>1000</v>
      </c>
      <c r="J2768" s="6"/>
      <c r="K2768" s="6" t="s">
        <v>2400</v>
      </c>
      <c r="L2768" s="6"/>
      <c r="M2768" s="6"/>
      <c r="N2768" s="6" t="s">
        <v>2400</v>
      </c>
      <c r="O2768" s="29">
        <f t="shared" si="63"/>
        <v>1000</v>
      </c>
      <c r="Q2768" s="30" t="s">
        <v>2400</v>
      </c>
      <c r="R2768" s="31">
        <v>1000</v>
      </c>
    </row>
    <row r="2769" s="1" customFormat="1" ht="16.35" hidden="1" customHeight="1" spans="1:18">
      <c r="A2769" s="6"/>
      <c r="B2769" s="6" t="s">
        <v>4123</v>
      </c>
      <c r="C2769" s="6" t="s">
        <v>4248</v>
      </c>
      <c r="D2769" s="7">
        <v>23</v>
      </c>
      <c r="E2769" s="6" t="s">
        <v>6475</v>
      </c>
      <c r="F2769" s="6" t="s">
        <v>5631</v>
      </c>
      <c r="G2769" s="6" t="s">
        <v>5632</v>
      </c>
      <c r="H2769" s="8"/>
      <c r="I2769" s="8">
        <v>182000</v>
      </c>
      <c r="J2769" s="6"/>
      <c r="K2769" s="6" t="s">
        <v>2452</v>
      </c>
      <c r="L2769" s="6"/>
      <c r="M2769" s="6"/>
      <c r="N2769" s="6" t="s">
        <v>2452</v>
      </c>
      <c r="O2769" s="29">
        <f t="shared" si="63"/>
        <v>182000</v>
      </c>
      <c r="Q2769" s="30" t="s">
        <v>2452</v>
      </c>
      <c r="R2769" s="31">
        <v>182000</v>
      </c>
    </row>
    <row r="2770" s="1" customFormat="1" ht="16.35" hidden="1" customHeight="1" spans="1:18">
      <c r="A2770" s="6"/>
      <c r="B2770" s="6" t="s">
        <v>4123</v>
      </c>
      <c r="C2770" s="6" t="s">
        <v>4248</v>
      </c>
      <c r="D2770" s="7">
        <v>29</v>
      </c>
      <c r="E2770" s="6" t="s">
        <v>6476</v>
      </c>
      <c r="F2770" s="6" t="s">
        <v>5631</v>
      </c>
      <c r="G2770" s="6" t="s">
        <v>5632</v>
      </c>
      <c r="H2770" s="8"/>
      <c r="I2770" s="8">
        <v>138000</v>
      </c>
      <c r="J2770" s="6"/>
      <c r="K2770" s="6" t="s">
        <v>2428</v>
      </c>
      <c r="L2770" s="6"/>
      <c r="M2770" s="6"/>
      <c r="N2770" s="6" t="s">
        <v>2428</v>
      </c>
      <c r="O2770" s="29">
        <f t="shared" si="63"/>
        <v>138000</v>
      </c>
      <c r="Q2770" s="30" t="s">
        <v>2428</v>
      </c>
      <c r="R2770" s="31">
        <v>138000</v>
      </c>
    </row>
    <row r="2771" s="1" customFormat="1" ht="16.35" hidden="1" customHeight="1" spans="1:18">
      <c r="A2771" s="6"/>
      <c r="B2771" s="6" t="s">
        <v>4123</v>
      </c>
      <c r="C2771" s="6" t="s">
        <v>4248</v>
      </c>
      <c r="D2771" s="7">
        <v>35</v>
      </c>
      <c r="E2771" s="6" t="s">
        <v>6477</v>
      </c>
      <c r="F2771" s="6" t="s">
        <v>5631</v>
      </c>
      <c r="G2771" s="6" t="s">
        <v>5632</v>
      </c>
      <c r="H2771" s="8"/>
      <c r="I2771" s="8">
        <v>38000</v>
      </c>
      <c r="J2771" s="6"/>
      <c r="K2771" s="6" t="s">
        <v>2496</v>
      </c>
      <c r="L2771" s="6"/>
      <c r="M2771" s="6"/>
      <c r="N2771" s="6" t="s">
        <v>2496</v>
      </c>
      <c r="O2771" s="29">
        <f t="shared" si="63"/>
        <v>38000</v>
      </c>
      <c r="Q2771" s="30" t="s">
        <v>2496</v>
      </c>
      <c r="R2771" s="31">
        <v>38000</v>
      </c>
    </row>
    <row r="2772" s="1" customFormat="1" ht="16.35" hidden="1" customHeight="1" spans="1:18">
      <c r="A2772" s="6"/>
      <c r="B2772" s="6" t="s">
        <v>4123</v>
      </c>
      <c r="C2772" s="6" t="s">
        <v>4248</v>
      </c>
      <c r="D2772" s="7">
        <v>25</v>
      </c>
      <c r="E2772" s="6" t="s">
        <v>6478</v>
      </c>
      <c r="F2772" s="6" t="s">
        <v>5631</v>
      </c>
      <c r="G2772" s="6" t="s">
        <v>5632</v>
      </c>
      <c r="H2772" s="8"/>
      <c r="I2772" s="8">
        <v>10000</v>
      </c>
      <c r="J2772" s="6"/>
      <c r="K2772" s="6" t="s">
        <v>2551</v>
      </c>
      <c r="L2772" s="6"/>
      <c r="M2772" s="6"/>
      <c r="N2772" s="6" t="s">
        <v>2551</v>
      </c>
      <c r="O2772" s="29">
        <f t="shared" si="63"/>
        <v>10000</v>
      </c>
      <c r="Q2772" s="30" t="s">
        <v>2551</v>
      </c>
      <c r="R2772" s="31">
        <v>10000</v>
      </c>
    </row>
    <row r="2773" s="1" customFormat="1" ht="16.35" hidden="1" customHeight="1" spans="1:18">
      <c r="A2773" s="6"/>
      <c r="B2773" s="6" t="s">
        <v>4123</v>
      </c>
      <c r="C2773" s="6" t="s">
        <v>4248</v>
      </c>
      <c r="D2773" s="7">
        <v>27</v>
      </c>
      <c r="E2773" s="6" t="s">
        <v>6479</v>
      </c>
      <c r="F2773" s="6" t="s">
        <v>5631</v>
      </c>
      <c r="G2773" s="6" t="s">
        <v>5632</v>
      </c>
      <c r="H2773" s="8"/>
      <c r="I2773" s="8">
        <v>54619</v>
      </c>
      <c r="J2773" s="6"/>
      <c r="K2773" s="6" t="s">
        <v>2537</v>
      </c>
      <c r="L2773" s="6"/>
      <c r="M2773" s="6"/>
      <c r="N2773" s="6" t="s">
        <v>2537</v>
      </c>
      <c r="O2773" s="29">
        <f t="shared" si="63"/>
        <v>54619</v>
      </c>
      <c r="Q2773" s="30" t="s">
        <v>2537</v>
      </c>
      <c r="R2773" s="31">
        <v>54619</v>
      </c>
    </row>
    <row r="2774" s="1" customFormat="1" ht="16.35" hidden="1" customHeight="1" spans="1:18">
      <c r="A2774" s="6"/>
      <c r="B2774" s="6" t="s">
        <v>4123</v>
      </c>
      <c r="C2774" s="6" t="s">
        <v>4248</v>
      </c>
      <c r="D2774" s="7">
        <v>34</v>
      </c>
      <c r="E2774" s="6" t="s">
        <v>6480</v>
      </c>
      <c r="F2774" s="6" t="s">
        <v>5631</v>
      </c>
      <c r="G2774" s="6" t="s">
        <v>5632</v>
      </c>
      <c r="H2774" s="8"/>
      <c r="I2774" s="8">
        <v>71291</v>
      </c>
      <c r="J2774" s="6"/>
      <c r="K2774" s="6" t="s">
        <v>2576</v>
      </c>
      <c r="L2774" s="6"/>
      <c r="M2774" s="6"/>
      <c r="N2774" s="6" t="s">
        <v>2576</v>
      </c>
      <c r="O2774" s="29">
        <f t="shared" si="63"/>
        <v>71291</v>
      </c>
      <c r="Q2774" s="30" t="s">
        <v>2576</v>
      </c>
      <c r="R2774" s="31">
        <v>71291</v>
      </c>
    </row>
    <row r="2775" s="1" customFormat="1" ht="16.35" hidden="1" customHeight="1" spans="1:18">
      <c r="A2775" s="6"/>
      <c r="B2775" s="6" t="s">
        <v>4123</v>
      </c>
      <c r="C2775" s="6" t="s">
        <v>4248</v>
      </c>
      <c r="D2775" s="7">
        <v>12</v>
      </c>
      <c r="E2775" s="6" t="s">
        <v>6481</v>
      </c>
      <c r="F2775" s="6" t="s">
        <v>5631</v>
      </c>
      <c r="G2775" s="6" t="s">
        <v>5632</v>
      </c>
      <c r="H2775" s="8"/>
      <c r="I2775" s="8">
        <v>15000</v>
      </c>
      <c r="J2775" s="6"/>
      <c r="K2775" s="6" t="s">
        <v>2610</v>
      </c>
      <c r="L2775" s="6"/>
      <c r="M2775" s="6"/>
      <c r="N2775" s="6" t="s">
        <v>2610</v>
      </c>
      <c r="O2775" s="29">
        <f t="shared" si="63"/>
        <v>15000</v>
      </c>
      <c r="Q2775" s="30" t="s">
        <v>2610</v>
      </c>
      <c r="R2775" s="31">
        <v>15000</v>
      </c>
    </row>
    <row r="2776" s="1" customFormat="1" ht="16.35" hidden="1" customHeight="1" spans="1:18">
      <c r="A2776" s="6"/>
      <c r="B2776" s="6" t="s">
        <v>4123</v>
      </c>
      <c r="C2776" s="6" t="s">
        <v>4248</v>
      </c>
      <c r="D2776" s="7">
        <v>40</v>
      </c>
      <c r="E2776" s="6" t="s">
        <v>6482</v>
      </c>
      <c r="F2776" s="6" t="s">
        <v>5631</v>
      </c>
      <c r="G2776" s="6" t="s">
        <v>5632</v>
      </c>
      <c r="H2776" s="8"/>
      <c r="I2776" s="8">
        <v>18000</v>
      </c>
      <c r="J2776" s="6"/>
      <c r="K2776" s="6" t="s">
        <v>2656</v>
      </c>
      <c r="L2776" s="6"/>
      <c r="M2776" s="6"/>
      <c r="N2776" s="6" t="s">
        <v>2656</v>
      </c>
      <c r="O2776" s="29">
        <f t="shared" si="63"/>
        <v>18000</v>
      </c>
      <c r="Q2776" s="30" t="s">
        <v>2656</v>
      </c>
      <c r="R2776" s="31">
        <v>18000</v>
      </c>
    </row>
    <row r="2777" s="1" customFormat="1" ht="16.35" hidden="1" customHeight="1" spans="1:18">
      <c r="A2777" s="6"/>
      <c r="B2777" s="6" t="s">
        <v>4123</v>
      </c>
      <c r="C2777" s="6" t="s">
        <v>4248</v>
      </c>
      <c r="D2777" s="7">
        <v>19</v>
      </c>
      <c r="E2777" s="6" t="s">
        <v>6483</v>
      </c>
      <c r="F2777" s="6" t="s">
        <v>5631</v>
      </c>
      <c r="G2777" s="6" t="s">
        <v>5632</v>
      </c>
      <c r="H2777" s="8"/>
      <c r="I2777" s="8">
        <v>776</v>
      </c>
      <c r="J2777" s="6"/>
      <c r="K2777" s="6" t="s">
        <v>2698</v>
      </c>
      <c r="L2777" s="6"/>
      <c r="M2777" s="6"/>
      <c r="N2777" s="6" t="s">
        <v>2698</v>
      </c>
      <c r="O2777" s="29">
        <f t="shared" si="63"/>
        <v>776</v>
      </c>
      <c r="Q2777" s="30" t="s">
        <v>2698</v>
      </c>
      <c r="R2777" s="31">
        <v>776</v>
      </c>
    </row>
    <row r="2778" s="1" customFormat="1" ht="16.35" hidden="1" customHeight="1" spans="1:18">
      <c r="A2778" s="6"/>
      <c r="B2778" s="6" t="s">
        <v>4123</v>
      </c>
      <c r="C2778" s="6" t="s">
        <v>4248</v>
      </c>
      <c r="D2778" s="7">
        <v>38</v>
      </c>
      <c r="E2778" s="6" t="s">
        <v>6484</v>
      </c>
      <c r="F2778" s="6" t="s">
        <v>5631</v>
      </c>
      <c r="G2778" s="6" t="s">
        <v>5632</v>
      </c>
      <c r="H2778" s="8"/>
      <c r="I2778" s="8">
        <v>100000</v>
      </c>
      <c r="J2778" s="6"/>
      <c r="K2778" s="6" t="s">
        <v>2075</v>
      </c>
      <c r="L2778" s="6"/>
      <c r="M2778" s="6"/>
      <c r="N2778" s="6" t="s">
        <v>2075</v>
      </c>
      <c r="O2778" s="29">
        <f t="shared" si="63"/>
        <v>100000</v>
      </c>
      <c r="Q2778" s="30" t="s">
        <v>2075</v>
      </c>
      <c r="R2778" s="31">
        <v>100000</v>
      </c>
    </row>
    <row r="2779" s="1" customFormat="1" ht="16.35" hidden="1" customHeight="1" spans="1:18">
      <c r="A2779" s="6"/>
      <c r="B2779" s="6" t="s">
        <v>4123</v>
      </c>
      <c r="C2779" s="6" t="s">
        <v>4248</v>
      </c>
      <c r="D2779" s="7">
        <v>11</v>
      </c>
      <c r="E2779" s="6" t="s">
        <v>6485</v>
      </c>
      <c r="F2779" s="6" t="s">
        <v>5631</v>
      </c>
      <c r="G2779" s="6" t="s">
        <v>5632</v>
      </c>
      <c r="H2779" s="8"/>
      <c r="I2779" s="8">
        <v>60000</v>
      </c>
      <c r="J2779" s="6"/>
      <c r="K2779" s="6" t="s">
        <v>2472</v>
      </c>
      <c r="L2779" s="6"/>
      <c r="M2779" s="6"/>
      <c r="N2779" s="6" t="s">
        <v>2472</v>
      </c>
      <c r="O2779" s="29">
        <f t="shared" si="63"/>
        <v>60000</v>
      </c>
      <c r="Q2779" s="30" t="s">
        <v>2472</v>
      </c>
      <c r="R2779" s="31">
        <v>60000</v>
      </c>
    </row>
    <row r="2780" s="1" customFormat="1" ht="16.35" hidden="1" customHeight="1" spans="1:18">
      <c r="A2780" s="6"/>
      <c r="B2780" s="6" t="s">
        <v>4123</v>
      </c>
      <c r="C2780" s="6" t="s">
        <v>4248</v>
      </c>
      <c r="D2780" s="7">
        <v>21</v>
      </c>
      <c r="E2780" s="6" t="s">
        <v>6486</v>
      </c>
      <c r="F2780" s="6" t="s">
        <v>5631</v>
      </c>
      <c r="G2780" s="6" t="s">
        <v>5632</v>
      </c>
      <c r="H2780" s="8"/>
      <c r="I2780" s="8">
        <v>129000</v>
      </c>
      <c r="J2780" s="6"/>
      <c r="K2780" s="6" t="s">
        <v>2568</v>
      </c>
      <c r="L2780" s="6"/>
      <c r="M2780" s="6"/>
      <c r="N2780" s="6" t="s">
        <v>2568</v>
      </c>
      <c r="O2780" s="29">
        <f t="shared" si="63"/>
        <v>129000</v>
      </c>
      <c r="Q2780" s="30" t="s">
        <v>2568</v>
      </c>
      <c r="R2780" s="31">
        <v>129000</v>
      </c>
    </row>
    <row r="2781" s="1" customFormat="1" ht="16.35" hidden="1" customHeight="1" spans="1:18">
      <c r="A2781" s="6"/>
      <c r="B2781" s="6" t="s">
        <v>4123</v>
      </c>
      <c r="C2781" s="6" t="s">
        <v>4248</v>
      </c>
      <c r="D2781" s="7">
        <v>34</v>
      </c>
      <c r="E2781" s="6" t="s">
        <v>6487</v>
      </c>
      <c r="F2781" s="6" t="s">
        <v>5631</v>
      </c>
      <c r="G2781" s="6" t="s">
        <v>5632</v>
      </c>
      <c r="H2781" s="8"/>
      <c r="I2781" s="8">
        <v>60984</v>
      </c>
      <c r="J2781" s="6"/>
      <c r="K2781" s="6" t="s">
        <v>2582</v>
      </c>
      <c r="L2781" s="6"/>
      <c r="M2781" s="6"/>
      <c r="N2781" s="6" t="s">
        <v>2582</v>
      </c>
      <c r="O2781" s="29">
        <f t="shared" si="63"/>
        <v>60984</v>
      </c>
      <c r="Q2781" s="30" t="s">
        <v>2582</v>
      </c>
      <c r="R2781" s="31">
        <v>60984</v>
      </c>
    </row>
    <row r="2782" s="1" customFormat="1" ht="16.35" hidden="1" customHeight="1" spans="1:18">
      <c r="A2782" s="6"/>
      <c r="B2782" s="6" t="s">
        <v>4123</v>
      </c>
      <c r="C2782" s="6" t="s">
        <v>4248</v>
      </c>
      <c r="D2782" s="7">
        <v>31</v>
      </c>
      <c r="E2782" s="6" t="s">
        <v>6488</v>
      </c>
      <c r="F2782" s="6" t="s">
        <v>5631</v>
      </c>
      <c r="G2782" s="6" t="s">
        <v>5632</v>
      </c>
      <c r="H2782" s="8"/>
      <c r="I2782" s="8">
        <v>42434</v>
      </c>
      <c r="J2782" s="6"/>
      <c r="K2782" s="6" t="s">
        <v>2622</v>
      </c>
      <c r="L2782" s="6"/>
      <c r="M2782" s="6"/>
      <c r="N2782" s="6" t="s">
        <v>2622</v>
      </c>
      <c r="O2782" s="29">
        <f t="shared" si="63"/>
        <v>42434</v>
      </c>
      <c r="Q2782" s="30" t="s">
        <v>2622</v>
      </c>
      <c r="R2782" s="31">
        <v>42434</v>
      </c>
    </row>
    <row r="2783" s="1" customFormat="1" ht="16.35" hidden="1" customHeight="1" spans="1:18">
      <c r="A2783" s="6"/>
      <c r="B2783" s="6" t="s">
        <v>4123</v>
      </c>
      <c r="C2783" s="6" t="s">
        <v>4248</v>
      </c>
      <c r="D2783" s="7">
        <v>27</v>
      </c>
      <c r="E2783" s="6" t="s">
        <v>6489</v>
      </c>
      <c r="F2783" s="6" t="s">
        <v>5631</v>
      </c>
      <c r="G2783" s="6" t="s">
        <v>5632</v>
      </c>
      <c r="H2783" s="8"/>
      <c r="I2783" s="8">
        <v>34391</v>
      </c>
      <c r="J2783" s="6"/>
      <c r="K2783" s="6" t="s">
        <v>2672</v>
      </c>
      <c r="L2783" s="6"/>
      <c r="M2783" s="6"/>
      <c r="N2783" s="6" t="s">
        <v>2672</v>
      </c>
      <c r="O2783" s="29">
        <f t="shared" si="63"/>
        <v>34391</v>
      </c>
      <c r="Q2783" s="30" t="s">
        <v>2672</v>
      </c>
      <c r="R2783" s="31">
        <v>34391</v>
      </c>
    </row>
    <row r="2784" s="1" customFormat="1" ht="16.35" hidden="1" customHeight="1" spans="1:18">
      <c r="A2784" s="6"/>
      <c r="B2784" s="6" t="s">
        <v>4123</v>
      </c>
      <c r="C2784" s="6" t="s">
        <v>4248</v>
      </c>
      <c r="D2784" s="7">
        <v>38</v>
      </c>
      <c r="E2784" s="6" t="s">
        <v>6490</v>
      </c>
      <c r="F2784" s="6" t="s">
        <v>5631</v>
      </c>
      <c r="G2784" s="6" t="s">
        <v>5632</v>
      </c>
      <c r="H2784" s="8"/>
      <c r="I2784" s="8">
        <v>225000</v>
      </c>
      <c r="J2784" s="6"/>
      <c r="K2784" s="6" t="s">
        <v>2648</v>
      </c>
      <c r="L2784" s="6"/>
      <c r="M2784" s="6"/>
      <c r="N2784" s="6" t="s">
        <v>2648</v>
      </c>
      <c r="O2784" s="29">
        <f t="shared" si="63"/>
        <v>225000</v>
      </c>
      <c r="Q2784" s="30" t="s">
        <v>2648</v>
      </c>
      <c r="R2784" s="31">
        <v>225000</v>
      </c>
    </row>
    <row r="2785" s="1" customFormat="1" ht="16.35" hidden="1" customHeight="1" spans="1:18">
      <c r="A2785" s="6"/>
      <c r="B2785" s="6" t="s">
        <v>4123</v>
      </c>
      <c r="C2785" s="6" t="s">
        <v>4248</v>
      </c>
      <c r="D2785" s="7">
        <v>29</v>
      </c>
      <c r="E2785" s="6" t="s">
        <v>6491</v>
      </c>
      <c r="F2785" s="6" t="s">
        <v>5631</v>
      </c>
      <c r="G2785" s="6" t="s">
        <v>5632</v>
      </c>
      <c r="H2785" s="8"/>
      <c r="I2785" s="8">
        <v>6000</v>
      </c>
      <c r="J2785" s="6"/>
      <c r="K2785" s="6" t="s">
        <v>2690</v>
      </c>
      <c r="L2785" s="6"/>
      <c r="M2785" s="6"/>
      <c r="N2785" s="6" t="s">
        <v>2690</v>
      </c>
      <c r="O2785" s="29">
        <f t="shared" si="63"/>
        <v>6000</v>
      </c>
      <c r="Q2785" s="30" t="s">
        <v>2690</v>
      </c>
      <c r="R2785" s="31">
        <v>6000</v>
      </c>
    </row>
    <row r="2786" s="1" customFormat="1" ht="16.35" hidden="1" customHeight="1" spans="1:18">
      <c r="A2786" s="6"/>
      <c r="B2786" s="6" t="s">
        <v>4123</v>
      </c>
      <c r="C2786" s="6" t="s">
        <v>4248</v>
      </c>
      <c r="D2786" s="7">
        <v>24</v>
      </c>
      <c r="E2786" s="6" t="s">
        <v>6492</v>
      </c>
      <c r="F2786" s="6" t="s">
        <v>5631</v>
      </c>
      <c r="G2786" s="6" t="s">
        <v>5632</v>
      </c>
      <c r="H2786" s="8"/>
      <c r="I2786" s="8">
        <v>3000</v>
      </c>
      <c r="J2786" s="6"/>
      <c r="K2786" s="6" t="s">
        <v>2696</v>
      </c>
      <c r="L2786" s="6"/>
      <c r="M2786" s="6"/>
      <c r="N2786" s="6" t="s">
        <v>2696</v>
      </c>
      <c r="O2786" s="29">
        <f t="shared" si="63"/>
        <v>3000</v>
      </c>
      <c r="Q2786" s="30" t="s">
        <v>2696</v>
      </c>
      <c r="R2786" s="31">
        <v>3000</v>
      </c>
    </row>
    <row r="2787" s="1" customFormat="1" ht="16.35" hidden="1" customHeight="1" spans="1:18">
      <c r="A2787" s="6"/>
      <c r="B2787" s="6" t="s">
        <v>4123</v>
      </c>
      <c r="C2787" s="6" t="s">
        <v>4248</v>
      </c>
      <c r="D2787" s="7">
        <v>27</v>
      </c>
      <c r="E2787" s="6" t="s">
        <v>6493</v>
      </c>
      <c r="F2787" s="6" t="s">
        <v>5631</v>
      </c>
      <c r="G2787" s="6" t="s">
        <v>5632</v>
      </c>
      <c r="H2787" s="8"/>
      <c r="I2787" s="8">
        <v>10165</v>
      </c>
      <c r="J2787" s="6"/>
      <c r="K2787" s="6" t="s">
        <v>2724</v>
      </c>
      <c r="L2787" s="6"/>
      <c r="M2787" s="6"/>
      <c r="N2787" s="6" t="s">
        <v>2724</v>
      </c>
      <c r="O2787" s="29">
        <f t="shared" si="63"/>
        <v>10165</v>
      </c>
      <c r="Q2787" s="30" t="s">
        <v>2724</v>
      </c>
      <c r="R2787" s="31">
        <v>10165</v>
      </c>
    </row>
    <row r="2788" s="1" customFormat="1" ht="16.35" hidden="1" customHeight="1" spans="1:18">
      <c r="A2788" s="6"/>
      <c r="B2788" s="6" t="s">
        <v>4123</v>
      </c>
      <c r="C2788" s="6" t="s">
        <v>4248</v>
      </c>
      <c r="D2788" s="7">
        <v>30</v>
      </c>
      <c r="E2788" s="6" t="s">
        <v>6494</v>
      </c>
      <c r="F2788" s="6" t="s">
        <v>5631</v>
      </c>
      <c r="G2788" s="6" t="s">
        <v>5632</v>
      </c>
      <c r="H2788" s="8"/>
      <c r="I2788" s="8">
        <v>70000</v>
      </c>
      <c r="J2788" s="6"/>
      <c r="K2788" s="6" t="s">
        <v>2724</v>
      </c>
      <c r="L2788" s="6"/>
      <c r="M2788" s="6"/>
      <c r="N2788" s="6" t="s">
        <v>2724</v>
      </c>
      <c r="O2788" s="29">
        <f t="shared" si="63"/>
        <v>70000</v>
      </c>
      <c r="Q2788" s="30" t="s">
        <v>2724</v>
      </c>
      <c r="R2788" s="31">
        <v>70000</v>
      </c>
    </row>
    <row r="2789" s="1" customFormat="1" ht="16.35" hidden="1" customHeight="1" spans="1:18">
      <c r="A2789" s="6"/>
      <c r="B2789" s="6" t="s">
        <v>4123</v>
      </c>
      <c r="C2789" s="6" t="s">
        <v>4248</v>
      </c>
      <c r="D2789" s="7">
        <v>27</v>
      </c>
      <c r="E2789" s="6" t="s">
        <v>6495</v>
      </c>
      <c r="F2789" s="6" t="s">
        <v>5631</v>
      </c>
      <c r="G2789" s="6" t="s">
        <v>5632</v>
      </c>
      <c r="H2789" s="8"/>
      <c r="I2789" s="8">
        <v>10000</v>
      </c>
      <c r="J2789" s="6"/>
      <c r="K2789" s="6" t="s">
        <v>2045</v>
      </c>
      <c r="L2789" s="6"/>
      <c r="M2789" s="6"/>
      <c r="N2789" s="6" t="s">
        <v>2045</v>
      </c>
      <c r="O2789" s="29">
        <f t="shared" si="63"/>
        <v>10000</v>
      </c>
      <c r="Q2789" s="30" t="s">
        <v>2045</v>
      </c>
      <c r="R2789" s="31">
        <v>10000</v>
      </c>
    </row>
    <row r="2790" s="1" customFormat="1" ht="16.35" hidden="1" customHeight="1" spans="1:18">
      <c r="A2790" s="6"/>
      <c r="B2790" s="6" t="s">
        <v>4123</v>
      </c>
      <c r="C2790" s="6" t="s">
        <v>4248</v>
      </c>
      <c r="D2790" s="7">
        <v>35</v>
      </c>
      <c r="E2790" s="6" t="s">
        <v>6496</v>
      </c>
      <c r="F2790" s="6" t="s">
        <v>5631</v>
      </c>
      <c r="G2790" s="6" t="s">
        <v>5632</v>
      </c>
      <c r="H2790" s="8"/>
      <c r="I2790" s="8">
        <v>91000</v>
      </c>
      <c r="J2790" s="6"/>
      <c r="K2790" s="6" t="s">
        <v>2045</v>
      </c>
      <c r="L2790" s="6"/>
      <c r="M2790" s="6"/>
      <c r="N2790" s="6" t="s">
        <v>2045</v>
      </c>
      <c r="O2790" s="29">
        <f t="shared" si="63"/>
        <v>91000</v>
      </c>
      <c r="Q2790" s="30" t="s">
        <v>2045</v>
      </c>
      <c r="R2790" s="31">
        <v>91000</v>
      </c>
    </row>
    <row r="2791" s="1" customFormat="1" ht="16.35" hidden="1" customHeight="1" spans="1:18">
      <c r="A2791" s="6"/>
      <c r="B2791" s="6" t="s">
        <v>4123</v>
      </c>
      <c r="C2791" s="6" t="s">
        <v>4248</v>
      </c>
      <c r="D2791" s="7">
        <v>27</v>
      </c>
      <c r="E2791" s="6" t="s">
        <v>6497</v>
      </c>
      <c r="F2791" s="6" t="s">
        <v>5631</v>
      </c>
      <c r="G2791" s="6" t="s">
        <v>5632</v>
      </c>
      <c r="H2791" s="8"/>
      <c r="I2791" s="8">
        <v>5000</v>
      </c>
      <c r="J2791" s="6"/>
      <c r="K2791" s="6" t="s">
        <v>2448</v>
      </c>
      <c r="L2791" s="6"/>
      <c r="M2791" s="6"/>
      <c r="N2791" s="6" t="s">
        <v>2448</v>
      </c>
      <c r="O2791" s="29">
        <f t="shared" si="63"/>
        <v>5000</v>
      </c>
      <c r="Q2791" s="30" t="s">
        <v>2448</v>
      </c>
      <c r="R2791" s="31">
        <v>5000</v>
      </c>
    </row>
    <row r="2792" s="1" customFormat="1" ht="16.35" hidden="1" customHeight="1" spans="1:18">
      <c r="A2792" s="6"/>
      <c r="B2792" s="6" t="s">
        <v>4123</v>
      </c>
      <c r="C2792" s="6" t="s">
        <v>4248</v>
      </c>
      <c r="D2792" s="7">
        <v>29</v>
      </c>
      <c r="E2792" s="6" t="s">
        <v>6498</v>
      </c>
      <c r="F2792" s="6" t="s">
        <v>5631</v>
      </c>
      <c r="G2792" s="6" t="s">
        <v>5632</v>
      </c>
      <c r="H2792" s="8"/>
      <c r="I2792" s="8">
        <v>70992</v>
      </c>
      <c r="J2792" s="6"/>
      <c r="K2792" s="6" t="s">
        <v>2448</v>
      </c>
      <c r="L2792" s="6"/>
      <c r="M2792" s="6"/>
      <c r="N2792" s="6" t="s">
        <v>2448</v>
      </c>
      <c r="O2792" s="29">
        <f t="shared" si="63"/>
        <v>70992</v>
      </c>
      <c r="Q2792" s="30" t="s">
        <v>2448</v>
      </c>
      <c r="R2792" s="31">
        <v>70992</v>
      </c>
    </row>
    <row r="2793" s="1" customFormat="1" ht="16.35" hidden="1" customHeight="1" spans="1:18">
      <c r="A2793" s="6"/>
      <c r="B2793" s="6" t="s">
        <v>4123</v>
      </c>
      <c r="C2793" s="6" t="s">
        <v>4248</v>
      </c>
      <c r="D2793" s="7">
        <v>41</v>
      </c>
      <c r="E2793" s="6" t="s">
        <v>6499</v>
      </c>
      <c r="F2793" s="6" t="s">
        <v>5631</v>
      </c>
      <c r="G2793" s="6" t="s">
        <v>5632</v>
      </c>
      <c r="H2793" s="8"/>
      <c r="I2793" s="8">
        <v>5000</v>
      </c>
      <c r="J2793" s="6"/>
      <c r="K2793" s="6" t="s">
        <v>2539</v>
      </c>
      <c r="L2793" s="6"/>
      <c r="M2793" s="6"/>
      <c r="N2793" s="6" t="s">
        <v>2539</v>
      </c>
      <c r="O2793" s="29">
        <f t="shared" si="63"/>
        <v>5000</v>
      </c>
      <c r="Q2793" s="30" t="s">
        <v>2539</v>
      </c>
      <c r="R2793" s="31">
        <v>5000</v>
      </c>
    </row>
    <row r="2794" s="1" customFormat="1" ht="16.35" hidden="1" customHeight="1" spans="1:18">
      <c r="A2794" s="6"/>
      <c r="B2794" s="6" t="s">
        <v>4123</v>
      </c>
      <c r="C2794" s="6" t="s">
        <v>4248</v>
      </c>
      <c r="D2794" s="7">
        <v>26</v>
      </c>
      <c r="E2794" s="6" t="s">
        <v>6499</v>
      </c>
      <c r="F2794" s="6" t="s">
        <v>5631</v>
      </c>
      <c r="G2794" s="6" t="s">
        <v>5632</v>
      </c>
      <c r="H2794" s="8"/>
      <c r="I2794" s="8">
        <v>57000</v>
      </c>
      <c r="J2794" s="6"/>
      <c r="K2794" s="6" t="s">
        <v>2539</v>
      </c>
      <c r="L2794" s="6"/>
      <c r="M2794" s="6"/>
      <c r="N2794" s="6" t="s">
        <v>2539</v>
      </c>
      <c r="O2794" s="29">
        <f t="shared" si="63"/>
        <v>57000</v>
      </c>
      <c r="Q2794" s="30" t="s">
        <v>2539</v>
      </c>
      <c r="R2794" s="31">
        <v>57000</v>
      </c>
    </row>
    <row r="2795" s="1" customFormat="1" ht="16.35" hidden="1" customHeight="1" spans="1:18">
      <c r="A2795" s="6"/>
      <c r="B2795" s="6" t="s">
        <v>4123</v>
      </c>
      <c r="C2795" s="6" t="s">
        <v>4248</v>
      </c>
      <c r="D2795" s="7">
        <v>32</v>
      </c>
      <c r="E2795" s="6" t="s">
        <v>6500</v>
      </c>
      <c r="F2795" s="6" t="s">
        <v>5631</v>
      </c>
      <c r="G2795" s="6" t="s">
        <v>5632</v>
      </c>
      <c r="H2795" s="8"/>
      <c r="I2795" s="8">
        <v>10000</v>
      </c>
      <c r="J2795" s="6"/>
      <c r="K2795" s="6" t="s">
        <v>2531</v>
      </c>
      <c r="L2795" s="6"/>
      <c r="M2795" s="6"/>
      <c r="N2795" s="6" t="s">
        <v>2531</v>
      </c>
      <c r="O2795" s="29">
        <f t="shared" si="63"/>
        <v>10000</v>
      </c>
      <c r="Q2795" s="30" t="s">
        <v>2531</v>
      </c>
      <c r="R2795" s="31">
        <v>10000</v>
      </c>
    </row>
    <row r="2796" s="1" customFormat="1" ht="16.35" hidden="1" customHeight="1" spans="1:18">
      <c r="A2796" s="6"/>
      <c r="B2796" s="6" t="s">
        <v>4123</v>
      </c>
      <c r="C2796" s="6" t="s">
        <v>4248</v>
      </c>
      <c r="D2796" s="7">
        <v>13</v>
      </c>
      <c r="E2796" s="6" t="s">
        <v>6501</v>
      </c>
      <c r="F2796" s="6" t="s">
        <v>5631</v>
      </c>
      <c r="G2796" s="6" t="s">
        <v>5632</v>
      </c>
      <c r="H2796" s="8"/>
      <c r="I2796" s="8">
        <v>10000</v>
      </c>
      <c r="J2796" s="6"/>
      <c r="K2796" s="6" t="s">
        <v>2646</v>
      </c>
      <c r="L2796" s="6"/>
      <c r="M2796" s="6"/>
      <c r="N2796" s="6" t="s">
        <v>2646</v>
      </c>
      <c r="O2796" s="29">
        <f t="shared" si="63"/>
        <v>10000</v>
      </c>
      <c r="Q2796" s="30" t="s">
        <v>2646</v>
      </c>
      <c r="R2796" s="31">
        <v>10000</v>
      </c>
    </row>
    <row r="2797" s="1" customFormat="1" ht="16.35" hidden="1" customHeight="1" spans="1:18">
      <c r="A2797" s="6"/>
      <c r="B2797" s="6" t="s">
        <v>4123</v>
      </c>
      <c r="C2797" s="6" t="s">
        <v>4248</v>
      </c>
      <c r="D2797" s="7">
        <v>10</v>
      </c>
      <c r="E2797" s="6" t="s">
        <v>6502</v>
      </c>
      <c r="F2797" s="6" t="s">
        <v>5631</v>
      </c>
      <c r="G2797" s="6" t="s">
        <v>5632</v>
      </c>
      <c r="H2797" s="8"/>
      <c r="I2797" s="8">
        <v>3000</v>
      </c>
      <c r="J2797" s="6"/>
      <c r="K2797" s="6" t="s">
        <v>2632</v>
      </c>
      <c r="L2797" s="6"/>
      <c r="M2797" s="6"/>
      <c r="N2797" s="6" t="s">
        <v>2632</v>
      </c>
      <c r="O2797" s="29">
        <f t="shared" si="63"/>
        <v>3000</v>
      </c>
      <c r="Q2797" s="30" t="s">
        <v>2632</v>
      </c>
      <c r="R2797" s="31">
        <v>3000</v>
      </c>
    </row>
    <row r="2798" s="1" customFormat="1" ht="16.35" hidden="1" customHeight="1" spans="1:18">
      <c r="A2798" s="6"/>
      <c r="B2798" s="6" t="s">
        <v>4123</v>
      </c>
      <c r="C2798" s="6" t="s">
        <v>4248</v>
      </c>
      <c r="D2798" s="7">
        <v>32</v>
      </c>
      <c r="E2798" s="6" t="s">
        <v>6503</v>
      </c>
      <c r="F2798" s="6" t="s">
        <v>5631</v>
      </c>
      <c r="G2798" s="6" t="s">
        <v>5632</v>
      </c>
      <c r="H2798" s="8"/>
      <c r="I2798" s="8">
        <v>126000</v>
      </c>
      <c r="J2798" s="6"/>
      <c r="K2798" s="6" t="s">
        <v>2632</v>
      </c>
      <c r="L2798" s="6"/>
      <c r="M2798" s="6"/>
      <c r="N2798" s="6" t="s">
        <v>2632</v>
      </c>
      <c r="O2798" s="29">
        <f t="shared" ref="O2798:O2820" si="64">I2798</f>
        <v>126000</v>
      </c>
      <c r="Q2798" s="30" t="s">
        <v>2632</v>
      </c>
      <c r="R2798" s="31">
        <v>126000</v>
      </c>
    </row>
    <row r="2799" s="1" customFormat="1" ht="16.35" hidden="1" customHeight="1" spans="1:18">
      <c r="A2799" s="6"/>
      <c r="B2799" s="6" t="s">
        <v>4123</v>
      </c>
      <c r="C2799" s="6" t="s">
        <v>4248</v>
      </c>
      <c r="D2799" s="7">
        <v>33</v>
      </c>
      <c r="E2799" s="6" t="s">
        <v>6504</v>
      </c>
      <c r="F2799" s="6" t="s">
        <v>5631</v>
      </c>
      <c r="G2799" s="6" t="s">
        <v>5632</v>
      </c>
      <c r="H2799" s="8"/>
      <c r="I2799" s="8">
        <v>10000</v>
      </c>
      <c r="J2799" s="6"/>
      <c r="K2799" s="6" t="s">
        <v>2634</v>
      </c>
      <c r="L2799" s="6"/>
      <c r="M2799" s="6"/>
      <c r="N2799" s="6" t="s">
        <v>2634</v>
      </c>
      <c r="O2799" s="29">
        <f t="shared" si="64"/>
        <v>10000</v>
      </c>
      <c r="Q2799" s="30" t="s">
        <v>2634</v>
      </c>
      <c r="R2799" s="31">
        <v>10000</v>
      </c>
    </row>
    <row r="2800" s="1" customFormat="1" ht="16.35" hidden="1" customHeight="1" spans="1:18">
      <c r="A2800" s="6"/>
      <c r="B2800" s="6" t="s">
        <v>4123</v>
      </c>
      <c r="C2800" s="6" t="s">
        <v>4248</v>
      </c>
      <c r="D2800" s="7">
        <v>42</v>
      </c>
      <c r="E2800" s="6" t="s">
        <v>6505</v>
      </c>
      <c r="F2800" s="6" t="s">
        <v>5631</v>
      </c>
      <c r="G2800" s="6" t="s">
        <v>5632</v>
      </c>
      <c r="H2800" s="8"/>
      <c r="I2800" s="8">
        <v>60000</v>
      </c>
      <c r="J2800" s="6"/>
      <c r="K2800" s="6" t="s">
        <v>2602</v>
      </c>
      <c r="L2800" s="6"/>
      <c r="M2800" s="6"/>
      <c r="N2800" s="6" t="s">
        <v>2602</v>
      </c>
      <c r="O2800" s="29">
        <f t="shared" si="64"/>
        <v>60000</v>
      </c>
      <c r="Q2800" s="30" t="s">
        <v>2602</v>
      </c>
      <c r="R2800" s="31">
        <v>60000</v>
      </c>
    </row>
    <row r="2801" s="1" customFormat="1" ht="16.35" hidden="1" customHeight="1" spans="1:18">
      <c r="A2801" s="6"/>
      <c r="B2801" s="6" t="s">
        <v>4123</v>
      </c>
      <c r="C2801" s="6" t="s">
        <v>4248</v>
      </c>
      <c r="D2801" s="7">
        <v>41</v>
      </c>
      <c r="E2801" s="6" t="s">
        <v>6505</v>
      </c>
      <c r="F2801" s="6" t="s">
        <v>5631</v>
      </c>
      <c r="G2801" s="6" t="s">
        <v>5632</v>
      </c>
      <c r="H2801" s="8"/>
      <c r="I2801" s="8">
        <v>73578</v>
      </c>
      <c r="J2801" s="6"/>
      <c r="K2801" s="6" t="s">
        <v>2602</v>
      </c>
      <c r="L2801" s="6"/>
      <c r="M2801" s="6"/>
      <c r="N2801" s="6" t="s">
        <v>2602</v>
      </c>
      <c r="O2801" s="29">
        <f t="shared" si="64"/>
        <v>73578</v>
      </c>
      <c r="Q2801" s="30" t="s">
        <v>2602</v>
      </c>
      <c r="R2801" s="31">
        <v>73578</v>
      </c>
    </row>
    <row r="2802" s="1" customFormat="1" ht="16.35" hidden="1" customHeight="1" spans="1:18">
      <c r="A2802" s="6"/>
      <c r="B2802" s="6" t="s">
        <v>4123</v>
      </c>
      <c r="C2802" s="6" t="s">
        <v>4248</v>
      </c>
      <c r="D2802" s="7">
        <v>20</v>
      </c>
      <c r="E2802" s="6" t="s">
        <v>6506</v>
      </c>
      <c r="F2802" s="6" t="s">
        <v>5631</v>
      </c>
      <c r="G2802" s="6" t="s">
        <v>5632</v>
      </c>
      <c r="H2802" s="8"/>
      <c r="I2802" s="8">
        <v>10000</v>
      </c>
      <c r="J2802" s="6"/>
      <c r="K2802" s="6" t="s">
        <v>2700</v>
      </c>
      <c r="L2802" s="6"/>
      <c r="M2802" s="6"/>
      <c r="N2802" s="6" t="s">
        <v>2700</v>
      </c>
      <c r="O2802" s="29">
        <f t="shared" si="64"/>
        <v>10000</v>
      </c>
      <c r="Q2802" s="30" t="s">
        <v>2700</v>
      </c>
      <c r="R2802" s="31">
        <v>10000</v>
      </c>
    </row>
    <row r="2803" s="1" customFormat="1" ht="16.35" hidden="1" customHeight="1" spans="1:18">
      <c r="A2803" s="6"/>
      <c r="B2803" s="6" t="s">
        <v>4123</v>
      </c>
      <c r="C2803" s="6" t="s">
        <v>4253</v>
      </c>
      <c r="D2803" s="7">
        <v>129</v>
      </c>
      <c r="E2803" s="6" t="s">
        <v>6507</v>
      </c>
      <c r="F2803" s="6" t="s">
        <v>5631</v>
      </c>
      <c r="G2803" s="6" t="s">
        <v>5632</v>
      </c>
      <c r="H2803" s="8">
        <v>200850</v>
      </c>
      <c r="I2803" s="8"/>
      <c r="J2803" s="6"/>
      <c r="K2803" s="6" t="s">
        <v>1955</v>
      </c>
      <c r="L2803" s="6"/>
      <c r="M2803" s="6"/>
      <c r="N2803" s="6" t="s">
        <v>1955</v>
      </c>
      <c r="O2803" s="29">
        <f t="shared" si="64"/>
        <v>0</v>
      </c>
      <c r="Q2803" s="30" t="s">
        <v>1955</v>
      </c>
      <c r="R2803" s="31">
        <v>0</v>
      </c>
    </row>
    <row r="2804" s="1" customFormat="1" ht="16.35" hidden="1" customHeight="1" spans="1:18">
      <c r="A2804" s="6"/>
      <c r="B2804" s="6" t="s">
        <v>4123</v>
      </c>
      <c r="C2804" s="6" t="s">
        <v>4253</v>
      </c>
      <c r="D2804" s="7">
        <v>129</v>
      </c>
      <c r="E2804" s="6" t="s">
        <v>6508</v>
      </c>
      <c r="F2804" s="6" t="s">
        <v>5631</v>
      </c>
      <c r="G2804" s="6" t="s">
        <v>5632</v>
      </c>
      <c r="H2804" s="8">
        <v>248000</v>
      </c>
      <c r="I2804" s="8"/>
      <c r="J2804" s="6"/>
      <c r="K2804" s="6" t="s">
        <v>2055</v>
      </c>
      <c r="L2804" s="6"/>
      <c r="M2804" s="6"/>
      <c r="N2804" s="6" t="s">
        <v>2055</v>
      </c>
      <c r="O2804" s="29">
        <f t="shared" si="64"/>
        <v>0</v>
      </c>
      <c r="Q2804" s="30" t="s">
        <v>2055</v>
      </c>
      <c r="R2804" s="31">
        <v>0</v>
      </c>
    </row>
    <row r="2805" s="1" customFormat="1" ht="16.35" hidden="1" customHeight="1" spans="1:18">
      <c r="A2805" s="6"/>
      <c r="B2805" s="6" t="s">
        <v>4123</v>
      </c>
      <c r="C2805" s="6" t="s">
        <v>4253</v>
      </c>
      <c r="D2805" s="7">
        <v>129</v>
      </c>
      <c r="E2805" s="6" t="s">
        <v>6509</v>
      </c>
      <c r="F2805" s="6" t="s">
        <v>5631</v>
      </c>
      <c r="G2805" s="6" t="s">
        <v>5632</v>
      </c>
      <c r="H2805" s="8">
        <v>284820</v>
      </c>
      <c r="I2805" s="8"/>
      <c r="J2805" s="6"/>
      <c r="K2805" s="6" t="s">
        <v>2015</v>
      </c>
      <c r="L2805" s="6"/>
      <c r="M2805" s="6"/>
      <c r="N2805" s="6" t="s">
        <v>2015</v>
      </c>
      <c r="O2805" s="29">
        <f t="shared" si="64"/>
        <v>0</v>
      </c>
      <c r="Q2805" s="30" t="s">
        <v>2015</v>
      </c>
      <c r="R2805" s="31">
        <v>0</v>
      </c>
    </row>
    <row r="2806" s="1" customFormat="1" ht="16.35" hidden="1" customHeight="1" spans="1:18">
      <c r="A2806" s="6"/>
      <c r="B2806" s="6" t="s">
        <v>4123</v>
      </c>
      <c r="C2806" s="6" t="s">
        <v>4253</v>
      </c>
      <c r="D2806" s="7">
        <v>3</v>
      </c>
      <c r="E2806" s="6" t="s">
        <v>6510</v>
      </c>
      <c r="F2806" s="6" t="s">
        <v>5631</v>
      </c>
      <c r="G2806" s="6" t="s">
        <v>5632</v>
      </c>
      <c r="H2806" s="8"/>
      <c r="I2806" s="8">
        <v>1000</v>
      </c>
      <c r="J2806" s="6"/>
      <c r="K2806" s="6" t="s">
        <v>2778</v>
      </c>
      <c r="L2806" s="6"/>
      <c r="M2806" s="6"/>
      <c r="N2806" s="6" t="s">
        <v>2778</v>
      </c>
      <c r="O2806" s="29">
        <f t="shared" si="64"/>
        <v>1000</v>
      </c>
      <c r="Q2806" s="30" t="s">
        <v>2778</v>
      </c>
      <c r="R2806" s="31">
        <v>1000</v>
      </c>
    </row>
    <row r="2807" s="1" customFormat="1" ht="16.35" hidden="1" customHeight="1" spans="1:18">
      <c r="A2807" s="6"/>
      <c r="B2807" s="6" t="s">
        <v>4123</v>
      </c>
      <c r="C2807" s="6" t="s">
        <v>4253</v>
      </c>
      <c r="D2807" s="7">
        <v>3</v>
      </c>
      <c r="E2807" s="6" t="s">
        <v>6511</v>
      </c>
      <c r="F2807" s="6" t="s">
        <v>5631</v>
      </c>
      <c r="G2807" s="6" t="s">
        <v>5632</v>
      </c>
      <c r="H2807" s="8"/>
      <c r="I2807" s="8">
        <v>-1000</v>
      </c>
      <c r="J2807" s="6"/>
      <c r="K2807" s="6" t="s">
        <v>2778</v>
      </c>
      <c r="L2807" s="6"/>
      <c r="M2807" s="6"/>
      <c r="N2807" s="6" t="s">
        <v>2778</v>
      </c>
      <c r="O2807" s="29">
        <f t="shared" si="64"/>
        <v>-1000</v>
      </c>
      <c r="Q2807" s="30" t="s">
        <v>2778</v>
      </c>
      <c r="R2807" s="31">
        <v>-1000</v>
      </c>
    </row>
    <row r="2808" s="1" customFormat="1" ht="16.35" hidden="1" customHeight="1" spans="1:18">
      <c r="A2808" s="6"/>
      <c r="B2808" s="6" t="s">
        <v>4123</v>
      </c>
      <c r="C2808" s="6" t="s">
        <v>4253</v>
      </c>
      <c r="D2808" s="7">
        <v>129</v>
      </c>
      <c r="E2808" s="6" t="s">
        <v>6512</v>
      </c>
      <c r="F2808" s="6" t="s">
        <v>5631</v>
      </c>
      <c r="G2808" s="6" t="s">
        <v>5632</v>
      </c>
      <c r="H2808" s="8">
        <v>142500</v>
      </c>
      <c r="I2808" s="8"/>
      <c r="J2808" s="6"/>
      <c r="K2808" s="6" t="s">
        <v>2778</v>
      </c>
      <c r="L2808" s="6"/>
      <c r="M2808" s="6"/>
      <c r="N2808" s="6" t="s">
        <v>2778</v>
      </c>
      <c r="O2808" s="29">
        <f t="shared" si="64"/>
        <v>0</v>
      </c>
      <c r="Q2808" s="30" t="s">
        <v>2778</v>
      </c>
      <c r="R2808" s="31">
        <v>0</v>
      </c>
    </row>
    <row r="2809" s="1" customFormat="1" ht="16.35" hidden="1" customHeight="1" spans="1:18">
      <c r="A2809" s="6"/>
      <c r="B2809" s="6" t="s">
        <v>4123</v>
      </c>
      <c r="C2809" s="6" t="s">
        <v>4253</v>
      </c>
      <c r="D2809" s="7">
        <v>3</v>
      </c>
      <c r="E2809" s="6" t="s">
        <v>6513</v>
      </c>
      <c r="F2809" s="6" t="s">
        <v>5631</v>
      </c>
      <c r="G2809" s="6" t="s">
        <v>5632</v>
      </c>
      <c r="H2809" s="8"/>
      <c r="I2809" s="8">
        <v>1000</v>
      </c>
      <c r="J2809" s="6"/>
      <c r="K2809" s="6" t="s">
        <v>2053</v>
      </c>
      <c r="L2809" s="6"/>
      <c r="M2809" s="6"/>
      <c r="N2809" s="6" t="s">
        <v>2053</v>
      </c>
      <c r="O2809" s="29">
        <f t="shared" si="64"/>
        <v>1000</v>
      </c>
      <c r="Q2809" s="30" t="s">
        <v>2053</v>
      </c>
      <c r="R2809" s="31">
        <v>1000</v>
      </c>
    </row>
    <row r="2810" s="1" customFormat="1" ht="16.35" hidden="1" customHeight="1" spans="1:18">
      <c r="A2810" s="6"/>
      <c r="B2810" s="6" t="s">
        <v>4123</v>
      </c>
      <c r="C2810" s="6" t="s">
        <v>4253</v>
      </c>
      <c r="D2810" s="7">
        <v>3</v>
      </c>
      <c r="E2810" s="6" t="s">
        <v>6514</v>
      </c>
      <c r="F2810" s="6" t="s">
        <v>5631</v>
      </c>
      <c r="G2810" s="6" t="s">
        <v>5632</v>
      </c>
      <c r="H2810" s="8"/>
      <c r="I2810" s="8">
        <v>2000</v>
      </c>
      <c r="J2810" s="6"/>
      <c r="K2810" s="6" t="s">
        <v>2071</v>
      </c>
      <c r="L2810" s="6"/>
      <c r="M2810" s="6"/>
      <c r="N2810" s="6" t="s">
        <v>2071</v>
      </c>
      <c r="O2810" s="29">
        <f t="shared" si="64"/>
        <v>2000</v>
      </c>
      <c r="Q2810" s="30" t="s">
        <v>2071</v>
      </c>
      <c r="R2810" s="31">
        <v>2000</v>
      </c>
    </row>
    <row r="2811" s="1" customFormat="1" ht="16.35" hidden="1" customHeight="1" spans="1:18">
      <c r="A2811" s="6"/>
      <c r="B2811" s="6" t="s">
        <v>4123</v>
      </c>
      <c r="C2811" s="6" t="s">
        <v>4253</v>
      </c>
      <c r="D2811" s="7">
        <v>129</v>
      </c>
      <c r="E2811" s="6" t="s">
        <v>6515</v>
      </c>
      <c r="F2811" s="6" t="s">
        <v>5631</v>
      </c>
      <c r="G2811" s="6" t="s">
        <v>5632</v>
      </c>
      <c r="H2811" s="8">
        <v>568638</v>
      </c>
      <c r="I2811" s="8"/>
      <c r="J2811" s="6"/>
      <c r="K2811" s="6" t="s">
        <v>2805</v>
      </c>
      <c r="L2811" s="6"/>
      <c r="M2811" s="6"/>
      <c r="N2811" s="6" t="s">
        <v>2805</v>
      </c>
      <c r="O2811" s="29">
        <f t="shared" si="64"/>
        <v>0</v>
      </c>
      <c r="Q2811" s="30" t="s">
        <v>2805</v>
      </c>
      <c r="R2811" s="31">
        <v>0</v>
      </c>
    </row>
    <row r="2812" s="1" customFormat="1" ht="16.35" hidden="1" customHeight="1" spans="1:18">
      <c r="A2812" s="6"/>
      <c r="B2812" s="6" t="s">
        <v>4123</v>
      </c>
      <c r="C2812" s="6" t="s">
        <v>4253</v>
      </c>
      <c r="D2812" s="7">
        <v>52</v>
      </c>
      <c r="E2812" s="6" t="s">
        <v>6516</v>
      </c>
      <c r="F2812" s="6" t="s">
        <v>5631</v>
      </c>
      <c r="G2812" s="6" t="s">
        <v>5632</v>
      </c>
      <c r="H2812" s="8"/>
      <c r="I2812" s="8">
        <v>5000</v>
      </c>
      <c r="J2812" s="6"/>
      <c r="K2812" s="6" t="s">
        <v>2173</v>
      </c>
      <c r="L2812" s="6"/>
      <c r="M2812" s="6"/>
      <c r="N2812" s="6" t="s">
        <v>2173</v>
      </c>
      <c r="O2812" s="29">
        <f t="shared" si="64"/>
        <v>5000</v>
      </c>
      <c r="Q2812" s="30" t="s">
        <v>2173</v>
      </c>
      <c r="R2812" s="31">
        <v>5000</v>
      </c>
    </row>
    <row r="2813" s="1" customFormat="1" ht="16.35" hidden="1" customHeight="1" spans="1:18">
      <c r="A2813" s="6"/>
      <c r="B2813" s="6" t="s">
        <v>4123</v>
      </c>
      <c r="C2813" s="6" t="s">
        <v>4253</v>
      </c>
      <c r="D2813" s="7">
        <v>51</v>
      </c>
      <c r="E2813" s="6" t="s">
        <v>6516</v>
      </c>
      <c r="F2813" s="6" t="s">
        <v>5631</v>
      </c>
      <c r="G2813" s="6" t="s">
        <v>5632</v>
      </c>
      <c r="H2813" s="8"/>
      <c r="I2813" s="8">
        <v>5000</v>
      </c>
      <c r="J2813" s="6"/>
      <c r="K2813" s="6" t="s">
        <v>2173</v>
      </c>
      <c r="L2813" s="6"/>
      <c r="M2813" s="6"/>
      <c r="N2813" s="6" t="s">
        <v>2173</v>
      </c>
      <c r="O2813" s="29">
        <f t="shared" si="64"/>
        <v>5000</v>
      </c>
      <c r="Q2813" s="30" t="s">
        <v>2173</v>
      </c>
      <c r="R2813" s="31">
        <v>5000</v>
      </c>
    </row>
    <row r="2814" s="1" customFormat="1" ht="16.35" hidden="1" customHeight="1" spans="1:18">
      <c r="A2814" s="6"/>
      <c r="B2814" s="6" t="s">
        <v>4123</v>
      </c>
      <c r="C2814" s="6" t="s">
        <v>4253</v>
      </c>
      <c r="D2814" s="7">
        <v>149</v>
      </c>
      <c r="E2814" s="6" t="s">
        <v>6517</v>
      </c>
      <c r="F2814" s="6" t="s">
        <v>5631</v>
      </c>
      <c r="G2814" s="6" t="s">
        <v>5632</v>
      </c>
      <c r="H2814" s="8"/>
      <c r="I2814" s="8">
        <v>-10000</v>
      </c>
      <c r="J2814" s="6"/>
      <c r="K2814" s="6" t="s">
        <v>2277</v>
      </c>
      <c r="L2814" s="6"/>
      <c r="M2814" s="6"/>
      <c r="N2814" s="6" t="s">
        <v>2277</v>
      </c>
      <c r="O2814" s="29">
        <f t="shared" si="64"/>
        <v>-10000</v>
      </c>
      <c r="Q2814" s="30" t="s">
        <v>2277</v>
      </c>
      <c r="R2814" s="31">
        <v>-10000</v>
      </c>
    </row>
    <row r="2815" s="1" customFormat="1" ht="16.35" hidden="1" customHeight="1" spans="1:18">
      <c r="A2815" s="6"/>
      <c r="B2815" s="6" t="s">
        <v>4123</v>
      </c>
      <c r="C2815" s="6" t="s">
        <v>4253</v>
      </c>
      <c r="D2815" s="7">
        <v>3</v>
      </c>
      <c r="E2815" s="6" t="s">
        <v>6518</v>
      </c>
      <c r="F2815" s="6" t="s">
        <v>5631</v>
      </c>
      <c r="G2815" s="6" t="s">
        <v>5632</v>
      </c>
      <c r="H2815" s="8"/>
      <c r="I2815" s="8">
        <v>10000</v>
      </c>
      <c r="J2815" s="6"/>
      <c r="K2815" s="6" t="s">
        <v>2277</v>
      </c>
      <c r="L2815" s="6"/>
      <c r="M2815" s="6"/>
      <c r="N2815" s="6" t="s">
        <v>2277</v>
      </c>
      <c r="O2815" s="29">
        <f t="shared" si="64"/>
        <v>10000</v>
      </c>
      <c r="Q2815" s="30" t="s">
        <v>2277</v>
      </c>
      <c r="R2815" s="31">
        <v>10000</v>
      </c>
    </row>
    <row r="2816" s="1" customFormat="1" ht="16.35" hidden="1" customHeight="1" spans="1:18">
      <c r="A2816" s="6"/>
      <c r="B2816" s="6" t="s">
        <v>4123</v>
      </c>
      <c r="C2816" s="6" t="s">
        <v>4253</v>
      </c>
      <c r="D2816" s="7">
        <v>129</v>
      </c>
      <c r="E2816" s="6" t="s">
        <v>6519</v>
      </c>
      <c r="F2816" s="6" t="s">
        <v>5631</v>
      </c>
      <c r="G2816" s="6" t="s">
        <v>5632</v>
      </c>
      <c r="H2816" s="8">
        <v>242721</v>
      </c>
      <c r="I2816" s="8"/>
      <c r="J2816" s="6"/>
      <c r="K2816" s="6" t="s">
        <v>2277</v>
      </c>
      <c r="L2816" s="6"/>
      <c r="M2816" s="6"/>
      <c r="N2816" s="6" t="s">
        <v>2277</v>
      </c>
      <c r="O2816" s="29">
        <f t="shared" si="64"/>
        <v>0</v>
      </c>
      <c r="Q2816" s="30" t="s">
        <v>2277</v>
      </c>
      <c r="R2816" s="31">
        <v>0</v>
      </c>
    </row>
    <row r="2817" s="1" customFormat="1" ht="16.35" hidden="1" customHeight="1" spans="1:19">
      <c r="A2817" s="6"/>
      <c r="B2817" s="6" t="s">
        <v>4123</v>
      </c>
      <c r="C2817" s="6" t="s">
        <v>4253</v>
      </c>
      <c r="D2817" s="7">
        <v>140</v>
      </c>
      <c r="E2817" s="6" t="s">
        <v>6520</v>
      </c>
      <c r="F2817" s="6" t="s">
        <v>5631</v>
      </c>
      <c r="G2817" s="6" t="s">
        <v>5632</v>
      </c>
      <c r="H2817" s="8">
        <v>900000</v>
      </c>
      <c r="I2817" s="8"/>
      <c r="J2817" s="6"/>
      <c r="K2817" s="6" t="s">
        <v>5079</v>
      </c>
      <c r="L2817" s="6"/>
      <c r="M2817" s="6"/>
      <c r="N2817" s="6" t="s">
        <v>5079</v>
      </c>
      <c r="O2817" s="29">
        <f t="shared" si="64"/>
        <v>0</v>
      </c>
      <c r="Q2817" s="30" t="s">
        <v>5079</v>
      </c>
      <c r="R2817" s="31">
        <v>0</v>
      </c>
      <c r="S2817" s="1">
        <f>R2817-I2817</f>
        <v>0</v>
      </c>
    </row>
    <row r="2818" s="1" customFormat="1" ht="16.35" hidden="1" customHeight="1" spans="1:18">
      <c r="A2818" s="6"/>
      <c r="B2818" s="6" t="s">
        <v>4123</v>
      </c>
      <c r="C2818" s="6" t="s">
        <v>4253</v>
      </c>
      <c r="D2818" s="7">
        <v>132</v>
      </c>
      <c r="E2818" s="6" t="s">
        <v>6521</v>
      </c>
      <c r="F2818" s="6" t="s">
        <v>5631</v>
      </c>
      <c r="G2818" s="6" t="s">
        <v>5632</v>
      </c>
      <c r="H2818" s="8">
        <v>670000</v>
      </c>
      <c r="I2818" s="8"/>
      <c r="J2818" s="6"/>
      <c r="K2818" s="6" t="s">
        <v>672</v>
      </c>
      <c r="L2818" s="6"/>
      <c r="M2818" s="6"/>
      <c r="N2818" s="6" t="s">
        <v>672</v>
      </c>
      <c r="O2818" s="29">
        <f t="shared" si="64"/>
        <v>0</v>
      </c>
      <c r="Q2818" s="30" t="s">
        <v>672</v>
      </c>
      <c r="R2818" s="31">
        <v>0</v>
      </c>
    </row>
    <row r="2819" s="1" customFormat="1" ht="16.35" hidden="1" customHeight="1" spans="1:18">
      <c r="A2819" s="6"/>
      <c r="B2819" s="6" t="s">
        <v>4123</v>
      </c>
      <c r="C2819" s="6" t="s">
        <v>4253</v>
      </c>
      <c r="D2819" s="7">
        <v>138</v>
      </c>
      <c r="E2819" s="6" t="s">
        <v>6522</v>
      </c>
      <c r="F2819" s="6" t="s">
        <v>5631</v>
      </c>
      <c r="G2819" s="6" t="s">
        <v>5632</v>
      </c>
      <c r="H2819" s="8">
        <v>100000</v>
      </c>
      <c r="I2819" s="8"/>
      <c r="J2819" s="6"/>
      <c r="K2819" s="6" t="s">
        <v>890</v>
      </c>
      <c r="L2819" s="6"/>
      <c r="M2819" s="6"/>
      <c r="N2819" s="6" t="s">
        <v>890</v>
      </c>
      <c r="O2819" s="29">
        <f t="shared" si="64"/>
        <v>0</v>
      </c>
      <c r="Q2819" s="30" t="s">
        <v>890</v>
      </c>
      <c r="R2819" s="31">
        <v>0</v>
      </c>
    </row>
    <row r="2820" s="1" customFormat="1" ht="16.35" hidden="1" customHeight="1" spans="1:18">
      <c r="A2820" s="6"/>
      <c r="B2820" s="6" t="s">
        <v>4123</v>
      </c>
      <c r="C2820" s="6" t="s">
        <v>4253</v>
      </c>
      <c r="D2820" s="7">
        <v>140</v>
      </c>
      <c r="E2820" s="6" t="s">
        <v>6523</v>
      </c>
      <c r="F2820" s="6" t="s">
        <v>5631</v>
      </c>
      <c r="G2820" s="6" t="s">
        <v>5632</v>
      </c>
      <c r="H2820" s="8">
        <v>100000</v>
      </c>
      <c r="I2820" s="8"/>
      <c r="J2820" s="6"/>
      <c r="K2820" s="6" t="s">
        <v>890</v>
      </c>
      <c r="L2820" s="6"/>
      <c r="M2820" s="6"/>
      <c r="N2820" s="6" t="s">
        <v>890</v>
      </c>
      <c r="O2820" s="29">
        <f t="shared" si="64"/>
        <v>0</v>
      </c>
      <c r="Q2820" s="30" t="s">
        <v>890</v>
      </c>
      <c r="R2820" s="31">
        <v>0</v>
      </c>
    </row>
    <row r="2821" s="1" customFormat="1" ht="16.35" hidden="1" customHeight="1" spans="1:18">
      <c r="A2821" s="6"/>
      <c r="B2821" s="6" t="s">
        <v>4123</v>
      </c>
      <c r="C2821" s="6" t="s">
        <v>4253</v>
      </c>
      <c r="D2821" s="7">
        <v>4</v>
      </c>
      <c r="E2821" s="6" t="s">
        <v>6524</v>
      </c>
      <c r="F2821" s="6" t="s">
        <v>5631</v>
      </c>
      <c r="G2821" s="6" t="s">
        <v>5632</v>
      </c>
      <c r="H2821" s="8"/>
      <c r="I2821" s="8">
        <v>10000</v>
      </c>
      <c r="J2821" s="6"/>
      <c r="K2821" s="6" t="s">
        <v>2402</v>
      </c>
      <c r="L2821" s="6"/>
      <c r="M2821" s="6"/>
      <c r="N2821" s="6" t="s">
        <v>2402</v>
      </c>
      <c r="O2821" s="29">
        <f t="shared" ref="O2821:O2852" si="65">I2821</f>
        <v>10000</v>
      </c>
      <c r="Q2821" s="30" t="s">
        <v>2402</v>
      </c>
      <c r="R2821" s="31">
        <v>10000</v>
      </c>
    </row>
    <row r="2822" s="1" customFormat="1" ht="16.35" hidden="1" customHeight="1" spans="1:18">
      <c r="A2822" s="6"/>
      <c r="B2822" s="6" t="s">
        <v>4123</v>
      </c>
      <c r="C2822" s="6" t="s">
        <v>4253</v>
      </c>
      <c r="D2822" s="7">
        <v>4</v>
      </c>
      <c r="E2822" s="6" t="s">
        <v>6525</v>
      </c>
      <c r="F2822" s="6" t="s">
        <v>5631</v>
      </c>
      <c r="G2822" s="6" t="s">
        <v>5632</v>
      </c>
      <c r="H2822" s="8"/>
      <c r="I2822" s="8">
        <v>10000</v>
      </c>
      <c r="J2822" s="6"/>
      <c r="K2822" s="6" t="s">
        <v>2376</v>
      </c>
      <c r="L2822" s="6"/>
      <c r="M2822" s="6"/>
      <c r="N2822" s="6" t="s">
        <v>2376</v>
      </c>
      <c r="O2822" s="29">
        <f t="shared" si="65"/>
        <v>10000</v>
      </c>
      <c r="Q2822" s="30" t="s">
        <v>2376</v>
      </c>
      <c r="R2822" s="31">
        <v>10000</v>
      </c>
    </row>
    <row r="2823" s="1" customFormat="1" ht="16.35" hidden="1" customHeight="1" spans="1:18">
      <c r="A2823" s="6"/>
      <c r="B2823" s="6" t="s">
        <v>4123</v>
      </c>
      <c r="C2823" s="6" t="s">
        <v>4253</v>
      </c>
      <c r="D2823" s="7">
        <v>4</v>
      </c>
      <c r="E2823" s="6" t="s">
        <v>6526</v>
      </c>
      <c r="F2823" s="6" t="s">
        <v>5631</v>
      </c>
      <c r="G2823" s="6" t="s">
        <v>5632</v>
      </c>
      <c r="H2823" s="8"/>
      <c r="I2823" s="8">
        <v>10000</v>
      </c>
      <c r="J2823" s="6"/>
      <c r="K2823" s="6" t="s">
        <v>2376</v>
      </c>
      <c r="L2823" s="6"/>
      <c r="M2823" s="6"/>
      <c r="N2823" s="6" t="s">
        <v>2376</v>
      </c>
      <c r="O2823" s="29">
        <f t="shared" si="65"/>
        <v>10000</v>
      </c>
      <c r="Q2823" s="30" t="s">
        <v>2376</v>
      </c>
      <c r="R2823" s="31">
        <v>10000</v>
      </c>
    </row>
    <row r="2824" s="1" customFormat="1" ht="16.35" hidden="1" customHeight="1" spans="1:18">
      <c r="A2824" s="6"/>
      <c r="B2824" s="6" t="s">
        <v>4123</v>
      </c>
      <c r="C2824" s="6" t="s">
        <v>4253</v>
      </c>
      <c r="D2824" s="7">
        <v>4</v>
      </c>
      <c r="E2824" s="6" t="s">
        <v>6527</v>
      </c>
      <c r="F2824" s="6" t="s">
        <v>5631</v>
      </c>
      <c r="G2824" s="6" t="s">
        <v>5632</v>
      </c>
      <c r="H2824" s="8"/>
      <c r="I2824" s="8">
        <v>-10000</v>
      </c>
      <c r="J2824" s="6"/>
      <c r="K2824" s="6" t="s">
        <v>2376</v>
      </c>
      <c r="L2824" s="6"/>
      <c r="M2824" s="6"/>
      <c r="N2824" s="6" t="s">
        <v>2376</v>
      </c>
      <c r="O2824" s="29">
        <f t="shared" si="65"/>
        <v>-10000</v>
      </c>
      <c r="Q2824" s="30" t="s">
        <v>2376</v>
      </c>
      <c r="R2824" s="31">
        <v>-10000</v>
      </c>
    </row>
    <row r="2825" s="1" customFormat="1" ht="16.35" hidden="1" customHeight="1" spans="1:18">
      <c r="A2825" s="6"/>
      <c r="B2825" s="6" t="s">
        <v>4123</v>
      </c>
      <c r="C2825" s="6" t="s">
        <v>4253</v>
      </c>
      <c r="D2825" s="7">
        <v>4</v>
      </c>
      <c r="E2825" s="6" t="s">
        <v>6527</v>
      </c>
      <c r="F2825" s="6" t="s">
        <v>5631</v>
      </c>
      <c r="G2825" s="6" t="s">
        <v>5632</v>
      </c>
      <c r="H2825" s="8"/>
      <c r="I2825" s="8">
        <v>-10000</v>
      </c>
      <c r="J2825" s="6"/>
      <c r="K2825" s="6" t="s">
        <v>2376</v>
      </c>
      <c r="L2825" s="6"/>
      <c r="M2825" s="6"/>
      <c r="N2825" s="6" t="s">
        <v>2376</v>
      </c>
      <c r="O2825" s="29">
        <f t="shared" si="65"/>
        <v>-10000</v>
      </c>
      <c r="Q2825" s="30" t="s">
        <v>2376</v>
      </c>
      <c r="R2825" s="31">
        <v>-10000</v>
      </c>
    </row>
    <row r="2826" s="1" customFormat="1" ht="16.35" hidden="1" customHeight="1" spans="1:18">
      <c r="A2826" s="6"/>
      <c r="B2826" s="6" t="s">
        <v>4123</v>
      </c>
      <c r="C2826" s="6" t="s">
        <v>4253</v>
      </c>
      <c r="D2826" s="7">
        <v>4</v>
      </c>
      <c r="E2826" s="6" t="s">
        <v>6528</v>
      </c>
      <c r="F2826" s="6" t="s">
        <v>5631</v>
      </c>
      <c r="G2826" s="6" t="s">
        <v>5632</v>
      </c>
      <c r="H2826" s="8"/>
      <c r="I2826" s="8">
        <v>10000</v>
      </c>
      <c r="J2826" s="6"/>
      <c r="K2826" s="6" t="s">
        <v>2430</v>
      </c>
      <c r="L2826" s="6"/>
      <c r="M2826" s="6"/>
      <c r="N2826" s="6" t="s">
        <v>2430</v>
      </c>
      <c r="O2826" s="29">
        <f t="shared" si="65"/>
        <v>10000</v>
      </c>
      <c r="Q2826" s="30" t="s">
        <v>2430</v>
      </c>
      <c r="R2826" s="31">
        <v>10000</v>
      </c>
    </row>
    <row r="2827" s="1" customFormat="1" ht="16.35" hidden="1" customHeight="1" spans="1:18">
      <c r="A2827" s="6"/>
      <c r="B2827" s="6" t="s">
        <v>4123</v>
      </c>
      <c r="C2827" s="6" t="s">
        <v>4253</v>
      </c>
      <c r="D2827" s="7">
        <v>4</v>
      </c>
      <c r="E2827" s="6" t="s">
        <v>6529</v>
      </c>
      <c r="F2827" s="6" t="s">
        <v>5631</v>
      </c>
      <c r="G2827" s="6" t="s">
        <v>5632</v>
      </c>
      <c r="H2827" s="8"/>
      <c r="I2827" s="8">
        <v>10000</v>
      </c>
      <c r="J2827" s="6"/>
      <c r="K2827" s="6" t="s">
        <v>2430</v>
      </c>
      <c r="L2827" s="6"/>
      <c r="M2827" s="6"/>
      <c r="N2827" s="6" t="s">
        <v>2430</v>
      </c>
      <c r="O2827" s="29">
        <f t="shared" si="65"/>
        <v>10000</v>
      </c>
      <c r="Q2827" s="30" t="s">
        <v>2430</v>
      </c>
      <c r="R2827" s="31">
        <v>10000</v>
      </c>
    </row>
    <row r="2828" s="1" customFormat="1" ht="16.35" hidden="1" customHeight="1" spans="1:18">
      <c r="A2828" s="6"/>
      <c r="B2828" s="6" t="s">
        <v>4123</v>
      </c>
      <c r="C2828" s="6" t="s">
        <v>4253</v>
      </c>
      <c r="D2828" s="7">
        <v>21</v>
      </c>
      <c r="E2828" s="6" t="s">
        <v>6530</v>
      </c>
      <c r="F2828" s="6" t="s">
        <v>5631</v>
      </c>
      <c r="G2828" s="6" t="s">
        <v>5632</v>
      </c>
      <c r="H2828" s="8"/>
      <c r="I2828" s="8">
        <v>183000</v>
      </c>
      <c r="J2828" s="6"/>
      <c r="K2828" s="6" t="s">
        <v>2454</v>
      </c>
      <c r="L2828" s="6"/>
      <c r="M2828" s="6"/>
      <c r="N2828" s="6" t="s">
        <v>2454</v>
      </c>
      <c r="O2828" s="29">
        <f t="shared" si="65"/>
        <v>183000</v>
      </c>
      <c r="Q2828" s="30" t="s">
        <v>2454</v>
      </c>
      <c r="R2828" s="31">
        <v>183000</v>
      </c>
    </row>
    <row r="2829" s="1" customFormat="1" ht="16.35" hidden="1" customHeight="1" spans="1:18">
      <c r="A2829" s="6"/>
      <c r="B2829" s="6" t="s">
        <v>4123</v>
      </c>
      <c r="C2829" s="6" t="s">
        <v>4253</v>
      </c>
      <c r="D2829" s="7">
        <v>4</v>
      </c>
      <c r="E2829" s="6" t="s">
        <v>6531</v>
      </c>
      <c r="F2829" s="6" t="s">
        <v>5631</v>
      </c>
      <c r="G2829" s="6" t="s">
        <v>5632</v>
      </c>
      <c r="H2829" s="8"/>
      <c r="I2829" s="8">
        <v>5000</v>
      </c>
      <c r="J2829" s="6"/>
      <c r="K2829" s="6" t="s">
        <v>2454</v>
      </c>
      <c r="L2829" s="6"/>
      <c r="M2829" s="6"/>
      <c r="N2829" s="6" t="s">
        <v>2454</v>
      </c>
      <c r="O2829" s="29">
        <f t="shared" si="65"/>
        <v>5000</v>
      </c>
      <c r="Q2829" s="30" t="s">
        <v>2454</v>
      </c>
      <c r="R2829" s="31">
        <v>5000</v>
      </c>
    </row>
    <row r="2830" s="1" customFormat="1" ht="16.35" hidden="1" customHeight="1" spans="1:18">
      <c r="A2830" s="6"/>
      <c r="B2830" s="6" t="s">
        <v>4123</v>
      </c>
      <c r="C2830" s="6" t="s">
        <v>4253</v>
      </c>
      <c r="D2830" s="7">
        <v>130</v>
      </c>
      <c r="E2830" s="6" t="s">
        <v>6532</v>
      </c>
      <c r="F2830" s="6" t="s">
        <v>5631</v>
      </c>
      <c r="G2830" s="6" t="s">
        <v>5632</v>
      </c>
      <c r="H2830" s="8">
        <v>259184</v>
      </c>
      <c r="I2830" s="8"/>
      <c r="J2830" s="6"/>
      <c r="K2830" s="6" t="s">
        <v>2454</v>
      </c>
      <c r="L2830" s="6"/>
      <c r="M2830" s="6"/>
      <c r="N2830" s="6" t="s">
        <v>2454</v>
      </c>
      <c r="O2830" s="29">
        <f t="shared" si="65"/>
        <v>0</v>
      </c>
      <c r="Q2830" s="30" t="s">
        <v>2454</v>
      </c>
      <c r="R2830" s="31">
        <v>0</v>
      </c>
    </row>
    <row r="2831" s="1" customFormat="1" ht="16.35" hidden="1" customHeight="1" spans="1:18">
      <c r="A2831" s="6"/>
      <c r="B2831" s="6" t="s">
        <v>4123</v>
      </c>
      <c r="C2831" s="6" t="s">
        <v>4253</v>
      </c>
      <c r="D2831" s="7">
        <v>130</v>
      </c>
      <c r="E2831" s="6" t="s">
        <v>6533</v>
      </c>
      <c r="F2831" s="6" t="s">
        <v>5631</v>
      </c>
      <c r="G2831" s="6" t="s">
        <v>5632</v>
      </c>
      <c r="H2831" s="8">
        <v>221798</v>
      </c>
      <c r="I2831" s="8"/>
      <c r="J2831" s="6"/>
      <c r="K2831" s="6" t="s">
        <v>2442</v>
      </c>
      <c r="L2831" s="6"/>
      <c r="M2831" s="6"/>
      <c r="N2831" s="6" t="s">
        <v>2442</v>
      </c>
      <c r="O2831" s="29">
        <f t="shared" si="65"/>
        <v>0</v>
      </c>
      <c r="Q2831" s="30" t="s">
        <v>2442</v>
      </c>
      <c r="R2831" s="31">
        <v>0</v>
      </c>
    </row>
    <row r="2832" s="1" customFormat="1" ht="16.35" hidden="1" customHeight="1" spans="1:18">
      <c r="A2832" s="6"/>
      <c r="B2832" s="6" t="s">
        <v>4123</v>
      </c>
      <c r="C2832" s="6" t="s">
        <v>4253</v>
      </c>
      <c r="D2832" s="7">
        <v>4</v>
      </c>
      <c r="E2832" s="6" t="s">
        <v>6534</v>
      </c>
      <c r="F2832" s="6" t="s">
        <v>5631</v>
      </c>
      <c r="G2832" s="6" t="s">
        <v>5632</v>
      </c>
      <c r="H2832" s="8"/>
      <c r="I2832" s="8">
        <v>10000</v>
      </c>
      <c r="J2832" s="6"/>
      <c r="K2832" s="6" t="s">
        <v>2480</v>
      </c>
      <c r="L2832" s="6"/>
      <c r="M2832" s="6"/>
      <c r="N2832" s="6" t="s">
        <v>2480</v>
      </c>
      <c r="O2832" s="29">
        <f t="shared" si="65"/>
        <v>10000</v>
      </c>
      <c r="Q2832" s="30" t="s">
        <v>2480</v>
      </c>
      <c r="R2832" s="31">
        <v>10000</v>
      </c>
    </row>
    <row r="2833" s="1" customFormat="1" ht="16.35" hidden="1" customHeight="1" spans="1:18">
      <c r="A2833" s="6"/>
      <c r="B2833" s="6" t="s">
        <v>4123</v>
      </c>
      <c r="C2833" s="6" t="s">
        <v>4253</v>
      </c>
      <c r="D2833" s="7">
        <v>4</v>
      </c>
      <c r="E2833" s="6" t="s">
        <v>6535</v>
      </c>
      <c r="F2833" s="6" t="s">
        <v>5631</v>
      </c>
      <c r="G2833" s="6" t="s">
        <v>5632</v>
      </c>
      <c r="H2833" s="8"/>
      <c r="I2833" s="8">
        <v>1000</v>
      </c>
      <c r="J2833" s="6"/>
      <c r="K2833" s="6" t="s">
        <v>2480</v>
      </c>
      <c r="L2833" s="6"/>
      <c r="M2833" s="6"/>
      <c r="N2833" s="6" t="s">
        <v>2480</v>
      </c>
      <c r="O2833" s="29">
        <f t="shared" si="65"/>
        <v>1000</v>
      </c>
      <c r="Q2833" s="30" t="s">
        <v>2480</v>
      </c>
      <c r="R2833" s="31">
        <v>1000</v>
      </c>
    </row>
    <row r="2834" s="1" customFormat="1" ht="16.35" hidden="1" customHeight="1" spans="1:18">
      <c r="A2834" s="6"/>
      <c r="B2834" s="6" t="s">
        <v>4123</v>
      </c>
      <c r="C2834" s="6" t="s">
        <v>4253</v>
      </c>
      <c r="D2834" s="7">
        <v>4</v>
      </c>
      <c r="E2834" s="6" t="s">
        <v>6536</v>
      </c>
      <c r="F2834" s="6" t="s">
        <v>5631</v>
      </c>
      <c r="G2834" s="6" t="s">
        <v>5632</v>
      </c>
      <c r="H2834" s="8"/>
      <c r="I2834" s="8">
        <v>5000</v>
      </c>
      <c r="J2834" s="6"/>
      <c r="K2834" s="6" t="s">
        <v>2480</v>
      </c>
      <c r="L2834" s="6"/>
      <c r="M2834" s="6"/>
      <c r="N2834" s="6" t="s">
        <v>2480</v>
      </c>
      <c r="O2834" s="29">
        <f t="shared" si="65"/>
        <v>5000</v>
      </c>
      <c r="Q2834" s="30" t="s">
        <v>2480</v>
      </c>
      <c r="R2834" s="31">
        <v>5000</v>
      </c>
    </row>
    <row r="2835" s="1" customFormat="1" ht="16.35" hidden="1" customHeight="1" spans="1:18">
      <c r="A2835" s="6"/>
      <c r="B2835" s="6" t="s">
        <v>4123</v>
      </c>
      <c r="C2835" s="6" t="s">
        <v>4253</v>
      </c>
      <c r="D2835" s="7">
        <v>4</v>
      </c>
      <c r="E2835" s="6" t="s">
        <v>6537</v>
      </c>
      <c r="F2835" s="6" t="s">
        <v>5631</v>
      </c>
      <c r="G2835" s="6" t="s">
        <v>5632</v>
      </c>
      <c r="H2835" s="8"/>
      <c r="I2835" s="8">
        <v>5000</v>
      </c>
      <c r="J2835" s="6"/>
      <c r="K2835" s="6" t="s">
        <v>2480</v>
      </c>
      <c r="L2835" s="6"/>
      <c r="M2835" s="6"/>
      <c r="N2835" s="6" t="s">
        <v>2480</v>
      </c>
      <c r="O2835" s="29">
        <f t="shared" si="65"/>
        <v>5000</v>
      </c>
      <c r="Q2835" s="30" t="s">
        <v>2480</v>
      </c>
      <c r="R2835" s="31">
        <v>5000</v>
      </c>
    </row>
    <row r="2836" s="1" customFormat="1" ht="16.35" hidden="1" customHeight="1" spans="1:18">
      <c r="A2836" s="6"/>
      <c r="B2836" s="6" t="s">
        <v>4123</v>
      </c>
      <c r="C2836" s="6" t="s">
        <v>4253</v>
      </c>
      <c r="D2836" s="7">
        <v>4</v>
      </c>
      <c r="E2836" s="6" t="s">
        <v>6538</v>
      </c>
      <c r="F2836" s="6" t="s">
        <v>5631</v>
      </c>
      <c r="G2836" s="6" t="s">
        <v>5632</v>
      </c>
      <c r="H2836" s="8"/>
      <c r="I2836" s="8">
        <v>10000</v>
      </c>
      <c r="J2836" s="6"/>
      <c r="K2836" s="6" t="s">
        <v>2480</v>
      </c>
      <c r="L2836" s="6"/>
      <c r="M2836" s="6"/>
      <c r="N2836" s="6" t="s">
        <v>2480</v>
      </c>
      <c r="O2836" s="29">
        <f t="shared" si="65"/>
        <v>10000</v>
      </c>
      <c r="Q2836" s="30" t="s">
        <v>2480</v>
      </c>
      <c r="R2836" s="31">
        <v>10000</v>
      </c>
    </row>
    <row r="2837" s="1" customFormat="1" ht="16.35" hidden="1" customHeight="1" spans="1:18">
      <c r="A2837" s="6"/>
      <c r="B2837" s="6" t="s">
        <v>4123</v>
      </c>
      <c r="C2837" s="6" t="s">
        <v>4253</v>
      </c>
      <c r="D2837" s="7">
        <v>4</v>
      </c>
      <c r="E2837" s="6" t="s">
        <v>6539</v>
      </c>
      <c r="F2837" s="6" t="s">
        <v>5631</v>
      </c>
      <c r="G2837" s="6" t="s">
        <v>5632</v>
      </c>
      <c r="H2837" s="8"/>
      <c r="I2837" s="8">
        <v>10000</v>
      </c>
      <c r="J2837" s="6"/>
      <c r="K2837" s="6" t="s">
        <v>2424</v>
      </c>
      <c r="L2837" s="6"/>
      <c r="M2837" s="6"/>
      <c r="N2837" s="6" t="s">
        <v>2424</v>
      </c>
      <c r="O2837" s="29">
        <f t="shared" si="65"/>
        <v>10000</v>
      </c>
      <c r="Q2837" s="30" t="s">
        <v>2424</v>
      </c>
      <c r="R2837" s="31">
        <v>10000</v>
      </c>
    </row>
    <row r="2838" s="1" customFormat="1" ht="16.35" hidden="1" customHeight="1" spans="1:18">
      <c r="A2838" s="6"/>
      <c r="B2838" s="6" t="s">
        <v>4123</v>
      </c>
      <c r="C2838" s="6" t="s">
        <v>4253</v>
      </c>
      <c r="D2838" s="7">
        <v>4</v>
      </c>
      <c r="E2838" s="6" t="s">
        <v>6540</v>
      </c>
      <c r="F2838" s="6" t="s">
        <v>5631</v>
      </c>
      <c r="G2838" s="6" t="s">
        <v>5632</v>
      </c>
      <c r="H2838" s="8"/>
      <c r="I2838" s="8">
        <v>20000</v>
      </c>
      <c r="J2838" s="6"/>
      <c r="K2838" s="6" t="s">
        <v>2424</v>
      </c>
      <c r="L2838" s="6"/>
      <c r="M2838" s="6"/>
      <c r="N2838" s="6" t="s">
        <v>2424</v>
      </c>
      <c r="O2838" s="29">
        <f t="shared" si="65"/>
        <v>20000</v>
      </c>
      <c r="Q2838" s="30" t="s">
        <v>2424</v>
      </c>
      <c r="R2838" s="31">
        <v>20000</v>
      </c>
    </row>
    <row r="2839" s="1" customFormat="1" ht="16.35" hidden="1" customHeight="1" spans="1:18">
      <c r="A2839" s="6"/>
      <c r="B2839" s="6" t="s">
        <v>4123</v>
      </c>
      <c r="C2839" s="6" t="s">
        <v>4253</v>
      </c>
      <c r="D2839" s="7">
        <v>4</v>
      </c>
      <c r="E2839" s="6" t="s">
        <v>6541</v>
      </c>
      <c r="F2839" s="6" t="s">
        <v>5631</v>
      </c>
      <c r="G2839" s="6" t="s">
        <v>5632</v>
      </c>
      <c r="H2839" s="8"/>
      <c r="I2839" s="8">
        <v>-30000</v>
      </c>
      <c r="J2839" s="6"/>
      <c r="K2839" s="6" t="s">
        <v>2424</v>
      </c>
      <c r="L2839" s="6"/>
      <c r="M2839" s="6"/>
      <c r="N2839" s="6" t="s">
        <v>2424</v>
      </c>
      <c r="O2839" s="29">
        <f t="shared" si="65"/>
        <v>-30000</v>
      </c>
      <c r="Q2839" s="30" t="s">
        <v>2424</v>
      </c>
      <c r="R2839" s="31">
        <v>-30000</v>
      </c>
    </row>
    <row r="2840" s="1" customFormat="1" ht="16.35" hidden="1" customHeight="1" spans="1:18">
      <c r="A2840" s="6"/>
      <c r="B2840" s="6" t="s">
        <v>4123</v>
      </c>
      <c r="C2840" s="6" t="s">
        <v>4253</v>
      </c>
      <c r="D2840" s="7">
        <v>22</v>
      </c>
      <c r="E2840" s="6" t="s">
        <v>6542</v>
      </c>
      <c r="F2840" s="6" t="s">
        <v>5631</v>
      </c>
      <c r="G2840" s="6" t="s">
        <v>5632</v>
      </c>
      <c r="H2840" s="8"/>
      <c r="I2840" s="8">
        <v>90000</v>
      </c>
      <c r="J2840" s="6"/>
      <c r="K2840" s="6" t="s">
        <v>2492</v>
      </c>
      <c r="L2840" s="6"/>
      <c r="M2840" s="6"/>
      <c r="N2840" s="6" t="s">
        <v>2492</v>
      </c>
      <c r="O2840" s="29">
        <f t="shared" si="65"/>
        <v>90000</v>
      </c>
      <c r="Q2840" s="30" t="s">
        <v>2492</v>
      </c>
      <c r="R2840" s="31">
        <v>90000</v>
      </c>
    </row>
    <row r="2841" s="1" customFormat="1" ht="16.35" hidden="1" customHeight="1" spans="1:18">
      <c r="A2841" s="6"/>
      <c r="B2841" s="6" t="s">
        <v>4123</v>
      </c>
      <c r="C2841" s="6" t="s">
        <v>4253</v>
      </c>
      <c r="D2841" s="7">
        <v>4</v>
      </c>
      <c r="E2841" s="6" t="s">
        <v>6543</v>
      </c>
      <c r="F2841" s="6" t="s">
        <v>5631</v>
      </c>
      <c r="G2841" s="6" t="s">
        <v>5632</v>
      </c>
      <c r="H2841" s="8"/>
      <c r="I2841" s="8">
        <v>10000</v>
      </c>
      <c r="J2841" s="6"/>
      <c r="K2841" s="6" t="s">
        <v>2492</v>
      </c>
      <c r="L2841" s="6"/>
      <c r="M2841" s="6"/>
      <c r="N2841" s="6" t="s">
        <v>2492</v>
      </c>
      <c r="O2841" s="29">
        <f t="shared" si="65"/>
        <v>10000</v>
      </c>
      <c r="Q2841" s="30" t="s">
        <v>2492</v>
      </c>
      <c r="R2841" s="31">
        <v>10000</v>
      </c>
    </row>
    <row r="2842" s="1" customFormat="1" ht="16.35" hidden="1" customHeight="1" spans="1:18">
      <c r="A2842" s="6"/>
      <c r="B2842" s="6" t="s">
        <v>4123</v>
      </c>
      <c r="C2842" s="6" t="s">
        <v>4253</v>
      </c>
      <c r="D2842" s="7">
        <v>130</v>
      </c>
      <c r="E2842" s="6" t="s">
        <v>6544</v>
      </c>
      <c r="F2842" s="6" t="s">
        <v>5631</v>
      </c>
      <c r="G2842" s="6" t="s">
        <v>5632</v>
      </c>
      <c r="H2842" s="8">
        <v>207704</v>
      </c>
      <c r="I2842" s="8"/>
      <c r="J2842" s="6"/>
      <c r="K2842" s="6" t="s">
        <v>2492</v>
      </c>
      <c r="L2842" s="6"/>
      <c r="M2842" s="6"/>
      <c r="N2842" s="6" t="s">
        <v>2492</v>
      </c>
      <c r="O2842" s="29">
        <f t="shared" si="65"/>
        <v>0</v>
      </c>
      <c r="Q2842" s="30" t="s">
        <v>2492</v>
      </c>
      <c r="R2842" s="31">
        <v>0</v>
      </c>
    </row>
    <row r="2843" s="1" customFormat="1" ht="16.35" hidden="1" customHeight="1" spans="1:18">
      <c r="A2843" s="6"/>
      <c r="B2843" s="6" t="s">
        <v>4123</v>
      </c>
      <c r="C2843" s="6" t="s">
        <v>4253</v>
      </c>
      <c r="D2843" s="7">
        <v>95</v>
      </c>
      <c r="E2843" s="6" t="s">
        <v>6545</v>
      </c>
      <c r="F2843" s="6" t="s">
        <v>5631</v>
      </c>
      <c r="G2843" s="6" t="s">
        <v>5632</v>
      </c>
      <c r="H2843" s="8"/>
      <c r="I2843" s="8">
        <v>120000</v>
      </c>
      <c r="J2843" s="6"/>
      <c r="K2843" s="6" t="s">
        <v>2434</v>
      </c>
      <c r="L2843" s="6"/>
      <c r="M2843" s="6"/>
      <c r="N2843" s="6" t="s">
        <v>2434</v>
      </c>
      <c r="O2843" s="29">
        <f t="shared" si="65"/>
        <v>120000</v>
      </c>
      <c r="Q2843" s="30" t="s">
        <v>2434</v>
      </c>
      <c r="R2843" s="31">
        <v>120000</v>
      </c>
    </row>
    <row r="2844" s="1" customFormat="1" ht="16.35" hidden="1" customHeight="1" spans="1:18">
      <c r="A2844" s="6"/>
      <c r="B2844" s="6" t="s">
        <v>4123</v>
      </c>
      <c r="C2844" s="6" t="s">
        <v>4253</v>
      </c>
      <c r="D2844" s="7">
        <v>4</v>
      </c>
      <c r="E2844" s="6" t="s">
        <v>6546</v>
      </c>
      <c r="F2844" s="6" t="s">
        <v>5631</v>
      </c>
      <c r="G2844" s="6" t="s">
        <v>5632</v>
      </c>
      <c r="H2844" s="8"/>
      <c r="I2844" s="8">
        <v>10000</v>
      </c>
      <c r="J2844" s="6"/>
      <c r="K2844" s="6" t="s">
        <v>2434</v>
      </c>
      <c r="L2844" s="6"/>
      <c r="M2844" s="6"/>
      <c r="N2844" s="6" t="s">
        <v>2434</v>
      </c>
      <c r="O2844" s="29">
        <f t="shared" si="65"/>
        <v>10000</v>
      </c>
      <c r="Q2844" s="30" t="s">
        <v>2434</v>
      </c>
      <c r="R2844" s="31">
        <v>10000</v>
      </c>
    </row>
    <row r="2845" s="1" customFormat="1" ht="16.35" hidden="1" customHeight="1" spans="1:18">
      <c r="A2845" s="6"/>
      <c r="B2845" s="6" t="s">
        <v>4123</v>
      </c>
      <c r="C2845" s="6" t="s">
        <v>4253</v>
      </c>
      <c r="D2845" s="7">
        <v>130</v>
      </c>
      <c r="E2845" s="6" t="s">
        <v>6547</v>
      </c>
      <c r="F2845" s="6" t="s">
        <v>5631</v>
      </c>
      <c r="G2845" s="6" t="s">
        <v>5632</v>
      </c>
      <c r="H2845" s="8">
        <v>248000</v>
      </c>
      <c r="I2845" s="8"/>
      <c r="J2845" s="6"/>
      <c r="K2845" s="6" t="s">
        <v>2434</v>
      </c>
      <c r="L2845" s="6"/>
      <c r="M2845" s="6"/>
      <c r="N2845" s="6" t="s">
        <v>2434</v>
      </c>
      <c r="O2845" s="29">
        <f t="shared" si="65"/>
        <v>0</v>
      </c>
      <c r="Q2845" s="30" t="s">
        <v>2434</v>
      </c>
      <c r="R2845" s="31">
        <v>0</v>
      </c>
    </row>
    <row r="2846" s="1" customFormat="1" ht="16.35" hidden="1" customHeight="1" spans="1:18">
      <c r="A2846" s="6"/>
      <c r="B2846" s="6" t="s">
        <v>4123</v>
      </c>
      <c r="C2846" s="6" t="s">
        <v>4253</v>
      </c>
      <c r="D2846" s="7">
        <v>82</v>
      </c>
      <c r="E2846" s="6" t="s">
        <v>6548</v>
      </c>
      <c r="F2846" s="6" t="s">
        <v>5631</v>
      </c>
      <c r="G2846" s="6" t="s">
        <v>5632</v>
      </c>
      <c r="H2846" s="8"/>
      <c r="I2846" s="8">
        <v>15000</v>
      </c>
      <c r="J2846" s="6"/>
      <c r="K2846" s="6" t="s">
        <v>2438</v>
      </c>
      <c r="L2846" s="6"/>
      <c r="M2846" s="6"/>
      <c r="N2846" s="6" t="s">
        <v>2438</v>
      </c>
      <c r="O2846" s="29">
        <f t="shared" si="65"/>
        <v>15000</v>
      </c>
      <c r="Q2846" s="30" t="s">
        <v>2438</v>
      </c>
      <c r="R2846" s="31">
        <v>15000</v>
      </c>
    </row>
    <row r="2847" s="1" customFormat="1" ht="16.35" hidden="1" customHeight="1" spans="1:18">
      <c r="A2847" s="6"/>
      <c r="B2847" s="6" t="s">
        <v>4123</v>
      </c>
      <c r="C2847" s="6" t="s">
        <v>4253</v>
      </c>
      <c r="D2847" s="7">
        <v>96</v>
      </c>
      <c r="E2847" s="6" t="s">
        <v>6549</v>
      </c>
      <c r="F2847" s="6" t="s">
        <v>5631</v>
      </c>
      <c r="G2847" s="6" t="s">
        <v>5632</v>
      </c>
      <c r="H2847" s="8"/>
      <c r="I2847" s="8">
        <v>9664</v>
      </c>
      <c r="J2847" s="6"/>
      <c r="K2847" s="6" t="s">
        <v>2592</v>
      </c>
      <c r="L2847" s="6"/>
      <c r="M2847" s="6"/>
      <c r="N2847" s="6" t="s">
        <v>2592</v>
      </c>
      <c r="O2847" s="29">
        <f t="shared" si="65"/>
        <v>9664</v>
      </c>
      <c r="Q2847" s="30" t="s">
        <v>2592</v>
      </c>
      <c r="R2847" s="31">
        <v>9664</v>
      </c>
    </row>
    <row r="2848" s="1" customFormat="1" ht="16.35" hidden="1" customHeight="1" spans="1:18">
      <c r="A2848" s="6"/>
      <c r="B2848" s="6" t="s">
        <v>4123</v>
      </c>
      <c r="C2848" s="6" t="s">
        <v>4253</v>
      </c>
      <c r="D2848" s="7">
        <v>4</v>
      </c>
      <c r="E2848" s="6" t="s">
        <v>6550</v>
      </c>
      <c r="F2848" s="6" t="s">
        <v>5631</v>
      </c>
      <c r="G2848" s="6" t="s">
        <v>5632</v>
      </c>
      <c r="H2848" s="8"/>
      <c r="I2848" s="8">
        <v>5000</v>
      </c>
      <c r="J2848" s="6"/>
      <c r="K2848" s="6" t="s">
        <v>2517</v>
      </c>
      <c r="L2848" s="6"/>
      <c r="M2848" s="6"/>
      <c r="N2848" s="6" t="s">
        <v>2517</v>
      </c>
      <c r="O2848" s="29">
        <f t="shared" si="65"/>
        <v>5000</v>
      </c>
      <c r="Q2848" s="30" t="s">
        <v>2517</v>
      </c>
      <c r="R2848" s="31">
        <v>5000</v>
      </c>
    </row>
    <row r="2849" s="1" customFormat="1" ht="16.35" hidden="1" customHeight="1" spans="1:18">
      <c r="A2849" s="6"/>
      <c r="B2849" s="6" t="s">
        <v>4123</v>
      </c>
      <c r="C2849" s="6" t="s">
        <v>4253</v>
      </c>
      <c r="D2849" s="7">
        <v>4</v>
      </c>
      <c r="E2849" s="6" t="s">
        <v>6541</v>
      </c>
      <c r="F2849" s="6" t="s">
        <v>5631</v>
      </c>
      <c r="G2849" s="6" t="s">
        <v>5632</v>
      </c>
      <c r="H2849" s="8"/>
      <c r="I2849" s="8">
        <v>-5000</v>
      </c>
      <c r="J2849" s="6"/>
      <c r="K2849" s="6" t="s">
        <v>2517</v>
      </c>
      <c r="L2849" s="6"/>
      <c r="M2849" s="6"/>
      <c r="N2849" s="6" t="s">
        <v>2517</v>
      </c>
      <c r="O2849" s="29">
        <f t="shared" si="65"/>
        <v>-5000</v>
      </c>
      <c r="Q2849" s="30" t="s">
        <v>2517</v>
      </c>
      <c r="R2849" s="31">
        <v>-5000</v>
      </c>
    </row>
    <row r="2850" s="1" customFormat="1" ht="16.35" hidden="1" customHeight="1" spans="1:18">
      <c r="A2850" s="6"/>
      <c r="B2850" s="6" t="s">
        <v>4123</v>
      </c>
      <c r="C2850" s="6" t="s">
        <v>4253</v>
      </c>
      <c r="D2850" s="7">
        <v>4</v>
      </c>
      <c r="E2850" s="6" t="s">
        <v>6551</v>
      </c>
      <c r="F2850" s="6" t="s">
        <v>5631</v>
      </c>
      <c r="G2850" s="6" t="s">
        <v>5632</v>
      </c>
      <c r="H2850" s="8"/>
      <c r="I2850" s="8">
        <v>5000</v>
      </c>
      <c r="J2850" s="6"/>
      <c r="K2850" s="6" t="s">
        <v>2570</v>
      </c>
      <c r="L2850" s="6"/>
      <c r="M2850" s="6"/>
      <c r="N2850" s="6" t="s">
        <v>2570</v>
      </c>
      <c r="O2850" s="29">
        <f t="shared" si="65"/>
        <v>5000</v>
      </c>
      <c r="Q2850" s="30" t="s">
        <v>2570</v>
      </c>
      <c r="R2850" s="31">
        <v>5000</v>
      </c>
    </row>
    <row r="2851" s="1" customFormat="1" ht="16.35" hidden="1" customHeight="1" spans="1:18">
      <c r="A2851" s="6"/>
      <c r="B2851" s="6" t="s">
        <v>4123</v>
      </c>
      <c r="C2851" s="6" t="s">
        <v>4253</v>
      </c>
      <c r="D2851" s="7">
        <v>4</v>
      </c>
      <c r="E2851" s="6" t="s">
        <v>6552</v>
      </c>
      <c r="F2851" s="6" t="s">
        <v>5631</v>
      </c>
      <c r="G2851" s="6" t="s">
        <v>5632</v>
      </c>
      <c r="H2851" s="8"/>
      <c r="I2851" s="8">
        <v>5000</v>
      </c>
      <c r="J2851" s="6"/>
      <c r="K2851" s="6" t="s">
        <v>2570</v>
      </c>
      <c r="L2851" s="6"/>
      <c r="M2851" s="6"/>
      <c r="N2851" s="6" t="s">
        <v>2570</v>
      </c>
      <c r="O2851" s="29">
        <f t="shared" si="65"/>
        <v>5000</v>
      </c>
      <c r="Q2851" s="30" t="s">
        <v>2570</v>
      </c>
      <c r="R2851" s="31">
        <v>5000</v>
      </c>
    </row>
    <row r="2852" s="1" customFormat="1" ht="16.35" hidden="1" customHeight="1" spans="1:18">
      <c r="A2852" s="6"/>
      <c r="B2852" s="6" t="s">
        <v>4123</v>
      </c>
      <c r="C2852" s="6" t="s">
        <v>4253</v>
      </c>
      <c r="D2852" s="7">
        <v>4</v>
      </c>
      <c r="E2852" s="6" t="s">
        <v>6541</v>
      </c>
      <c r="F2852" s="6" t="s">
        <v>5631</v>
      </c>
      <c r="G2852" s="6" t="s">
        <v>5632</v>
      </c>
      <c r="H2852" s="8"/>
      <c r="I2852" s="8">
        <v>-5000</v>
      </c>
      <c r="J2852" s="6"/>
      <c r="K2852" s="6" t="s">
        <v>2570</v>
      </c>
      <c r="L2852" s="6"/>
      <c r="M2852" s="6"/>
      <c r="N2852" s="6" t="s">
        <v>2570</v>
      </c>
      <c r="O2852" s="29">
        <f t="shared" si="65"/>
        <v>-5000</v>
      </c>
      <c r="Q2852" s="30" t="s">
        <v>2570</v>
      </c>
      <c r="R2852" s="31">
        <v>-5000</v>
      </c>
    </row>
    <row r="2853" s="1" customFormat="1" ht="16.35" hidden="1" customHeight="1" spans="1:18">
      <c r="A2853" s="6"/>
      <c r="B2853" s="6" t="s">
        <v>4123</v>
      </c>
      <c r="C2853" s="6" t="s">
        <v>4253</v>
      </c>
      <c r="D2853" s="7">
        <v>4</v>
      </c>
      <c r="E2853" s="6" t="s">
        <v>6541</v>
      </c>
      <c r="F2853" s="6" t="s">
        <v>5631</v>
      </c>
      <c r="G2853" s="6" t="s">
        <v>5632</v>
      </c>
      <c r="H2853" s="8"/>
      <c r="I2853" s="8">
        <v>-5000</v>
      </c>
      <c r="J2853" s="6"/>
      <c r="K2853" s="6" t="s">
        <v>2570</v>
      </c>
      <c r="L2853" s="6"/>
      <c r="M2853" s="6"/>
      <c r="N2853" s="6" t="s">
        <v>2570</v>
      </c>
      <c r="O2853" s="29">
        <f t="shared" ref="O2853:O2884" si="66">I2853</f>
        <v>-5000</v>
      </c>
      <c r="Q2853" s="30" t="s">
        <v>2570</v>
      </c>
      <c r="R2853" s="31">
        <v>-5000</v>
      </c>
    </row>
    <row r="2854" s="1" customFormat="1" ht="16.35" hidden="1" customHeight="1" spans="1:18">
      <c r="A2854" s="6"/>
      <c r="B2854" s="6" t="s">
        <v>4123</v>
      </c>
      <c r="C2854" s="6" t="s">
        <v>4253</v>
      </c>
      <c r="D2854" s="7">
        <v>4</v>
      </c>
      <c r="E2854" s="6" t="s">
        <v>6553</v>
      </c>
      <c r="F2854" s="6" t="s">
        <v>5631</v>
      </c>
      <c r="G2854" s="6" t="s">
        <v>5632</v>
      </c>
      <c r="H2854" s="8"/>
      <c r="I2854" s="8">
        <v>5000</v>
      </c>
      <c r="J2854" s="6"/>
      <c r="K2854" s="6" t="s">
        <v>2586</v>
      </c>
      <c r="L2854" s="6"/>
      <c r="M2854" s="6"/>
      <c r="N2854" s="6" t="s">
        <v>2586</v>
      </c>
      <c r="O2854" s="29">
        <f t="shared" si="66"/>
        <v>5000</v>
      </c>
      <c r="Q2854" s="30" t="s">
        <v>2586</v>
      </c>
      <c r="R2854" s="31">
        <v>5000</v>
      </c>
    </row>
    <row r="2855" s="1" customFormat="1" ht="16.35" hidden="1" customHeight="1" spans="1:18">
      <c r="A2855" s="6"/>
      <c r="B2855" s="6" t="s">
        <v>4123</v>
      </c>
      <c r="C2855" s="6" t="s">
        <v>4253</v>
      </c>
      <c r="D2855" s="7">
        <v>4</v>
      </c>
      <c r="E2855" s="6" t="s">
        <v>6541</v>
      </c>
      <c r="F2855" s="6" t="s">
        <v>5631</v>
      </c>
      <c r="G2855" s="6" t="s">
        <v>5632</v>
      </c>
      <c r="H2855" s="8"/>
      <c r="I2855" s="8">
        <v>-5000</v>
      </c>
      <c r="J2855" s="6"/>
      <c r="K2855" s="6" t="s">
        <v>2586</v>
      </c>
      <c r="L2855" s="6"/>
      <c r="M2855" s="6"/>
      <c r="N2855" s="6" t="s">
        <v>2586</v>
      </c>
      <c r="O2855" s="29">
        <f t="shared" si="66"/>
        <v>-5000</v>
      </c>
      <c r="Q2855" s="30" t="s">
        <v>2586</v>
      </c>
      <c r="R2855" s="31">
        <v>-5000</v>
      </c>
    </row>
    <row r="2856" s="1" customFormat="1" ht="16.35" hidden="1" customHeight="1" spans="1:18">
      <c r="A2856" s="6"/>
      <c r="B2856" s="6" t="s">
        <v>4123</v>
      </c>
      <c r="C2856" s="6" t="s">
        <v>4253</v>
      </c>
      <c r="D2856" s="7">
        <v>84</v>
      </c>
      <c r="E2856" s="6" t="s">
        <v>6554</v>
      </c>
      <c r="F2856" s="6" t="s">
        <v>5631</v>
      </c>
      <c r="G2856" s="6" t="s">
        <v>5632</v>
      </c>
      <c r="H2856" s="8"/>
      <c r="I2856" s="8">
        <v>15000</v>
      </c>
      <c r="J2856" s="6"/>
      <c r="K2856" s="6" t="s">
        <v>2580</v>
      </c>
      <c r="L2856" s="6"/>
      <c r="M2856" s="6"/>
      <c r="N2856" s="6" t="s">
        <v>2580</v>
      </c>
      <c r="O2856" s="29">
        <f t="shared" si="66"/>
        <v>15000</v>
      </c>
      <c r="Q2856" s="30" t="s">
        <v>2580</v>
      </c>
      <c r="R2856" s="31">
        <v>15000</v>
      </c>
    </row>
    <row r="2857" s="1" customFormat="1" ht="16.35" hidden="1" customHeight="1" spans="1:18">
      <c r="A2857" s="6"/>
      <c r="B2857" s="6" t="s">
        <v>4123</v>
      </c>
      <c r="C2857" s="6" t="s">
        <v>4253</v>
      </c>
      <c r="D2857" s="7">
        <v>4</v>
      </c>
      <c r="E2857" s="6" t="s">
        <v>6555</v>
      </c>
      <c r="F2857" s="6" t="s">
        <v>5631</v>
      </c>
      <c r="G2857" s="6" t="s">
        <v>5632</v>
      </c>
      <c r="H2857" s="8"/>
      <c r="I2857" s="8">
        <v>5000</v>
      </c>
      <c r="J2857" s="6"/>
      <c r="K2857" s="6" t="s">
        <v>2580</v>
      </c>
      <c r="L2857" s="6"/>
      <c r="M2857" s="6"/>
      <c r="N2857" s="6" t="s">
        <v>2580</v>
      </c>
      <c r="O2857" s="29">
        <f t="shared" si="66"/>
        <v>5000</v>
      </c>
      <c r="Q2857" s="30" t="s">
        <v>2580</v>
      </c>
      <c r="R2857" s="31">
        <v>5000</v>
      </c>
    </row>
    <row r="2858" s="1" customFormat="1" ht="16.35" hidden="1" customHeight="1" spans="1:18">
      <c r="A2858" s="6"/>
      <c r="B2858" s="6" t="s">
        <v>4123</v>
      </c>
      <c r="C2858" s="6" t="s">
        <v>4253</v>
      </c>
      <c r="D2858" s="7">
        <v>4</v>
      </c>
      <c r="E2858" s="6" t="s">
        <v>6556</v>
      </c>
      <c r="F2858" s="6" t="s">
        <v>5631</v>
      </c>
      <c r="G2858" s="6" t="s">
        <v>5632</v>
      </c>
      <c r="H2858" s="8"/>
      <c r="I2858" s="8">
        <v>-5000</v>
      </c>
      <c r="J2858" s="6"/>
      <c r="K2858" s="6" t="s">
        <v>2580</v>
      </c>
      <c r="L2858" s="6"/>
      <c r="M2858" s="6"/>
      <c r="N2858" s="6" t="s">
        <v>2580</v>
      </c>
      <c r="O2858" s="29">
        <f t="shared" si="66"/>
        <v>-5000</v>
      </c>
      <c r="Q2858" s="30" t="s">
        <v>2580</v>
      </c>
      <c r="R2858" s="31">
        <v>-5000</v>
      </c>
    </row>
    <row r="2859" s="1" customFormat="1" ht="16.35" hidden="1" customHeight="1" spans="1:18">
      <c r="A2859" s="6"/>
      <c r="B2859" s="6" t="s">
        <v>4123</v>
      </c>
      <c r="C2859" s="6" t="s">
        <v>4253</v>
      </c>
      <c r="D2859" s="7">
        <v>4</v>
      </c>
      <c r="E2859" s="6" t="s">
        <v>6557</v>
      </c>
      <c r="F2859" s="6" t="s">
        <v>5631</v>
      </c>
      <c r="G2859" s="6" t="s">
        <v>5632</v>
      </c>
      <c r="H2859" s="8"/>
      <c r="I2859" s="8">
        <v>5000</v>
      </c>
      <c r="J2859" s="6"/>
      <c r="K2859" s="6" t="s">
        <v>2654</v>
      </c>
      <c r="L2859" s="6"/>
      <c r="M2859" s="6"/>
      <c r="N2859" s="6" t="s">
        <v>2654</v>
      </c>
      <c r="O2859" s="29">
        <f t="shared" si="66"/>
        <v>5000</v>
      </c>
      <c r="Q2859" s="30" t="s">
        <v>2654</v>
      </c>
      <c r="R2859" s="31">
        <v>5000</v>
      </c>
    </row>
    <row r="2860" s="1" customFormat="1" ht="16.35" hidden="1" customHeight="1" spans="1:18">
      <c r="A2860" s="6"/>
      <c r="B2860" s="6" t="s">
        <v>4123</v>
      </c>
      <c r="C2860" s="6" t="s">
        <v>4253</v>
      </c>
      <c r="D2860" s="7">
        <v>130</v>
      </c>
      <c r="E2860" s="6" t="s">
        <v>6558</v>
      </c>
      <c r="F2860" s="6" t="s">
        <v>5631</v>
      </c>
      <c r="G2860" s="6" t="s">
        <v>5632</v>
      </c>
      <c r="H2860" s="8">
        <v>255343</v>
      </c>
      <c r="I2860" s="8"/>
      <c r="J2860" s="6"/>
      <c r="K2860" s="6" t="s">
        <v>2654</v>
      </c>
      <c r="L2860" s="6"/>
      <c r="M2860" s="6"/>
      <c r="N2860" s="6" t="s">
        <v>2654</v>
      </c>
      <c r="O2860" s="29">
        <f t="shared" si="66"/>
        <v>0</v>
      </c>
      <c r="Q2860" s="30" t="s">
        <v>2654</v>
      </c>
      <c r="R2860" s="31">
        <v>0</v>
      </c>
    </row>
    <row r="2861" s="1" customFormat="1" ht="16.35" hidden="1" customHeight="1" spans="1:18">
      <c r="A2861" s="6"/>
      <c r="B2861" s="6" t="s">
        <v>4123</v>
      </c>
      <c r="C2861" s="6" t="s">
        <v>4253</v>
      </c>
      <c r="D2861" s="7">
        <v>23</v>
      </c>
      <c r="E2861" s="6" t="s">
        <v>6559</v>
      </c>
      <c r="F2861" s="6" t="s">
        <v>5631</v>
      </c>
      <c r="G2861" s="6" t="s">
        <v>5632</v>
      </c>
      <c r="H2861" s="8"/>
      <c r="I2861" s="8">
        <v>100000</v>
      </c>
      <c r="J2861" s="6"/>
      <c r="K2861" s="6" t="s">
        <v>2598</v>
      </c>
      <c r="L2861" s="6"/>
      <c r="M2861" s="6"/>
      <c r="N2861" s="6" t="s">
        <v>2598</v>
      </c>
      <c r="O2861" s="29">
        <f t="shared" si="66"/>
        <v>100000</v>
      </c>
      <c r="Q2861" s="30" t="s">
        <v>2598</v>
      </c>
      <c r="R2861" s="31">
        <v>100000</v>
      </c>
    </row>
    <row r="2862" s="1" customFormat="1" ht="16.35" hidden="1" customHeight="1" spans="1:18">
      <c r="A2862" s="6"/>
      <c r="B2862" s="6" t="s">
        <v>4123</v>
      </c>
      <c r="C2862" s="6" t="s">
        <v>4253</v>
      </c>
      <c r="D2862" s="7">
        <v>4</v>
      </c>
      <c r="E2862" s="6" t="s">
        <v>6560</v>
      </c>
      <c r="F2862" s="6" t="s">
        <v>5631</v>
      </c>
      <c r="G2862" s="6" t="s">
        <v>5632</v>
      </c>
      <c r="H2862" s="8"/>
      <c r="I2862" s="8">
        <v>10000</v>
      </c>
      <c r="J2862" s="6"/>
      <c r="K2862" s="6" t="s">
        <v>2598</v>
      </c>
      <c r="L2862" s="6"/>
      <c r="M2862" s="6"/>
      <c r="N2862" s="6" t="s">
        <v>2598</v>
      </c>
      <c r="O2862" s="29">
        <f t="shared" si="66"/>
        <v>10000</v>
      </c>
      <c r="Q2862" s="30" t="s">
        <v>2598</v>
      </c>
      <c r="R2862" s="31">
        <v>10000</v>
      </c>
    </row>
    <row r="2863" s="1" customFormat="1" ht="16.35" hidden="1" customHeight="1" spans="1:18">
      <c r="A2863" s="6"/>
      <c r="B2863" s="6" t="s">
        <v>4123</v>
      </c>
      <c r="C2863" s="6" t="s">
        <v>4253</v>
      </c>
      <c r="D2863" s="7">
        <v>4</v>
      </c>
      <c r="E2863" s="6" t="s">
        <v>6561</v>
      </c>
      <c r="F2863" s="6" t="s">
        <v>5631</v>
      </c>
      <c r="G2863" s="6" t="s">
        <v>5632</v>
      </c>
      <c r="H2863" s="8"/>
      <c r="I2863" s="8">
        <v>5000</v>
      </c>
      <c r="J2863" s="6"/>
      <c r="K2863" s="6" t="s">
        <v>2598</v>
      </c>
      <c r="L2863" s="6"/>
      <c r="M2863" s="6"/>
      <c r="N2863" s="6" t="s">
        <v>2598</v>
      </c>
      <c r="O2863" s="29">
        <f t="shared" si="66"/>
        <v>5000</v>
      </c>
      <c r="Q2863" s="30" t="s">
        <v>2598</v>
      </c>
      <c r="R2863" s="31">
        <v>5000</v>
      </c>
    </row>
    <row r="2864" s="1" customFormat="1" ht="16.35" hidden="1" customHeight="1" spans="1:18">
      <c r="A2864" s="6"/>
      <c r="B2864" s="6" t="s">
        <v>4123</v>
      </c>
      <c r="C2864" s="6" t="s">
        <v>4253</v>
      </c>
      <c r="D2864" s="7">
        <v>4</v>
      </c>
      <c r="E2864" s="6" t="s">
        <v>6562</v>
      </c>
      <c r="F2864" s="6" t="s">
        <v>5631</v>
      </c>
      <c r="G2864" s="6" t="s">
        <v>5632</v>
      </c>
      <c r="H2864" s="8"/>
      <c r="I2864" s="8">
        <v>40000</v>
      </c>
      <c r="J2864" s="6"/>
      <c r="K2864" s="6" t="s">
        <v>2598</v>
      </c>
      <c r="L2864" s="6"/>
      <c r="M2864" s="6"/>
      <c r="N2864" s="6" t="s">
        <v>2598</v>
      </c>
      <c r="O2864" s="29">
        <f t="shared" si="66"/>
        <v>40000</v>
      </c>
      <c r="Q2864" s="30" t="s">
        <v>2598</v>
      </c>
      <c r="R2864" s="31">
        <v>40000</v>
      </c>
    </row>
    <row r="2865" s="1" customFormat="1" ht="16.35" hidden="1" customHeight="1" spans="1:18">
      <c r="A2865" s="6"/>
      <c r="B2865" s="6" t="s">
        <v>4123</v>
      </c>
      <c r="C2865" s="6" t="s">
        <v>4253</v>
      </c>
      <c r="D2865" s="7">
        <v>4</v>
      </c>
      <c r="E2865" s="6" t="s">
        <v>6541</v>
      </c>
      <c r="F2865" s="6" t="s">
        <v>5631</v>
      </c>
      <c r="G2865" s="6" t="s">
        <v>5632</v>
      </c>
      <c r="H2865" s="8"/>
      <c r="I2865" s="8">
        <v>-5000</v>
      </c>
      <c r="J2865" s="6"/>
      <c r="K2865" s="6" t="s">
        <v>2598</v>
      </c>
      <c r="L2865" s="6"/>
      <c r="M2865" s="6"/>
      <c r="N2865" s="6" t="s">
        <v>2598</v>
      </c>
      <c r="O2865" s="29">
        <f t="shared" si="66"/>
        <v>-5000</v>
      </c>
      <c r="Q2865" s="30" t="s">
        <v>2598</v>
      </c>
      <c r="R2865" s="31">
        <v>-5000</v>
      </c>
    </row>
    <row r="2866" s="1" customFormat="1" ht="16.35" hidden="1" customHeight="1" spans="1:18">
      <c r="A2866" s="6"/>
      <c r="B2866" s="6" t="s">
        <v>4123</v>
      </c>
      <c r="C2866" s="6" t="s">
        <v>4253</v>
      </c>
      <c r="D2866" s="7">
        <v>130</v>
      </c>
      <c r="E2866" s="6" t="s">
        <v>6563</v>
      </c>
      <c r="F2866" s="6" t="s">
        <v>5631</v>
      </c>
      <c r="G2866" s="6" t="s">
        <v>5632</v>
      </c>
      <c r="H2866" s="8">
        <v>169683</v>
      </c>
      <c r="I2866" s="8"/>
      <c r="J2866" s="6"/>
      <c r="K2866" s="6" t="s">
        <v>2598</v>
      </c>
      <c r="L2866" s="6"/>
      <c r="M2866" s="6"/>
      <c r="N2866" s="6" t="s">
        <v>2598</v>
      </c>
      <c r="O2866" s="29">
        <f t="shared" si="66"/>
        <v>0</v>
      </c>
      <c r="Q2866" s="30" t="s">
        <v>2598</v>
      </c>
      <c r="R2866" s="31">
        <v>0</v>
      </c>
    </row>
    <row r="2867" s="1" customFormat="1" ht="16.35" hidden="1" customHeight="1" spans="1:18">
      <c r="A2867" s="6"/>
      <c r="B2867" s="6" t="s">
        <v>4123</v>
      </c>
      <c r="C2867" s="6" t="s">
        <v>4253</v>
      </c>
      <c r="D2867" s="7">
        <v>82</v>
      </c>
      <c r="E2867" s="6" t="s">
        <v>6564</v>
      </c>
      <c r="F2867" s="6" t="s">
        <v>5631</v>
      </c>
      <c r="G2867" s="6" t="s">
        <v>5632</v>
      </c>
      <c r="H2867" s="8"/>
      <c r="I2867" s="8">
        <v>13900</v>
      </c>
      <c r="J2867" s="6"/>
      <c r="K2867" s="6" t="s">
        <v>2642</v>
      </c>
      <c r="L2867" s="6"/>
      <c r="M2867" s="6"/>
      <c r="N2867" s="6" t="s">
        <v>2642</v>
      </c>
      <c r="O2867" s="29">
        <f t="shared" si="66"/>
        <v>13900</v>
      </c>
      <c r="Q2867" s="30" t="s">
        <v>2642</v>
      </c>
      <c r="R2867" s="31">
        <v>13900</v>
      </c>
    </row>
    <row r="2868" s="1" customFormat="1" ht="16.35" hidden="1" customHeight="1" spans="1:18">
      <c r="A2868" s="6"/>
      <c r="B2868" s="6" t="s">
        <v>4123</v>
      </c>
      <c r="C2868" s="6" t="s">
        <v>4253</v>
      </c>
      <c r="D2868" s="7">
        <v>4</v>
      </c>
      <c r="E2868" s="6" t="s">
        <v>6565</v>
      </c>
      <c r="F2868" s="6" t="s">
        <v>5631</v>
      </c>
      <c r="G2868" s="6" t="s">
        <v>5632</v>
      </c>
      <c r="H2868" s="8"/>
      <c r="I2868" s="8">
        <v>5000</v>
      </c>
      <c r="J2868" s="6"/>
      <c r="K2868" s="6" t="s">
        <v>2642</v>
      </c>
      <c r="L2868" s="6"/>
      <c r="M2868" s="6"/>
      <c r="N2868" s="6" t="s">
        <v>2642</v>
      </c>
      <c r="O2868" s="29">
        <f t="shared" si="66"/>
        <v>5000</v>
      </c>
      <c r="Q2868" s="30" t="s">
        <v>2642</v>
      </c>
      <c r="R2868" s="31">
        <v>5000</v>
      </c>
    </row>
    <row r="2869" s="1" customFormat="1" ht="16.35" hidden="1" customHeight="1" spans="1:18">
      <c r="A2869" s="6"/>
      <c r="B2869" s="6" t="s">
        <v>4123</v>
      </c>
      <c r="C2869" s="6" t="s">
        <v>4253</v>
      </c>
      <c r="D2869" s="7">
        <v>4</v>
      </c>
      <c r="E2869" s="6" t="s">
        <v>6566</v>
      </c>
      <c r="F2869" s="6" t="s">
        <v>5631</v>
      </c>
      <c r="G2869" s="6" t="s">
        <v>5632</v>
      </c>
      <c r="H2869" s="8"/>
      <c r="I2869" s="8">
        <v>10000</v>
      </c>
      <c r="J2869" s="6"/>
      <c r="K2869" s="6" t="s">
        <v>2664</v>
      </c>
      <c r="L2869" s="6"/>
      <c r="M2869" s="6"/>
      <c r="N2869" s="6" t="s">
        <v>2664</v>
      </c>
      <c r="O2869" s="29">
        <f t="shared" si="66"/>
        <v>10000</v>
      </c>
      <c r="Q2869" s="30" t="s">
        <v>2664</v>
      </c>
      <c r="R2869" s="31">
        <v>10000</v>
      </c>
    </row>
    <row r="2870" s="1" customFormat="1" ht="16.35" hidden="1" customHeight="1" spans="1:18">
      <c r="A2870" s="6"/>
      <c r="B2870" s="6" t="s">
        <v>4123</v>
      </c>
      <c r="C2870" s="6" t="s">
        <v>4253</v>
      </c>
      <c r="D2870" s="7">
        <v>26</v>
      </c>
      <c r="E2870" s="6" t="s">
        <v>6567</v>
      </c>
      <c r="F2870" s="6" t="s">
        <v>5631</v>
      </c>
      <c r="G2870" s="6" t="s">
        <v>5632</v>
      </c>
      <c r="H2870" s="8"/>
      <c r="I2870" s="8">
        <v>78000</v>
      </c>
      <c r="J2870" s="6"/>
      <c r="K2870" s="6" t="s">
        <v>2676</v>
      </c>
      <c r="L2870" s="6"/>
      <c r="M2870" s="6"/>
      <c r="N2870" s="6" t="s">
        <v>2676</v>
      </c>
      <c r="O2870" s="29">
        <f t="shared" si="66"/>
        <v>78000</v>
      </c>
      <c r="Q2870" s="30" t="s">
        <v>2676</v>
      </c>
      <c r="R2870" s="31">
        <v>78000</v>
      </c>
    </row>
    <row r="2871" s="1" customFormat="1" ht="16.35" hidden="1" customHeight="1" spans="1:18">
      <c r="A2871" s="6"/>
      <c r="B2871" s="6" t="s">
        <v>4123</v>
      </c>
      <c r="C2871" s="6" t="s">
        <v>4253</v>
      </c>
      <c r="D2871" s="7">
        <v>4</v>
      </c>
      <c r="E2871" s="6" t="s">
        <v>6568</v>
      </c>
      <c r="F2871" s="6" t="s">
        <v>5631</v>
      </c>
      <c r="G2871" s="6" t="s">
        <v>5632</v>
      </c>
      <c r="H2871" s="8"/>
      <c r="I2871" s="8">
        <v>5000</v>
      </c>
      <c r="J2871" s="6"/>
      <c r="K2871" s="6" t="s">
        <v>2676</v>
      </c>
      <c r="L2871" s="6"/>
      <c r="M2871" s="6"/>
      <c r="N2871" s="6" t="s">
        <v>2676</v>
      </c>
      <c r="O2871" s="29">
        <f t="shared" si="66"/>
        <v>5000</v>
      </c>
      <c r="Q2871" s="30" t="s">
        <v>2676</v>
      </c>
      <c r="R2871" s="31">
        <v>5000</v>
      </c>
    </row>
    <row r="2872" s="1" customFormat="1" ht="16.35" hidden="1" customHeight="1" spans="1:18">
      <c r="A2872" s="6"/>
      <c r="B2872" s="6" t="s">
        <v>4123</v>
      </c>
      <c r="C2872" s="6" t="s">
        <v>4253</v>
      </c>
      <c r="D2872" s="7">
        <v>130</v>
      </c>
      <c r="E2872" s="6" t="s">
        <v>6569</v>
      </c>
      <c r="F2872" s="6" t="s">
        <v>5631</v>
      </c>
      <c r="G2872" s="6" t="s">
        <v>5632</v>
      </c>
      <c r="H2872" s="8">
        <v>156600</v>
      </c>
      <c r="I2872" s="8"/>
      <c r="J2872" s="6"/>
      <c r="K2872" s="6" t="s">
        <v>2676</v>
      </c>
      <c r="L2872" s="6"/>
      <c r="M2872" s="6"/>
      <c r="N2872" s="6" t="s">
        <v>2676</v>
      </c>
      <c r="O2872" s="29">
        <f t="shared" si="66"/>
        <v>0</v>
      </c>
      <c r="Q2872" s="30" t="s">
        <v>2676</v>
      </c>
      <c r="R2872" s="31">
        <v>0</v>
      </c>
    </row>
    <row r="2873" s="1" customFormat="1" ht="16.35" hidden="1" customHeight="1" spans="1:18">
      <c r="A2873" s="6"/>
      <c r="B2873" s="6" t="s">
        <v>4123</v>
      </c>
      <c r="C2873" s="6" t="s">
        <v>4253</v>
      </c>
      <c r="D2873" s="7">
        <v>4</v>
      </c>
      <c r="E2873" s="6" t="s">
        <v>6570</v>
      </c>
      <c r="F2873" s="6" t="s">
        <v>5631</v>
      </c>
      <c r="G2873" s="6" t="s">
        <v>5632</v>
      </c>
      <c r="H2873" s="8"/>
      <c r="I2873" s="8">
        <v>5000</v>
      </c>
      <c r="J2873" s="6"/>
      <c r="K2873" s="6" t="s">
        <v>2684</v>
      </c>
      <c r="L2873" s="6"/>
      <c r="M2873" s="6"/>
      <c r="N2873" s="6" t="s">
        <v>2684</v>
      </c>
      <c r="O2873" s="29">
        <f t="shared" si="66"/>
        <v>5000</v>
      </c>
      <c r="Q2873" s="30" t="s">
        <v>2684</v>
      </c>
      <c r="R2873" s="31">
        <v>5000</v>
      </c>
    </row>
    <row r="2874" s="1" customFormat="1" ht="16.35" hidden="1" customHeight="1" spans="1:18">
      <c r="A2874" s="6"/>
      <c r="B2874" s="6" t="s">
        <v>4123</v>
      </c>
      <c r="C2874" s="6" t="s">
        <v>4253</v>
      </c>
      <c r="D2874" s="7">
        <v>4</v>
      </c>
      <c r="E2874" s="6" t="s">
        <v>6571</v>
      </c>
      <c r="F2874" s="6" t="s">
        <v>5631</v>
      </c>
      <c r="G2874" s="6" t="s">
        <v>5632</v>
      </c>
      <c r="H2874" s="8"/>
      <c r="I2874" s="8">
        <v>5000</v>
      </c>
      <c r="J2874" s="6"/>
      <c r="K2874" s="6" t="s">
        <v>2684</v>
      </c>
      <c r="L2874" s="6"/>
      <c r="M2874" s="6"/>
      <c r="N2874" s="6" t="s">
        <v>2684</v>
      </c>
      <c r="O2874" s="29">
        <f t="shared" si="66"/>
        <v>5000</v>
      </c>
      <c r="Q2874" s="30" t="s">
        <v>2684</v>
      </c>
      <c r="R2874" s="31">
        <v>5000</v>
      </c>
    </row>
    <row r="2875" s="1" customFormat="1" ht="16.35" hidden="1" customHeight="1" spans="1:18">
      <c r="A2875" s="6"/>
      <c r="B2875" s="6" t="s">
        <v>4123</v>
      </c>
      <c r="C2875" s="6" t="s">
        <v>4253</v>
      </c>
      <c r="D2875" s="7">
        <v>4</v>
      </c>
      <c r="E2875" s="6" t="s">
        <v>6527</v>
      </c>
      <c r="F2875" s="6" t="s">
        <v>5631</v>
      </c>
      <c r="G2875" s="6" t="s">
        <v>5632</v>
      </c>
      <c r="H2875" s="8"/>
      <c r="I2875" s="8">
        <v>-5000</v>
      </c>
      <c r="J2875" s="6"/>
      <c r="K2875" s="6" t="s">
        <v>2684</v>
      </c>
      <c r="L2875" s="6"/>
      <c r="M2875" s="6"/>
      <c r="N2875" s="6" t="s">
        <v>2684</v>
      </c>
      <c r="O2875" s="29">
        <f t="shared" si="66"/>
        <v>-5000</v>
      </c>
      <c r="Q2875" s="30" t="s">
        <v>2684</v>
      </c>
      <c r="R2875" s="31">
        <v>-5000</v>
      </c>
    </row>
    <row r="2876" s="1" customFormat="1" ht="16.35" hidden="1" customHeight="1" spans="1:18">
      <c r="A2876" s="6"/>
      <c r="B2876" s="6" t="s">
        <v>4123</v>
      </c>
      <c r="C2876" s="6" t="s">
        <v>4253</v>
      </c>
      <c r="D2876" s="7">
        <v>4</v>
      </c>
      <c r="E2876" s="6" t="s">
        <v>6572</v>
      </c>
      <c r="F2876" s="6" t="s">
        <v>5631</v>
      </c>
      <c r="G2876" s="6" t="s">
        <v>5632</v>
      </c>
      <c r="H2876" s="8"/>
      <c r="I2876" s="8">
        <v>3000</v>
      </c>
      <c r="J2876" s="6"/>
      <c r="K2876" s="6" t="s">
        <v>2617</v>
      </c>
      <c r="L2876" s="6"/>
      <c r="M2876" s="6"/>
      <c r="N2876" s="6" t="s">
        <v>2617</v>
      </c>
      <c r="O2876" s="29">
        <f t="shared" si="66"/>
        <v>3000</v>
      </c>
      <c r="Q2876" s="30" t="s">
        <v>2617</v>
      </c>
      <c r="R2876" s="31">
        <v>3000</v>
      </c>
    </row>
    <row r="2877" s="1" customFormat="1" ht="16.35" hidden="1" customHeight="1" spans="1:18">
      <c r="A2877" s="6"/>
      <c r="B2877" s="6" t="s">
        <v>4123</v>
      </c>
      <c r="C2877" s="6" t="s">
        <v>4253</v>
      </c>
      <c r="D2877" s="7">
        <v>4</v>
      </c>
      <c r="E2877" s="6" t="s">
        <v>6573</v>
      </c>
      <c r="F2877" s="6" t="s">
        <v>5631</v>
      </c>
      <c r="G2877" s="6" t="s">
        <v>5632</v>
      </c>
      <c r="H2877" s="8"/>
      <c r="I2877" s="8">
        <v>-3000</v>
      </c>
      <c r="J2877" s="6"/>
      <c r="K2877" s="6" t="s">
        <v>2617</v>
      </c>
      <c r="L2877" s="6"/>
      <c r="M2877" s="6"/>
      <c r="N2877" s="6" t="s">
        <v>2617</v>
      </c>
      <c r="O2877" s="29">
        <f t="shared" si="66"/>
        <v>-3000</v>
      </c>
      <c r="Q2877" s="30" t="s">
        <v>2617</v>
      </c>
      <c r="R2877" s="31">
        <v>-3000</v>
      </c>
    </row>
    <row r="2878" s="1" customFormat="1" ht="16.35" hidden="1" customHeight="1" spans="1:18">
      <c r="A2878" s="6"/>
      <c r="B2878" s="6" t="s">
        <v>4123</v>
      </c>
      <c r="C2878" s="6" t="s">
        <v>4253</v>
      </c>
      <c r="D2878" s="7">
        <v>12</v>
      </c>
      <c r="E2878" s="6" t="s">
        <v>6574</v>
      </c>
      <c r="F2878" s="6" t="s">
        <v>5631</v>
      </c>
      <c r="G2878" s="6" t="s">
        <v>5632</v>
      </c>
      <c r="H2878" s="8"/>
      <c r="I2878" s="8">
        <v>1000</v>
      </c>
      <c r="J2878" s="6"/>
      <c r="K2878" s="6" t="s">
        <v>2600</v>
      </c>
      <c r="L2878" s="6"/>
      <c r="M2878" s="6"/>
      <c r="N2878" s="6" t="s">
        <v>2600</v>
      </c>
      <c r="O2878" s="29">
        <f t="shared" si="66"/>
        <v>1000</v>
      </c>
      <c r="Q2878" s="30" t="s">
        <v>2600</v>
      </c>
      <c r="R2878" s="31">
        <v>1000</v>
      </c>
    </row>
    <row r="2879" s="1" customFormat="1" ht="16.35" hidden="1" customHeight="1" spans="1:18">
      <c r="A2879" s="6"/>
      <c r="B2879" s="6" t="s">
        <v>4123</v>
      </c>
      <c r="C2879" s="6" t="s">
        <v>4253</v>
      </c>
      <c r="D2879" s="7">
        <v>15</v>
      </c>
      <c r="E2879" s="6" t="s">
        <v>6574</v>
      </c>
      <c r="F2879" s="6" t="s">
        <v>5631</v>
      </c>
      <c r="G2879" s="6" t="s">
        <v>5632</v>
      </c>
      <c r="H2879" s="8"/>
      <c r="I2879" s="8">
        <v>39000</v>
      </c>
      <c r="J2879" s="6"/>
      <c r="K2879" s="6" t="s">
        <v>2600</v>
      </c>
      <c r="L2879" s="6"/>
      <c r="M2879" s="6"/>
      <c r="N2879" s="6" t="s">
        <v>2600</v>
      </c>
      <c r="O2879" s="29">
        <f t="shared" si="66"/>
        <v>39000</v>
      </c>
      <c r="Q2879" s="30" t="s">
        <v>2600</v>
      </c>
      <c r="R2879" s="31">
        <v>39000</v>
      </c>
    </row>
    <row r="2880" s="1" customFormat="1" ht="16.35" hidden="1" customHeight="1" spans="1:18">
      <c r="A2880" s="6"/>
      <c r="B2880" s="6" t="s">
        <v>4123</v>
      </c>
      <c r="C2880" s="6" t="s">
        <v>4253</v>
      </c>
      <c r="D2880" s="7">
        <v>4</v>
      </c>
      <c r="E2880" s="6" t="s">
        <v>6575</v>
      </c>
      <c r="F2880" s="6" t="s">
        <v>5631</v>
      </c>
      <c r="G2880" s="6" t="s">
        <v>5632</v>
      </c>
      <c r="H2880" s="8"/>
      <c r="I2880" s="8">
        <v>5000</v>
      </c>
      <c r="J2880" s="6"/>
      <c r="K2880" s="6" t="s">
        <v>2600</v>
      </c>
      <c r="L2880" s="6"/>
      <c r="M2880" s="6"/>
      <c r="N2880" s="6" t="s">
        <v>2600</v>
      </c>
      <c r="O2880" s="29">
        <f t="shared" si="66"/>
        <v>5000</v>
      </c>
      <c r="Q2880" s="30" t="s">
        <v>2600</v>
      </c>
      <c r="R2880" s="31">
        <v>5000</v>
      </c>
    </row>
    <row r="2881" s="1" customFormat="1" ht="16.35" hidden="1" customHeight="1" spans="1:18">
      <c r="A2881" s="6"/>
      <c r="B2881" s="6" t="s">
        <v>4123</v>
      </c>
      <c r="C2881" s="6" t="s">
        <v>4253</v>
      </c>
      <c r="D2881" s="7">
        <v>36</v>
      </c>
      <c r="E2881" s="6" t="s">
        <v>6576</v>
      </c>
      <c r="F2881" s="6" t="s">
        <v>5631</v>
      </c>
      <c r="G2881" s="6" t="s">
        <v>5632</v>
      </c>
      <c r="H2881" s="8"/>
      <c r="I2881" s="8">
        <v>20000</v>
      </c>
      <c r="J2881" s="6"/>
      <c r="K2881" s="6" t="s">
        <v>2678</v>
      </c>
      <c r="L2881" s="6"/>
      <c r="M2881" s="6"/>
      <c r="N2881" s="6" t="s">
        <v>2678</v>
      </c>
      <c r="O2881" s="29">
        <f t="shared" si="66"/>
        <v>20000</v>
      </c>
      <c r="Q2881" s="30" t="s">
        <v>2678</v>
      </c>
      <c r="R2881" s="31">
        <v>20000</v>
      </c>
    </row>
    <row r="2882" s="1" customFormat="1" ht="16.35" hidden="1" customHeight="1" spans="1:18">
      <c r="A2882" s="6"/>
      <c r="B2882" s="6" t="s">
        <v>4123</v>
      </c>
      <c r="C2882" s="6" t="s">
        <v>4253</v>
      </c>
      <c r="D2882" s="7">
        <v>94</v>
      </c>
      <c r="E2882" s="6" t="s">
        <v>6577</v>
      </c>
      <c r="F2882" s="6" t="s">
        <v>5631</v>
      </c>
      <c r="G2882" s="6" t="s">
        <v>5632</v>
      </c>
      <c r="H2882" s="8"/>
      <c r="I2882" s="8">
        <v>5000</v>
      </c>
      <c r="J2882" s="6"/>
      <c r="K2882" s="6" t="s">
        <v>2688</v>
      </c>
      <c r="L2882" s="6"/>
      <c r="M2882" s="6"/>
      <c r="N2882" s="6" t="s">
        <v>2688</v>
      </c>
      <c r="O2882" s="29">
        <f t="shared" si="66"/>
        <v>5000</v>
      </c>
      <c r="Q2882" s="30" t="s">
        <v>2688</v>
      </c>
      <c r="R2882" s="31">
        <v>5000</v>
      </c>
    </row>
    <row r="2883" s="1" customFormat="1" ht="16.35" hidden="1" customHeight="1" spans="1:18">
      <c r="A2883" s="6"/>
      <c r="B2883" s="6" t="s">
        <v>4123</v>
      </c>
      <c r="C2883" s="6" t="s">
        <v>4253</v>
      </c>
      <c r="D2883" s="7">
        <v>85</v>
      </c>
      <c r="E2883" s="6" t="s">
        <v>6578</v>
      </c>
      <c r="F2883" s="6" t="s">
        <v>5631</v>
      </c>
      <c r="G2883" s="6" t="s">
        <v>5632</v>
      </c>
      <c r="H2883" s="8"/>
      <c r="I2883" s="8">
        <v>27741</v>
      </c>
      <c r="J2883" s="6"/>
      <c r="K2883" s="6" t="s">
        <v>2710</v>
      </c>
      <c r="L2883" s="6"/>
      <c r="M2883" s="6"/>
      <c r="N2883" s="6" t="s">
        <v>2710</v>
      </c>
      <c r="O2883" s="29">
        <f t="shared" si="66"/>
        <v>27741</v>
      </c>
      <c r="Q2883" s="30" t="s">
        <v>2710</v>
      </c>
      <c r="R2883" s="31">
        <v>27741</v>
      </c>
    </row>
    <row r="2884" s="1" customFormat="1" ht="16.35" hidden="1" customHeight="1" spans="1:18">
      <c r="A2884" s="6"/>
      <c r="B2884" s="6" t="s">
        <v>4123</v>
      </c>
      <c r="C2884" s="6" t="s">
        <v>4253</v>
      </c>
      <c r="D2884" s="7">
        <v>4</v>
      </c>
      <c r="E2884" s="6" t="s">
        <v>6579</v>
      </c>
      <c r="F2884" s="6" t="s">
        <v>5631</v>
      </c>
      <c r="G2884" s="6" t="s">
        <v>5632</v>
      </c>
      <c r="H2884" s="8"/>
      <c r="I2884" s="8">
        <v>10000</v>
      </c>
      <c r="J2884" s="6"/>
      <c r="K2884" s="6" t="s">
        <v>2710</v>
      </c>
      <c r="L2884" s="6"/>
      <c r="M2884" s="6"/>
      <c r="N2884" s="6" t="s">
        <v>2710</v>
      </c>
      <c r="O2884" s="29">
        <f t="shared" si="66"/>
        <v>10000</v>
      </c>
      <c r="Q2884" s="30" t="s">
        <v>2710</v>
      </c>
      <c r="R2884" s="31">
        <v>10000</v>
      </c>
    </row>
    <row r="2885" s="1" customFormat="1" ht="16.35" hidden="1" customHeight="1" spans="1:18">
      <c r="A2885" s="6"/>
      <c r="B2885" s="6" t="s">
        <v>4123</v>
      </c>
      <c r="C2885" s="6" t="s">
        <v>4253</v>
      </c>
      <c r="D2885" s="7">
        <v>4</v>
      </c>
      <c r="E2885" s="6" t="s">
        <v>6580</v>
      </c>
      <c r="F2885" s="6" t="s">
        <v>5631</v>
      </c>
      <c r="G2885" s="6" t="s">
        <v>5632</v>
      </c>
      <c r="H2885" s="8"/>
      <c r="I2885" s="8">
        <v>2000</v>
      </c>
      <c r="J2885" s="6"/>
      <c r="K2885" s="6" t="s">
        <v>2694</v>
      </c>
      <c r="L2885" s="6"/>
      <c r="M2885" s="6"/>
      <c r="N2885" s="6" t="s">
        <v>2694</v>
      </c>
      <c r="O2885" s="29">
        <f t="shared" ref="O2885:O2916" si="67">I2885</f>
        <v>2000</v>
      </c>
      <c r="Q2885" s="30" t="s">
        <v>2694</v>
      </c>
      <c r="R2885" s="31">
        <v>2000</v>
      </c>
    </row>
    <row r="2886" s="1" customFormat="1" ht="16.35" hidden="1" customHeight="1" spans="1:18">
      <c r="A2886" s="6"/>
      <c r="B2886" s="6" t="s">
        <v>4123</v>
      </c>
      <c r="C2886" s="6" t="s">
        <v>4253</v>
      </c>
      <c r="D2886" s="7">
        <v>4</v>
      </c>
      <c r="E2886" s="6" t="s">
        <v>6581</v>
      </c>
      <c r="F2886" s="6" t="s">
        <v>5631</v>
      </c>
      <c r="G2886" s="6" t="s">
        <v>5632</v>
      </c>
      <c r="H2886" s="8"/>
      <c r="I2886" s="8">
        <v>5000</v>
      </c>
      <c r="J2886" s="6"/>
      <c r="K2886" s="6" t="s">
        <v>2694</v>
      </c>
      <c r="L2886" s="6"/>
      <c r="M2886" s="6"/>
      <c r="N2886" s="6" t="s">
        <v>2694</v>
      </c>
      <c r="O2886" s="29">
        <f t="shared" si="67"/>
        <v>5000</v>
      </c>
      <c r="Q2886" s="30" t="s">
        <v>2694</v>
      </c>
      <c r="R2886" s="31">
        <v>5000</v>
      </c>
    </row>
    <row r="2887" s="1" customFormat="1" ht="16.35" hidden="1" customHeight="1" spans="1:18">
      <c r="A2887" s="6"/>
      <c r="B2887" s="6" t="s">
        <v>4123</v>
      </c>
      <c r="C2887" s="6" t="s">
        <v>4253</v>
      </c>
      <c r="D2887" s="7">
        <v>4</v>
      </c>
      <c r="E2887" s="6" t="s">
        <v>6582</v>
      </c>
      <c r="F2887" s="6" t="s">
        <v>5631</v>
      </c>
      <c r="G2887" s="6" t="s">
        <v>5632</v>
      </c>
      <c r="H2887" s="8"/>
      <c r="I2887" s="8">
        <v>8000</v>
      </c>
      <c r="J2887" s="6"/>
      <c r="K2887" s="6" t="s">
        <v>2694</v>
      </c>
      <c r="L2887" s="6"/>
      <c r="M2887" s="6"/>
      <c r="N2887" s="6" t="s">
        <v>2694</v>
      </c>
      <c r="O2887" s="29">
        <f t="shared" si="67"/>
        <v>8000</v>
      </c>
      <c r="Q2887" s="30" t="s">
        <v>2694</v>
      </c>
      <c r="R2887" s="31">
        <v>8000</v>
      </c>
    </row>
    <row r="2888" s="1" customFormat="1" ht="16.35" hidden="1" customHeight="1" spans="1:18">
      <c r="A2888" s="6"/>
      <c r="B2888" s="6" t="s">
        <v>4123</v>
      </c>
      <c r="C2888" s="6" t="s">
        <v>4253</v>
      </c>
      <c r="D2888" s="7">
        <v>95</v>
      </c>
      <c r="E2888" s="6" t="s">
        <v>6545</v>
      </c>
      <c r="F2888" s="6" t="s">
        <v>5631</v>
      </c>
      <c r="G2888" s="6" t="s">
        <v>5632</v>
      </c>
      <c r="H2888" s="8"/>
      <c r="I2888" s="8">
        <v>61749</v>
      </c>
      <c r="J2888" s="6"/>
      <c r="K2888" s="6" t="s">
        <v>2732</v>
      </c>
      <c r="L2888" s="6"/>
      <c r="M2888" s="6"/>
      <c r="N2888" s="6" t="s">
        <v>2732</v>
      </c>
      <c r="O2888" s="29">
        <f t="shared" si="67"/>
        <v>61749</v>
      </c>
      <c r="Q2888" s="30" t="s">
        <v>2732</v>
      </c>
      <c r="R2888" s="31">
        <v>61749</v>
      </c>
    </row>
    <row r="2889" s="1" customFormat="1" ht="16.35" hidden="1" customHeight="1" spans="1:18">
      <c r="A2889" s="6"/>
      <c r="B2889" s="6" t="s">
        <v>4123</v>
      </c>
      <c r="C2889" s="6" t="s">
        <v>4253</v>
      </c>
      <c r="D2889" s="7">
        <v>34</v>
      </c>
      <c r="E2889" s="6" t="s">
        <v>6583</v>
      </c>
      <c r="F2889" s="6" t="s">
        <v>5631</v>
      </c>
      <c r="G2889" s="6" t="s">
        <v>5632</v>
      </c>
      <c r="H2889" s="8"/>
      <c r="I2889" s="8">
        <v>10000</v>
      </c>
      <c r="J2889" s="6"/>
      <c r="K2889" s="6" t="s">
        <v>2714</v>
      </c>
      <c r="L2889" s="6"/>
      <c r="M2889" s="6"/>
      <c r="N2889" s="6" t="s">
        <v>2714</v>
      </c>
      <c r="O2889" s="29">
        <f t="shared" si="67"/>
        <v>10000</v>
      </c>
      <c r="Q2889" s="30" t="s">
        <v>2714</v>
      </c>
      <c r="R2889" s="31">
        <v>10000</v>
      </c>
    </row>
    <row r="2890" s="1" customFormat="1" ht="16.35" hidden="1" customHeight="1" spans="1:18">
      <c r="A2890" s="6"/>
      <c r="B2890" s="6" t="s">
        <v>4123</v>
      </c>
      <c r="C2890" s="6" t="s">
        <v>4253</v>
      </c>
      <c r="D2890" s="7">
        <v>4</v>
      </c>
      <c r="E2890" s="6" t="s">
        <v>6584</v>
      </c>
      <c r="F2890" s="6" t="s">
        <v>5631</v>
      </c>
      <c r="G2890" s="6" t="s">
        <v>5632</v>
      </c>
      <c r="H2890" s="8"/>
      <c r="I2890" s="8">
        <v>10000</v>
      </c>
      <c r="J2890" s="6"/>
      <c r="K2890" s="6" t="s">
        <v>2718</v>
      </c>
      <c r="L2890" s="6"/>
      <c r="M2890" s="6"/>
      <c r="N2890" s="6" t="s">
        <v>2718</v>
      </c>
      <c r="O2890" s="29">
        <f t="shared" si="67"/>
        <v>10000</v>
      </c>
      <c r="Q2890" s="30" t="s">
        <v>2718</v>
      </c>
      <c r="R2890" s="31">
        <v>10000</v>
      </c>
    </row>
    <row r="2891" s="1" customFormat="1" ht="16.35" hidden="1" customHeight="1" spans="1:18">
      <c r="A2891" s="6"/>
      <c r="B2891" s="6" t="s">
        <v>4123</v>
      </c>
      <c r="C2891" s="6" t="s">
        <v>4253</v>
      </c>
      <c r="D2891" s="7">
        <v>4</v>
      </c>
      <c r="E2891" s="6" t="s">
        <v>6585</v>
      </c>
      <c r="F2891" s="6" t="s">
        <v>5631</v>
      </c>
      <c r="G2891" s="6" t="s">
        <v>5632</v>
      </c>
      <c r="H2891" s="8"/>
      <c r="I2891" s="8">
        <v>5000</v>
      </c>
      <c r="J2891" s="6"/>
      <c r="K2891" s="6" t="s">
        <v>2718</v>
      </c>
      <c r="L2891" s="6"/>
      <c r="M2891" s="6"/>
      <c r="N2891" s="6" t="s">
        <v>2718</v>
      </c>
      <c r="O2891" s="29">
        <f t="shared" si="67"/>
        <v>5000</v>
      </c>
      <c r="Q2891" s="30" t="s">
        <v>2718</v>
      </c>
      <c r="R2891" s="31">
        <v>5000</v>
      </c>
    </row>
    <row r="2892" s="1" customFormat="1" ht="16.35" hidden="1" customHeight="1" spans="1:18">
      <c r="A2892" s="6"/>
      <c r="B2892" s="6" t="s">
        <v>4123</v>
      </c>
      <c r="C2892" s="6" t="s">
        <v>4253</v>
      </c>
      <c r="D2892" s="7">
        <v>4</v>
      </c>
      <c r="E2892" s="6" t="s">
        <v>6586</v>
      </c>
      <c r="F2892" s="6" t="s">
        <v>5631</v>
      </c>
      <c r="G2892" s="6" t="s">
        <v>5632</v>
      </c>
      <c r="H2892" s="8"/>
      <c r="I2892" s="8">
        <v>5000</v>
      </c>
      <c r="J2892" s="6"/>
      <c r="K2892" s="6" t="s">
        <v>2718</v>
      </c>
      <c r="L2892" s="6"/>
      <c r="M2892" s="6"/>
      <c r="N2892" s="6" t="s">
        <v>2718</v>
      </c>
      <c r="O2892" s="29">
        <f t="shared" si="67"/>
        <v>5000</v>
      </c>
      <c r="Q2892" s="30" t="s">
        <v>2718</v>
      </c>
      <c r="R2892" s="31">
        <v>5000</v>
      </c>
    </row>
    <row r="2893" s="1" customFormat="1" ht="16.35" hidden="1" customHeight="1" spans="1:18">
      <c r="A2893" s="6"/>
      <c r="B2893" s="6" t="s">
        <v>4123</v>
      </c>
      <c r="C2893" s="6" t="s">
        <v>4253</v>
      </c>
      <c r="D2893" s="7">
        <v>129</v>
      </c>
      <c r="E2893" s="6" t="s">
        <v>6587</v>
      </c>
      <c r="F2893" s="6" t="s">
        <v>5631</v>
      </c>
      <c r="G2893" s="6" t="s">
        <v>5632</v>
      </c>
      <c r="H2893" s="8">
        <v>400000</v>
      </c>
      <c r="I2893" s="8"/>
      <c r="J2893" s="6"/>
      <c r="K2893" s="6" t="s">
        <v>2750</v>
      </c>
      <c r="L2893" s="6"/>
      <c r="M2893" s="6"/>
      <c r="N2893" s="6" t="s">
        <v>2750</v>
      </c>
      <c r="O2893" s="29">
        <f t="shared" si="67"/>
        <v>0</v>
      </c>
      <c r="Q2893" s="30" t="s">
        <v>2750</v>
      </c>
      <c r="R2893" s="31">
        <v>0</v>
      </c>
    </row>
    <row r="2894" s="1" customFormat="1" ht="16.35" hidden="1" customHeight="1" spans="1:18">
      <c r="A2894" s="6"/>
      <c r="B2894" s="6" t="s">
        <v>4123</v>
      </c>
      <c r="C2894" s="6" t="s">
        <v>4253</v>
      </c>
      <c r="D2894" s="7">
        <v>149</v>
      </c>
      <c r="E2894" s="6" t="s">
        <v>6588</v>
      </c>
      <c r="F2894" s="6" t="s">
        <v>5631</v>
      </c>
      <c r="G2894" s="6" t="s">
        <v>5632</v>
      </c>
      <c r="H2894" s="8"/>
      <c r="I2894" s="8">
        <v>5000</v>
      </c>
      <c r="J2894" s="6"/>
      <c r="K2894" s="6" t="s">
        <v>1942</v>
      </c>
      <c r="L2894" s="6"/>
      <c r="M2894" s="6"/>
      <c r="N2894" s="6" t="s">
        <v>1942</v>
      </c>
      <c r="O2894" s="29">
        <f t="shared" si="67"/>
        <v>5000</v>
      </c>
      <c r="Q2894" s="30" t="s">
        <v>1942</v>
      </c>
      <c r="R2894" s="31">
        <v>5000</v>
      </c>
    </row>
    <row r="2895" s="1" customFormat="1" ht="16.35" hidden="1" customHeight="1" spans="1:18">
      <c r="A2895" s="6"/>
      <c r="B2895" s="6" t="s">
        <v>4123</v>
      </c>
      <c r="C2895" s="6" t="s">
        <v>4253</v>
      </c>
      <c r="D2895" s="7">
        <v>129</v>
      </c>
      <c r="E2895" s="6" t="s">
        <v>6589</v>
      </c>
      <c r="F2895" s="6" t="s">
        <v>5631</v>
      </c>
      <c r="G2895" s="6" t="s">
        <v>5632</v>
      </c>
      <c r="H2895" s="8">
        <v>224025</v>
      </c>
      <c r="I2895" s="8"/>
      <c r="J2895" s="6"/>
      <c r="K2895" s="6" t="s">
        <v>1942</v>
      </c>
      <c r="L2895" s="6"/>
      <c r="M2895" s="6"/>
      <c r="N2895" s="6" t="s">
        <v>1942</v>
      </c>
      <c r="O2895" s="29">
        <f t="shared" si="67"/>
        <v>0</v>
      </c>
      <c r="Q2895" s="30" t="s">
        <v>1942</v>
      </c>
      <c r="R2895" s="31">
        <v>0</v>
      </c>
    </row>
    <row r="2896" s="1" customFormat="1" ht="16.35" hidden="1" customHeight="1" spans="1:18">
      <c r="A2896" s="6"/>
      <c r="B2896" s="6" t="s">
        <v>4123</v>
      </c>
      <c r="C2896" s="6" t="s">
        <v>4253</v>
      </c>
      <c r="D2896" s="7">
        <v>3</v>
      </c>
      <c r="E2896" s="6" t="s">
        <v>6590</v>
      </c>
      <c r="F2896" s="6" t="s">
        <v>5631</v>
      </c>
      <c r="G2896" s="6" t="s">
        <v>5632</v>
      </c>
      <c r="H2896" s="8"/>
      <c r="I2896" s="8">
        <v>5000</v>
      </c>
      <c r="J2896" s="6"/>
      <c r="K2896" s="6" t="s">
        <v>2787</v>
      </c>
      <c r="L2896" s="6"/>
      <c r="M2896" s="6"/>
      <c r="N2896" s="6" t="s">
        <v>2787</v>
      </c>
      <c r="O2896" s="29">
        <f t="shared" si="67"/>
        <v>5000</v>
      </c>
      <c r="Q2896" s="30" t="s">
        <v>2787</v>
      </c>
      <c r="R2896" s="31">
        <v>5000</v>
      </c>
    </row>
    <row r="2897" s="1" customFormat="1" ht="16.35" hidden="1" customHeight="1" spans="1:18">
      <c r="A2897" s="6"/>
      <c r="B2897" s="6" t="s">
        <v>4123</v>
      </c>
      <c r="C2897" s="6" t="s">
        <v>4253</v>
      </c>
      <c r="D2897" s="7">
        <v>3</v>
      </c>
      <c r="E2897" s="6" t="s">
        <v>6591</v>
      </c>
      <c r="F2897" s="6" t="s">
        <v>5631</v>
      </c>
      <c r="G2897" s="6" t="s">
        <v>5632</v>
      </c>
      <c r="H2897" s="8"/>
      <c r="I2897" s="8">
        <v>-5000</v>
      </c>
      <c r="J2897" s="6"/>
      <c r="K2897" s="6" t="s">
        <v>2787</v>
      </c>
      <c r="L2897" s="6"/>
      <c r="M2897" s="6"/>
      <c r="N2897" s="6" t="s">
        <v>2787</v>
      </c>
      <c r="O2897" s="29">
        <f t="shared" si="67"/>
        <v>-5000</v>
      </c>
      <c r="Q2897" s="30" t="s">
        <v>2787</v>
      </c>
      <c r="R2897" s="31">
        <v>-5000</v>
      </c>
    </row>
    <row r="2898" s="1" customFormat="1" ht="16.35" hidden="1" customHeight="1" spans="1:18">
      <c r="A2898" s="6"/>
      <c r="B2898" s="6" t="s">
        <v>4123</v>
      </c>
      <c r="C2898" s="6" t="s">
        <v>4253</v>
      </c>
      <c r="D2898" s="7">
        <v>3</v>
      </c>
      <c r="E2898" s="6" t="s">
        <v>6592</v>
      </c>
      <c r="F2898" s="6" t="s">
        <v>5631</v>
      </c>
      <c r="G2898" s="6" t="s">
        <v>5632</v>
      </c>
      <c r="H2898" s="8"/>
      <c r="I2898" s="8">
        <v>5000</v>
      </c>
      <c r="J2898" s="6"/>
      <c r="K2898" s="6" t="s">
        <v>2816</v>
      </c>
      <c r="L2898" s="6"/>
      <c r="M2898" s="6"/>
      <c r="N2898" s="6" t="s">
        <v>2816</v>
      </c>
      <c r="O2898" s="29">
        <f t="shared" si="67"/>
        <v>5000</v>
      </c>
      <c r="Q2898" s="30" t="s">
        <v>2816</v>
      </c>
      <c r="R2898" s="31">
        <v>5000</v>
      </c>
    </row>
    <row r="2899" s="1" customFormat="1" ht="16.35" hidden="1" customHeight="1" spans="1:18">
      <c r="A2899" s="6"/>
      <c r="B2899" s="6" t="s">
        <v>4123</v>
      </c>
      <c r="C2899" s="6" t="s">
        <v>4253</v>
      </c>
      <c r="D2899" s="7">
        <v>3</v>
      </c>
      <c r="E2899" s="6" t="s">
        <v>6593</v>
      </c>
      <c r="F2899" s="6" t="s">
        <v>5631</v>
      </c>
      <c r="G2899" s="6" t="s">
        <v>5632</v>
      </c>
      <c r="H2899" s="8"/>
      <c r="I2899" s="8">
        <v>-5000</v>
      </c>
      <c r="J2899" s="6"/>
      <c r="K2899" s="6" t="s">
        <v>2816</v>
      </c>
      <c r="L2899" s="6"/>
      <c r="M2899" s="6"/>
      <c r="N2899" s="6" t="s">
        <v>2816</v>
      </c>
      <c r="O2899" s="29">
        <f t="shared" si="67"/>
        <v>-5000</v>
      </c>
      <c r="Q2899" s="30" t="s">
        <v>2816</v>
      </c>
      <c r="R2899" s="31">
        <v>-5000</v>
      </c>
    </row>
    <row r="2900" s="1" customFormat="1" ht="16.35" hidden="1" customHeight="1" spans="1:18">
      <c r="A2900" s="6"/>
      <c r="B2900" s="6" t="s">
        <v>4123</v>
      </c>
      <c r="C2900" s="6" t="s">
        <v>4253</v>
      </c>
      <c r="D2900" s="7">
        <v>3</v>
      </c>
      <c r="E2900" s="6" t="s">
        <v>6594</v>
      </c>
      <c r="F2900" s="6" t="s">
        <v>5631</v>
      </c>
      <c r="G2900" s="6" t="s">
        <v>5632</v>
      </c>
      <c r="H2900" s="8"/>
      <c r="I2900" s="8">
        <v>1000</v>
      </c>
      <c r="J2900" s="6"/>
      <c r="K2900" s="6" t="s">
        <v>2133</v>
      </c>
      <c r="L2900" s="6"/>
      <c r="M2900" s="6"/>
      <c r="N2900" s="6" t="s">
        <v>2133</v>
      </c>
      <c r="O2900" s="29">
        <f t="shared" si="67"/>
        <v>1000</v>
      </c>
      <c r="Q2900" s="30" t="s">
        <v>2133</v>
      </c>
      <c r="R2900" s="31">
        <v>1000</v>
      </c>
    </row>
    <row r="2901" s="1" customFormat="1" ht="16.35" hidden="1" customHeight="1" spans="1:18">
      <c r="A2901" s="6"/>
      <c r="B2901" s="6" t="s">
        <v>4123</v>
      </c>
      <c r="C2901" s="6" t="s">
        <v>4253</v>
      </c>
      <c r="D2901" s="7">
        <v>3</v>
      </c>
      <c r="E2901" s="6" t="s">
        <v>6595</v>
      </c>
      <c r="F2901" s="6" t="s">
        <v>5631</v>
      </c>
      <c r="G2901" s="6" t="s">
        <v>5632</v>
      </c>
      <c r="H2901" s="8"/>
      <c r="I2901" s="8">
        <v>2000</v>
      </c>
      <c r="J2901" s="6"/>
      <c r="K2901" s="6" t="s">
        <v>2195</v>
      </c>
      <c r="L2901" s="6"/>
      <c r="M2901" s="6"/>
      <c r="N2901" s="6" t="s">
        <v>2195</v>
      </c>
      <c r="O2901" s="29">
        <f t="shared" si="67"/>
        <v>2000</v>
      </c>
      <c r="Q2901" s="30" t="s">
        <v>2195</v>
      </c>
      <c r="R2901" s="31">
        <v>2000</v>
      </c>
    </row>
    <row r="2902" s="1" customFormat="1" ht="16.35" hidden="1" customHeight="1" spans="1:18">
      <c r="A2902" s="6"/>
      <c r="B2902" s="6" t="s">
        <v>4123</v>
      </c>
      <c r="C2902" s="6" t="s">
        <v>4253</v>
      </c>
      <c r="D2902" s="7">
        <v>3</v>
      </c>
      <c r="E2902" s="6" t="s">
        <v>6596</v>
      </c>
      <c r="F2902" s="6" t="s">
        <v>5631</v>
      </c>
      <c r="G2902" s="6" t="s">
        <v>5632</v>
      </c>
      <c r="H2902" s="8"/>
      <c r="I2902" s="8">
        <v>5000</v>
      </c>
      <c r="J2902" s="6"/>
      <c r="K2902" s="6" t="s">
        <v>2301</v>
      </c>
      <c r="L2902" s="6"/>
      <c r="M2902" s="6"/>
      <c r="N2902" s="6" t="s">
        <v>2301</v>
      </c>
      <c r="O2902" s="29">
        <f t="shared" si="67"/>
        <v>5000</v>
      </c>
      <c r="Q2902" s="30" t="s">
        <v>2301</v>
      </c>
      <c r="R2902" s="31">
        <v>5000</v>
      </c>
    </row>
    <row r="2903" s="1" customFormat="1" ht="16.35" hidden="1" customHeight="1" spans="1:18">
      <c r="A2903" s="6"/>
      <c r="B2903" s="6" t="s">
        <v>4123</v>
      </c>
      <c r="C2903" s="6" t="s">
        <v>4253</v>
      </c>
      <c r="D2903" s="7">
        <v>129</v>
      </c>
      <c r="E2903" s="6" t="s">
        <v>6597</v>
      </c>
      <c r="F2903" s="6" t="s">
        <v>5631</v>
      </c>
      <c r="G2903" s="6" t="s">
        <v>5632</v>
      </c>
      <c r="H2903" s="8">
        <v>207620</v>
      </c>
      <c r="I2903" s="8"/>
      <c r="J2903" s="6"/>
      <c r="K2903" s="6" t="s">
        <v>2301</v>
      </c>
      <c r="L2903" s="6"/>
      <c r="M2903" s="6"/>
      <c r="N2903" s="6" t="s">
        <v>2301</v>
      </c>
      <c r="O2903" s="29">
        <f t="shared" si="67"/>
        <v>0</v>
      </c>
      <c r="Q2903" s="30" t="s">
        <v>2301</v>
      </c>
      <c r="R2903" s="31">
        <v>0</v>
      </c>
    </row>
    <row r="2904" s="1" customFormat="1" ht="16.35" hidden="1" customHeight="1" spans="1:18">
      <c r="A2904" s="6"/>
      <c r="B2904" s="6" t="s">
        <v>4123</v>
      </c>
      <c r="C2904" s="6" t="s">
        <v>4253</v>
      </c>
      <c r="D2904" s="7">
        <v>125</v>
      </c>
      <c r="E2904" s="6" t="s">
        <v>6598</v>
      </c>
      <c r="F2904" s="6" t="s">
        <v>5631</v>
      </c>
      <c r="G2904" s="6" t="s">
        <v>5632</v>
      </c>
      <c r="H2904" s="8"/>
      <c r="I2904" s="8">
        <v>10000</v>
      </c>
      <c r="J2904" s="6"/>
      <c r="K2904" s="6" t="s">
        <v>2887</v>
      </c>
      <c r="L2904" s="6"/>
      <c r="M2904" s="6"/>
      <c r="N2904" s="6" t="s">
        <v>2887</v>
      </c>
      <c r="O2904" s="29">
        <f t="shared" si="67"/>
        <v>10000</v>
      </c>
      <c r="Q2904" s="30" t="s">
        <v>2887</v>
      </c>
      <c r="R2904" s="31">
        <v>10000</v>
      </c>
    </row>
    <row r="2905" s="1" customFormat="1" ht="16.35" hidden="1" customHeight="1" spans="1:18">
      <c r="A2905" s="6"/>
      <c r="B2905" s="6" t="s">
        <v>4123</v>
      </c>
      <c r="C2905" s="6" t="s">
        <v>4253</v>
      </c>
      <c r="D2905" s="7">
        <v>129</v>
      </c>
      <c r="E2905" s="6" t="s">
        <v>6599</v>
      </c>
      <c r="F2905" s="6" t="s">
        <v>5631</v>
      </c>
      <c r="G2905" s="6" t="s">
        <v>5632</v>
      </c>
      <c r="H2905" s="8">
        <v>1050000</v>
      </c>
      <c r="I2905" s="8"/>
      <c r="J2905" s="6"/>
      <c r="K2905" s="6" t="s">
        <v>2887</v>
      </c>
      <c r="L2905" s="6"/>
      <c r="M2905" s="6"/>
      <c r="N2905" s="6" t="s">
        <v>2887</v>
      </c>
      <c r="O2905" s="29">
        <f t="shared" si="67"/>
        <v>0</v>
      </c>
      <c r="Q2905" s="30" t="s">
        <v>2887</v>
      </c>
      <c r="R2905" s="31">
        <v>0</v>
      </c>
    </row>
    <row r="2906" s="1" customFormat="1" ht="16.35" hidden="1" customHeight="1" spans="1:18">
      <c r="A2906" s="6"/>
      <c r="B2906" s="6" t="s">
        <v>4123</v>
      </c>
      <c r="C2906" s="6" t="s">
        <v>4253</v>
      </c>
      <c r="D2906" s="7">
        <v>3</v>
      </c>
      <c r="E2906" s="6" t="s">
        <v>6600</v>
      </c>
      <c r="F2906" s="6" t="s">
        <v>5631</v>
      </c>
      <c r="G2906" s="6" t="s">
        <v>5632</v>
      </c>
      <c r="H2906" s="8"/>
      <c r="I2906" s="8">
        <v>5000</v>
      </c>
      <c r="J2906" s="6"/>
      <c r="K2906" s="6" t="s">
        <v>1968</v>
      </c>
      <c r="L2906" s="6"/>
      <c r="M2906" s="6"/>
      <c r="N2906" s="6" t="s">
        <v>1968</v>
      </c>
      <c r="O2906" s="29">
        <f t="shared" si="67"/>
        <v>5000</v>
      </c>
      <c r="Q2906" s="30" t="s">
        <v>1968</v>
      </c>
      <c r="R2906" s="31">
        <v>5000</v>
      </c>
    </row>
    <row r="2907" s="1" customFormat="1" ht="16.35" hidden="1" customHeight="1" spans="1:18">
      <c r="A2907" s="6"/>
      <c r="B2907" s="6" t="s">
        <v>4123</v>
      </c>
      <c r="C2907" s="6" t="s">
        <v>4253</v>
      </c>
      <c r="D2907" s="7">
        <v>3</v>
      </c>
      <c r="E2907" s="6" t="s">
        <v>6601</v>
      </c>
      <c r="F2907" s="6" t="s">
        <v>5631</v>
      </c>
      <c r="G2907" s="6" t="s">
        <v>5632</v>
      </c>
      <c r="H2907" s="8"/>
      <c r="I2907" s="8">
        <v>-5000</v>
      </c>
      <c r="J2907" s="6"/>
      <c r="K2907" s="6" t="s">
        <v>1968</v>
      </c>
      <c r="L2907" s="6"/>
      <c r="M2907" s="6"/>
      <c r="N2907" s="6" t="s">
        <v>1968</v>
      </c>
      <c r="O2907" s="29">
        <f t="shared" si="67"/>
        <v>-5000</v>
      </c>
      <c r="Q2907" s="30" t="s">
        <v>1968</v>
      </c>
      <c r="R2907" s="31">
        <v>-5000</v>
      </c>
    </row>
    <row r="2908" s="1" customFormat="1" ht="16.35" hidden="1" customHeight="1" spans="1:18">
      <c r="A2908" s="6"/>
      <c r="B2908" s="6" t="s">
        <v>4123</v>
      </c>
      <c r="C2908" s="6" t="s">
        <v>4253</v>
      </c>
      <c r="D2908" s="7">
        <v>129</v>
      </c>
      <c r="E2908" s="6" t="s">
        <v>6602</v>
      </c>
      <c r="F2908" s="6" t="s">
        <v>5631</v>
      </c>
      <c r="G2908" s="6" t="s">
        <v>5632</v>
      </c>
      <c r="H2908" s="8">
        <v>209873</v>
      </c>
      <c r="I2908" s="8"/>
      <c r="J2908" s="6"/>
      <c r="K2908" s="6" t="s">
        <v>1968</v>
      </c>
      <c r="L2908" s="6"/>
      <c r="M2908" s="6"/>
      <c r="N2908" s="6" t="s">
        <v>1968</v>
      </c>
      <c r="O2908" s="29">
        <f t="shared" si="67"/>
        <v>0</v>
      </c>
      <c r="Q2908" s="30" t="s">
        <v>1968</v>
      </c>
      <c r="R2908" s="31">
        <v>0</v>
      </c>
    </row>
    <row r="2909" s="1" customFormat="1" ht="16.35" hidden="1" customHeight="1" spans="1:18">
      <c r="A2909" s="6"/>
      <c r="B2909" s="6" t="s">
        <v>4123</v>
      </c>
      <c r="C2909" s="6" t="s">
        <v>4253</v>
      </c>
      <c r="D2909" s="7">
        <v>3</v>
      </c>
      <c r="E2909" s="6" t="s">
        <v>6603</v>
      </c>
      <c r="F2909" s="6" t="s">
        <v>5631</v>
      </c>
      <c r="G2909" s="6" t="s">
        <v>5632</v>
      </c>
      <c r="H2909" s="8"/>
      <c r="I2909" s="8">
        <v>5000</v>
      </c>
      <c r="J2909" s="6"/>
      <c r="K2909" s="6" t="s">
        <v>1984</v>
      </c>
      <c r="L2909" s="6"/>
      <c r="M2909" s="6"/>
      <c r="N2909" s="6" t="s">
        <v>1984</v>
      </c>
      <c r="O2909" s="29">
        <f t="shared" si="67"/>
        <v>5000</v>
      </c>
      <c r="Q2909" s="30" t="s">
        <v>1984</v>
      </c>
      <c r="R2909" s="31">
        <v>5000</v>
      </c>
    </row>
    <row r="2910" s="1" customFormat="1" ht="16.35" hidden="1" customHeight="1" spans="1:18">
      <c r="A2910" s="6"/>
      <c r="B2910" s="6" t="s">
        <v>4123</v>
      </c>
      <c r="C2910" s="6" t="s">
        <v>4253</v>
      </c>
      <c r="D2910" s="7">
        <v>3</v>
      </c>
      <c r="E2910" s="6" t="s">
        <v>6604</v>
      </c>
      <c r="F2910" s="6" t="s">
        <v>5631</v>
      </c>
      <c r="G2910" s="6" t="s">
        <v>5632</v>
      </c>
      <c r="H2910" s="8"/>
      <c r="I2910" s="8">
        <v>5000</v>
      </c>
      <c r="J2910" s="6"/>
      <c r="K2910" s="6" t="s">
        <v>2754</v>
      </c>
      <c r="L2910" s="6"/>
      <c r="M2910" s="6"/>
      <c r="N2910" s="6" t="s">
        <v>2754</v>
      </c>
      <c r="O2910" s="29">
        <f t="shared" si="67"/>
        <v>5000</v>
      </c>
      <c r="Q2910" s="30" t="s">
        <v>2754</v>
      </c>
      <c r="R2910" s="31">
        <v>5000</v>
      </c>
    </row>
    <row r="2911" s="1" customFormat="1" ht="16.35" hidden="1" customHeight="1" spans="1:18">
      <c r="A2911" s="6"/>
      <c r="B2911" s="6" t="s">
        <v>4123</v>
      </c>
      <c r="C2911" s="6" t="s">
        <v>4253</v>
      </c>
      <c r="D2911" s="7">
        <v>3</v>
      </c>
      <c r="E2911" s="6" t="s">
        <v>6605</v>
      </c>
      <c r="F2911" s="6" t="s">
        <v>5631</v>
      </c>
      <c r="G2911" s="6" t="s">
        <v>5632</v>
      </c>
      <c r="H2911" s="8"/>
      <c r="I2911" s="8">
        <v>-5000</v>
      </c>
      <c r="J2911" s="6"/>
      <c r="K2911" s="6" t="s">
        <v>2754</v>
      </c>
      <c r="L2911" s="6"/>
      <c r="M2911" s="6"/>
      <c r="N2911" s="6" t="s">
        <v>2754</v>
      </c>
      <c r="O2911" s="29">
        <f t="shared" si="67"/>
        <v>-5000</v>
      </c>
      <c r="Q2911" s="30" t="s">
        <v>2754</v>
      </c>
      <c r="R2911" s="31">
        <v>-5000</v>
      </c>
    </row>
    <row r="2912" s="1" customFormat="1" ht="16.35" hidden="1" customHeight="1" spans="1:18">
      <c r="A2912" s="6"/>
      <c r="B2912" s="6" t="s">
        <v>4123</v>
      </c>
      <c r="C2912" s="6" t="s">
        <v>4253</v>
      </c>
      <c r="D2912" s="7">
        <v>3</v>
      </c>
      <c r="E2912" s="6" t="s">
        <v>6606</v>
      </c>
      <c r="F2912" s="6" t="s">
        <v>5631</v>
      </c>
      <c r="G2912" s="6" t="s">
        <v>5632</v>
      </c>
      <c r="H2912" s="8"/>
      <c r="I2912" s="8">
        <v>5000</v>
      </c>
      <c r="J2912" s="6"/>
      <c r="K2912" s="6" t="s">
        <v>2756</v>
      </c>
      <c r="L2912" s="6"/>
      <c r="M2912" s="6"/>
      <c r="N2912" s="6" t="s">
        <v>2756</v>
      </c>
      <c r="O2912" s="29">
        <f t="shared" si="67"/>
        <v>5000</v>
      </c>
      <c r="Q2912" s="30" t="s">
        <v>2756</v>
      </c>
      <c r="R2912" s="31">
        <v>5000</v>
      </c>
    </row>
    <row r="2913" s="1" customFormat="1" ht="16.35" hidden="1" customHeight="1" spans="1:18">
      <c r="A2913" s="6"/>
      <c r="B2913" s="6" t="s">
        <v>4123</v>
      </c>
      <c r="C2913" s="6" t="s">
        <v>4253</v>
      </c>
      <c r="D2913" s="7">
        <v>3</v>
      </c>
      <c r="E2913" s="6" t="s">
        <v>6607</v>
      </c>
      <c r="F2913" s="6" t="s">
        <v>5631</v>
      </c>
      <c r="G2913" s="6" t="s">
        <v>5632</v>
      </c>
      <c r="H2913" s="8"/>
      <c r="I2913" s="8">
        <v>5000</v>
      </c>
      <c r="J2913" s="6"/>
      <c r="K2913" s="6" t="s">
        <v>2759</v>
      </c>
      <c r="L2913" s="6"/>
      <c r="M2913" s="6"/>
      <c r="N2913" s="6" t="s">
        <v>2759</v>
      </c>
      <c r="O2913" s="29">
        <f t="shared" si="67"/>
        <v>5000</v>
      </c>
      <c r="Q2913" s="30" t="s">
        <v>2759</v>
      </c>
      <c r="R2913" s="31">
        <v>5000</v>
      </c>
    </row>
    <row r="2914" s="1" customFormat="1" ht="16.35" hidden="1" customHeight="1" spans="1:18">
      <c r="A2914" s="6"/>
      <c r="B2914" s="6" t="s">
        <v>4123</v>
      </c>
      <c r="C2914" s="6" t="s">
        <v>4253</v>
      </c>
      <c r="D2914" s="7">
        <v>129</v>
      </c>
      <c r="E2914" s="6" t="s">
        <v>6608</v>
      </c>
      <c r="F2914" s="6" t="s">
        <v>5631</v>
      </c>
      <c r="G2914" s="6" t="s">
        <v>5632</v>
      </c>
      <c r="H2914" s="8">
        <v>129954</v>
      </c>
      <c r="I2914" s="8"/>
      <c r="J2914" s="6"/>
      <c r="K2914" s="6" t="s">
        <v>2759</v>
      </c>
      <c r="L2914" s="6"/>
      <c r="M2914" s="6"/>
      <c r="N2914" s="6" t="s">
        <v>2759</v>
      </c>
      <c r="O2914" s="29">
        <f t="shared" si="67"/>
        <v>0</v>
      </c>
      <c r="Q2914" s="30" t="s">
        <v>2759</v>
      </c>
      <c r="R2914" s="31">
        <v>0</v>
      </c>
    </row>
    <row r="2915" s="1" customFormat="1" ht="16.35" hidden="1" customHeight="1" spans="1:18">
      <c r="A2915" s="6"/>
      <c r="B2915" s="6" t="s">
        <v>4123</v>
      </c>
      <c r="C2915" s="6" t="s">
        <v>4253</v>
      </c>
      <c r="D2915" s="7">
        <v>3</v>
      </c>
      <c r="E2915" s="6" t="s">
        <v>6609</v>
      </c>
      <c r="F2915" s="6" t="s">
        <v>5631</v>
      </c>
      <c r="G2915" s="6" t="s">
        <v>5632</v>
      </c>
      <c r="H2915" s="8"/>
      <c r="I2915" s="8">
        <v>5000</v>
      </c>
      <c r="J2915" s="6"/>
      <c r="K2915" s="6" t="s">
        <v>1948</v>
      </c>
      <c r="L2915" s="6"/>
      <c r="M2915" s="6"/>
      <c r="N2915" s="6" t="s">
        <v>1948</v>
      </c>
      <c r="O2915" s="29">
        <f t="shared" si="67"/>
        <v>5000</v>
      </c>
      <c r="Q2915" s="30" t="s">
        <v>1948</v>
      </c>
      <c r="R2915" s="31">
        <v>5000</v>
      </c>
    </row>
    <row r="2916" s="1" customFormat="1" ht="16.35" hidden="1" customHeight="1" spans="1:18">
      <c r="A2916" s="6"/>
      <c r="B2916" s="6" t="s">
        <v>4123</v>
      </c>
      <c r="C2916" s="6" t="s">
        <v>4253</v>
      </c>
      <c r="D2916" s="7">
        <v>3</v>
      </c>
      <c r="E2916" s="6" t="s">
        <v>6610</v>
      </c>
      <c r="F2916" s="6" t="s">
        <v>5631</v>
      </c>
      <c r="G2916" s="6" t="s">
        <v>5632</v>
      </c>
      <c r="H2916" s="8"/>
      <c r="I2916" s="8">
        <v>-5000</v>
      </c>
      <c r="J2916" s="6"/>
      <c r="K2916" s="6" t="s">
        <v>1998</v>
      </c>
      <c r="L2916" s="6"/>
      <c r="M2916" s="6"/>
      <c r="N2916" s="6" t="s">
        <v>1998</v>
      </c>
      <c r="O2916" s="29">
        <f t="shared" si="67"/>
        <v>-5000</v>
      </c>
      <c r="Q2916" s="30" t="s">
        <v>1998</v>
      </c>
      <c r="R2916" s="31">
        <v>-5000</v>
      </c>
    </row>
    <row r="2917" s="1" customFormat="1" ht="16.35" hidden="1" customHeight="1" spans="1:18">
      <c r="A2917" s="6"/>
      <c r="B2917" s="6" t="s">
        <v>4123</v>
      </c>
      <c r="C2917" s="6" t="s">
        <v>4253</v>
      </c>
      <c r="D2917" s="7">
        <v>3</v>
      </c>
      <c r="E2917" s="6" t="s">
        <v>6611</v>
      </c>
      <c r="F2917" s="6" t="s">
        <v>5631</v>
      </c>
      <c r="G2917" s="6" t="s">
        <v>5632</v>
      </c>
      <c r="H2917" s="8"/>
      <c r="I2917" s="8">
        <v>-3000</v>
      </c>
      <c r="J2917" s="6"/>
      <c r="K2917" s="6" t="s">
        <v>2780</v>
      </c>
      <c r="L2917" s="6"/>
      <c r="M2917" s="6"/>
      <c r="N2917" s="6" t="s">
        <v>2780</v>
      </c>
      <c r="O2917" s="29">
        <f t="shared" ref="O2917:O2946" si="68">I2917</f>
        <v>-3000</v>
      </c>
      <c r="Q2917" s="30" t="s">
        <v>2780</v>
      </c>
      <c r="R2917" s="31">
        <v>-3000</v>
      </c>
    </row>
    <row r="2918" s="1" customFormat="1" ht="16.35" hidden="1" customHeight="1" spans="1:18">
      <c r="A2918" s="6"/>
      <c r="B2918" s="6" t="s">
        <v>4123</v>
      </c>
      <c r="C2918" s="6" t="s">
        <v>4253</v>
      </c>
      <c r="D2918" s="7">
        <v>129</v>
      </c>
      <c r="E2918" s="6" t="s">
        <v>6612</v>
      </c>
      <c r="F2918" s="6" t="s">
        <v>5631</v>
      </c>
      <c r="G2918" s="6" t="s">
        <v>5632</v>
      </c>
      <c r="H2918" s="8">
        <v>217394</v>
      </c>
      <c r="I2918" s="8"/>
      <c r="J2918" s="6"/>
      <c r="K2918" s="6" t="s">
        <v>2079</v>
      </c>
      <c r="L2918" s="6"/>
      <c r="M2918" s="6"/>
      <c r="N2918" s="6" t="s">
        <v>2079</v>
      </c>
      <c r="O2918" s="29">
        <f t="shared" si="68"/>
        <v>0</v>
      </c>
      <c r="Q2918" s="30" t="s">
        <v>2079</v>
      </c>
      <c r="R2918" s="31">
        <v>0</v>
      </c>
    </row>
    <row r="2919" s="1" customFormat="1" ht="16.35" hidden="1" customHeight="1" spans="1:18">
      <c r="A2919" s="6"/>
      <c r="B2919" s="6" t="s">
        <v>4123</v>
      </c>
      <c r="C2919" s="6" t="s">
        <v>4253</v>
      </c>
      <c r="D2919" s="7">
        <v>3</v>
      </c>
      <c r="E2919" s="6" t="s">
        <v>6613</v>
      </c>
      <c r="F2919" s="6" t="s">
        <v>5631</v>
      </c>
      <c r="G2919" s="6" t="s">
        <v>5632</v>
      </c>
      <c r="H2919" s="8"/>
      <c r="I2919" s="8">
        <v>5000</v>
      </c>
      <c r="J2919" s="6"/>
      <c r="K2919" s="6" t="s">
        <v>2002</v>
      </c>
      <c r="L2919" s="6"/>
      <c r="M2919" s="6"/>
      <c r="N2919" s="6" t="s">
        <v>2002</v>
      </c>
      <c r="O2919" s="29">
        <f t="shared" si="68"/>
        <v>5000</v>
      </c>
      <c r="Q2919" s="30" t="s">
        <v>2002</v>
      </c>
      <c r="R2919" s="31">
        <v>5000</v>
      </c>
    </row>
    <row r="2920" s="1" customFormat="1" ht="16.35" hidden="1" customHeight="1" spans="1:18">
      <c r="A2920" s="6"/>
      <c r="B2920" s="6" t="s">
        <v>4123</v>
      </c>
      <c r="C2920" s="6" t="s">
        <v>4253</v>
      </c>
      <c r="D2920" s="7">
        <v>129</v>
      </c>
      <c r="E2920" s="6" t="s">
        <v>6614</v>
      </c>
      <c r="F2920" s="6" t="s">
        <v>5631</v>
      </c>
      <c r="G2920" s="6" t="s">
        <v>5632</v>
      </c>
      <c r="H2920" s="8">
        <v>219800</v>
      </c>
      <c r="I2920" s="8"/>
      <c r="J2920" s="6"/>
      <c r="K2920" s="6" t="s">
        <v>2115</v>
      </c>
      <c r="L2920" s="6"/>
      <c r="M2920" s="6"/>
      <c r="N2920" s="6" t="s">
        <v>2115</v>
      </c>
      <c r="O2920" s="29">
        <f t="shared" si="68"/>
        <v>0</v>
      </c>
      <c r="Q2920" s="30" t="s">
        <v>2115</v>
      </c>
      <c r="R2920" s="31">
        <v>0</v>
      </c>
    </row>
    <row r="2921" s="1" customFormat="1" ht="16.35" hidden="1" customHeight="1" spans="1:18">
      <c r="A2921" s="6"/>
      <c r="B2921" s="6" t="s">
        <v>4123</v>
      </c>
      <c r="C2921" s="6" t="s">
        <v>4253</v>
      </c>
      <c r="D2921" s="7">
        <v>149</v>
      </c>
      <c r="E2921" s="6" t="s">
        <v>6615</v>
      </c>
      <c r="F2921" s="6" t="s">
        <v>5631</v>
      </c>
      <c r="G2921" s="6" t="s">
        <v>5632</v>
      </c>
      <c r="H2921" s="8"/>
      <c r="I2921" s="8">
        <v>413</v>
      </c>
      <c r="J2921" s="6"/>
      <c r="K2921" s="6" t="s">
        <v>2793</v>
      </c>
      <c r="L2921" s="6"/>
      <c r="M2921" s="6"/>
      <c r="N2921" s="6" t="s">
        <v>2793</v>
      </c>
      <c r="O2921" s="29">
        <f t="shared" si="68"/>
        <v>413</v>
      </c>
      <c r="Q2921" s="30" t="s">
        <v>2793</v>
      </c>
      <c r="R2921" s="31">
        <v>413</v>
      </c>
    </row>
    <row r="2922" s="1" customFormat="1" ht="16.35" hidden="1" customHeight="1" spans="1:18">
      <c r="A2922" s="6"/>
      <c r="B2922" s="6" t="s">
        <v>4123</v>
      </c>
      <c r="C2922" s="6" t="s">
        <v>4253</v>
      </c>
      <c r="D2922" s="7">
        <v>129</v>
      </c>
      <c r="E2922" s="6" t="s">
        <v>6616</v>
      </c>
      <c r="F2922" s="6" t="s">
        <v>5631</v>
      </c>
      <c r="G2922" s="6" t="s">
        <v>5632</v>
      </c>
      <c r="H2922" s="8">
        <v>450000</v>
      </c>
      <c r="I2922" s="8"/>
      <c r="J2922" s="6"/>
      <c r="K2922" s="6" t="s">
        <v>2793</v>
      </c>
      <c r="L2922" s="6"/>
      <c r="M2922" s="6"/>
      <c r="N2922" s="6" t="s">
        <v>2793</v>
      </c>
      <c r="O2922" s="29">
        <f t="shared" si="68"/>
        <v>0</v>
      </c>
      <c r="Q2922" s="30" t="s">
        <v>2793</v>
      </c>
      <c r="R2922" s="31">
        <v>0</v>
      </c>
    </row>
    <row r="2923" s="1" customFormat="1" ht="16.35" hidden="1" customHeight="1" spans="1:18">
      <c r="A2923" s="6"/>
      <c r="B2923" s="6" t="s">
        <v>4123</v>
      </c>
      <c r="C2923" s="6" t="s">
        <v>4253</v>
      </c>
      <c r="D2923" s="7">
        <v>3</v>
      </c>
      <c r="E2923" s="6" t="s">
        <v>6617</v>
      </c>
      <c r="F2923" s="6" t="s">
        <v>5631</v>
      </c>
      <c r="G2923" s="6" t="s">
        <v>5632</v>
      </c>
      <c r="H2923" s="8"/>
      <c r="I2923" s="8">
        <v>1000</v>
      </c>
      <c r="J2923" s="6"/>
      <c r="K2923" s="6" t="s">
        <v>2181</v>
      </c>
      <c r="L2923" s="6"/>
      <c r="M2923" s="6"/>
      <c r="N2923" s="6" t="s">
        <v>2181</v>
      </c>
      <c r="O2923" s="29">
        <f t="shared" si="68"/>
        <v>1000</v>
      </c>
      <c r="Q2923" s="30" t="s">
        <v>2181</v>
      </c>
      <c r="R2923" s="31">
        <v>1000</v>
      </c>
    </row>
    <row r="2924" s="1" customFormat="1" ht="16.35" hidden="1" customHeight="1" spans="1:18">
      <c r="A2924" s="6"/>
      <c r="B2924" s="6" t="s">
        <v>4123</v>
      </c>
      <c r="C2924" s="6" t="s">
        <v>4253</v>
      </c>
      <c r="D2924" s="7">
        <v>90</v>
      </c>
      <c r="E2924" s="6" t="s">
        <v>6618</v>
      </c>
      <c r="F2924" s="6" t="s">
        <v>5631</v>
      </c>
      <c r="G2924" s="6" t="s">
        <v>5632</v>
      </c>
      <c r="H2924" s="8"/>
      <c r="I2924" s="8">
        <v>66341</v>
      </c>
      <c r="J2924" s="6"/>
      <c r="K2924" s="6" t="s">
        <v>2155</v>
      </c>
      <c r="L2924" s="6"/>
      <c r="M2924" s="6"/>
      <c r="N2924" s="6" t="s">
        <v>2155</v>
      </c>
      <c r="O2924" s="29">
        <f t="shared" si="68"/>
        <v>66341</v>
      </c>
      <c r="Q2924" s="30" t="s">
        <v>2155</v>
      </c>
      <c r="R2924" s="31">
        <v>66341</v>
      </c>
    </row>
    <row r="2925" s="1" customFormat="1" ht="16.35" hidden="1" customHeight="1" spans="1:18">
      <c r="A2925" s="6"/>
      <c r="B2925" s="6" t="s">
        <v>4123</v>
      </c>
      <c r="C2925" s="6" t="s">
        <v>4253</v>
      </c>
      <c r="D2925" s="7">
        <v>4</v>
      </c>
      <c r="E2925" s="6" t="s">
        <v>6619</v>
      </c>
      <c r="F2925" s="6" t="s">
        <v>5631</v>
      </c>
      <c r="G2925" s="6" t="s">
        <v>5632</v>
      </c>
      <c r="H2925" s="8"/>
      <c r="I2925" s="8">
        <v>10000</v>
      </c>
      <c r="J2925" s="6"/>
      <c r="K2925" s="6" t="s">
        <v>2155</v>
      </c>
      <c r="L2925" s="6"/>
      <c r="M2925" s="6"/>
      <c r="N2925" s="6" t="s">
        <v>2155</v>
      </c>
      <c r="O2925" s="29">
        <f t="shared" si="68"/>
        <v>10000</v>
      </c>
      <c r="Q2925" s="30" t="s">
        <v>2155</v>
      </c>
      <c r="R2925" s="31">
        <v>10000</v>
      </c>
    </row>
    <row r="2926" s="1" customFormat="1" ht="16.35" hidden="1" customHeight="1" spans="1:18">
      <c r="A2926" s="6"/>
      <c r="B2926" s="6" t="s">
        <v>4123</v>
      </c>
      <c r="C2926" s="6" t="s">
        <v>4253</v>
      </c>
      <c r="D2926" s="7">
        <v>129</v>
      </c>
      <c r="E2926" s="6" t="s">
        <v>6620</v>
      </c>
      <c r="F2926" s="6" t="s">
        <v>5631</v>
      </c>
      <c r="G2926" s="6" t="s">
        <v>5632</v>
      </c>
      <c r="H2926" s="8">
        <v>202644</v>
      </c>
      <c r="I2926" s="8"/>
      <c r="J2926" s="6"/>
      <c r="K2926" s="6" t="s">
        <v>2265</v>
      </c>
      <c r="L2926" s="6"/>
      <c r="M2926" s="6"/>
      <c r="N2926" s="6" t="s">
        <v>2265</v>
      </c>
      <c r="O2926" s="29">
        <f t="shared" si="68"/>
        <v>0</v>
      </c>
      <c r="Q2926" s="30" t="s">
        <v>2265</v>
      </c>
      <c r="R2926" s="31">
        <v>0</v>
      </c>
    </row>
    <row r="2927" s="1" customFormat="1" ht="16.35" hidden="1" customHeight="1" spans="1:18">
      <c r="A2927" s="6"/>
      <c r="B2927" s="6" t="s">
        <v>4123</v>
      </c>
      <c r="C2927" s="6" t="s">
        <v>4253</v>
      </c>
      <c r="D2927" s="7">
        <v>129</v>
      </c>
      <c r="E2927" s="6" t="s">
        <v>6621</v>
      </c>
      <c r="F2927" s="6" t="s">
        <v>5631</v>
      </c>
      <c r="G2927" s="6" t="s">
        <v>5632</v>
      </c>
      <c r="H2927" s="8">
        <v>213018</v>
      </c>
      <c r="I2927" s="8"/>
      <c r="J2927" s="6"/>
      <c r="K2927" s="6" t="s">
        <v>2202</v>
      </c>
      <c r="L2927" s="6"/>
      <c r="M2927" s="6"/>
      <c r="N2927" s="6" t="s">
        <v>2202</v>
      </c>
      <c r="O2927" s="29">
        <f t="shared" si="68"/>
        <v>0</v>
      </c>
      <c r="Q2927" s="30" t="s">
        <v>2202</v>
      </c>
      <c r="R2927" s="31">
        <v>0</v>
      </c>
    </row>
    <row r="2928" s="1" customFormat="1" ht="16.35" hidden="1" customHeight="1" spans="1:18">
      <c r="A2928" s="6"/>
      <c r="B2928" s="6" t="s">
        <v>4123</v>
      </c>
      <c r="C2928" s="6" t="s">
        <v>4253</v>
      </c>
      <c r="D2928" s="7">
        <v>129</v>
      </c>
      <c r="E2928" s="6" t="s">
        <v>6622</v>
      </c>
      <c r="F2928" s="6" t="s">
        <v>5631</v>
      </c>
      <c r="G2928" s="6" t="s">
        <v>5632</v>
      </c>
      <c r="H2928" s="8">
        <v>233820</v>
      </c>
      <c r="I2928" s="8"/>
      <c r="J2928" s="6"/>
      <c r="K2928" s="6" t="s">
        <v>2257</v>
      </c>
      <c r="L2928" s="6"/>
      <c r="M2928" s="6"/>
      <c r="N2928" s="6" t="s">
        <v>2257</v>
      </c>
      <c r="O2928" s="29">
        <f t="shared" si="68"/>
        <v>0</v>
      </c>
      <c r="Q2928" s="30" t="s">
        <v>2257</v>
      </c>
      <c r="R2928" s="31">
        <v>0</v>
      </c>
    </row>
    <row r="2929" s="1" customFormat="1" ht="16.35" hidden="1" customHeight="1" spans="1:18">
      <c r="A2929" s="6"/>
      <c r="B2929" s="6" t="s">
        <v>4123</v>
      </c>
      <c r="C2929" s="6" t="s">
        <v>4253</v>
      </c>
      <c r="D2929" s="7">
        <v>129</v>
      </c>
      <c r="E2929" s="6" t="s">
        <v>6623</v>
      </c>
      <c r="F2929" s="6" t="s">
        <v>5631</v>
      </c>
      <c r="G2929" s="6" t="s">
        <v>5632</v>
      </c>
      <c r="H2929" s="8">
        <v>244000</v>
      </c>
      <c r="I2929" s="8"/>
      <c r="J2929" s="6"/>
      <c r="K2929" s="6" t="s">
        <v>2217</v>
      </c>
      <c r="L2929" s="6"/>
      <c r="M2929" s="6"/>
      <c r="N2929" s="6" t="s">
        <v>2217</v>
      </c>
      <c r="O2929" s="29">
        <f t="shared" si="68"/>
        <v>0</v>
      </c>
      <c r="Q2929" s="30" t="s">
        <v>2217</v>
      </c>
      <c r="R2929" s="31">
        <v>0</v>
      </c>
    </row>
    <row r="2930" s="1" customFormat="1" ht="16.35" hidden="1" customHeight="1" spans="1:18">
      <c r="A2930" s="6"/>
      <c r="B2930" s="6" t="s">
        <v>4123</v>
      </c>
      <c r="C2930" s="6" t="s">
        <v>4253</v>
      </c>
      <c r="D2930" s="7">
        <v>129</v>
      </c>
      <c r="E2930" s="6" t="s">
        <v>6624</v>
      </c>
      <c r="F2930" s="6" t="s">
        <v>5631</v>
      </c>
      <c r="G2930" s="6" t="s">
        <v>5632</v>
      </c>
      <c r="H2930" s="8">
        <v>229404</v>
      </c>
      <c r="I2930" s="8"/>
      <c r="J2930" s="6"/>
      <c r="K2930" s="6" t="s">
        <v>2259</v>
      </c>
      <c r="L2930" s="6"/>
      <c r="M2930" s="6"/>
      <c r="N2930" s="6" t="s">
        <v>2259</v>
      </c>
      <c r="O2930" s="29">
        <f t="shared" si="68"/>
        <v>0</v>
      </c>
      <c r="Q2930" s="30" t="s">
        <v>2259</v>
      </c>
      <c r="R2930" s="31">
        <v>0</v>
      </c>
    </row>
    <row r="2931" s="1" customFormat="1" ht="16.35" hidden="1" customHeight="1" spans="1:18">
      <c r="A2931" s="6"/>
      <c r="B2931" s="6" t="s">
        <v>4123</v>
      </c>
      <c r="C2931" s="6" t="s">
        <v>4253</v>
      </c>
      <c r="D2931" s="7">
        <v>129</v>
      </c>
      <c r="E2931" s="6" t="s">
        <v>6625</v>
      </c>
      <c r="F2931" s="6" t="s">
        <v>5631</v>
      </c>
      <c r="G2931" s="6" t="s">
        <v>5632</v>
      </c>
      <c r="H2931" s="8">
        <v>229404</v>
      </c>
      <c r="I2931" s="8"/>
      <c r="J2931" s="6"/>
      <c r="K2931" s="6" t="s">
        <v>2241</v>
      </c>
      <c r="L2931" s="6"/>
      <c r="M2931" s="6"/>
      <c r="N2931" s="6" t="s">
        <v>2241</v>
      </c>
      <c r="O2931" s="29">
        <f t="shared" si="68"/>
        <v>0</v>
      </c>
      <c r="Q2931" s="30" t="s">
        <v>2241</v>
      </c>
      <c r="R2931" s="31">
        <v>0</v>
      </c>
    </row>
    <row r="2932" s="1" customFormat="1" ht="16.35" hidden="1" customHeight="1" spans="1:18">
      <c r="A2932" s="6"/>
      <c r="B2932" s="6" t="s">
        <v>4123</v>
      </c>
      <c r="C2932" s="6" t="s">
        <v>4253</v>
      </c>
      <c r="D2932" s="7">
        <v>124</v>
      </c>
      <c r="E2932" s="6" t="s">
        <v>6626</v>
      </c>
      <c r="F2932" s="6" t="s">
        <v>5631</v>
      </c>
      <c r="G2932" s="6" t="s">
        <v>5632</v>
      </c>
      <c r="H2932" s="8"/>
      <c r="I2932" s="8">
        <v>-4000</v>
      </c>
      <c r="J2932" s="6"/>
      <c r="K2932" s="6" t="s">
        <v>2833</v>
      </c>
      <c r="L2932" s="6"/>
      <c r="M2932" s="6"/>
      <c r="N2932" s="6" t="s">
        <v>2833</v>
      </c>
      <c r="O2932" s="29">
        <f t="shared" si="68"/>
        <v>-4000</v>
      </c>
      <c r="Q2932" s="30" t="s">
        <v>2833</v>
      </c>
      <c r="R2932" s="31">
        <v>-4000</v>
      </c>
    </row>
    <row r="2933" s="1" customFormat="1" ht="16.35" hidden="1" customHeight="1" spans="1:18">
      <c r="A2933" s="6"/>
      <c r="B2933" s="6" t="s">
        <v>4123</v>
      </c>
      <c r="C2933" s="6" t="s">
        <v>4253</v>
      </c>
      <c r="D2933" s="7">
        <v>129</v>
      </c>
      <c r="E2933" s="6" t="s">
        <v>6627</v>
      </c>
      <c r="F2933" s="6" t="s">
        <v>5631</v>
      </c>
      <c r="G2933" s="6" t="s">
        <v>5632</v>
      </c>
      <c r="H2933" s="8">
        <v>271520</v>
      </c>
      <c r="I2933" s="8"/>
      <c r="J2933" s="6"/>
      <c r="K2933" s="6" t="s">
        <v>2312</v>
      </c>
      <c r="L2933" s="6"/>
      <c r="M2933" s="6"/>
      <c r="N2933" s="6" t="s">
        <v>2312</v>
      </c>
      <c r="O2933" s="29">
        <f t="shared" si="68"/>
        <v>0</v>
      </c>
      <c r="Q2933" s="30" t="s">
        <v>2312</v>
      </c>
      <c r="R2933" s="31">
        <v>0</v>
      </c>
    </row>
    <row r="2934" s="1" customFormat="1" ht="16.35" hidden="1" customHeight="1" spans="1:18">
      <c r="A2934" s="6"/>
      <c r="B2934" s="6" t="s">
        <v>4123</v>
      </c>
      <c r="C2934" s="6" t="s">
        <v>4253</v>
      </c>
      <c r="D2934" s="7">
        <v>129</v>
      </c>
      <c r="E2934" s="6" t="s">
        <v>6628</v>
      </c>
      <c r="F2934" s="6" t="s">
        <v>5631</v>
      </c>
      <c r="G2934" s="6" t="s">
        <v>5632</v>
      </c>
      <c r="H2934" s="8">
        <v>243333</v>
      </c>
      <c r="I2934" s="8"/>
      <c r="J2934" s="6"/>
      <c r="K2934" s="6" t="s">
        <v>2370</v>
      </c>
      <c r="L2934" s="6"/>
      <c r="M2934" s="6"/>
      <c r="N2934" s="6" t="s">
        <v>2370</v>
      </c>
      <c r="O2934" s="29">
        <f t="shared" si="68"/>
        <v>0</v>
      </c>
      <c r="Q2934" s="30" t="s">
        <v>2370</v>
      </c>
      <c r="R2934" s="31">
        <v>0</v>
      </c>
    </row>
    <row r="2935" s="1" customFormat="1" ht="16.35" hidden="1" customHeight="1" spans="1:18">
      <c r="A2935" s="6"/>
      <c r="B2935" s="6" t="s">
        <v>4123</v>
      </c>
      <c r="C2935" s="6" t="s">
        <v>4253</v>
      </c>
      <c r="D2935" s="7">
        <v>54</v>
      </c>
      <c r="E2935" s="6" t="s">
        <v>6629</v>
      </c>
      <c r="F2935" s="6" t="s">
        <v>5631</v>
      </c>
      <c r="G2935" s="6" t="s">
        <v>5632</v>
      </c>
      <c r="H2935" s="8"/>
      <c r="I2935" s="8">
        <v>184000</v>
      </c>
      <c r="J2935" s="6"/>
      <c r="K2935" s="6" t="s">
        <v>2320</v>
      </c>
      <c r="L2935" s="6"/>
      <c r="M2935" s="6"/>
      <c r="N2935" s="6" t="s">
        <v>2320</v>
      </c>
      <c r="O2935" s="29">
        <f t="shared" si="68"/>
        <v>184000</v>
      </c>
      <c r="Q2935" s="30" t="s">
        <v>2320</v>
      </c>
      <c r="R2935" s="31">
        <v>184000</v>
      </c>
    </row>
    <row r="2936" s="1" customFormat="1" ht="16.35" hidden="1" customHeight="1" spans="1:18">
      <c r="A2936" s="6"/>
      <c r="B2936" s="6" t="s">
        <v>4123</v>
      </c>
      <c r="C2936" s="6" t="s">
        <v>4253</v>
      </c>
      <c r="D2936" s="7">
        <v>4</v>
      </c>
      <c r="E2936" s="6" t="s">
        <v>6630</v>
      </c>
      <c r="F2936" s="6" t="s">
        <v>5631</v>
      </c>
      <c r="G2936" s="6" t="s">
        <v>5632</v>
      </c>
      <c r="H2936" s="8"/>
      <c r="I2936" s="8">
        <v>5000</v>
      </c>
      <c r="J2936" s="6"/>
      <c r="K2936" s="6" t="s">
        <v>2572</v>
      </c>
      <c r="L2936" s="6"/>
      <c r="M2936" s="6"/>
      <c r="N2936" s="6" t="s">
        <v>2572</v>
      </c>
      <c r="O2936" s="29">
        <f t="shared" si="68"/>
        <v>5000</v>
      </c>
      <c r="Q2936" s="30" t="s">
        <v>2572</v>
      </c>
      <c r="R2936" s="31">
        <v>5000</v>
      </c>
    </row>
    <row r="2937" s="1" customFormat="1" ht="16.35" hidden="1" customHeight="1" spans="1:18">
      <c r="A2937" s="6"/>
      <c r="B2937" s="6" t="s">
        <v>4123</v>
      </c>
      <c r="C2937" s="6" t="s">
        <v>4253</v>
      </c>
      <c r="D2937" s="7">
        <v>4</v>
      </c>
      <c r="E2937" s="6" t="s">
        <v>6631</v>
      </c>
      <c r="F2937" s="6" t="s">
        <v>5631</v>
      </c>
      <c r="G2937" s="6" t="s">
        <v>5632</v>
      </c>
      <c r="H2937" s="8"/>
      <c r="I2937" s="8">
        <v>5000</v>
      </c>
      <c r="J2937" s="6"/>
      <c r="K2937" s="6" t="s">
        <v>2572</v>
      </c>
      <c r="L2937" s="6"/>
      <c r="M2937" s="6"/>
      <c r="N2937" s="6" t="s">
        <v>2572</v>
      </c>
      <c r="O2937" s="29">
        <f t="shared" si="68"/>
        <v>5000</v>
      </c>
      <c r="Q2937" s="30" t="s">
        <v>2572</v>
      </c>
      <c r="R2937" s="31">
        <v>5000</v>
      </c>
    </row>
    <row r="2938" s="1" customFormat="1" ht="16.35" hidden="1" customHeight="1" spans="1:18">
      <c r="A2938" s="6"/>
      <c r="B2938" s="6" t="s">
        <v>4123</v>
      </c>
      <c r="C2938" s="6" t="s">
        <v>4253</v>
      </c>
      <c r="D2938" s="7">
        <v>4</v>
      </c>
      <c r="E2938" s="6" t="s">
        <v>6632</v>
      </c>
      <c r="F2938" s="6" t="s">
        <v>5631</v>
      </c>
      <c r="G2938" s="6" t="s">
        <v>5632</v>
      </c>
      <c r="H2938" s="8"/>
      <c r="I2938" s="8">
        <v>5000</v>
      </c>
      <c r="J2938" s="6"/>
      <c r="K2938" s="6" t="s">
        <v>2572</v>
      </c>
      <c r="L2938" s="6"/>
      <c r="M2938" s="6"/>
      <c r="N2938" s="6" t="s">
        <v>2572</v>
      </c>
      <c r="O2938" s="29">
        <f t="shared" si="68"/>
        <v>5000</v>
      </c>
      <c r="Q2938" s="30" t="s">
        <v>2572</v>
      </c>
      <c r="R2938" s="31">
        <v>5000</v>
      </c>
    </row>
    <row r="2939" s="1" customFormat="1" ht="16.35" hidden="1" customHeight="1" spans="1:18">
      <c r="A2939" s="6"/>
      <c r="B2939" s="6" t="s">
        <v>4123</v>
      </c>
      <c r="C2939" s="6" t="s">
        <v>4253</v>
      </c>
      <c r="D2939" s="7">
        <v>4</v>
      </c>
      <c r="E2939" s="6" t="s">
        <v>6633</v>
      </c>
      <c r="F2939" s="6" t="s">
        <v>5631</v>
      </c>
      <c r="G2939" s="6" t="s">
        <v>5632</v>
      </c>
      <c r="H2939" s="8"/>
      <c r="I2939" s="8">
        <v>5000</v>
      </c>
      <c r="J2939" s="6"/>
      <c r="K2939" s="6" t="s">
        <v>2572</v>
      </c>
      <c r="L2939" s="6"/>
      <c r="M2939" s="6"/>
      <c r="N2939" s="6" t="s">
        <v>2572</v>
      </c>
      <c r="O2939" s="29">
        <f t="shared" si="68"/>
        <v>5000</v>
      </c>
      <c r="Q2939" s="30" t="s">
        <v>2572</v>
      </c>
      <c r="R2939" s="31">
        <v>5000</v>
      </c>
    </row>
    <row r="2940" s="1" customFormat="1" ht="16.35" hidden="1" customHeight="1" spans="1:18">
      <c r="A2940" s="6"/>
      <c r="B2940" s="6" t="s">
        <v>4123</v>
      </c>
      <c r="C2940" s="6" t="s">
        <v>4253</v>
      </c>
      <c r="D2940" s="7">
        <v>4</v>
      </c>
      <c r="E2940" s="6" t="s">
        <v>6634</v>
      </c>
      <c r="F2940" s="6" t="s">
        <v>5631</v>
      </c>
      <c r="G2940" s="6" t="s">
        <v>5632</v>
      </c>
      <c r="H2940" s="8"/>
      <c r="I2940" s="8">
        <v>5000</v>
      </c>
      <c r="J2940" s="6"/>
      <c r="K2940" s="6" t="s">
        <v>2572</v>
      </c>
      <c r="L2940" s="6"/>
      <c r="M2940" s="6"/>
      <c r="N2940" s="6" t="s">
        <v>2572</v>
      </c>
      <c r="O2940" s="29">
        <f t="shared" si="68"/>
        <v>5000</v>
      </c>
      <c r="Q2940" s="30" t="s">
        <v>2572</v>
      </c>
      <c r="R2940" s="31">
        <v>5000</v>
      </c>
    </row>
    <row r="2941" s="1" customFormat="1" ht="16.35" hidden="1" customHeight="1" spans="1:18">
      <c r="A2941" s="6"/>
      <c r="B2941" s="6" t="s">
        <v>4123</v>
      </c>
      <c r="C2941" s="6" t="s">
        <v>4253</v>
      </c>
      <c r="D2941" s="7">
        <v>4</v>
      </c>
      <c r="E2941" s="6" t="s">
        <v>6635</v>
      </c>
      <c r="F2941" s="6" t="s">
        <v>5631</v>
      </c>
      <c r="G2941" s="6" t="s">
        <v>5632</v>
      </c>
      <c r="H2941" s="8"/>
      <c r="I2941" s="8">
        <v>5000</v>
      </c>
      <c r="J2941" s="6"/>
      <c r="K2941" s="6" t="s">
        <v>2572</v>
      </c>
      <c r="L2941" s="6"/>
      <c r="M2941" s="6"/>
      <c r="N2941" s="6" t="s">
        <v>2572</v>
      </c>
      <c r="O2941" s="29">
        <f t="shared" si="68"/>
        <v>5000</v>
      </c>
      <c r="Q2941" s="30" t="s">
        <v>2572</v>
      </c>
      <c r="R2941" s="31">
        <v>5000</v>
      </c>
    </row>
    <row r="2942" s="1" customFormat="1" ht="16.35" hidden="1" customHeight="1" spans="1:18">
      <c r="A2942" s="6"/>
      <c r="B2942" s="6" t="s">
        <v>4123</v>
      </c>
      <c r="C2942" s="6" t="s">
        <v>4253</v>
      </c>
      <c r="D2942" s="7">
        <v>4</v>
      </c>
      <c r="E2942" s="6" t="s">
        <v>6636</v>
      </c>
      <c r="F2942" s="6" t="s">
        <v>5631</v>
      </c>
      <c r="G2942" s="6" t="s">
        <v>5632</v>
      </c>
      <c r="H2942" s="8"/>
      <c r="I2942" s="8">
        <v>-5000</v>
      </c>
      <c r="J2942" s="6"/>
      <c r="K2942" s="6" t="s">
        <v>2572</v>
      </c>
      <c r="L2942" s="6"/>
      <c r="M2942" s="6"/>
      <c r="N2942" s="6" t="s">
        <v>2572</v>
      </c>
      <c r="O2942" s="29">
        <f t="shared" si="68"/>
        <v>-5000</v>
      </c>
      <c r="Q2942" s="30" t="s">
        <v>2572</v>
      </c>
      <c r="R2942" s="31">
        <v>-5000</v>
      </c>
    </row>
    <row r="2943" s="1" customFormat="1" ht="16.35" hidden="1" customHeight="1" spans="1:18">
      <c r="A2943" s="6"/>
      <c r="B2943" s="6" t="s">
        <v>4123</v>
      </c>
      <c r="C2943" s="6" t="s">
        <v>4253</v>
      </c>
      <c r="D2943" s="7">
        <v>129</v>
      </c>
      <c r="E2943" s="6" t="s">
        <v>6637</v>
      </c>
      <c r="F2943" s="6" t="s">
        <v>5631</v>
      </c>
      <c r="G2943" s="6" t="s">
        <v>5632</v>
      </c>
      <c r="H2943" s="8">
        <v>367540</v>
      </c>
      <c r="I2943" s="8"/>
      <c r="J2943" s="6"/>
      <c r="K2943" s="6" t="s">
        <v>2873</v>
      </c>
      <c r="L2943" s="6"/>
      <c r="M2943" s="6"/>
      <c r="N2943" s="6" t="s">
        <v>2873</v>
      </c>
      <c r="O2943" s="29">
        <f t="shared" si="68"/>
        <v>0</v>
      </c>
      <c r="Q2943" s="30" t="s">
        <v>2873</v>
      </c>
      <c r="R2943" s="31">
        <v>0</v>
      </c>
    </row>
    <row r="2944" s="1" customFormat="1" ht="16.35" hidden="1" customHeight="1" spans="1:18">
      <c r="A2944" s="6"/>
      <c r="B2944" s="6" t="s">
        <v>4123</v>
      </c>
      <c r="C2944" s="6" t="s">
        <v>4253</v>
      </c>
      <c r="D2944" s="7">
        <v>138</v>
      </c>
      <c r="E2944" s="6" t="s">
        <v>6638</v>
      </c>
      <c r="F2944" s="6" t="s">
        <v>5631</v>
      </c>
      <c r="G2944" s="6" t="s">
        <v>5632</v>
      </c>
      <c r="H2944" s="8">
        <v>153844</v>
      </c>
      <c r="I2944" s="8"/>
      <c r="J2944" s="6"/>
      <c r="K2944" s="6" t="s">
        <v>285</v>
      </c>
      <c r="L2944" s="6"/>
      <c r="M2944" s="6"/>
      <c r="N2944" s="6" t="s">
        <v>285</v>
      </c>
      <c r="O2944" s="29">
        <f t="shared" si="68"/>
        <v>0</v>
      </c>
      <c r="Q2944" s="30" t="s">
        <v>285</v>
      </c>
      <c r="R2944" s="31">
        <v>0</v>
      </c>
    </row>
    <row r="2945" s="1" customFormat="1" ht="16.35" hidden="1" customHeight="1" spans="1:18">
      <c r="A2945" s="6"/>
      <c r="B2945" s="6" t="s">
        <v>4123</v>
      </c>
      <c r="C2945" s="6" t="s">
        <v>4253</v>
      </c>
      <c r="D2945" s="7">
        <v>140</v>
      </c>
      <c r="E2945" s="6" t="s">
        <v>6639</v>
      </c>
      <c r="F2945" s="6" t="s">
        <v>5631</v>
      </c>
      <c r="G2945" s="6" t="s">
        <v>5632</v>
      </c>
      <c r="H2945" s="8">
        <v>16000</v>
      </c>
      <c r="I2945" s="8"/>
      <c r="J2945" s="6"/>
      <c r="K2945" s="6" t="s">
        <v>748</v>
      </c>
      <c r="L2945" s="6"/>
      <c r="M2945" s="6"/>
      <c r="N2945" s="6" t="s">
        <v>748</v>
      </c>
      <c r="O2945" s="29">
        <f t="shared" si="68"/>
        <v>0</v>
      </c>
      <c r="Q2945" s="30" t="s">
        <v>748</v>
      </c>
      <c r="R2945" s="31">
        <v>0</v>
      </c>
    </row>
    <row r="2946" s="1" customFormat="1" ht="16.35" hidden="1" customHeight="1" spans="1:18">
      <c r="A2946" s="6"/>
      <c r="B2946" s="6" t="s">
        <v>4123</v>
      </c>
      <c r="C2946" s="6" t="s">
        <v>4253</v>
      </c>
      <c r="D2946" s="7">
        <v>140</v>
      </c>
      <c r="E2946" s="6" t="s">
        <v>6640</v>
      </c>
      <c r="F2946" s="6" t="s">
        <v>5631</v>
      </c>
      <c r="G2946" s="6" t="s">
        <v>5632</v>
      </c>
      <c r="H2946" s="8">
        <v>5000</v>
      </c>
      <c r="I2946" s="8"/>
      <c r="J2946" s="6"/>
      <c r="K2946" s="6" t="s">
        <v>748</v>
      </c>
      <c r="L2946" s="6"/>
      <c r="M2946" s="6"/>
      <c r="N2946" s="6" t="s">
        <v>748</v>
      </c>
      <c r="O2946" s="29">
        <f t="shared" si="68"/>
        <v>0</v>
      </c>
      <c r="Q2946" s="30" t="s">
        <v>748</v>
      </c>
      <c r="R2946" s="31">
        <v>0</v>
      </c>
    </row>
    <row r="2947" s="1" customFormat="1" ht="16.35" hidden="1" customHeight="1" spans="1:18">
      <c r="A2947" s="6"/>
      <c r="B2947" s="6" t="s">
        <v>4123</v>
      </c>
      <c r="C2947" s="6" t="s">
        <v>4253</v>
      </c>
      <c r="D2947" s="7">
        <v>4</v>
      </c>
      <c r="E2947" s="6" t="s">
        <v>6641</v>
      </c>
      <c r="F2947" s="6" t="s">
        <v>5631</v>
      </c>
      <c r="G2947" s="6" t="s">
        <v>5632</v>
      </c>
      <c r="H2947" s="8"/>
      <c r="I2947" s="8">
        <v>10000</v>
      </c>
      <c r="J2947" s="6"/>
      <c r="K2947" s="6" t="s">
        <v>2408</v>
      </c>
      <c r="L2947" s="6"/>
      <c r="M2947" s="6"/>
      <c r="N2947" s="6" t="s">
        <v>2408</v>
      </c>
      <c r="O2947" s="29">
        <f t="shared" ref="O2947:O2978" si="69">I2947</f>
        <v>10000</v>
      </c>
      <c r="Q2947" s="30" t="s">
        <v>2408</v>
      </c>
      <c r="R2947" s="31">
        <v>10000</v>
      </c>
    </row>
    <row r="2948" s="1" customFormat="1" ht="16.35" hidden="1" customHeight="1" spans="1:18">
      <c r="A2948" s="6"/>
      <c r="B2948" s="6" t="s">
        <v>4123</v>
      </c>
      <c r="C2948" s="6" t="s">
        <v>4253</v>
      </c>
      <c r="D2948" s="7">
        <v>4</v>
      </c>
      <c r="E2948" s="6" t="s">
        <v>6642</v>
      </c>
      <c r="F2948" s="6" t="s">
        <v>5631</v>
      </c>
      <c r="G2948" s="6" t="s">
        <v>5632</v>
      </c>
      <c r="H2948" s="8"/>
      <c r="I2948" s="8">
        <v>10000</v>
      </c>
      <c r="J2948" s="6"/>
      <c r="K2948" s="6" t="s">
        <v>2408</v>
      </c>
      <c r="L2948" s="6"/>
      <c r="M2948" s="6"/>
      <c r="N2948" s="6" t="s">
        <v>2408</v>
      </c>
      <c r="O2948" s="29">
        <f t="shared" si="69"/>
        <v>10000</v>
      </c>
      <c r="Q2948" s="30" t="s">
        <v>2408</v>
      </c>
      <c r="R2948" s="31">
        <v>10000</v>
      </c>
    </row>
    <row r="2949" s="1" customFormat="1" ht="16.35" hidden="1" customHeight="1" spans="1:18">
      <c r="A2949" s="6"/>
      <c r="B2949" s="6" t="s">
        <v>4123</v>
      </c>
      <c r="C2949" s="6" t="s">
        <v>4253</v>
      </c>
      <c r="D2949" s="7">
        <v>4</v>
      </c>
      <c r="E2949" s="6" t="s">
        <v>6527</v>
      </c>
      <c r="F2949" s="6" t="s">
        <v>5631</v>
      </c>
      <c r="G2949" s="6" t="s">
        <v>5632</v>
      </c>
      <c r="H2949" s="8"/>
      <c r="I2949" s="8">
        <v>-10000</v>
      </c>
      <c r="J2949" s="6"/>
      <c r="K2949" s="6" t="s">
        <v>2408</v>
      </c>
      <c r="L2949" s="6"/>
      <c r="M2949" s="6"/>
      <c r="N2949" s="6" t="s">
        <v>2408</v>
      </c>
      <c r="O2949" s="29">
        <f t="shared" si="69"/>
        <v>-10000</v>
      </c>
      <c r="Q2949" s="30" t="s">
        <v>2408</v>
      </c>
      <c r="R2949" s="31">
        <v>-10000</v>
      </c>
    </row>
    <row r="2950" s="1" customFormat="1" ht="16.35" hidden="1" customHeight="1" spans="1:18">
      <c r="A2950" s="6"/>
      <c r="B2950" s="6" t="s">
        <v>4123</v>
      </c>
      <c r="C2950" s="6" t="s">
        <v>4253</v>
      </c>
      <c r="D2950" s="7">
        <v>97</v>
      </c>
      <c r="E2950" s="6" t="s">
        <v>6643</v>
      </c>
      <c r="F2950" s="6" t="s">
        <v>5631</v>
      </c>
      <c r="G2950" s="6" t="s">
        <v>5632</v>
      </c>
      <c r="H2950" s="8"/>
      <c r="I2950" s="8">
        <v>150000</v>
      </c>
      <c r="J2950" s="6"/>
      <c r="K2950" s="6" t="s">
        <v>2394</v>
      </c>
      <c r="L2950" s="6"/>
      <c r="M2950" s="6"/>
      <c r="N2950" s="6" t="s">
        <v>2394</v>
      </c>
      <c r="O2950" s="29">
        <f t="shared" si="69"/>
        <v>150000</v>
      </c>
      <c r="Q2950" s="30" t="s">
        <v>2394</v>
      </c>
      <c r="R2950" s="31">
        <v>150000</v>
      </c>
    </row>
    <row r="2951" s="1" customFormat="1" ht="16.35" hidden="1" customHeight="1" spans="1:18">
      <c r="A2951" s="6"/>
      <c r="B2951" s="6" t="s">
        <v>4123</v>
      </c>
      <c r="C2951" s="6" t="s">
        <v>4253</v>
      </c>
      <c r="D2951" s="7">
        <v>4</v>
      </c>
      <c r="E2951" s="6" t="s">
        <v>6644</v>
      </c>
      <c r="F2951" s="6" t="s">
        <v>5631</v>
      </c>
      <c r="G2951" s="6" t="s">
        <v>5632</v>
      </c>
      <c r="H2951" s="8"/>
      <c r="I2951" s="8">
        <v>10000</v>
      </c>
      <c r="J2951" s="6"/>
      <c r="K2951" s="6" t="s">
        <v>2394</v>
      </c>
      <c r="L2951" s="6"/>
      <c r="M2951" s="6"/>
      <c r="N2951" s="6" t="s">
        <v>2394</v>
      </c>
      <c r="O2951" s="29">
        <f t="shared" si="69"/>
        <v>10000</v>
      </c>
      <c r="Q2951" s="30" t="s">
        <v>2394</v>
      </c>
      <c r="R2951" s="31">
        <v>10000</v>
      </c>
    </row>
    <row r="2952" s="1" customFormat="1" ht="16.35" hidden="1" customHeight="1" spans="1:18">
      <c r="A2952" s="6"/>
      <c r="B2952" s="6" t="s">
        <v>4123</v>
      </c>
      <c r="C2952" s="6" t="s">
        <v>4253</v>
      </c>
      <c r="D2952" s="7">
        <v>4</v>
      </c>
      <c r="E2952" s="6" t="s">
        <v>6645</v>
      </c>
      <c r="F2952" s="6" t="s">
        <v>5631</v>
      </c>
      <c r="G2952" s="6" t="s">
        <v>5632</v>
      </c>
      <c r="H2952" s="8"/>
      <c r="I2952" s="8">
        <v>10000</v>
      </c>
      <c r="J2952" s="6"/>
      <c r="K2952" s="6" t="s">
        <v>2394</v>
      </c>
      <c r="L2952" s="6"/>
      <c r="M2952" s="6"/>
      <c r="N2952" s="6" t="s">
        <v>2394</v>
      </c>
      <c r="O2952" s="29">
        <f t="shared" si="69"/>
        <v>10000</v>
      </c>
      <c r="Q2952" s="30" t="s">
        <v>2394</v>
      </c>
      <c r="R2952" s="31">
        <v>10000</v>
      </c>
    </row>
    <row r="2953" s="1" customFormat="1" ht="16.35" hidden="1" customHeight="1" spans="1:18">
      <c r="A2953" s="6"/>
      <c r="B2953" s="6" t="s">
        <v>4123</v>
      </c>
      <c r="C2953" s="6" t="s">
        <v>4253</v>
      </c>
      <c r="D2953" s="7">
        <v>4</v>
      </c>
      <c r="E2953" s="6" t="s">
        <v>6541</v>
      </c>
      <c r="F2953" s="6" t="s">
        <v>5631</v>
      </c>
      <c r="G2953" s="6" t="s">
        <v>5632</v>
      </c>
      <c r="H2953" s="8"/>
      <c r="I2953" s="8">
        <v>-10000</v>
      </c>
      <c r="J2953" s="6"/>
      <c r="K2953" s="6" t="s">
        <v>2394</v>
      </c>
      <c r="L2953" s="6"/>
      <c r="M2953" s="6"/>
      <c r="N2953" s="6" t="s">
        <v>2394</v>
      </c>
      <c r="O2953" s="29">
        <f t="shared" si="69"/>
        <v>-10000</v>
      </c>
      <c r="Q2953" s="30" t="s">
        <v>2394</v>
      </c>
      <c r="R2953" s="31">
        <v>-10000</v>
      </c>
    </row>
    <row r="2954" s="1" customFormat="1" ht="16.35" hidden="1" customHeight="1" spans="1:18">
      <c r="A2954" s="6"/>
      <c r="B2954" s="6" t="s">
        <v>4123</v>
      </c>
      <c r="C2954" s="6" t="s">
        <v>4253</v>
      </c>
      <c r="D2954" s="7">
        <v>4</v>
      </c>
      <c r="E2954" s="6" t="s">
        <v>6646</v>
      </c>
      <c r="F2954" s="6" t="s">
        <v>5631</v>
      </c>
      <c r="G2954" s="6" t="s">
        <v>5632</v>
      </c>
      <c r="H2954" s="8"/>
      <c r="I2954" s="8">
        <v>5000</v>
      </c>
      <c r="J2954" s="6"/>
      <c r="K2954" s="6" t="s">
        <v>2386</v>
      </c>
      <c r="L2954" s="6"/>
      <c r="M2954" s="6"/>
      <c r="N2954" s="6" t="s">
        <v>2386</v>
      </c>
      <c r="O2954" s="29">
        <f t="shared" si="69"/>
        <v>5000</v>
      </c>
      <c r="Q2954" s="30" t="s">
        <v>2386</v>
      </c>
      <c r="R2954" s="31">
        <v>5000</v>
      </c>
    </row>
    <row r="2955" s="1" customFormat="1" ht="16.35" hidden="1" customHeight="1" spans="1:18">
      <c r="A2955" s="6"/>
      <c r="B2955" s="6" t="s">
        <v>4123</v>
      </c>
      <c r="C2955" s="6" t="s">
        <v>4253</v>
      </c>
      <c r="D2955" s="7">
        <v>4</v>
      </c>
      <c r="E2955" s="6" t="s">
        <v>6647</v>
      </c>
      <c r="F2955" s="6" t="s">
        <v>5631</v>
      </c>
      <c r="G2955" s="6" t="s">
        <v>5632</v>
      </c>
      <c r="H2955" s="8"/>
      <c r="I2955" s="8">
        <v>5000</v>
      </c>
      <c r="J2955" s="6"/>
      <c r="K2955" s="6" t="s">
        <v>2386</v>
      </c>
      <c r="L2955" s="6"/>
      <c r="M2955" s="6"/>
      <c r="N2955" s="6" t="s">
        <v>2386</v>
      </c>
      <c r="O2955" s="29">
        <f t="shared" si="69"/>
        <v>5000</v>
      </c>
      <c r="Q2955" s="30" t="s">
        <v>2386</v>
      </c>
      <c r="R2955" s="31">
        <v>5000</v>
      </c>
    </row>
    <row r="2956" s="1" customFormat="1" ht="16.35" hidden="1" customHeight="1" spans="1:18">
      <c r="A2956" s="6"/>
      <c r="B2956" s="6" t="s">
        <v>4123</v>
      </c>
      <c r="C2956" s="6" t="s">
        <v>4253</v>
      </c>
      <c r="D2956" s="7">
        <v>4</v>
      </c>
      <c r="E2956" s="6" t="s">
        <v>6648</v>
      </c>
      <c r="F2956" s="6" t="s">
        <v>5631</v>
      </c>
      <c r="G2956" s="6" t="s">
        <v>5632</v>
      </c>
      <c r="H2956" s="8"/>
      <c r="I2956" s="8">
        <v>10000</v>
      </c>
      <c r="J2956" s="6"/>
      <c r="K2956" s="6" t="s">
        <v>2386</v>
      </c>
      <c r="L2956" s="6"/>
      <c r="M2956" s="6"/>
      <c r="N2956" s="6" t="s">
        <v>2386</v>
      </c>
      <c r="O2956" s="29">
        <f t="shared" si="69"/>
        <v>10000</v>
      </c>
      <c r="Q2956" s="30" t="s">
        <v>2386</v>
      </c>
      <c r="R2956" s="31">
        <v>10000</v>
      </c>
    </row>
    <row r="2957" s="1" customFormat="1" ht="16.35" hidden="1" customHeight="1" spans="1:18">
      <c r="A2957" s="6"/>
      <c r="B2957" s="6" t="s">
        <v>4123</v>
      </c>
      <c r="C2957" s="6" t="s">
        <v>4253</v>
      </c>
      <c r="D2957" s="7">
        <v>4</v>
      </c>
      <c r="E2957" s="6" t="s">
        <v>6649</v>
      </c>
      <c r="F2957" s="6" t="s">
        <v>5631</v>
      </c>
      <c r="G2957" s="6" t="s">
        <v>5632</v>
      </c>
      <c r="H2957" s="8"/>
      <c r="I2957" s="8">
        <v>10000</v>
      </c>
      <c r="J2957" s="6"/>
      <c r="K2957" s="6" t="s">
        <v>2386</v>
      </c>
      <c r="L2957" s="6"/>
      <c r="M2957" s="6"/>
      <c r="N2957" s="6" t="s">
        <v>2386</v>
      </c>
      <c r="O2957" s="29">
        <f t="shared" si="69"/>
        <v>10000</v>
      </c>
      <c r="Q2957" s="30" t="s">
        <v>2386</v>
      </c>
      <c r="R2957" s="31">
        <v>10000</v>
      </c>
    </row>
    <row r="2958" s="1" customFormat="1" ht="16.35" hidden="1" customHeight="1" spans="1:18">
      <c r="A2958" s="6"/>
      <c r="B2958" s="6" t="s">
        <v>4123</v>
      </c>
      <c r="C2958" s="6" t="s">
        <v>4253</v>
      </c>
      <c r="D2958" s="7">
        <v>4</v>
      </c>
      <c r="E2958" s="6" t="s">
        <v>6650</v>
      </c>
      <c r="F2958" s="6" t="s">
        <v>5631</v>
      </c>
      <c r="G2958" s="6" t="s">
        <v>5632</v>
      </c>
      <c r="H2958" s="8"/>
      <c r="I2958" s="8">
        <v>5000</v>
      </c>
      <c r="J2958" s="6"/>
      <c r="K2958" s="6" t="s">
        <v>2386</v>
      </c>
      <c r="L2958" s="6"/>
      <c r="M2958" s="6"/>
      <c r="N2958" s="6" t="s">
        <v>2386</v>
      </c>
      <c r="O2958" s="29">
        <f t="shared" si="69"/>
        <v>5000</v>
      </c>
      <c r="Q2958" s="30" t="s">
        <v>2386</v>
      </c>
      <c r="R2958" s="31">
        <v>5000</v>
      </c>
    </row>
    <row r="2959" s="1" customFormat="1" ht="16.35" hidden="1" customHeight="1" spans="1:18">
      <c r="A2959" s="6"/>
      <c r="B2959" s="6" t="s">
        <v>4123</v>
      </c>
      <c r="C2959" s="6" t="s">
        <v>4253</v>
      </c>
      <c r="D2959" s="7">
        <v>130</v>
      </c>
      <c r="E2959" s="6" t="s">
        <v>6651</v>
      </c>
      <c r="F2959" s="6" t="s">
        <v>5631</v>
      </c>
      <c r="G2959" s="6" t="s">
        <v>5632</v>
      </c>
      <c r="H2959" s="8">
        <v>246396</v>
      </c>
      <c r="I2959" s="8"/>
      <c r="J2959" s="6"/>
      <c r="K2959" s="6" t="s">
        <v>2386</v>
      </c>
      <c r="L2959" s="6"/>
      <c r="M2959" s="6"/>
      <c r="N2959" s="6" t="s">
        <v>2386</v>
      </c>
      <c r="O2959" s="29">
        <f t="shared" si="69"/>
        <v>0</v>
      </c>
      <c r="Q2959" s="30" t="s">
        <v>2386</v>
      </c>
      <c r="R2959" s="31">
        <v>0</v>
      </c>
    </row>
    <row r="2960" s="1" customFormat="1" ht="16.35" hidden="1" customHeight="1" spans="1:18">
      <c r="A2960" s="6"/>
      <c r="B2960" s="6" t="s">
        <v>4123</v>
      </c>
      <c r="C2960" s="6" t="s">
        <v>4253</v>
      </c>
      <c r="D2960" s="7">
        <v>87</v>
      </c>
      <c r="E2960" s="6" t="s">
        <v>6652</v>
      </c>
      <c r="F2960" s="6" t="s">
        <v>5631</v>
      </c>
      <c r="G2960" s="6" t="s">
        <v>5632</v>
      </c>
      <c r="H2960" s="8"/>
      <c r="I2960" s="8">
        <v>94975</v>
      </c>
      <c r="J2960" s="6"/>
      <c r="K2960" s="6" t="s">
        <v>2400</v>
      </c>
      <c r="L2960" s="6"/>
      <c r="M2960" s="6"/>
      <c r="N2960" s="6" t="s">
        <v>2400</v>
      </c>
      <c r="O2960" s="29">
        <f t="shared" si="69"/>
        <v>94975</v>
      </c>
      <c r="Q2960" s="30" t="s">
        <v>2400</v>
      </c>
      <c r="R2960" s="31">
        <v>94975</v>
      </c>
    </row>
    <row r="2961" s="1" customFormat="1" ht="16.35" hidden="1" customHeight="1" spans="1:18">
      <c r="A2961" s="6"/>
      <c r="B2961" s="6" t="s">
        <v>4123</v>
      </c>
      <c r="C2961" s="6" t="s">
        <v>4253</v>
      </c>
      <c r="D2961" s="7">
        <v>4</v>
      </c>
      <c r="E2961" s="6" t="s">
        <v>6653</v>
      </c>
      <c r="F2961" s="6" t="s">
        <v>5631</v>
      </c>
      <c r="G2961" s="6" t="s">
        <v>5632</v>
      </c>
      <c r="H2961" s="8"/>
      <c r="I2961" s="8">
        <v>17000</v>
      </c>
      <c r="J2961" s="6"/>
      <c r="K2961" s="6" t="s">
        <v>2418</v>
      </c>
      <c r="L2961" s="6"/>
      <c r="M2961" s="6"/>
      <c r="N2961" s="6" t="s">
        <v>2418</v>
      </c>
      <c r="O2961" s="29">
        <f t="shared" si="69"/>
        <v>17000</v>
      </c>
      <c r="Q2961" s="30" t="s">
        <v>2418</v>
      </c>
      <c r="R2961" s="31">
        <v>17000</v>
      </c>
    </row>
    <row r="2962" s="1" customFormat="1" ht="16.35" hidden="1" customHeight="1" spans="1:18">
      <c r="A2962" s="6"/>
      <c r="B2962" s="6" t="s">
        <v>4123</v>
      </c>
      <c r="C2962" s="6" t="s">
        <v>4253</v>
      </c>
      <c r="D2962" s="7">
        <v>4</v>
      </c>
      <c r="E2962" s="6" t="s">
        <v>6654</v>
      </c>
      <c r="F2962" s="6" t="s">
        <v>5631</v>
      </c>
      <c r="G2962" s="6" t="s">
        <v>5632</v>
      </c>
      <c r="H2962" s="8"/>
      <c r="I2962" s="8">
        <v>3000</v>
      </c>
      <c r="J2962" s="6"/>
      <c r="K2962" s="6" t="s">
        <v>2418</v>
      </c>
      <c r="L2962" s="6"/>
      <c r="M2962" s="6"/>
      <c r="N2962" s="6" t="s">
        <v>2418</v>
      </c>
      <c r="O2962" s="29">
        <f t="shared" si="69"/>
        <v>3000</v>
      </c>
      <c r="Q2962" s="30" t="s">
        <v>2418</v>
      </c>
      <c r="R2962" s="31">
        <v>3000</v>
      </c>
    </row>
    <row r="2963" s="1" customFormat="1" ht="16.35" hidden="1" customHeight="1" spans="1:18">
      <c r="A2963" s="6"/>
      <c r="B2963" s="6" t="s">
        <v>4123</v>
      </c>
      <c r="C2963" s="6" t="s">
        <v>4253</v>
      </c>
      <c r="D2963" s="7">
        <v>4</v>
      </c>
      <c r="E2963" s="6" t="s">
        <v>6541</v>
      </c>
      <c r="F2963" s="6" t="s">
        <v>5631</v>
      </c>
      <c r="G2963" s="6" t="s">
        <v>5632</v>
      </c>
      <c r="H2963" s="8"/>
      <c r="I2963" s="8">
        <v>-20000</v>
      </c>
      <c r="J2963" s="6"/>
      <c r="K2963" s="6" t="s">
        <v>2418</v>
      </c>
      <c r="L2963" s="6"/>
      <c r="M2963" s="6"/>
      <c r="N2963" s="6" t="s">
        <v>2418</v>
      </c>
      <c r="O2963" s="29">
        <f t="shared" si="69"/>
        <v>-20000</v>
      </c>
      <c r="Q2963" s="30" t="s">
        <v>2418</v>
      </c>
      <c r="R2963" s="31">
        <v>-20000</v>
      </c>
    </row>
    <row r="2964" s="1" customFormat="1" ht="16.35" hidden="1" customHeight="1" spans="1:18">
      <c r="A2964" s="6"/>
      <c r="B2964" s="6" t="s">
        <v>4123</v>
      </c>
      <c r="C2964" s="6" t="s">
        <v>4253</v>
      </c>
      <c r="D2964" s="7">
        <v>4</v>
      </c>
      <c r="E2964" s="6" t="s">
        <v>6655</v>
      </c>
      <c r="F2964" s="6" t="s">
        <v>5631</v>
      </c>
      <c r="G2964" s="6" t="s">
        <v>5632</v>
      </c>
      <c r="H2964" s="8"/>
      <c r="I2964" s="8">
        <v>10000</v>
      </c>
      <c r="J2964" s="6"/>
      <c r="K2964" s="6" t="s">
        <v>2378</v>
      </c>
      <c r="L2964" s="6"/>
      <c r="M2964" s="6"/>
      <c r="N2964" s="6" t="s">
        <v>2378</v>
      </c>
      <c r="O2964" s="29">
        <f t="shared" si="69"/>
        <v>10000</v>
      </c>
      <c r="Q2964" s="30" t="s">
        <v>2378</v>
      </c>
      <c r="R2964" s="31">
        <v>10000</v>
      </c>
    </row>
    <row r="2965" s="1" customFormat="1" ht="16.35" hidden="1" customHeight="1" spans="1:18">
      <c r="A2965" s="6"/>
      <c r="B2965" s="6" t="s">
        <v>4123</v>
      </c>
      <c r="C2965" s="6" t="s">
        <v>4253</v>
      </c>
      <c r="D2965" s="7">
        <v>4</v>
      </c>
      <c r="E2965" s="6" t="s">
        <v>6527</v>
      </c>
      <c r="F2965" s="6" t="s">
        <v>5631</v>
      </c>
      <c r="G2965" s="6" t="s">
        <v>5632</v>
      </c>
      <c r="H2965" s="8"/>
      <c r="I2965" s="8">
        <v>-10000</v>
      </c>
      <c r="J2965" s="6"/>
      <c r="K2965" s="6" t="s">
        <v>2378</v>
      </c>
      <c r="L2965" s="6"/>
      <c r="M2965" s="6"/>
      <c r="N2965" s="6" t="s">
        <v>2378</v>
      </c>
      <c r="O2965" s="29">
        <f t="shared" si="69"/>
        <v>-10000</v>
      </c>
      <c r="Q2965" s="30" t="s">
        <v>2378</v>
      </c>
      <c r="R2965" s="31">
        <v>-10000</v>
      </c>
    </row>
    <row r="2966" s="1" customFormat="1" ht="16.35" hidden="1" customHeight="1" spans="1:18">
      <c r="A2966" s="6"/>
      <c r="B2966" s="6" t="s">
        <v>4123</v>
      </c>
      <c r="C2966" s="6" t="s">
        <v>4253</v>
      </c>
      <c r="D2966" s="7">
        <v>91</v>
      </c>
      <c r="E2966" s="6" t="s">
        <v>6656</v>
      </c>
      <c r="F2966" s="6" t="s">
        <v>5631</v>
      </c>
      <c r="G2966" s="6" t="s">
        <v>5632</v>
      </c>
      <c r="H2966" s="8"/>
      <c r="I2966" s="8">
        <v>20000</v>
      </c>
      <c r="J2966" s="6"/>
      <c r="K2966" s="6" t="s">
        <v>2420</v>
      </c>
      <c r="L2966" s="6"/>
      <c r="M2966" s="6"/>
      <c r="N2966" s="6" t="s">
        <v>2420</v>
      </c>
      <c r="O2966" s="29">
        <f t="shared" si="69"/>
        <v>20000</v>
      </c>
      <c r="Q2966" s="30" t="s">
        <v>2420</v>
      </c>
      <c r="R2966" s="31">
        <v>20000</v>
      </c>
    </row>
    <row r="2967" s="1" customFormat="1" ht="16.35" hidden="1" customHeight="1" spans="1:18">
      <c r="A2967" s="6"/>
      <c r="B2967" s="6" t="s">
        <v>4123</v>
      </c>
      <c r="C2967" s="6" t="s">
        <v>4253</v>
      </c>
      <c r="D2967" s="7">
        <v>4</v>
      </c>
      <c r="E2967" s="6" t="s">
        <v>6657</v>
      </c>
      <c r="F2967" s="6" t="s">
        <v>5631</v>
      </c>
      <c r="G2967" s="6" t="s">
        <v>5632</v>
      </c>
      <c r="H2967" s="8"/>
      <c r="I2967" s="8">
        <v>10000</v>
      </c>
      <c r="J2967" s="6"/>
      <c r="K2967" s="6" t="s">
        <v>2420</v>
      </c>
      <c r="L2967" s="6"/>
      <c r="M2967" s="6"/>
      <c r="N2967" s="6" t="s">
        <v>2420</v>
      </c>
      <c r="O2967" s="29">
        <f t="shared" si="69"/>
        <v>10000</v>
      </c>
      <c r="Q2967" s="30" t="s">
        <v>2420</v>
      </c>
      <c r="R2967" s="31">
        <v>10000</v>
      </c>
    </row>
    <row r="2968" s="1" customFormat="1" ht="16.35" hidden="1" customHeight="1" spans="1:18">
      <c r="A2968" s="6"/>
      <c r="B2968" s="6" t="s">
        <v>4123</v>
      </c>
      <c r="C2968" s="6" t="s">
        <v>4253</v>
      </c>
      <c r="D2968" s="7">
        <v>4</v>
      </c>
      <c r="E2968" s="6" t="s">
        <v>6527</v>
      </c>
      <c r="F2968" s="6" t="s">
        <v>5631</v>
      </c>
      <c r="G2968" s="6" t="s">
        <v>5632</v>
      </c>
      <c r="H2968" s="8"/>
      <c r="I2968" s="8">
        <v>-10000</v>
      </c>
      <c r="J2968" s="6"/>
      <c r="K2968" s="6" t="s">
        <v>2420</v>
      </c>
      <c r="L2968" s="6"/>
      <c r="M2968" s="6"/>
      <c r="N2968" s="6" t="s">
        <v>2420</v>
      </c>
      <c r="O2968" s="29">
        <f t="shared" si="69"/>
        <v>-10000</v>
      </c>
      <c r="Q2968" s="30" t="s">
        <v>2420</v>
      </c>
      <c r="R2968" s="31">
        <v>-10000</v>
      </c>
    </row>
    <row r="2969" s="1" customFormat="1" ht="16.35" hidden="1" customHeight="1" spans="1:18">
      <c r="A2969" s="6"/>
      <c r="B2969" s="6" t="s">
        <v>4123</v>
      </c>
      <c r="C2969" s="6" t="s">
        <v>4253</v>
      </c>
      <c r="D2969" s="7">
        <v>4</v>
      </c>
      <c r="E2969" s="6" t="s">
        <v>6658</v>
      </c>
      <c r="F2969" s="6" t="s">
        <v>5631</v>
      </c>
      <c r="G2969" s="6" t="s">
        <v>5632</v>
      </c>
      <c r="H2969" s="8"/>
      <c r="I2969" s="8">
        <v>5000</v>
      </c>
      <c r="J2969" s="6"/>
      <c r="K2969" s="6" t="s">
        <v>2390</v>
      </c>
      <c r="L2969" s="6"/>
      <c r="M2969" s="6"/>
      <c r="N2969" s="6" t="s">
        <v>2390</v>
      </c>
      <c r="O2969" s="29">
        <f t="shared" si="69"/>
        <v>5000</v>
      </c>
      <c r="Q2969" s="30" t="s">
        <v>2390</v>
      </c>
      <c r="R2969" s="31">
        <v>5000</v>
      </c>
    </row>
    <row r="2970" s="1" customFormat="1" ht="16.35" hidden="1" customHeight="1" spans="1:18">
      <c r="A2970" s="6"/>
      <c r="B2970" s="6" t="s">
        <v>4123</v>
      </c>
      <c r="C2970" s="6" t="s">
        <v>4253</v>
      </c>
      <c r="D2970" s="7">
        <v>4</v>
      </c>
      <c r="E2970" s="6" t="s">
        <v>6527</v>
      </c>
      <c r="F2970" s="6" t="s">
        <v>5631</v>
      </c>
      <c r="G2970" s="6" t="s">
        <v>5632</v>
      </c>
      <c r="H2970" s="8"/>
      <c r="I2970" s="8">
        <v>-5000</v>
      </c>
      <c r="J2970" s="6"/>
      <c r="K2970" s="6" t="s">
        <v>2390</v>
      </c>
      <c r="L2970" s="6"/>
      <c r="M2970" s="6"/>
      <c r="N2970" s="6" t="s">
        <v>2390</v>
      </c>
      <c r="O2970" s="29">
        <f t="shared" si="69"/>
        <v>-5000</v>
      </c>
      <c r="Q2970" s="30" t="s">
        <v>2390</v>
      </c>
      <c r="R2970" s="31">
        <v>-5000</v>
      </c>
    </row>
    <row r="2971" s="1" customFormat="1" ht="16.35" hidden="1" customHeight="1" spans="1:18">
      <c r="A2971" s="6"/>
      <c r="B2971" s="6" t="s">
        <v>4123</v>
      </c>
      <c r="C2971" s="6" t="s">
        <v>4253</v>
      </c>
      <c r="D2971" s="7">
        <v>4</v>
      </c>
      <c r="E2971" s="6" t="s">
        <v>6659</v>
      </c>
      <c r="F2971" s="6" t="s">
        <v>5631</v>
      </c>
      <c r="G2971" s="6" t="s">
        <v>5632</v>
      </c>
      <c r="H2971" s="8"/>
      <c r="I2971" s="8">
        <v>10000</v>
      </c>
      <c r="J2971" s="6"/>
      <c r="K2971" s="6" t="s">
        <v>2452</v>
      </c>
      <c r="L2971" s="6"/>
      <c r="M2971" s="6"/>
      <c r="N2971" s="6" t="s">
        <v>2452</v>
      </c>
      <c r="O2971" s="29">
        <f t="shared" si="69"/>
        <v>10000</v>
      </c>
      <c r="Q2971" s="30" t="s">
        <v>2452</v>
      </c>
      <c r="R2971" s="31">
        <v>10000</v>
      </c>
    </row>
    <row r="2972" s="1" customFormat="1" ht="16.35" hidden="1" customHeight="1" spans="1:18">
      <c r="A2972" s="6"/>
      <c r="B2972" s="6" t="s">
        <v>4123</v>
      </c>
      <c r="C2972" s="6" t="s">
        <v>4253</v>
      </c>
      <c r="D2972" s="7">
        <v>20</v>
      </c>
      <c r="E2972" s="6" t="s">
        <v>6660</v>
      </c>
      <c r="F2972" s="6" t="s">
        <v>5631</v>
      </c>
      <c r="G2972" s="6" t="s">
        <v>5632</v>
      </c>
      <c r="H2972" s="8"/>
      <c r="I2972" s="8">
        <v>127000</v>
      </c>
      <c r="J2972" s="6"/>
      <c r="K2972" s="6" t="s">
        <v>2428</v>
      </c>
      <c r="L2972" s="6"/>
      <c r="M2972" s="6"/>
      <c r="N2972" s="6" t="s">
        <v>2428</v>
      </c>
      <c r="O2972" s="29">
        <f t="shared" si="69"/>
        <v>127000</v>
      </c>
      <c r="Q2972" s="30" t="s">
        <v>2428</v>
      </c>
      <c r="R2972" s="31">
        <v>127000</v>
      </c>
    </row>
    <row r="2973" s="1" customFormat="1" ht="16.35" hidden="1" customHeight="1" spans="1:18">
      <c r="A2973" s="6"/>
      <c r="B2973" s="6" t="s">
        <v>4123</v>
      </c>
      <c r="C2973" s="6" t="s">
        <v>4253</v>
      </c>
      <c r="D2973" s="7">
        <v>130</v>
      </c>
      <c r="E2973" s="6" t="s">
        <v>6661</v>
      </c>
      <c r="F2973" s="6" t="s">
        <v>5631</v>
      </c>
      <c r="G2973" s="6" t="s">
        <v>5632</v>
      </c>
      <c r="H2973" s="8">
        <v>275225</v>
      </c>
      <c r="I2973" s="8"/>
      <c r="J2973" s="6"/>
      <c r="K2973" s="6" t="s">
        <v>2428</v>
      </c>
      <c r="L2973" s="6"/>
      <c r="M2973" s="6"/>
      <c r="N2973" s="6" t="s">
        <v>2428</v>
      </c>
      <c r="O2973" s="29">
        <f t="shared" si="69"/>
        <v>0</v>
      </c>
      <c r="Q2973" s="30" t="s">
        <v>2428</v>
      </c>
      <c r="R2973" s="31">
        <v>0</v>
      </c>
    </row>
    <row r="2974" s="1" customFormat="1" ht="16.35" hidden="1" customHeight="1" spans="1:18">
      <c r="A2974" s="6"/>
      <c r="B2974" s="6" t="s">
        <v>4123</v>
      </c>
      <c r="C2974" s="6" t="s">
        <v>4253</v>
      </c>
      <c r="D2974" s="7">
        <v>4</v>
      </c>
      <c r="E2974" s="6" t="s">
        <v>6662</v>
      </c>
      <c r="F2974" s="6" t="s">
        <v>5631</v>
      </c>
      <c r="G2974" s="6" t="s">
        <v>5632</v>
      </c>
      <c r="H2974" s="8"/>
      <c r="I2974" s="8">
        <v>10000</v>
      </c>
      <c r="J2974" s="6"/>
      <c r="K2974" s="6" t="s">
        <v>2474</v>
      </c>
      <c r="L2974" s="6"/>
      <c r="M2974" s="6"/>
      <c r="N2974" s="6" t="s">
        <v>2474</v>
      </c>
      <c r="O2974" s="29">
        <f t="shared" si="69"/>
        <v>10000</v>
      </c>
      <c r="Q2974" s="30" t="s">
        <v>2474</v>
      </c>
      <c r="R2974" s="31">
        <v>10000</v>
      </c>
    </row>
    <row r="2975" s="1" customFormat="1" ht="16.35" hidden="1" customHeight="1" spans="1:18">
      <c r="A2975" s="6"/>
      <c r="B2975" s="6" t="s">
        <v>4123</v>
      </c>
      <c r="C2975" s="6" t="s">
        <v>4253</v>
      </c>
      <c r="D2975" s="7">
        <v>4</v>
      </c>
      <c r="E2975" s="6" t="s">
        <v>6527</v>
      </c>
      <c r="F2975" s="6" t="s">
        <v>5631</v>
      </c>
      <c r="G2975" s="6" t="s">
        <v>5632</v>
      </c>
      <c r="H2975" s="8"/>
      <c r="I2975" s="8">
        <v>-10000</v>
      </c>
      <c r="J2975" s="6"/>
      <c r="K2975" s="6" t="s">
        <v>2474</v>
      </c>
      <c r="L2975" s="6"/>
      <c r="M2975" s="6"/>
      <c r="N2975" s="6" t="s">
        <v>2474</v>
      </c>
      <c r="O2975" s="29">
        <f t="shared" si="69"/>
        <v>-10000</v>
      </c>
      <c r="Q2975" s="30" t="s">
        <v>2474</v>
      </c>
      <c r="R2975" s="31">
        <v>-10000</v>
      </c>
    </row>
    <row r="2976" s="1" customFormat="1" ht="16.35" hidden="1" customHeight="1" spans="1:18">
      <c r="A2976" s="6"/>
      <c r="B2976" s="6" t="s">
        <v>4123</v>
      </c>
      <c r="C2976" s="6" t="s">
        <v>4253</v>
      </c>
      <c r="D2976" s="7">
        <v>4</v>
      </c>
      <c r="E2976" s="6" t="s">
        <v>6663</v>
      </c>
      <c r="F2976" s="6" t="s">
        <v>5631</v>
      </c>
      <c r="G2976" s="6" t="s">
        <v>5632</v>
      </c>
      <c r="H2976" s="8"/>
      <c r="I2976" s="8">
        <v>10000</v>
      </c>
      <c r="J2976" s="6"/>
      <c r="K2976" s="6" t="s">
        <v>2458</v>
      </c>
      <c r="L2976" s="6"/>
      <c r="M2976" s="6"/>
      <c r="N2976" s="6" t="s">
        <v>2458</v>
      </c>
      <c r="O2976" s="29">
        <f t="shared" si="69"/>
        <v>10000</v>
      </c>
      <c r="Q2976" s="30" t="s">
        <v>2458</v>
      </c>
      <c r="R2976" s="31">
        <v>10000</v>
      </c>
    </row>
    <row r="2977" s="1" customFormat="1" ht="16.35" hidden="1" customHeight="1" spans="1:18">
      <c r="A2977" s="6"/>
      <c r="B2977" s="6" t="s">
        <v>4123</v>
      </c>
      <c r="C2977" s="6" t="s">
        <v>4253</v>
      </c>
      <c r="D2977" s="7">
        <v>4</v>
      </c>
      <c r="E2977" s="6" t="s">
        <v>6541</v>
      </c>
      <c r="F2977" s="6" t="s">
        <v>5631</v>
      </c>
      <c r="G2977" s="6" t="s">
        <v>5632</v>
      </c>
      <c r="H2977" s="8"/>
      <c r="I2977" s="8">
        <v>-10000</v>
      </c>
      <c r="J2977" s="6"/>
      <c r="K2977" s="6" t="s">
        <v>2458</v>
      </c>
      <c r="L2977" s="6"/>
      <c r="M2977" s="6"/>
      <c r="N2977" s="6" t="s">
        <v>2458</v>
      </c>
      <c r="O2977" s="29">
        <f t="shared" si="69"/>
        <v>-10000</v>
      </c>
      <c r="Q2977" s="30" t="s">
        <v>2458</v>
      </c>
      <c r="R2977" s="31">
        <v>-10000</v>
      </c>
    </row>
    <row r="2978" s="1" customFormat="1" ht="16.35" hidden="1" customHeight="1" spans="1:18">
      <c r="A2978" s="6"/>
      <c r="B2978" s="6" t="s">
        <v>4123</v>
      </c>
      <c r="C2978" s="6" t="s">
        <v>4253</v>
      </c>
      <c r="D2978" s="7">
        <v>32</v>
      </c>
      <c r="E2978" s="6" t="s">
        <v>6664</v>
      </c>
      <c r="F2978" s="6" t="s">
        <v>5631</v>
      </c>
      <c r="G2978" s="6" t="s">
        <v>5632</v>
      </c>
      <c r="H2978" s="8"/>
      <c r="I2978" s="8">
        <v>9794</v>
      </c>
      <c r="J2978" s="6"/>
      <c r="K2978" s="6" t="s">
        <v>2484</v>
      </c>
      <c r="L2978" s="6"/>
      <c r="M2978" s="6"/>
      <c r="N2978" s="6" t="s">
        <v>2484</v>
      </c>
      <c r="O2978" s="29">
        <f t="shared" si="69"/>
        <v>9794</v>
      </c>
      <c r="Q2978" s="30" t="s">
        <v>2484</v>
      </c>
      <c r="R2978" s="31">
        <v>9794</v>
      </c>
    </row>
    <row r="2979" s="1" customFormat="1" ht="16.35" hidden="1" customHeight="1" spans="1:18">
      <c r="A2979" s="6"/>
      <c r="B2979" s="6" t="s">
        <v>4123</v>
      </c>
      <c r="C2979" s="6" t="s">
        <v>4253</v>
      </c>
      <c r="D2979" s="7">
        <v>87</v>
      </c>
      <c r="E2979" s="6" t="s">
        <v>6665</v>
      </c>
      <c r="F2979" s="6" t="s">
        <v>5631</v>
      </c>
      <c r="G2979" s="6" t="s">
        <v>5632</v>
      </c>
      <c r="H2979" s="8"/>
      <c r="I2979" s="8">
        <v>60000</v>
      </c>
      <c r="J2979" s="6"/>
      <c r="K2979" s="6" t="s">
        <v>2436</v>
      </c>
      <c r="L2979" s="6"/>
      <c r="M2979" s="6"/>
      <c r="N2979" s="6" t="s">
        <v>2436</v>
      </c>
      <c r="O2979" s="29">
        <f t="shared" ref="O2979:O3010" si="70">I2979</f>
        <v>60000</v>
      </c>
      <c r="Q2979" s="30" t="s">
        <v>2436</v>
      </c>
      <c r="R2979" s="31">
        <v>60000</v>
      </c>
    </row>
    <row r="2980" s="1" customFormat="1" ht="16.35" hidden="1" customHeight="1" spans="1:18">
      <c r="A2980" s="6"/>
      <c r="B2980" s="6" t="s">
        <v>4123</v>
      </c>
      <c r="C2980" s="6" t="s">
        <v>4253</v>
      </c>
      <c r="D2980" s="7">
        <v>4</v>
      </c>
      <c r="E2980" s="6" t="s">
        <v>6666</v>
      </c>
      <c r="F2980" s="6" t="s">
        <v>5631</v>
      </c>
      <c r="G2980" s="6" t="s">
        <v>5632</v>
      </c>
      <c r="H2980" s="8"/>
      <c r="I2980" s="8">
        <v>10000</v>
      </c>
      <c r="J2980" s="6"/>
      <c r="K2980" s="6" t="s">
        <v>2436</v>
      </c>
      <c r="L2980" s="6"/>
      <c r="M2980" s="6"/>
      <c r="N2980" s="6" t="s">
        <v>2436</v>
      </c>
      <c r="O2980" s="29">
        <f t="shared" si="70"/>
        <v>10000</v>
      </c>
      <c r="Q2980" s="30" t="s">
        <v>2436</v>
      </c>
      <c r="R2980" s="31">
        <v>10000</v>
      </c>
    </row>
    <row r="2981" s="1" customFormat="1" ht="16.35" hidden="1" customHeight="1" spans="1:18">
      <c r="A2981" s="6"/>
      <c r="B2981" s="6" t="s">
        <v>4123</v>
      </c>
      <c r="C2981" s="6" t="s">
        <v>4253</v>
      </c>
      <c r="D2981" s="7">
        <v>4</v>
      </c>
      <c r="E2981" s="6" t="s">
        <v>6667</v>
      </c>
      <c r="F2981" s="6" t="s">
        <v>5631</v>
      </c>
      <c r="G2981" s="6" t="s">
        <v>5632</v>
      </c>
      <c r="H2981" s="8"/>
      <c r="I2981" s="8">
        <v>5000</v>
      </c>
      <c r="J2981" s="6"/>
      <c r="K2981" s="6" t="s">
        <v>2521</v>
      </c>
      <c r="L2981" s="6"/>
      <c r="M2981" s="6"/>
      <c r="N2981" s="6" t="s">
        <v>2521</v>
      </c>
      <c r="O2981" s="29">
        <f t="shared" si="70"/>
        <v>5000</v>
      </c>
      <c r="Q2981" s="30" t="s">
        <v>2521</v>
      </c>
      <c r="R2981" s="31">
        <v>5000</v>
      </c>
    </row>
    <row r="2982" s="1" customFormat="1" ht="16.35" hidden="1" customHeight="1" spans="1:18">
      <c r="A2982" s="6"/>
      <c r="B2982" s="6" t="s">
        <v>4123</v>
      </c>
      <c r="C2982" s="6" t="s">
        <v>4253</v>
      </c>
      <c r="D2982" s="7">
        <v>4</v>
      </c>
      <c r="E2982" s="6" t="s">
        <v>6668</v>
      </c>
      <c r="F2982" s="6" t="s">
        <v>5631</v>
      </c>
      <c r="G2982" s="6" t="s">
        <v>5632</v>
      </c>
      <c r="H2982" s="8"/>
      <c r="I2982" s="8">
        <v>5000</v>
      </c>
      <c r="J2982" s="6"/>
      <c r="K2982" s="6" t="s">
        <v>2521</v>
      </c>
      <c r="L2982" s="6"/>
      <c r="M2982" s="6"/>
      <c r="N2982" s="6" t="s">
        <v>2521</v>
      </c>
      <c r="O2982" s="29">
        <f t="shared" si="70"/>
        <v>5000</v>
      </c>
      <c r="Q2982" s="30" t="s">
        <v>2521</v>
      </c>
      <c r="R2982" s="31">
        <v>5000</v>
      </c>
    </row>
    <row r="2983" s="1" customFormat="1" ht="16.35" hidden="1" customHeight="1" spans="1:18">
      <c r="A2983" s="6"/>
      <c r="B2983" s="6" t="s">
        <v>4123</v>
      </c>
      <c r="C2983" s="6" t="s">
        <v>4253</v>
      </c>
      <c r="D2983" s="7">
        <v>130</v>
      </c>
      <c r="E2983" s="6" t="s">
        <v>6669</v>
      </c>
      <c r="F2983" s="6" t="s">
        <v>5631</v>
      </c>
      <c r="G2983" s="6" t="s">
        <v>5632</v>
      </c>
      <c r="H2983" s="8">
        <v>224928</v>
      </c>
      <c r="I2983" s="8"/>
      <c r="J2983" s="6"/>
      <c r="K2983" s="6" t="s">
        <v>2521</v>
      </c>
      <c r="L2983" s="6"/>
      <c r="M2983" s="6"/>
      <c r="N2983" s="6" t="s">
        <v>2521</v>
      </c>
      <c r="O2983" s="29">
        <f t="shared" si="70"/>
        <v>0</v>
      </c>
      <c r="Q2983" s="30" t="s">
        <v>2521</v>
      </c>
      <c r="R2983" s="31">
        <v>0</v>
      </c>
    </row>
    <row r="2984" s="1" customFormat="1" ht="16.35" hidden="1" customHeight="1" spans="1:18">
      <c r="A2984" s="6"/>
      <c r="B2984" s="6" t="s">
        <v>4123</v>
      </c>
      <c r="C2984" s="6" t="s">
        <v>4253</v>
      </c>
      <c r="D2984" s="7">
        <v>30</v>
      </c>
      <c r="E2984" s="6" t="s">
        <v>6670</v>
      </c>
      <c r="F2984" s="6" t="s">
        <v>5631</v>
      </c>
      <c r="G2984" s="6" t="s">
        <v>5632</v>
      </c>
      <c r="H2984" s="8"/>
      <c r="I2984" s="8">
        <v>155000</v>
      </c>
      <c r="J2984" s="6"/>
      <c r="K2984" s="6" t="s">
        <v>2496</v>
      </c>
      <c r="L2984" s="6"/>
      <c r="M2984" s="6"/>
      <c r="N2984" s="6" t="s">
        <v>2496</v>
      </c>
      <c r="O2984" s="29">
        <f t="shared" si="70"/>
        <v>155000</v>
      </c>
      <c r="Q2984" s="30" t="s">
        <v>2496</v>
      </c>
      <c r="R2984" s="31">
        <v>155000</v>
      </c>
    </row>
    <row r="2985" s="1" customFormat="1" ht="16.35" hidden="1" customHeight="1" spans="1:18">
      <c r="A2985" s="6"/>
      <c r="B2985" s="6" t="s">
        <v>4123</v>
      </c>
      <c r="C2985" s="6" t="s">
        <v>4253</v>
      </c>
      <c r="D2985" s="7">
        <v>4</v>
      </c>
      <c r="E2985" s="6" t="s">
        <v>6671</v>
      </c>
      <c r="F2985" s="6" t="s">
        <v>5631</v>
      </c>
      <c r="G2985" s="6" t="s">
        <v>5632</v>
      </c>
      <c r="H2985" s="8"/>
      <c r="I2985" s="8">
        <v>5000</v>
      </c>
      <c r="J2985" s="6"/>
      <c r="K2985" s="6" t="s">
        <v>2496</v>
      </c>
      <c r="L2985" s="6"/>
      <c r="M2985" s="6"/>
      <c r="N2985" s="6" t="s">
        <v>2496</v>
      </c>
      <c r="O2985" s="29">
        <f t="shared" si="70"/>
        <v>5000</v>
      </c>
      <c r="Q2985" s="30" t="s">
        <v>2496</v>
      </c>
      <c r="R2985" s="31">
        <v>5000</v>
      </c>
    </row>
    <row r="2986" s="1" customFormat="1" ht="16.35" hidden="1" customHeight="1" spans="1:18">
      <c r="A2986" s="6"/>
      <c r="B2986" s="6" t="s">
        <v>4123</v>
      </c>
      <c r="C2986" s="6" t="s">
        <v>4253</v>
      </c>
      <c r="D2986" s="7">
        <v>4</v>
      </c>
      <c r="E2986" s="6" t="s">
        <v>6672</v>
      </c>
      <c r="F2986" s="6" t="s">
        <v>5631</v>
      </c>
      <c r="G2986" s="6" t="s">
        <v>5632</v>
      </c>
      <c r="H2986" s="8"/>
      <c r="I2986" s="8">
        <v>10000</v>
      </c>
      <c r="J2986" s="6"/>
      <c r="K2986" s="6" t="s">
        <v>2496</v>
      </c>
      <c r="L2986" s="6"/>
      <c r="M2986" s="6"/>
      <c r="N2986" s="6" t="s">
        <v>2496</v>
      </c>
      <c r="O2986" s="29">
        <f t="shared" si="70"/>
        <v>10000</v>
      </c>
      <c r="Q2986" s="30" t="s">
        <v>2496</v>
      </c>
      <c r="R2986" s="31">
        <v>10000</v>
      </c>
    </row>
    <row r="2987" s="1" customFormat="1" ht="16.35" hidden="1" customHeight="1" spans="1:18">
      <c r="A2987" s="6"/>
      <c r="B2987" s="6" t="s">
        <v>4123</v>
      </c>
      <c r="C2987" s="6" t="s">
        <v>4253</v>
      </c>
      <c r="D2987" s="7">
        <v>130</v>
      </c>
      <c r="E2987" s="6" t="s">
        <v>6673</v>
      </c>
      <c r="F2987" s="6" t="s">
        <v>5631</v>
      </c>
      <c r="G2987" s="6" t="s">
        <v>5632</v>
      </c>
      <c r="H2987" s="8">
        <v>221000</v>
      </c>
      <c r="I2987" s="8"/>
      <c r="J2987" s="6"/>
      <c r="K2987" s="6" t="s">
        <v>2496</v>
      </c>
      <c r="L2987" s="6"/>
      <c r="M2987" s="6"/>
      <c r="N2987" s="6" t="s">
        <v>2496</v>
      </c>
      <c r="O2987" s="29">
        <f t="shared" si="70"/>
        <v>0</v>
      </c>
      <c r="Q2987" s="30" t="s">
        <v>2496</v>
      </c>
      <c r="R2987" s="31">
        <v>0</v>
      </c>
    </row>
    <row r="2988" s="1" customFormat="1" ht="16.35" hidden="1" customHeight="1" spans="1:18">
      <c r="A2988" s="6"/>
      <c r="B2988" s="6" t="s">
        <v>4123</v>
      </c>
      <c r="C2988" s="6" t="s">
        <v>4253</v>
      </c>
      <c r="D2988" s="7">
        <v>86</v>
      </c>
      <c r="E2988" s="6" t="s">
        <v>6674</v>
      </c>
      <c r="F2988" s="6" t="s">
        <v>5631</v>
      </c>
      <c r="G2988" s="6" t="s">
        <v>5632</v>
      </c>
      <c r="H2988" s="8"/>
      <c r="I2988" s="8">
        <v>84000</v>
      </c>
      <c r="J2988" s="6"/>
      <c r="K2988" s="6" t="s">
        <v>2551</v>
      </c>
      <c r="L2988" s="6"/>
      <c r="M2988" s="6"/>
      <c r="N2988" s="6" t="s">
        <v>2551</v>
      </c>
      <c r="O2988" s="29">
        <f t="shared" si="70"/>
        <v>84000</v>
      </c>
      <c r="Q2988" s="30" t="s">
        <v>2551</v>
      </c>
      <c r="R2988" s="31">
        <v>84000</v>
      </c>
    </row>
    <row r="2989" s="1" customFormat="1" ht="16.35" hidden="1" customHeight="1" spans="1:18">
      <c r="A2989" s="6"/>
      <c r="B2989" s="6" t="s">
        <v>4123</v>
      </c>
      <c r="C2989" s="6" t="s">
        <v>4253</v>
      </c>
      <c r="D2989" s="7">
        <v>4</v>
      </c>
      <c r="E2989" s="6" t="s">
        <v>6675</v>
      </c>
      <c r="F2989" s="6" t="s">
        <v>5631</v>
      </c>
      <c r="G2989" s="6" t="s">
        <v>5632</v>
      </c>
      <c r="H2989" s="8"/>
      <c r="I2989" s="8">
        <v>5000</v>
      </c>
      <c r="J2989" s="6"/>
      <c r="K2989" s="6" t="s">
        <v>2537</v>
      </c>
      <c r="L2989" s="6"/>
      <c r="M2989" s="6"/>
      <c r="N2989" s="6" t="s">
        <v>2537</v>
      </c>
      <c r="O2989" s="29">
        <f t="shared" si="70"/>
        <v>5000</v>
      </c>
      <c r="Q2989" s="30" t="s">
        <v>2537</v>
      </c>
      <c r="R2989" s="31">
        <v>5000</v>
      </c>
    </row>
    <row r="2990" s="1" customFormat="1" ht="16.35" hidden="1" customHeight="1" spans="1:18">
      <c r="A2990" s="6"/>
      <c r="B2990" s="6" t="s">
        <v>4123</v>
      </c>
      <c r="C2990" s="6" t="s">
        <v>4253</v>
      </c>
      <c r="D2990" s="7">
        <v>130</v>
      </c>
      <c r="E2990" s="6" t="s">
        <v>6676</v>
      </c>
      <c r="F2990" s="6" t="s">
        <v>5631</v>
      </c>
      <c r="G2990" s="6" t="s">
        <v>5632</v>
      </c>
      <c r="H2990" s="8">
        <v>195619</v>
      </c>
      <c r="I2990" s="8"/>
      <c r="J2990" s="6"/>
      <c r="K2990" s="6" t="s">
        <v>2537</v>
      </c>
      <c r="L2990" s="6"/>
      <c r="M2990" s="6"/>
      <c r="N2990" s="6" t="s">
        <v>2537</v>
      </c>
      <c r="O2990" s="29">
        <f t="shared" si="70"/>
        <v>0</v>
      </c>
      <c r="Q2990" s="30" t="s">
        <v>2537</v>
      </c>
      <c r="R2990" s="31">
        <v>0</v>
      </c>
    </row>
    <row r="2991" s="1" customFormat="1" ht="16.35" hidden="1" customHeight="1" spans="1:18">
      <c r="A2991" s="6"/>
      <c r="B2991" s="6" t="s">
        <v>4123</v>
      </c>
      <c r="C2991" s="6" t="s">
        <v>4253</v>
      </c>
      <c r="D2991" s="7">
        <v>4</v>
      </c>
      <c r="E2991" s="6" t="s">
        <v>6677</v>
      </c>
      <c r="F2991" s="6" t="s">
        <v>5631</v>
      </c>
      <c r="G2991" s="6" t="s">
        <v>5632</v>
      </c>
      <c r="H2991" s="8"/>
      <c r="I2991" s="8">
        <v>5000</v>
      </c>
      <c r="J2991" s="6"/>
      <c r="K2991" s="6" t="s">
        <v>2576</v>
      </c>
      <c r="L2991" s="6"/>
      <c r="M2991" s="6"/>
      <c r="N2991" s="6" t="s">
        <v>2576</v>
      </c>
      <c r="O2991" s="29">
        <f t="shared" si="70"/>
        <v>5000</v>
      </c>
      <c r="Q2991" s="30" t="s">
        <v>2576</v>
      </c>
      <c r="R2991" s="31">
        <v>5000</v>
      </c>
    </row>
    <row r="2992" s="1" customFormat="1" ht="16.35" hidden="1" customHeight="1" spans="1:18">
      <c r="A2992" s="6"/>
      <c r="B2992" s="6" t="s">
        <v>4123</v>
      </c>
      <c r="C2992" s="6" t="s">
        <v>4253</v>
      </c>
      <c r="D2992" s="7">
        <v>4</v>
      </c>
      <c r="E2992" s="6" t="s">
        <v>6678</v>
      </c>
      <c r="F2992" s="6" t="s">
        <v>5631</v>
      </c>
      <c r="G2992" s="6" t="s">
        <v>5632</v>
      </c>
      <c r="H2992" s="8"/>
      <c r="I2992" s="8">
        <v>5000</v>
      </c>
      <c r="J2992" s="6"/>
      <c r="K2992" s="6" t="s">
        <v>2553</v>
      </c>
      <c r="L2992" s="6"/>
      <c r="M2992" s="6"/>
      <c r="N2992" s="6" t="s">
        <v>2553</v>
      </c>
      <c r="O2992" s="29">
        <f t="shared" si="70"/>
        <v>5000</v>
      </c>
      <c r="Q2992" s="30" t="s">
        <v>2553</v>
      </c>
      <c r="R2992" s="31">
        <v>5000</v>
      </c>
    </row>
    <row r="2993" s="1" customFormat="1" ht="16.35" hidden="1" customHeight="1" spans="1:18">
      <c r="A2993" s="6"/>
      <c r="B2993" s="6" t="s">
        <v>4123</v>
      </c>
      <c r="C2993" s="6" t="s">
        <v>4253</v>
      </c>
      <c r="D2993" s="7">
        <v>4</v>
      </c>
      <c r="E2993" s="6" t="s">
        <v>6679</v>
      </c>
      <c r="F2993" s="6" t="s">
        <v>5631</v>
      </c>
      <c r="G2993" s="6" t="s">
        <v>5632</v>
      </c>
      <c r="H2993" s="8"/>
      <c r="I2993" s="8">
        <v>5000</v>
      </c>
      <c r="J2993" s="6"/>
      <c r="K2993" s="6" t="s">
        <v>2545</v>
      </c>
      <c r="L2993" s="6"/>
      <c r="M2993" s="6"/>
      <c r="N2993" s="6" t="s">
        <v>2545</v>
      </c>
      <c r="O2993" s="29">
        <f t="shared" si="70"/>
        <v>5000</v>
      </c>
      <c r="Q2993" s="30" t="s">
        <v>2545</v>
      </c>
      <c r="R2993" s="31">
        <v>5000</v>
      </c>
    </row>
    <row r="2994" s="1" customFormat="1" ht="16.35" hidden="1" customHeight="1" spans="1:18">
      <c r="A2994" s="6"/>
      <c r="B2994" s="6" t="s">
        <v>4123</v>
      </c>
      <c r="C2994" s="6" t="s">
        <v>4253</v>
      </c>
      <c r="D2994" s="7">
        <v>4</v>
      </c>
      <c r="E2994" s="6" t="s">
        <v>6527</v>
      </c>
      <c r="F2994" s="6" t="s">
        <v>5631</v>
      </c>
      <c r="G2994" s="6" t="s">
        <v>5632</v>
      </c>
      <c r="H2994" s="8"/>
      <c r="I2994" s="8">
        <v>-5000</v>
      </c>
      <c r="J2994" s="6"/>
      <c r="K2994" s="6" t="s">
        <v>2545</v>
      </c>
      <c r="L2994" s="6"/>
      <c r="M2994" s="6"/>
      <c r="N2994" s="6" t="s">
        <v>2545</v>
      </c>
      <c r="O2994" s="29">
        <f t="shared" si="70"/>
        <v>-5000</v>
      </c>
      <c r="Q2994" s="30" t="s">
        <v>2545</v>
      </c>
      <c r="R2994" s="31">
        <v>-5000</v>
      </c>
    </row>
    <row r="2995" s="1" customFormat="1" ht="16.35" hidden="1" customHeight="1" spans="1:18">
      <c r="A2995" s="6"/>
      <c r="B2995" s="6" t="s">
        <v>4123</v>
      </c>
      <c r="C2995" s="6" t="s">
        <v>4253</v>
      </c>
      <c r="D2995" s="7">
        <v>4</v>
      </c>
      <c r="E2995" s="6" t="s">
        <v>6680</v>
      </c>
      <c r="F2995" s="6" t="s">
        <v>5631</v>
      </c>
      <c r="G2995" s="6" t="s">
        <v>5632</v>
      </c>
      <c r="H2995" s="8"/>
      <c r="I2995" s="8">
        <v>5000</v>
      </c>
      <c r="J2995" s="6"/>
      <c r="K2995" s="6" t="s">
        <v>2511</v>
      </c>
      <c r="L2995" s="6"/>
      <c r="M2995" s="6"/>
      <c r="N2995" s="6" t="s">
        <v>2511</v>
      </c>
      <c r="O2995" s="29">
        <f t="shared" si="70"/>
        <v>5000</v>
      </c>
      <c r="Q2995" s="30" t="s">
        <v>2511</v>
      </c>
      <c r="R2995" s="31">
        <v>5000</v>
      </c>
    </row>
    <row r="2996" s="1" customFormat="1" ht="16.35" hidden="1" customHeight="1" spans="1:18">
      <c r="A2996" s="6"/>
      <c r="B2996" s="6" t="s">
        <v>4123</v>
      </c>
      <c r="C2996" s="6" t="s">
        <v>4253</v>
      </c>
      <c r="D2996" s="7">
        <v>4</v>
      </c>
      <c r="E2996" s="6" t="s">
        <v>6681</v>
      </c>
      <c r="F2996" s="6" t="s">
        <v>5631</v>
      </c>
      <c r="G2996" s="6" t="s">
        <v>5632</v>
      </c>
      <c r="H2996" s="8"/>
      <c r="I2996" s="8">
        <v>3500</v>
      </c>
      <c r="J2996" s="6"/>
      <c r="K2996" s="6" t="s">
        <v>2555</v>
      </c>
      <c r="L2996" s="6"/>
      <c r="M2996" s="6"/>
      <c r="N2996" s="6" t="s">
        <v>2555</v>
      </c>
      <c r="O2996" s="29">
        <f t="shared" si="70"/>
        <v>3500</v>
      </c>
      <c r="Q2996" s="30" t="s">
        <v>2555</v>
      </c>
      <c r="R2996" s="31">
        <v>3500</v>
      </c>
    </row>
    <row r="2997" s="1" customFormat="1" ht="16.35" hidden="1" customHeight="1" spans="1:18">
      <c r="A2997" s="6"/>
      <c r="B2997" s="6" t="s">
        <v>4123</v>
      </c>
      <c r="C2997" s="6" t="s">
        <v>4253</v>
      </c>
      <c r="D2997" s="7">
        <v>4</v>
      </c>
      <c r="E2997" s="6" t="s">
        <v>6682</v>
      </c>
      <c r="F2997" s="6" t="s">
        <v>5631</v>
      </c>
      <c r="G2997" s="6" t="s">
        <v>5632</v>
      </c>
      <c r="H2997" s="8"/>
      <c r="I2997" s="8">
        <v>2000</v>
      </c>
      <c r="J2997" s="6"/>
      <c r="K2997" s="6" t="s">
        <v>2555</v>
      </c>
      <c r="L2997" s="6"/>
      <c r="M2997" s="6"/>
      <c r="N2997" s="6" t="s">
        <v>2555</v>
      </c>
      <c r="O2997" s="29">
        <f t="shared" si="70"/>
        <v>2000</v>
      </c>
      <c r="Q2997" s="30" t="s">
        <v>2555</v>
      </c>
      <c r="R2997" s="31">
        <v>2000</v>
      </c>
    </row>
    <row r="2998" s="1" customFormat="1" ht="16.35" hidden="1" customHeight="1" spans="1:18">
      <c r="A2998" s="6"/>
      <c r="B2998" s="6" t="s">
        <v>4123</v>
      </c>
      <c r="C2998" s="6" t="s">
        <v>4253</v>
      </c>
      <c r="D2998" s="7">
        <v>4</v>
      </c>
      <c r="E2998" s="6" t="s">
        <v>6683</v>
      </c>
      <c r="F2998" s="6" t="s">
        <v>5631</v>
      </c>
      <c r="G2998" s="6" t="s">
        <v>5632</v>
      </c>
      <c r="H2998" s="8"/>
      <c r="I2998" s="8">
        <v>1500</v>
      </c>
      <c r="J2998" s="6"/>
      <c r="K2998" s="6" t="s">
        <v>2555</v>
      </c>
      <c r="L2998" s="6"/>
      <c r="M2998" s="6"/>
      <c r="N2998" s="6" t="s">
        <v>2555</v>
      </c>
      <c r="O2998" s="29">
        <f t="shared" si="70"/>
        <v>1500</v>
      </c>
      <c r="Q2998" s="30" t="s">
        <v>2555</v>
      </c>
      <c r="R2998" s="31">
        <v>1500</v>
      </c>
    </row>
    <row r="2999" s="1" customFormat="1" ht="16.35" hidden="1" customHeight="1" spans="1:18">
      <c r="A2999" s="6"/>
      <c r="B2999" s="6" t="s">
        <v>4123</v>
      </c>
      <c r="C2999" s="6" t="s">
        <v>4253</v>
      </c>
      <c r="D2999" s="7">
        <v>4</v>
      </c>
      <c r="E2999" s="6" t="s">
        <v>6684</v>
      </c>
      <c r="F2999" s="6" t="s">
        <v>5631</v>
      </c>
      <c r="G2999" s="6" t="s">
        <v>5632</v>
      </c>
      <c r="H2999" s="8"/>
      <c r="I2999" s="8">
        <v>5000</v>
      </c>
      <c r="J2999" s="6"/>
      <c r="K2999" s="6" t="s">
        <v>2555</v>
      </c>
      <c r="L2999" s="6"/>
      <c r="M2999" s="6"/>
      <c r="N2999" s="6" t="s">
        <v>2555</v>
      </c>
      <c r="O2999" s="29">
        <f t="shared" si="70"/>
        <v>5000</v>
      </c>
      <c r="Q2999" s="30" t="s">
        <v>2555</v>
      </c>
      <c r="R2999" s="31">
        <v>5000</v>
      </c>
    </row>
    <row r="3000" s="1" customFormat="1" ht="16.35" hidden="1" customHeight="1" spans="1:18">
      <c r="A3000" s="6"/>
      <c r="B3000" s="6" t="s">
        <v>4123</v>
      </c>
      <c r="C3000" s="6" t="s">
        <v>4253</v>
      </c>
      <c r="D3000" s="7">
        <v>4</v>
      </c>
      <c r="E3000" s="6" t="s">
        <v>6685</v>
      </c>
      <c r="F3000" s="6" t="s">
        <v>5631</v>
      </c>
      <c r="G3000" s="6" t="s">
        <v>5632</v>
      </c>
      <c r="H3000" s="8"/>
      <c r="I3000" s="8">
        <v>5000</v>
      </c>
      <c r="J3000" s="6"/>
      <c r="K3000" s="6" t="s">
        <v>2555</v>
      </c>
      <c r="L3000" s="6"/>
      <c r="M3000" s="6"/>
      <c r="N3000" s="6" t="s">
        <v>2555</v>
      </c>
      <c r="O3000" s="29">
        <f t="shared" si="70"/>
        <v>5000</v>
      </c>
      <c r="Q3000" s="30" t="s">
        <v>2555</v>
      </c>
      <c r="R3000" s="31">
        <v>5000</v>
      </c>
    </row>
    <row r="3001" s="1" customFormat="1" ht="16.35" hidden="1" customHeight="1" spans="1:18">
      <c r="A3001" s="6"/>
      <c r="B3001" s="6" t="s">
        <v>4123</v>
      </c>
      <c r="C3001" s="6" t="s">
        <v>4253</v>
      </c>
      <c r="D3001" s="7">
        <v>4</v>
      </c>
      <c r="E3001" s="6" t="s">
        <v>6527</v>
      </c>
      <c r="F3001" s="6" t="s">
        <v>5631</v>
      </c>
      <c r="G3001" s="6" t="s">
        <v>5632</v>
      </c>
      <c r="H3001" s="8"/>
      <c r="I3001" s="8">
        <v>-2000</v>
      </c>
      <c r="J3001" s="6"/>
      <c r="K3001" s="6" t="s">
        <v>2555</v>
      </c>
      <c r="L3001" s="6"/>
      <c r="M3001" s="6"/>
      <c r="N3001" s="6" t="s">
        <v>2555</v>
      </c>
      <c r="O3001" s="29">
        <f t="shared" si="70"/>
        <v>-2000</v>
      </c>
      <c r="Q3001" s="30" t="s">
        <v>2555</v>
      </c>
      <c r="R3001" s="31">
        <v>-2000</v>
      </c>
    </row>
    <row r="3002" s="1" customFormat="1" ht="16.35" hidden="1" customHeight="1" spans="1:18">
      <c r="A3002" s="6"/>
      <c r="B3002" s="6" t="s">
        <v>4123</v>
      </c>
      <c r="C3002" s="6" t="s">
        <v>4253</v>
      </c>
      <c r="D3002" s="7">
        <v>4</v>
      </c>
      <c r="E3002" s="6" t="s">
        <v>6527</v>
      </c>
      <c r="F3002" s="6" t="s">
        <v>5631</v>
      </c>
      <c r="G3002" s="6" t="s">
        <v>5632</v>
      </c>
      <c r="H3002" s="8"/>
      <c r="I3002" s="8">
        <v>-10000</v>
      </c>
      <c r="J3002" s="6"/>
      <c r="K3002" s="6" t="s">
        <v>2555</v>
      </c>
      <c r="L3002" s="6"/>
      <c r="M3002" s="6"/>
      <c r="N3002" s="6" t="s">
        <v>2555</v>
      </c>
      <c r="O3002" s="29">
        <f t="shared" si="70"/>
        <v>-10000</v>
      </c>
      <c r="Q3002" s="30" t="s">
        <v>2555</v>
      </c>
      <c r="R3002" s="31">
        <v>-10000</v>
      </c>
    </row>
    <row r="3003" s="1" customFormat="1" ht="16.35" hidden="1" customHeight="1" spans="1:18">
      <c r="A3003" s="6"/>
      <c r="B3003" s="6" t="s">
        <v>4123</v>
      </c>
      <c r="C3003" s="6" t="s">
        <v>4253</v>
      </c>
      <c r="D3003" s="7">
        <v>17</v>
      </c>
      <c r="E3003" s="6" t="s">
        <v>6686</v>
      </c>
      <c r="F3003" s="6" t="s">
        <v>5631</v>
      </c>
      <c r="G3003" s="6" t="s">
        <v>5632</v>
      </c>
      <c r="H3003" s="8"/>
      <c r="I3003" s="8">
        <v>10000</v>
      </c>
      <c r="J3003" s="6"/>
      <c r="K3003" s="6" t="s">
        <v>2523</v>
      </c>
      <c r="L3003" s="6"/>
      <c r="M3003" s="6"/>
      <c r="N3003" s="6" t="s">
        <v>2523</v>
      </c>
      <c r="O3003" s="29">
        <f t="shared" si="70"/>
        <v>10000</v>
      </c>
      <c r="Q3003" s="30" t="s">
        <v>2523</v>
      </c>
      <c r="R3003" s="31">
        <v>10000</v>
      </c>
    </row>
    <row r="3004" s="1" customFormat="1" ht="16.35" hidden="1" customHeight="1" spans="1:18">
      <c r="A3004" s="6"/>
      <c r="B3004" s="6" t="s">
        <v>4123</v>
      </c>
      <c r="C3004" s="6" t="s">
        <v>4253</v>
      </c>
      <c r="D3004" s="7">
        <v>19</v>
      </c>
      <c r="E3004" s="6" t="s">
        <v>6687</v>
      </c>
      <c r="F3004" s="6" t="s">
        <v>5631</v>
      </c>
      <c r="G3004" s="6" t="s">
        <v>5632</v>
      </c>
      <c r="H3004" s="8"/>
      <c r="I3004" s="8">
        <v>147000</v>
      </c>
      <c r="J3004" s="6"/>
      <c r="K3004" s="6" t="s">
        <v>2584</v>
      </c>
      <c r="L3004" s="6"/>
      <c r="M3004" s="6"/>
      <c r="N3004" s="6" t="s">
        <v>2584</v>
      </c>
      <c r="O3004" s="29">
        <f t="shared" si="70"/>
        <v>147000</v>
      </c>
      <c r="Q3004" s="30" t="s">
        <v>2584</v>
      </c>
      <c r="R3004" s="31">
        <v>147000</v>
      </c>
    </row>
    <row r="3005" s="1" customFormat="1" ht="16.35" hidden="1" customHeight="1" spans="1:18">
      <c r="A3005" s="6"/>
      <c r="B3005" s="6" t="s">
        <v>4123</v>
      </c>
      <c r="C3005" s="6" t="s">
        <v>4253</v>
      </c>
      <c r="D3005" s="7">
        <v>4</v>
      </c>
      <c r="E3005" s="6" t="s">
        <v>6688</v>
      </c>
      <c r="F3005" s="6" t="s">
        <v>5631</v>
      </c>
      <c r="G3005" s="6" t="s">
        <v>5632</v>
      </c>
      <c r="H3005" s="8"/>
      <c r="I3005" s="8">
        <v>5000</v>
      </c>
      <c r="J3005" s="6"/>
      <c r="K3005" s="6" t="s">
        <v>2584</v>
      </c>
      <c r="L3005" s="6"/>
      <c r="M3005" s="6"/>
      <c r="N3005" s="6" t="s">
        <v>2584</v>
      </c>
      <c r="O3005" s="29">
        <f t="shared" si="70"/>
        <v>5000</v>
      </c>
      <c r="Q3005" s="30" t="s">
        <v>2584</v>
      </c>
      <c r="R3005" s="31">
        <v>5000</v>
      </c>
    </row>
    <row r="3006" s="1" customFormat="1" ht="16.35" hidden="1" customHeight="1" spans="1:18">
      <c r="A3006" s="6"/>
      <c r="B3006" s="6" t="s">
        <v>4123</v>
      </c>
      <c r="C3006" s="6" t="s">
        <v>4253</v>
      </c>
      <c r="D3006" s="7">
        <v>4</v>
      </c>
      <c r="E3006" s="6" t="s">
        <v>6689</v>
      </c>
      <c r="F3006" s="6" t="s">
        <v>5631</v>
      </c>
      <c r="G3006" s="6" t="s">
        <v>5632</v>
      </c>
      <c r="H3006" s="8"/>
      <c r="I3006" s="8">
        <v>20000</v>
      </c>
      <c r="J3006" s="6"/>
      <c r="K3006" s="6" t="s">
        <v>2584</v>
      </c>
      <c r="L3006" s="6"/>
      <c r="M3006" s="6"/>
      <c r="N3006" s="6" t="s">
        <v>2584</v>
      </c>
      <c r="O3006" s="29">
        <f t="shared" si="70"/>
        <v>20000</v>
      </c>
      <c r="Q3006" s="30" t="s">
        <v>2584</v>
      </c>
      <c r="R3006" s="31">
        <v>20000</v>
      </c>
    </row>
    <row r="3007" s="1" customFormat="1" ht="16.35" hidden="1" customHeight="1" spans="1:18">
      <c r="A3007" s="6"/>
      <c r="B3007" s="6" t="s">
        <v>4123</v>
      </c>
      <c r="C3007" s="6" t="s">
        <v>4253</v>
      </c>
      <c r="D3007" s="7">
        <v>130</v>
      </c>
      <c r="E3007" s="6" t="s">
        <v>6690</v>
      </c>
      <c r="F3007" s="6" t="s">
        <v>5631</v>
      </c>
      <c r="G3007" s="6" t="s">
        <v>5632</v>
      </c>
      <c r="H3007" s="8">
        <v>211296</v>
      </c>
      <c r="I3007" s="8"/>
      <c r="J3007" s="6"/>
      <c r="K3007" s="6" t="s">
        <v>2584</v>
      </c>
      <c r="L3007" s="6"/>
      <c r="M3007" s="6"/>
      <c r="N3007" s="6" t="s">
        <v>2584</v>
      </c>
      <c r="O3007" s="29">
        <f t="shared" si="70"/>
        <v>0</v>
      </c>
      <c r="Q3007" s="30" t="s">
        <v>2584</v>
      </c>
      <c r="R3007" s="31">
        <v>0</v>
      </c>
    </row>
    <row r="3008" s="1" customFormat="1" ht="16.35" hidden="1" customHeight="1" spans="1:18">
      <c r="A3008" s="6"/>
      <c r="B3008" s="6" t="s">
        <v>4123</v>
      </c>
      <c r="C3008" s="6" t="s">
        <v>4253</v>
      </c>
      <c r="D3008" s="7">
        <v>6</v>
      </c>
      <c r="E3008" s="6" t="s">
        <v>6691</v>
      </c>
      <c r="F3008" s="6" t="s">
        <v>5631</v>
      </c>
      <c r="G3008" s="6" t="s">
        <v>5632</v>
      </c>
      <c r="H3008" s="8"/>
      <c r="I3008" s="8">
        <v>10000</v>
      </c>
      <c r="J3008" s="6"/>
      <c r="K3008" s="6" t="s">
        <v>2644</v>
      </c>
      <c r="L3008" s="6"/>
      <c r="M3008" s="6"/>
      <c r="N3008" s="6" t="s">
        <v>2644</v>
      </c>
      <c r="O3008" s="29">
        <f t="shared" si="70"/>
        <v>10000</v>
      </c>
      <c r="Q3008" s="30" t="s">
        <v>2644</v>
      </c>
      <c r="R3008" s="31">
        <v>10000</v>
      </c>
    </row>
    <row r="3009" s="1" customFormat="1" ht="16.35" hidden="1" customHeight="1" spans="1:18">
      <c r="A3009" s="6"/>
      <c r="B3009" s="6" t="s">
        <v>4123</v>
      </c>
      <c r="C3009" s="6" t="s">
        <v>4253</v>
      </c>
      <c r="D3009" s="7">
        <v>4</v>
      </c>
      <c r="E3009" s="6" t="s">
        <v>6692</v>
      </c>
      <c r="F3009" s="6" t="s">
        <v>5631</v>
      </c>
      <c r="G3009" s="6" t="s">
        <v>5632</v>
      </c>
      <c r="H3009" s="8"/>
      <c r="I3009" s="8">
        <v>5000</v>
      </c>
      <c r="J3009" s="6"/>
      <c r="K3009" s="6" t="s">
        <v>2644</v>
      </c>
      <c r="L3009" s="6"/>
      <c r="M3009" s="6"/>
      <c r="N3009" s="6" t="s">
        <v>2644</v>
      </c>
      <c r="O3009" s="29">
        <f t="shared" si="70"/>
        <v>5000</v>
      </c>
      <c r="Q3009" s="30" t="s">
        <v>2644</v>
      </c>
      <c r="R3009" s="31">
        <v>5000</v>
      </c>
    </row>
    <row r="3010" s="1" customFormat="1" ht="16.35" hidden="1" customHeight="1" spans="1:18">
      <c r="A3010" s="6"/>
      <c r="B3010" s="6" t="s">
        <v>4123</v>
      </c>
      <c r="C3010" s="6" t="s">
        <v>4253</v>
      </c>
      <c r="D3010" s="7">
        <v>4</v>
      </c>
      <c r="E3010" s="6" t="s">
        <v>6573</v>
      </c>
      <c r="F3010" s="6" t="s">
        <v>5631</v>
      </c>
      <c r="G3010" s="6" t="s">
        <v>5632</v>
      </c>
      <c r="H3010" s="8"/>
      <c r="I3010" s="8">
        <v>-5000</v>
      </c>
      <c r="J3010" s="6"/>
      <c r="K3010" s="6" t="s">
        <v>2644</v>
      </c>
      <c r="L3010" s="6"/>
      <c r="M3010" s="6"/>
      <c r="N3010" s="6" t="s">
        <v>2644</v>
      </c>
      <c r="O3010" s="29">
        <f t="shared" si="70"/>
        <v>-5000</v>
      </c>
      <c r="Q3010" s="30" t="s">
        <v>2644</v>
      </c>
      <c r="R3010" s="31">
        <v>-5000</v>
      </c>
    </row>
    <row r="3011" s="1" customFormat="1" ht="16.35" hidden="1" customHeight="1" spans="1:18">
      <c r="A3011" s="6"/>
      <c r="B3011" s="6" t="s">
        <v>4123</v>
      </c>
      <c r="C3011" s="6" t="s">
        <v>4253</v>
      </c>
      <c r="D3011" s="7">
        <v>4</v>
      </c>
      <c r="E3011" s="6" t="s">
        <v>6693</v>
      </c>
      <c r="F3011" s="6" t="s">
        <v>5631</v>
      </c>
      <c r="G3011" s="6" t="s">
        <v>5632</v>
      </c>
      <c r="H3011" s="8"/>
      <c r="I3011" s="8">
        <v>5000</v>
      </c>
      <c r="J3011" s="6"/>
      <c r="K3011" s="6" t="s">
        <v>2640</v>
      </c>
      <c r="L3011" s="6"/>
      <c r="M3011" s="6"/>
      <c r="N3011" s="6" t="s">
        <v>2640</v>
      </c>
      <c r="O3011" s="29">
        <f t="shared" ref="O3011:O3042" si="71">I3011</f>
        <v>5000</v>
      </c>
      <c r="Q3011" s="30" t="s">
        <v>2640</v>
      </c>
      <c r="R3011" s="31">
        <v>5000</v>
      </c>
    </row>
    <row r="3012" s="1" customFormat="1" ht="16.35" hidden="1" customHeight="1" spans="1:18">
      <c r="A3012" s="6"/>
      <c r="B3012" s="6" t="s">
        <v>4123</v>
      </c>
      <c r="C3012" s="6" t="s">
        <v>4253</v>
      </c>
      <c r="D3012" s="7">
        <v>4</v>
      </c>
      <c r="E3012" s="6" t="s">
        <v>6694</v>
      </c>
      <c r="F3012" s="6" t="s">
        <v>5631</v>
      </c>
      <c r="G3012" s="6" t="s">
        <v>5632</v>
      </c>
      <c r="H3012" s="8"/>
      <c r="I3012" s="8">
        <v>10000</v>
      </c>
      <c r="J3012" s="6"/>
      <c r="K3012" s="6" t="s">
        <v>2640</v>
      </c>
      <c r="L3012" s="6"/>
      <c r="M3012" s="6"/>
      <c r="N3012" s="6" t="s">
        <v>2640</v>
      </c>
      <c r="O3012" s="29">
        <f t="shared" si="71"/>
        <v>10000</v>
      </c>
      <c r="Q3012" s="30" t="s">
        <v>2640</v>
      </c>
      <c r="R3012" s="31">
        <v>10000</v>
      </c>
    </row>
    <row r="3013" s="1" customFormat="1" ht="16.35" hidden="1" customHeight="1" spans="1:18">
      <c r="A3013" s="6"/>
      <c r="B3013" s="6" t="s">
        <v>4123</v>
      </c>
      <c r="C3013" s="6" t="s">
        <v>4253</v>
      </c>
      <c r="D3013" s="7">
        <v>4</v>
      </c>
      <c r="E3013" s="6" t="s">
        <v>6695</v>
      </c>
      <c r="F3013" s="6" t="s">
        <v>5631</v>
      </c>
      <c r="G3013" s="6" t="s">
        <v>5632</v>
      </c>
      <c r="H3013" s="8"/>
      <c r="I3013" s="8">
        <v>2000</v>
      </c>
      <c r="J3013" s="6"/>
      <c r="K3013" s="6" t="s">
        <v>2628</v>
      </c>
      <c r="L3013" s="6"/>
      <c r="M3013" s="6"/>
      <c r="N3013" s="6" t="s">
        <v>2628</v>
      </c>
      <c r="O3013" s="29">
        <f t="shared" si="71"/>
        <v>2000</v>
      </c>
      <c r="Q3013" s="30" t="s">
        <v>2628</v>
      </c>
      <c r="R3013" s="31">
        <v>2000</v>
      </c>
    </row>
    <row r="3014" s="1" customFormat="1" ht="16.35" hidden="1" customHeight="1" spans="1:18">
      <c r="A3014" s="6"/>
      <c r="B3014" s="6" t="s">
        <v>4123</v>
      </c>
      <c r="C3014" s="6" t="s">
        <v>4253</v>
      </c>
      <c r="D3014" s="7">
        <v>4</v>
      </c>
      <c r="E3014" s="6" t="s">
        <v>6696</v>
      </c>
      <c r="F3014" s="6" t="s">
        <v>5631</v>
      </c>
      <c r="G3014" s="6" t="s">
        <v>5632</v>
      </c>
      <c r="H3014" s="8"/>
      <c r="I3014" s="8">
        <v>3000</v>
      </c>
      <c r="J3014" s="6"/>
      <c r="K3014" s="6" t="s">
        <v>2628</v>
      </c>
      <c r="L3014" s="6"/>
      <c r="M3014" s="6"/>
      <c r="N3014" s="6" t="s">
        <v>2628</v>
      </c>
      <c r="O3014" s="29">
        <f t="shared" si="71"/>
        <v>3000</v>
      </c>
      <c r="Q3014" s="30" t="s">
        <v>2628</v>
      </c>
      <c r="R3014" s="31">
        <v>3000</v>
      </c>
    </row>
    <row r="3015" s="1" customFormat="1" ht="16.35" hidden="1" customHeight="1" spans="1:18">
      <c r="A3015" s="6"/>
      <c r="B3015" s="6" t="s">
        <v>4123</v>
      </c>
      <c r="C3015" s="6" t="s">
        <v>4253</v>
      </c>
      <c r="D3015" s="7">
        <v>130</v>
      </c>
      <c r="E3015" s="6" t="s">
        <v>6697</v>
      </c>
      <c r="F3015" s="6" t="s">
        <v>5631</v>
      </c>
      <c r="G3015" s="6" t="s">
        <v>5632</v>
      </c>
      <c r="H3015" s="8">
        <v>229350</v>
      </c>
      <c r="I3015" s="8"/>
      <c r="J3015" s="6"/>
      <c r="K3015" s="6" t="s">
        <v>2628</v>
      </c>
      <c r="L3015" s="6"/>
      <c r="M3015" s="6"/>
      <c r="N3015" s="6" t="s">
        <v>2628</v>
      </c>
      <c r="O3015" s="29">
        <f t="shared" si="71"/>
        <v>0</v>
      </c>
      <c r="Q3015" s="30" t="s">
        <v>2628</v>
      </c>
      <c r="R3015" s="31">
        <v>0</v>
      </c>
    </row>
    <row r="3016" s="1" customFormat="1" ht="16.35" hidden="1" customHeight="1" spans="1:18">
      <c r="A3016" s="6"/>
      <c r="B3016" s="6" t="s">
        <v>4123</v>
      </c>
      <c r="C3016" s="6" t="s">
        <v>4253</v>
      </c>
      <c r="D3016" s="7">
        <v>28</v>
      </c>
      <c r="E3016" s="6" t="s">
        <v>6698</v>
      </c>
      <c r="F3016" s="6" t="s">
        <v>5631</v>
      </c>
      <c r="G3016" s="6" t="s">
        <v>5632</v>
      </c>
      <c r="H3016" s="8"/>
      <c r="I3016" s="8">
        <v>109000</v>
      </c>
      <c r="J3016" s="6"/>
      <c r="K3016" s="6" t="s">
        <v>2630</v>
      </c>
      <c r="L3016" s="6"/>
      <c r="M3016" s="6"/>
      <c r="N3016" s="6" t="s">
        <v>2630</v>
      </c>
      <c r="O3016" s="29">
        <f t="shared" si="71"/>
        <v>109000</v>
      </c>
      <c r="Q3016" s="30" t="s">
        <v>2630</v>
      </c>
      <c r="R3016" s="31">
        <v>109000</v>
      </c>
    </row>
    <row r="3017" s="1" customFormat="1" ht="16.35" hidden="1" customHeight="1" spans="1:18">
      <c r="A3017" s="6"/>
      <c r="B3017" s="6" t="s">
        <v>4123</v>
      </c>
      <c r="C3017" s="6" t="s">
        <v>4253</v>
      </c>
      <c r="D3017" s="7">
        <v>4</v>
      </c>
      <c r="E3017" s="6" t="s">
        <v>6699</v>
      </c>
      <c r="F3017" s="6" t="s">
        <v>5631</v>
      </c>
      <c r="G3017" s="6" t="s">
        <v>5632</v>
      </c>
      <c r="H3017" s="8"/>
      <c r="I3017" s="8">
        <v>5000</v>
      </c>
      <c r="J3017" s="6"/>
      <c r="K3017" s="6" t="s">
        <v>2630</v>
      </c>
      <c r="L3017" s="6"/>
      <c r="M3017" s="6"/>
      <c r="N3017" s="6" t="s">
        <v>2630</v>
      </c>
      <c r="O3017" s="29">
        <f t="shared" si="71"/>
        <v>5000</v>
      </c>
      <c r="Q3017" s="30" t="s">
        <v>2630</v>
      </c>
      <c r="R3017" s="31">
        <v>5000</v>
      </c>
    </row>
    <row r="3018" s="1" customFormat="1" ht="16.35" hidden="1" customHeight="1" spans="1:18">
      <c r="A3018" s="6"/>
      <c r="B3018" s="6" t="s">
        <v>4123</v>
      </c>
      <c r="C3018" s="6" t="s">
        <v>4253</v>
      </c>
      <c r="D3018" s="7">
        <v>4</v>
      </c>
      <c r="E3018" s="6" t="s">
        <v>6700</v>
      </c>
      <c r="F3018" s="6" t="s">
        <v>5631</v>
      </c>
      <c r="G3018" s="6" t="s">
        <v>5632</v>
      </c>
      <c r="H3018" s="8"/>
      <c r="I3018" s="8">
        <v>2000</v>
      </c>
      <c r="J3018" s="6"/>
      <c r="K3018" s="6" t="s">
        <v>2630</v>
      </c>
      <c r="L3018" s="6"/>
      <c r="M3018" s="6"/>
      <c r="N3018" s="6" t="s">
        <v>2630</v>
      </c>
      <c r="O3018" s="29">
        <f t="shared" si="71"/>
        <v>2000</v>
      </c>
      <c r="Q3018" s="30" t="s">
        <v>2630</v>
      </c>
      <c r="R3018" s="31">
        <v>2000</v>
      </c>
    </row>
    <row r="3019" s="1" customFormat="1" ht="16.35" hidden="1" customHeight="1" spans="1:18">
      <c r="A3019" s="6"/>
      <c r="B3019" s="6" t="s">
        <v>4123</v>
      </c>
      <c r="C3019" s="6" t="s">
        <v>4253</v>
      </c>
      <c r="D3019" s="7">
        <v>4</v>
      </c>
      <c r="E3019" s="6" t="s">
        <v>6701</v>
      </c>
      <c r="F3019" s="6" t="s">
        <v>5631</v>
      </c>
      <c r="G3019" s="6" t="s">
        <v>5632</v>
      </c>
      <c r="H3019" s="8"/>
      <c r="I3019" s="8">
        <v>3000</v>
      </c>
      <c r="J3019" s="6"/>
      <c r="K3019" s="6" t="s">
        <v>2630</v>
      </c>
      <c r="L3019" s="6"/>
      <c r="M3019" s="6"/>
      <c r="N3019" s="6" t="s">
        <v>2630</v>
      </c>
      <c r="O3019" s="29">
        <f t="shared" si="71"/>
        <v>3000</v>
      </c>
      <c r="Q3019" s="30" t="s">
        <v>2630</v>
      </c>
      <c r="R3019" s="31">
        <v>3000</v>
      </c>
    </row>
    <row r="3020" s="1" customFormat="1" ht="16.35" hidden="1" customHeight="1" spans="1:18">
      <c r="A3020" s="6"/>
      <c r="B3020" s="6" t="s">
        <v>4123</v>
      </c>
      <c r="C3020" s="6" t="s">
        <v>4253</v>
      </c>
      <c r="D3020" s="7">
        <v>4</v>
      </c>
      <c r="E3020" s="6" t="s">
        <v>6702</v>
      </c>
      <c r="F3020" s="6" t="s">
        <v>5631</v>
      </c>
      <c r="G3020" s="6" t="s">
        <v>5632</v>
      </c>
      <c r="H3020" s="8"/>
      <c r="I3020" s="8">
        <v>7000</v>
      </c>
      <c r="J3020" s="6"/>
      <c r="K3020" s="6" t="s">
        <v>2662</v>
      </c>
      <c r="L3020" s="6"/>
      <c r="M3020" s="6"/>
      <c r="N3020" s="6" t="s">
        <v>2662</v>
      </c>
      <c r="O3020" s="29">
        <f t="shared" si="71"/>
        <v>7000</v>
      </c>
      <c r="Q3020" s="30" t="s">
        <v>2662</v>
      </c>
      <c r="R3020" s="31">
        <v>7000</v>
      </c>
    </row>
    <row r="3021" s="1" customFormat="1" ht="16.35" hidden="1" customHeight="1" spans="1:18">
      <c r="A3021" s="6"/>
      <c r="B3021" s="6" t="s">
        <v>4123</v>
      </c>
      <c r="C3021" s="6" t="s">
        <v>4253</v>
      </c>
      <c r="D3021" s="7">
        <v>125</v>
      </c>
      <c r="E3021" s="6" t="s">
        <v>6598</v>
      </c>
      <c r="F3021" s="6" t="s">
        <v>5631</v>
      </c>
      <c r="G3021" s="6" t="s">
        <v>5632</v>
      </c>
      <c r="H3021" s="8"/>
      <c r="I3021" s="8">
        <v>-10000</v>
      </c>
      <c r="J3021" s="6"/>
      <c r="K3021" s="6" t="s">
        <v>2670</v>
      </c>
      <c r="L3021" s="6"/>
      <c r="M3021" s="6"/>
      <c r="N3021" s="6" t="s">
        <v>2670</v>
      </c>
      <c r="O3021" s="29">
        <f t="shared" si="71"/>
        <v>-10000</v>
      </c>
      <c r="Q3021" s="30" t="s">
        <v>2670</v>
      </c>
      <c r="R3021" s="31">
        <v>-10000</v>
      </c>
    </row>
    <row r="3022" s="1" customFormat="1" ht="16.35" hidden="1" customHeight="1" spans="1:18">
      <c r="A3022" s="6"/>
      <c r="B3022" s="6" t="s">
        <v>4123</v>
      </c>
      <c r="C3022" s="6" t="s">
        <v>4253</v>
      </c>
      <c r="D3022" s="7">
        <v>91</v>
      </c>
      <c r="E3022" s="6" t="s">
        <v>6703</v>
      </c>
      <c r="F3022" s="6" t="s">
        <v>5631</v>
      </c>
      <c r="G3022" s="6" t="s">
        <v>5632</v>
      </c>
      <c r="H3022" s="8"/>
      <c r="I3022" s="8">
        <v>49547</v>
      </c>
      <c r="J3022" s="6"/>
      <c r="K3022" s="6" t="s">
        <v>2610</v>
      </c>
      <c r="L3022" s="6"/>
      <c r="M3022" s="6"/>
      <c r="N3022" s="6" t="s">
        <v>2610</v>
      </c>
      <c r="O3022" s="29">
        <f t="shared" si="71"/>
        <v>49547</v>
      </c>
      <c r="Q3022" s="30" t="s">
        <v>2610</v>
      </c>
      <c r="R3022" s="31">
        <v>49547</v>
      </c>
    </row>
    <row r="3023" s="1" customFormat="1" ht="16.35" hidden="1" customHeight="1" spans="1:18">
      <c r="A3023" s="6"/>
      <c r="B3023" s="6" t="s">
        <v>4123</v>
      </c>
      <c r="C3023" s="6" t="s">
        <v>4253</v>
      </c>
      <c r="D3023" s="7">
        <v>4</v>
      </c>
      <c r="E3023" s="6" t="s">
        <v>6704</v>
      </c>
      <c r="F3023" s="6" t="s">
        <v>5631</v>
      </c>
      <c r="G3023" s="6" t="s">
        <v>5632</v>
      </c>
      <c r="H3023" s="8"/>
      <c r="I3023" s="8">
        <v>5000</v>
      </c>
      <c r="J3023" s="6"/>
      <c r="K3023" s="6" t="s">
        <v>2668</v>
      </c>
      <c r="L3023" s="6"/>
      <c r="M3023" s="6"/>
      <c r="N3023" s="6" t="s">
        <v>2668</v>
      </c>
      <c r="O3023" s="29">
        <f t="shared" si="71"/>
        <v>5000</v>
      </c>
      <c r="Q3023" s="30" t="s">
        <v>2668</v>
      </c>
      <c r="R3023" s="31">
        <v>5000</v>
      </c>
    </row>
    <row r="3024" s="1" customFormat="1" ht="16.35" hidden="1" customHeight="1" spans="1:18">
      <c r="A3024" s="6"/>
      <c r="B3024" s="6" t="s">
        <v>4123</v>
      </c>
      <c r="C3024" s="6" t="s">
        <v>4253</v>
      </c>
      <c r="D3024" s="7">
        <v>4</v>
      </c>
      <c r="E3024" s="6" t="s">
        <v>6705</v>
      </c>
      <c r="F3024" s="6" t="s">
        <v>5631</v>
      </c>
      <c r="G3024" s="6" t="s">
        <v>5632</v>
      </c>
      <c r="H3024" s="8"/>
      <c r="I3024" s="8">
        <v>5000</v>
      </c>
      <c r="J3024" s="6"/>
      <c r="K3024" s="6" t="s">
        <v>2668</v>
      </c>
      <c r="L3024" s="6"/>
      <c r="M3024" s="6"/>
      <c r="N3024" s="6" t="s">
        <v>2668</v>
      </c>
      <c r="O3024" s="29">
        <f t="shared" si="71"/>
        <v>5000</v>
      </c>
      <c r="Q3024" s="30" t="s">
        <v>2668</v>
      </c>
      <c r="R3024" s="31">
        <v>5000</v>
      </c>
    </row>
    <row r="3025" s="1" customFormat="1" ht="16.35" hidden="1" customHeight="1" spans="1:18">
      <c r="A3025" s="6"/>
      <c r="B3025" s="6" t="s">
        <v>4123</v>
      </c>
      <c r="C3025" s="6" t="s">
        <v>4253</v>
      </c>
      <c r="D3025" s="7">
        <v>4</v>
      </c>
      <c r="E3025" s="6" t="s">
        <v>6527</v>
      </c>
      <c r="F3025" s="6" t="s">
        <v>5631</v>
      </c>
      <c r="G3025" s="6" t="s">
        <v>5632</v>
      </c>
      <c r="H3025" s="8"/>
      <c r="I3025" s="8">
        <v>-5000</v>
      </c>
      <c r="J3025" s="6"/>
      <c r="K3025" s="6" t="s">
        <v>2668</v>
      </c>
      <c r="L3025" s="6"/>
      <c r="M3025" s="6"/>
      <c r="N3025" s="6" t="s">
        <v>2668</v>
      </c>
      <c r="O3025" s="29">
        <f t="shared" si="71"/>
        <v>-5000</v>
      </c>
      <c r="Q3025" s="30" t="s">
        <v>2668</v>
      </c>
      <c r="R3025" s="31">
        <v>-5000</v>
      </c>
    </row>
    <row r="3026" s="1" customFormat="1" ht="16.35" hidden="1" customHeight="1" spans="1:18">
      <c r="A3026" s="6"/>
      <c r="B3026" s="6" t="s">
        <v>4123</v>
      </c>
      <c r="C3026" s="6" t="s">
        <v>4253</v>
      </c>
      <c r="D3026" s="7">
        <v>130</v>
      </c>
      <c r="E3026" s="6" t="s">
        <v>6706</v>
      </c>
      <c r="F3026" s="6" t="s">
        <v>5631</v>
      </c>
      <c r="G3026" s="6" t="s">
        <v>5632</v>
      </c>
      <c r="H3026" s="8">
        <v>177400</v>
      </c>
      <c r="I3026" s="8"/>
      <c r="J3026" s="6"/>
      <c r="K3026" s="6" t="s">
        <v>2668</v>
      </c>
      <c r="L3026" s="6"/>
      <c r="M3026" s="6"/>
      <c r="N3026" s="6" t="s">
        <v>2668</v>
      </c>
      <c r="O3026" s="29">
        <f t="shared" si="71"/>
        <v>0</v>
      </c>
      <c r="Q3026" s="30" t="s">
        <v>2668</v>
      </c>
      <c r="R3026" s="31">
        <v>0</v>
      </c>
    </row>
    <row r="3027" s="1" customFormat="1" ht="16.35" hidden="1" customHeight="1" spans="1:18">
      <c r="A3027" s="6"/>
      <c r="B3027" s="6" t="s">
        <v>4123</v>
      </c>
      <c r="C3027" s="6" t="s">
        <v>4253</v>
      </c>
      <c r="D3027" s="7">
        <v>4</v>
      </c>
      <c r="E3027" s="6" t="s">
        <v>6707</v>
      </c>
      <c r="F3027" s="6" t="s">
        <v>5631</v>
      </c>
      <c r="G3027" s="6" t="s">
        <v>5632</v>
      </c>
      <c r="H3027" s="8"/>
      <c r="I3027" s="8">
        <v>5000</v>
      </c>
      <c r="J3027" s="6"/>
      <c r="K3027" s="6" t="s">
        <v>2674</v>
      </c>
      <c r="L3027" s="6"/>
      <c r="M3027" s="6"/>
      <c r="N3027" s="6" t="s">
        <v>2674</v>
      </c>
      <c r="O3027" s="29">
        <f t="shared" si="71"/>
        <v>5000</v>
      </c>
      <c r="Q3027" s="30" t="s">
        <v>2674</v>
      </c>
      <c r="R3027" s="31">
        <v>5000</v>
      </c>
    </row>
    <row r="3028" s="1" customFormat="1" ht="16.35" hidden="1" customHeight="1" spans="1:18">
      <c r="A3028" s="6"/>
      <c r="B3028" s="6" t="s">
        <v>4123</v>
      </c>
      <c r="C3028" s="6" t="s">
        <v>4253</v>
      </c>
      <c r="D3028" s="7">
        <v>130</v>
      </c>
      <c r="E3028" s="6" t="s">
        <v>6708</v>
      </c>
      <c r="F3028" s="6" t="s">
        <v>5631</v>
      </c>
      <c r="G3028" s="6" t="s">
        <v>5632</v>
      </c>
      <c r="H3028" s="8">
        <v>149524</v>
      </c>
      <c r="I3028" s="8"/>
      <c r="J3028" s="6"/>
      <c r="K3028" s="6" t="s">
        <v>2674</v>
      </c>
      <c r="L3028" s="6"/>
      <c r="M3028" s="6"/>
      <c r="N3028" s="6" t="s">
        <v>2674</v>
      </c>
      <c r="O3028" s="29">
        <f t="shared" si="71"/>
        <v>0</v>
      </c>
      <c r="Q3028" s="30" t="s">
        <v>2674</v>
      </c>
      <c r="R3028" s="31">
        <v>0</v>
      </c>
    </row>
    <row r="3029" s="1" customFormat="1" ht="16.35" hidden="1" customHeight="1" spans="1:18">
      <c r="A3029" s="6"/>
      <c r="B3029" s="6" t="s">
        <v>4123</v>
      </c>
      <c r="C3029" s="6" t="s">
        <v>4253</v>
      </c>
      <c r="D3029" s="7">
        <v>4</v>
      </c>
      <c r="E3029" s="6" t="s">
        <v>6709</v>
      </c>
      <c r="F3029" s="6" t="s">
        <v>5631</v>
      </c>
      <c r="G3029" s="6" t="s">
        <v>5632</v>
      </c>
      <c r="H3029" s="8"/>
      <c r="I3029" s="8">
        <v>5000</v>
      </c>
      <c r="J3029" s="6"/>
      <c r="K3029" s="6" t="s">
        <v>2656</v>
      </c>
      <c r="L3029" s="6"/>
      <c r="M3029" s="6"/>
      <c r="N3029" s="6" t="s">
        <v>2656</v>
      </c>
      <c r="O3029" s="29">
        <f t="shared" si="71"/>
        <v>5000</v>
      </c>
      <c r="Q3029" s="30" t="s">
        <v>2656</v>
      </c>
      <c r="R3029" s="31">
        <v>5000</v>
      </c>
    </row>
    <row r="3030" s="1" customFormat="1" ht="16.35" hidden="1" customHeight="1" spans="1:18">
      <c r="A3030" s="6"/>
      <c r="B3030" s="6" t="s">
        <v>4123</v>
      </c>
      <c r="C3030" s="6" t="s">
        <v>4253</v>
      </c>
      <c r="D3030" s="7">
        <v>4</v>
      </c>
      <c r="E3030" s="6" t="s">
        <v>6710</v>
      </c>
      <c r="F3030" s="6" t="s">
        <v>5631</v>
      </c>
      <c r="G3030" s="6" t="s">
        <v>5632</v>
      </c>
      <c r="H3030" s="8"/>
      <c r="I3030" s="8">
        <v>5000</v>
      </c>
      <c r="J3030" s="6"/>
      <c r="K3030" s="6" t="s">
        <v>2656</v>
      </c>
      <c r="L3030" s="6"/>
      <c r="M3030" s="6"/>
      <c r="N3030" s="6" t="s">
        <v>2656</v>
      </c>
      <c r="O3030" s="29">
        <f t="shared" si="71"/>
        <v>5000</v>
      </c>
      <c r="Q3030" s="30" t="s">
        <v>2656</v>
      </c>
      <c r="R3030" s="31">
        <v>5000</v>
      </c>
    </row>
    <row r="3031" s="1" customFormat="1" ht="16.35" hidden="1" customHeight="1" spans="1:18">
      <c r="A3031" s="6"/>
      <c r="B3031" s="6" t="s">
        <v>4123</v>
      </c>
      <c r="C3031" s="6" t="s">
        <v>4253</v>
      </c>
      <c r="D3031" s="7">
        <v>4</v>
      </c>
      <c r="E3031" s="6" t="s">
        <v>6541</v>
      </c>
      <c r="F3031" s="6" t="s">
        <v>5631</v>
      </c>
      <c r="G3031" s="6" t="s">
        <v>5632</v>
      </c>
      <c r="H3031" s="8"/>
      <c r="I3031" s="8">
        <v>-10000</v>
      </c>
      <c r="J3031" s="6"/>
      <c r="K3031" s="6" t="s">
        <v>2656</v>
      </c>
      <c r="L3031" s="6"/>
      <c r="M3031" s="6"/>
      <c r="N3031" s="6" t="s">
        <v>2656</v>
      </c>
      <c r="O3031" s="29">
        <f t="shared" si="71"/>
        <v>-10000</v>
      </c>
      <c r="Q3031" s="30" t="s">
        <v>2656</v>
      </c>
      <c r="R3031" s="31">
        <v>-10000</v>
      </c>
    </row>
    <row r="3032" s="1" customFormat="1" ht="16.35" hidden="1" customHeight="1" spans="1:18">
      <c r="A3032" s="6"/>
      <c r="B3032" s="6" t="s">
        <v>4123</v>
      </c>
      <c r="C3032" s="6" t="s">
        <v>4253</v>
      </c>
      <c r="D3032" s="7">
        <v>130</v>
      </c>
      <c r="E3032" s="6" t="s">
        <v>6711</v>
      </c>
      <c r="F3032" s="6" t="s">
        <v>5631</v>
      </c>
      <c r="G3032" s="6" t="s">
        <v>5632</v>
      </c>
      <c r="H3032" s="8">
        <v>18000</v>
      </c>
      <c r="I3032" s="8"/>
      <c r="J3032" s="6"/>
      <c r="K3032" s="6" t="s">
        <v>2656</v>
      </c>
      <c r="L3032" s="6"/>
      <c r="M3032" s="6"/>
      <c r="N3032" s="6" t="s">
        <v>2656</v>
      </c>
      <c r="O3032" s="29">
        <f t="shared" si="71"/>
        <v>0</v>
      </c>
      <c r="Q3032" s="30" t="s">
        <v>2656</v>
      </c>
      <c r="R3032" s="31">
        <v>0</v>
      </c>
    </row>
    <row r="3033" s="1" customFormat="1" ht="16.35" hidden="1" customHeight="1" spans="1:18">
      <c r="A3033" s="6"/>
      <c r="B3033" s="6" t="s">
        <v>4123</v>
      </c>
      <c r="C3033" s="6" t="s">
        <v>4253</v>
      </c>
      <c r="D3033" s="7">
        <v>130</v>
      </c>
      <c r="E3033" s="6" t="s">
        <v>6711</v>
      </c>
      <c r="F3033" s="6" t="s">
        <v>5631</v>
      </c>
      <c r="G3033" s="6" t="s">
        <v>5632</v>
      </c>
      <c r="H3033" s="8">
        <v>30000</v>
      </c>
      <c r="I3033" s="8"/>
      <c r="J3033" s="6"/>
      <c r="K3033" s="6" t="s">
        <v>2656</v>
      </c>
      <c r="L3033" s="6"/>
      <c r="M3033" s="6"/>
      <c r="N3033" s="6" t="s">
        <v>2656</v>
      </c>
      <c r="O3033" s="29">
        <f t="shared" si="71"/>
        <v>0</v>
      </c>
      <c r="Q3033" s="30" t="s">
        <v>2656</v>
      </c>
      <c r="R3033" s="31">
        <v>0</v>
      </c>
    </row>
    <row r="3034" s="1" customFormat="1" ht="16.35" hidden="1" customHeight="1" spans="1:18">
      <c r="A3034" s="6"/>
      <c r="B3034" s="6" t="s">
        <v>4123</v>
      </c>
      <c r="C3034" s="6" t="s">
        <v>4253</v>
      </c>
      <c r="D3034" s="7">
        <v>130</v>
      </c>
      <c r="E3034" s="6" t="s">
        <v>6711</v>
      </c>
      <c r="F3034" s="6" t="s">
        <v>5631</v>
      </c>
      <c r="G3034" s="6" t="s">
        <v>5632</v>
      </c>
      <c r="H3034" s="8">
        <v>192000</v>
      </c>
      <c r="I3034" s="8"/>
      <c r="J3034" s="6"/>
      <c r="K3034" s="6" t="s">
        <v>2656</v>
      </c>
      <c r="L3034" s="6"/>
      <c r="M3034" s="6"/>
      <c r="N3034" s="6" t="s">
        <v>2656</v>
      </c>
      <c r="O3034" s="29">
        <f t="shared" si="71"/>
        <v>0</v>
      </c>
      <c r="Q3034" s="30" t="s">
        <v>2656</v>
      </c>
      <c r="R3034" s="31">
        <v>0</v>
      </c>
    </row>
    <row r="3035" s="1" customFormat="1" ht="16.35" hidden="1" customHeight="1" spans="1:18">
      <c r="A3035" s="6"/>
      <c r="B3035" s="6" t="s">
        <v>4123</v>
      </c>
      <c r="C3035" s="6" t="s">
        <v>4253</v>
      </c>
      <c r="D3035" s="7">
        <v>29</v>
      </c>
      <c r="E3035" s="6" t="s">
        <v>6712</v>
      </c>
      <c r="F3035" s="6" t="s">
        <v>5631</v>
      </c>
      <c r="G3035" s="6" t="s">
        <v>5632</v>
      </c>
      <c r="H3035" s="8"/>
      <c r="I3035" s="8">
        <v>35000</v>
      </c>
      <c r="J3035" s="6"/>
      <c r="K3035" s="6" t="s">
        <v>2682</v>
      </c>
      <c r="L3035" s="6"/>
      <c r="M3035" s="6"/>
      <c r="N3035" s="6" t="s">
        <v>2682</v>
      </c>
      <c r="O3035" s="29">
        <f t="shared" si="71"/>
        <v>35000</v>
      </c>
      <c r="Q3035" s="30" t="s">
        <v>2682</v>
      </c>
      <c r="R3035" s="31">
        <v>35000</v>
      </c>
    </row>
    <row r="3036" s="1" customFormat="1" ht="16.35" hidden="1" customHeight="1" spans="1:18">
      <c r="A3036" s="6"/>
      <c r="B3036" s="6" t="s">
        <v>4123</v>
      </c>
      <c r="C3036" s="6" t="s">
        <v>4253</v>
      </c>
      <c r="D3036" s="7">
        <v>79</v>
      </c>
      <c r="E3036" s="6" t="s">
        <v>6713</v>
      </c>
      <c r="F3036" s="6" t="s">
        <v>5631</v>
      </c>
      <c r="G3036" s="6" t="s">
        <v>5632</v>
      </c>
      <c r="H3036" s="8"/>
      <c r="I3036" s="8">
        <v>9212</v>
      </c>
      <c r="J3036" s="6"/>
      <c r="K3036" s="6" t="s">
        <v>2682</v>
      </c>
      <c r="L3036" s="6"/>
      <c r="M3036" s="6"/>
      <c r="N3036" s="6" t="s">
        <v>2682</v>
      </c>
      <c r="O3036" s="29">
        <f t="shared" si="71"/>
        <v>9212</v>
      </c>
      <c r="Q3036" s="30" t="s">
        <v>2682</v>
      </c>
      <c r="R3036" s="31">
        <v>9212</v>
      </c>
    </row>
    <row r="3037" s="1" customFormat="1" ht="16.35" hidden="1" customHeight="1" spans="1:18">
      <c r="A3037" s="6"/>
      <c r="B3037" s="6" t="s">
        <v>4123</v>
      </c>
      <c r="C3037" s="6" t="s">
        <v>4253</v>
      </c>
      <c r="D3037" s="7">
        <v>11</v>
      </c>
      <c r="E3037" s="6" t="s">
        <v>6714</v>
      </c>
      <c r="F3037" s="6" t="s">
        <v>5631</v>
      </c>
      <c r="G3037" s="6" t="s">
        <v>5632</v>
      </c>
      <c r="H3037" s="8"/>
      <c r="I3037" s="8">
        <v>2000</v>
      </c>
      <c r="J3037" s="6"/>
      <c r="K3037" s="6" t="s">
        <v>2680</v>
      </c>
      <c r="L3037" s="6"/>
      <c r="M3037" s="6"/>
      <c r="N3037" s="6" t="s">
        <v>2680</v>
      </c>
      <c r="O3037" s="29">
        <f t="shared" si="71"/>
        <v>2000</v>
      </c>
      <c r="Q3037" s="30" t="s">
        <v>2680</v>
      </c>
      <c r="R3037" s="31">
        <v>2000</v>
      </c>
    </row>
    <row r="3038" s="1" customFormat="1" ht="16.35" hidden="1" customHeight="1" spans="1:18">
      <c r="A3038" s="6"/>
      <c r="B3038" s="6" t="s">
        <v>4123</v>
      </c>
      <c r="C3038" s="6" t="s">
        <v>4253</v>
      </c>
      <c r="D3038" s="7">
        <v>33</v>
      </c>
      <c r="E3038" s="6" t="s">
        <v>6715</v>
      </c>
      <c r="F3038" s="6" t="s">
        <v>5631</v>
      </c>
      <c r="G3038" s="6" t="s">
        <v>5632</v>
      </c>
      <c r="H3038" s="8"/>
      <c r="I3038" s="8">
        <v>1000</v>
      </c>
      <c r="J3038" s="6"/>
      <c r="K3038" s="6" t="s">
        <v>2624</v>
      </c>
      <c r="L3038" s="6"/>
      <c r="M3038" s="6"/>
      <c r="N3038" s="6" t="s">
        <v>2624</v>
      </c>
      <c r="O3038" s="29">
        <f t="shared" si="71"/>
        <v>1000</v>
      </c>
      <c r="Q3038" s="30" t="s">
        <v>2624</v>
      </c>
      <c r="R3038" s="31">
        <v>1000</v>
      </c>
    </row>
    <row r="3039" s="1" customFormat="1" ht="16.35" hidden="1" customHeight="1" spans="1:18">
      <c r="A3039" s="6"/>
      <c r="B3039" s="6" t="s">
        <v>4123</v>
      </c>
      <c r="C3039" s="6" t="s">
        <v>4253</v>
      </c>
      <c r="D3039" s="7">
        <v>91</v>
      </c>
      <c r="E3039" s="6" t="s">
        <v>6716</v>
      </c>
      <c r="F3039" s="6" t="s">
        <v>5631</v>
      </c>
      <c r="G3039" s="6" t="s">
        <v>5632</v>
      </c>
      <c r="H3039" s="8"/>
      <c r="I3039" s="8">
        <v>30000</v>
      </c>
      <c r="J3039" s="6"/>
      <c r="K3039" s="6" t="s">
        <v>2698</v>
      </c>
      <c r="L3039" s="6"/>
      <c r="M3039" s="6"/>
      <c r="N3039" s="6" t="s">
        <v>2698</v>
      </c>
      <c r="O3039" s="29">
        <f t="shared" si="71"/>
        <v>30000</v>
      </c>
      <c r="Q3039" s="30" t="s">
        <v>2698</v>
      </c>
      <c r="R3039" s="31">
        <v>30000</v>
      </c>
    </row>
    <row r="3040" s="1" customFormat="1" ht="16.35" hidden="1" customHeight="1" spans="1:18">
      <c r="A3040" s="6"/>
      <c r="B3040" s="6" t="s">
        <v>4123</v>
      </c>
      <c r="C3040" s="6" t="s">
        <v>4253</v>
      </c>
      <c r="D3040" s="7">
        <v>4</v>
      </c>
      <c r="E3040" s="6" t="s">
        <v>6717</v>
      </c>
      <c r="F3040" s="6" t="s">
        <v>5631</v>
      </c>
      <c r="G3040" s="6" t="s">
        <v>5632</v>
      </c>
      <c r="H3040" s="8"/>
      <c r="I3040" s="8">
        <v>10000</v>
      </c>
      <c r="J3040" s="6"/>
      <c r="K3040" s="6" t="s">
        <v>2698</v>
      </c>
      <c r="L3040" s="6"/>
      <c r="M3040" s="6"/>
      <c r="N3040" s="6" t="s">
        <v>2698</v>
      </c>
      <c r="O3040" s="29">
        <f t="shared" si="71"/>
        <v>10000</v>
      </c>
      <c r="Q3040" s="30" t="s">
        <v>2698</v>
      </c>
      <c r="R3040" s="31">
        <v>10000</v>
      </c>
    </row>
    <row r="3041" s="1" customFormat="1" ht="16.35" hidden="1" customHeight="1" spans="1:18">
      <c r="A3041" s="6"/>
      <c r="B3041" s="6" t="s">
        <v>4123</v>
      </c>
      <c r="C3041" s="6" t="s">
        <v>4253</v>
      </c>
      <c r="D3041" s="7">
        <v>4</v>
      </c>
      <c r="E3041" s="6" t="s">
        <v>6718</v>
      </c>
      <c r="F3041" s="6" t="s">
        <v>5631</v>
      </c>
      <c r="G3041" s="6" t="s">
        <v>5632</v>
      </c>
      <c r="H3041" s="8"/>
      <c r="I3041" s="8">
        <v>10000</v>
      </c>
      <c r="J3041" s="6"/>
      <c r="K3041" s="6" t="s">
        <v>2720</v>
      </c>
      <c r="L3041" s="6"/>
      <c r="M3041" s="6"/>
      <c r="N3041" s="6" t="s">
        <v>2720</v>
      </c>
      <c r="O3041" s="29">
        <f t="shared" si="71"/>
        <v>10000</v>
      </c>
      <c r="Q3041" s="30" t="s">
        <v>2720</v>
      </c>
      <c r="R3041" s="31">
        <v>10000</v>
      </c>
    </row>
    <row r="3042" s="1" customFormat="1" ht="16.35" hidden="1" customHeight="1" spans="1:18">
      <c r="A3042" s="6"/>
      <c r="B3042" s="6" t="s">
        <v>4123</v>
      </c>
      <c r="C3042" s="6" t="s">
        <v>4253</v>
      </c>
      <c r="D3042" s="7">
        <v>130</v>
      </c>
      <c r="E3042" s="6" t="s">
        <v>6719</v>
      </c>
      <c r="F3042" s="6" t="s">
        <v>5631</v>
      </c>
      <c r="G3042" s="6" t="s">
        <v>5632</v>
      </c>
      <c r="H3042" s="8">
        <v>264000</v>
      </c>
      <c r="I3042" s="8"/>
      <c r="J3042" s="6"/>
      <c r="K3042" s="6" t="s">
        <v>2720</v>
      </c>
      <c r="L3042" s="6"/>
      <c r="M3042" s="6"/>
      <c r="N3042" s="6" t="s">
        <v>2720</v>
      </c>
      <c r="O3042" s="29">
        <f t="shared" si="71"/>
        <v>0</v>
      </c>
      <c r="Q3042" s="30" t="s">
        <v>2720</v>
      </c>
      <c r="R3042" s="31">
        <v>0</v>
      </c>
    </row>
    <row r="3043" s="1" customFormat="1" ht="16.35" hidden="1" customHeight="1" spans="1:18">
      <c r="A3043" s="6"/>
      <c r="B3043" s="6" t="s">
        <v>4123</v>
      </c>
      <c r="C3043" s="6" t="s">
        <v>4253</v>
      </c>
      <c r="D3043" s="7">
        <v>90</v>
      </c>
      <c r="E3043" s="6" t="s">
        <v>6720</v>
      </c>
      <c r="F3043" s="6" t="s">
        <v>5631</v>
      </c>
      <c r="G3043" s="6" t="s">
        <v>5632</v>
      </c>
      <c r="H3043" s="8"/>
      <c r="I3043" s="8">
        <v>70165</v>
      </c>
      <c r="J3043" s="6"/>
      <c r="K3043" s="6" t="s">
        <v>2728</v>
      </c>
      <c r="L3043" s="6"/>
      <c r="M3043" s="6"/>
      <c r="N3043" s="6" t="s">
        <v>2728</v>
      </c>
      <c r="O3043" s="29">
        <f t="shared" ref="O3043:O3074" si="72">I3043</f>
        <v>70165</v>
      </c>
      <c r="Q3043" s="30" t="s">
        <v>2728</v>
      </c>
      <c r="R3043" s="31">
        <v>70165</v>
      </c>
    </row>
    <row r="3044" s="1" customFormat="1" ht="16.35" hidden="1" customHeight="1" spans="1:18">
      <c r="A3044" s="6"/>
      <c r="B3044" s="6" t="s">
        <v>4123</v>
      </c>
      <c r="C3044" s="6" t="s">
        <v>4253</v>
      </c>
      <c r="D3044" s="7">
        <v>3</v>
      </c>
      <c r="E3044" s="6" t="s">
        <v>6721</v>
      </c>
      <c r="F3044" s="6" t="s">
        <v>5631</v>
      </c>
      <c r="G3044" s="6" t="s">
        <v>5632</v>
      </c>
      <c r="H3044" s="8"/>
      <c r="I3044" s="8">
        <v>5000</v>
      </c>
      <c r="J3044" s="6"/>
      <c r="K3044" s="6" t="s">
        <v>1976</v>
      </c>
      <c r="L3044" s="6"/>
      <c r="M3044" s="6"/>
      <c r="N3044" s="6" t="s">
        <v>1976</v>
      </c>
      <c r="O3044" s="29">
        <f t="shared" si="72"/>
        <v>5000</v>
      </c>
      <c r="Q3044" s="30" t="s">
        <v>1976</v>
      </c>
      <c r="R3044" s="31">
        <v>5000</v>
      </c>
    </row>
    <row r="3045" s="1" customFormat="1" ht="16.35" hidden="1" customHeight="1" spans="1:18">
      <c r="A3045" s="6"/>
      <c r="B3045" s="6" t="s">
        <v>4123</v>
      </c>
      <c r="C3045" s="6" t="s">
        <v>4253</v>
      </c>
      <c r="D3045" s="7">
        <v>3</v>
      </c>
      <c r="E3045" s="6" t="s">
        <v>6722</v>
      </c>
      <c r="F3045" s="6" t="s">
        <v>5631</v>
      </c>
      <c r="G3045" s="6" t="s">
        <v>5632</v>
      </c>
      <c r="H3045" s="8"/>
      <c r="I3045" s="8">
        <v>-5000</v>
      </c>
      <c r="J3045" s="6"/>
      <c r="K3045" s="6" t="s">
        <v>1976</v>
      </c>
      <c r="L3045" s="6"/>
      <c r="M3045" s="6"/>
      <c r="N3045" s="6" t="s">
        <v>1976</v>
      </c>
      <c r="O3045" s="29">
        <f t="shared" si="72"/>
        <v>-5000</v>
      </c>
      <c r="Q3045" s="30" t="s">
        <v>1976</v>
      </c>
      <c r="R3045" s="31">
        <v>-5000</v>
      </c>
    </row>
    <row r="3046" s="1" customFormat="1" ht="16.35" hidden="1" customHeight="1" spans="1:18">
      <c r="A3046" s="6"/>
      <c r="B3046" s="6" t="s">
        <v>4123</v>
      </c>
      <c r="C3046" s="6" t="s">
        <v>4253</v>
      </c>
      <c r="D3046" s="7">
        <v>3</v>
      </c>
      <c r="E3046" s="6" t="s">
        <v>6723</v>
      </c>
      <c r="F3046" s="6" t="s">
        <v>5631</v>
      </c>
      <c r="G3046" s="6" t="s">
        <v>5632</v>
      </c>
      <c r="H3046" s="8"/>
      <c r="I3046" s="8">
        <v>5000</v>
      </c>
      <c r="J3046" s="6"/>
      <c r="K3046" s="6" t="s">
        <v>2738</v>
      </c>
      <c r="L3046" s="6"/>
      <c r="M3046" s="6"/>
      <c r="N3046" s="6" t="s">
        <v>2738</v>
      </c>
      <c r="O3046" s="29">
        <f t="shared" si="72"/>
        <v>5000</v>
      </c>
      <c r="Q3046" s="30" t="s">
        <v>2738</v>
      </c>
      <c r="R3046" s="31">
        <v>5000</v>
      </c>
    </row>
    <row r="3047" s="1" customFormat="1" ht="16.35" hidden="1" customHeight="1" spans="1:18">
      <c r="A3047" s="6"/>
      <c r="B3047" s="6" t="s">
        <v>4123</v>
      </c>
      <c r="C3047" s="6" t="s">
        <v>4253</v>
      </c>
      <c r="D3047" s="7">
        <v>129</v>
      </c>
      <c r="E3047" s="6" t="s">
        <v>6724</v>
      </c>
      <c r="F3047" s="6" t="s">
        <v>5631</v>
      </c>
      <c r="G3047" s="6" t="s">
        <v>5632</v>
      </c>
      <c r="H3047" s="8">
        <v>134877</v>
      </c>
      <c r="I3047" s="8"/>
      <c r="J3047" s="6"/>
      <c r="K3047" s="6" t="s">
        <v>2738</v>
      </c>
      <c r="L3047" s="6"/>
      <c r="M3047" s="6"/>
      <c r="N3047" s="6" t="s">
        <v>2738</v>
      </c>
      <c r="O3047" s="29">
        <f t="shared" si="72"/>
        <v>0</v>
      </c>
      <c r="Q3047" s="30" t="s">
        <v>2738</v>
      </c>
      <c r="R3047" s="31">
        <v>0</v>
      </c>
    </row>
    <row r="3048" s="1" customFormat="1" ht="16.35" hidden="1" customHeight="1" spans="1:18">
      <c r="A3048" s="6"/>
      <c r="B3048" s="6" t="s">
        <v>4123</v>
      </c>
      <c r="C3048" s="6" t="s">
        <v>4253</v>
      </c>
      <c r="D3048" s="7">
        <v>3</v>
      </c>
      <c r="E3048" s="6" t="s">
        <v>6725</v>
      </c>
      <c r="F3048" s="6" t="s">
        <v>5631</v>
      </c>
      <c r="G3048" s="6" t="s">
        <v>5632</v>
      </c>
      <c r="H3048" s="8"/>
      <c r="I3048" s="8">
        <v>1000</v>
      </c>
      <c r="J3048" s="6"/>
      <c r="K3048" s="6" t="s">
        <v>1944</v>
      </c>
      <c r="L3048" s="6"/>
      <c r="M3048" s="6"/>
      <c r="N3048" s="6" t="s">
        <v>1944</v>
      </c>
      <c r="O3048" s="29">
        <f t="shared" si="72"/>
        <v>1000</v>
      </c>
      <c r="Q3048" s="30" t="s">
        <v>1944</v>
      </c>
      <c r="R3048" s="31">
        <v>1000</v>
      </c>
    </row>
    <row r="3049" s="1" customFormat="1" ht="16.35" hidden="1" customHeight="1" spans="1:18">
      <c r="A3049" s="6"/>
      <c r="B3049" s="6" t="s">
        <v>4123</v>
      </c>
      <c r="C3049" s="6" t="s">
        <v>4253</v>
      </c>
      <c r="D3049" s="7">
        <v>3</v>
      </c>
      <c r="E3049" s="6" t="s">
        <v>6726</v>
      </c>
      <c r="F3049" s="6" t="s">
        <v>5631</v>
      </c>
      <c r="G3049" s="6" t="s">
        <v>5632</v>
      </c>
      <c r="H3049" s="8"/>
      <c r="I3049" s="8">
        <v>4000</v>
      </c>
      <c r="J3049" s="6"/>
      <c r="K3049" s="6" t="s">
        <v>1944</v>
      </c>
      <c r="L3049" s="6"/>
      <c r="M3049" s="6"/>
      <c r="N3049" s="6" t="s">
        <v>1944</v>
      </c>
      <c r="O3049" s="29">
        <f t="shared" si="72"/>
        <v>4000</v>
      </c>
      <c r="Q3049" s="30" t="s">
        <v>1944</v>
      </c>
      <c r="R3049" s="31">
        <v>4000</v>
      </c>
    </row>
    <row r="3050" s="1" customFormat="1" ht="16.35" hidden="1" customHeight="1" spans="1:18">
      <c r="A3050" s="6"/>
      <c r="B3050" s="6" t="s">
        <v>4123</v>
      </c>
      <c r="C3050" s="6" t="s">
        <v>4253</v>
      </c>
      <c r="D3050" s="7">
        <v>3</v>
      </c>
      <c r="E3050" s="6" t="s">
        <v>6727</v>
      </c>
      <c r="F3050" s="6" t="s">
        <v>5631</v>
      </c>
      <c r="G3050" s="6" t="s">
        <v>5632</v>
      </c>
      <c r="H3050" s="8"/>
      <c r="I3050" s="8">
        <v>-5000</v>
      </c>
      <c r="J3050" s="6"/>
      <c r="K3050" s="6" t="s">
        <v>1944</v>
      </c>
      <c r="L3050" s="6"/>
      <c r="M3050" s="6"/>
      <c r="N3050" s="6" t="s">
        <v>1944</v>
      </c>
      <c r="O3050" s="29">
        <f t="shared" si="72"/>
        <v>-5000</v>
      </c>
      <c r="Q3050" s="30" t="s">
        <v>1944</v>
      </c>
      <c r="R3050" s="31">
        <v>-5000</v>
      </c>
    </row>
    <row r="3051" s="1" customFormat="1" ht="16.35" hidden="1" customHeight="1" spans="1:18">
      <c r="A3051" s="6"/>
      <c r="B3051" s="6" t="s">
        <v>4123</v>
      </c>
      <c r="C3051" s="6" t="s">
        <v>4253</v>
      </c>
      <c r="D3051" s="7">
        <v>3</v>
      </c>
      <c r="E3051" s="6" t="s">
        <v>6728</v>
      </c>
      <c r="F3051" s="6" t="s">
        <v>5631</v>
      </c>
      <c r="G3051" s="6" t="s">
        <v>5632</v>
      </c>
      <c r="H3051" s="8"/>
      <c r="I3051" s="8">
        <v>5000</v>
      </c>
      <c r="J3051" s="6"/>
      <c r="K3051" s="6" t="s">
        <v>1959</v>
      </c>
      <c r="L3051" s="6"/>
      <c r="M3051" s="6"/>
      <c r="N3051" s="6" t="s">
        <v>1959</v>
      </c>
      <c r="O3051" s="29">
        <f t="shared" si="72"/>
        <v>5000</v>
      </c>
      <c r="Q3051" s="30" t="s">
        <v>1959</v>
      </c>
      <c r="R3051" s="31">
        <v>5000</v>
      </c>
    </row>
    <row r="3052" s="1" customFormat="1" ht="16.35" hidden="1" customHeight="1" spans="1:18">
      <c r="A3052" s="6"/>
      <c r="B3052" s="6" t="s">
        <v>4123</v>
      </c>
      <c r="C3052" s="6" t="s">
        <v>4253</v>
      </c>
      <c r="D3052" s="7">
        <v>3</v>
      </c>
      <c r="E3052" s="6" t="s">
        <v>6729</v>
      </c>
      <c r="F3052" s="6" t="s">
        <v>5631</v>
      </c>
      <c r="G3052" s="6" t="s">
        <v>5632</v>
      </c>
      <c r="H3052" s="8"/>
      <c r="I3052" s="8">
        <v>5000</v>
      </c>
      <c r="J3052" s="6"/>
      <c r="K3052" s="6" t="s">
        <v>1982</v>
      </c>
      <c r="L3052" s="6"/>
      <c r="M3052" s="6"/>
      <c r="N3052" s="6" t="s">
        <v>1982</v>
      </c>
      <c r="O3052" s="29">
        <f t="shared" si="72"/>
        <v>5000</v>
      </c>
      <c r="Q3052" s="30" t="s">
        <v>1982</v>
      </c>
      <c r="R3052" s="31">
        <v>5000</v>
      </c>
    </row>
    <row r="3053" s="1" customFormat="1" ht="16.35" hidden="1" customHeight="1" spans="1:18">
      <c r="A3053" s="6"/>
      <c r="B3053" s="6" t="s">
        <v>4123</v>
      </c>
      <c r="C3053" s="6" t="s">
        <v>4253</v>
      </c>
      <c r="D3053" s="7">
        <v>129</v>
      </c>
      <c r="E3053" s="6" t="s">
        <v>6730</v>
      </c>
      <c r="F3053" s="6" t="s">
        <v>5631</v>
      </c>
      <c r="G3053" s="6" t="s">
        <v>5632</v>
      </c>
      <c r="H3053" s="8">
        <v>234299</v>
      </c>
      <c r="I3053" s="8"/>
      <c r="J3053" s="6"/>
      <c r="K3053" s="6" t="s">
        <v>1982</v>
      </c>
      <c r="L3053" s="6"/>
      <c r="M3053" s="6"/>
      <c r="N3053" s="6" t="s">
        <v>1982</v>
      </c>
      <c r="O3053" s="29">
        <f t="shared" si="72"/>
        <v>0</v>
      </c>
      <c r="Q3053" s="30" t="s">
        <v>1982</v>
      </c>
      <c r="R3053" s="31">
        <v>0</v>
      </c>
    </row>
    <row r="3054" s="1" customFormat="1" ht="16.35" hidden="1" customHeight="1" spans="1:18">
      <c r="A3054" s="6"/>
      <c r="B3054" s="6" t="s">
        <v>4123</v>
      </c>
      <c r="C3054" s="6" t="s">
        <v>4253</v>
      </c>
      <c r="D3054" s="7">
        <v>3</v>
      </c>
      <c r="E3054" s="6" t="s">
        <v>6731</v>
      </c>
      <c r="F3054" s="6" t="s">
        <v>5631</v>
      </c>
      <c r="G3054" s="6" t="s">
        <v>5632</v>
      </c>
      <c r="H3054" s="8"/>
      <c r="I3054" s="8">
        <v>5000</v>
      </c>
      <c r="J3054" s="6"/>
      <c r="K3054" s="6" t="s">
        <v>2037</v>
      </c>
      <c r="L3054" s="6"/>
      <c r="M3054" s="6"/>
      <c r="N3054" s="6" t="s">
        <v>2037</v>
      </c>
      <c r="O3054" s="29">
        <f t="shared" si="72"/>
        <v>5000</v>
      </c>
      <c r="Q3054" s="30" t="s">
        <v>2037</v>
      </c>
      <c r="R3054" s="31">
        <v>5000</v>
      </c>
    </row>
    <row r="3055" s="1" customFormat="1" ht="16.35" hidden="1" customHeight="1" spans="1:18">
      <c r="A3055" s="6"/>
      <c r="B3055" s="6" t="s">
        <v>4123</v>
      </c>
      <c r="C3055" s="6" t="s">
        <v>4253</v>
      </c>
      <c r="D3055" s="7">
        <v>3</v>
      </c>
      <c r="E3055" s="6" t="s">
        <v>6732</v>
      </c>
      <c r="F3055" s="6" t="s">
        <v>5631</v>
      </c>
      <c r="G3055" s="6" t="s">
        <v>5632</v>
      </c>
      <c r="H3055" s="8"/>
      <c r="I3055" s="8">
        <v>-5000</v>
      </c>
      <c r="J3055" s="6"/>
      <c r="K3055" s="6" t="s">
        <v>2037</v>
      </c>
      <c r="L3055" s="6"/>
      <c r="M3055" s="6"/>
      <c r="N3055" s="6" t="s">
        <v>2037</v>
      </c>
      <c r="O3055" s="29">
        <f t="shared" si="72"/>
        <v>-5000</v>
      </c>
      <c r="Q3055" s="30" t="s">
        <v>2037</v>
      </c>
      <c r="R3055" s="31">
        <v>-5000</v>
      </c>
    </row>
    <row r="3056" s="1" customFormat="1" ht="16.35" hidden="1" customHeight="1" spans="1:18">
      <c r="A3056" s="6"/>
      <c r="B3056" s="6" t="s">
        <v>4123</v>
      </c>
      <c r="C3056" s="6" t="s">
        <v>4253</v>
      </c>
      <c r="D3056" s="7">
        <v>3</v>
      </c>
      <c r="E3056" s="6" t="s">
        <v>6733</v>
      </c>
      <c r="F3056" s="6" t="s">
        <v>5631</v>
      </c>
      <c r="G3056" s="6" t="s">
        <v>5632</v>
      </c>
      <c r="H3056" s="8"/>
      <c r="I3056" s="8">
        <v>5000</v>
      </c>
      <c r="J3056" s="6"/>
      <c r="K3056" s="6" t="s">
        <v>2011</v>
      </c>
      <c r="L3056" s="6"/>
      <c r="M3056" s="6"/>
      <c r="N3056" s="6" t="s">
        <v>2011</v>
      </c>
      <c r="O3056" s="29">
        <f t="shared" si="72"/>
        <v>5000</v>
      </c>
      <c r="Q3056" s="30" t="s">
        <v>2011</v>
      </c>
      <c r="R3056" s="31">
        <v>5000</v>
      </c>
    </row>
    <row r="3057" s="1" customFormat="1" ht="16.35" hidden="1" customHeight="1" spans="1:18">
      <c r="A3057" s="6"/>
      <c r="B3057" s="6" t="s">
        <v>4123</v>
      </c>
      <c r="C3057" s="6" t="s">
        <v>4253</v>
      </c>
      <c r="D3057" s="7">
        <v>3</v>
      </c>
      <c r="E3057" s="6" t="s">
        <v>6734</v>
      </c>
      <c r="F3057" s="6" t="s">
        <v>5631</v>
      </c>
      <c r="G3057" s="6" t="s">
        <v>5632</v>
      </c>
      <c r="H3057" s="8"/>
      <c r="I3057" s="8">
        <v>-5000</v>
      </c>
      <c r="J3057" s="6"/>
      <c r="K3057" s="6" t="s">
        <v>2011</v>
      </c>
      <c r="L3057" s="6"/>
      <c r="M3057" s="6"/>
      <c r="N3057" s="6" t="s">
        <v>2011</v>
      </c>
      <c r="O3057" s="29">
        <f t="shared" si="72"/>
        <v>-5000</v>
      </c>
      <c r="Q3057" s="30" t="s">
        <v>2011</v>
      </c>
      <c r="R3057" s="31">
        <v>-5000</v>
      </c>
    </row>
    <row r="3058" s="1" customFormat="1" ht="16.35" hidden="1" customHeight="1" spans="1:18">
      <c r="A3058" s="6"/>
      <c r="B3058" s="6" t="s">
        <v>4123</v>
      </c>
      <c r="C3058" s="6" t="s">
        <v>4253</v>
      </c>
      <c r="D3058" s="7">
        <v>3</v>
      </c>
      <c r="E3058" s="6" t="s">
        <v>6735</v>
      </c>
      <c r="F3058" s="6" t="s">
        <v>5631</v>
      </c>
      <c r="G3058" s="6" t="s">
        <v>5632</v>
      </c>
      <c r="H3058" s="8"/>
      <c r="I3058" s="8">
        <v>5000</v>
      </c>
      <c r="J3058" s="6"/>
      <c r="K3058" s="6" t="s">
        <v>2017</v>
      </c>
      <c r="L3058" s="6"/>
      <c r="M3058" s="6"/>
      <c r="N3058" s="6" t="s">
        <v>2017</v>
      </c>
      <c r="O3058" s="29">
        <f t="shared" si="72"/>
        <v>5000</v>
      </c>
      <c r="Q3058" s="30" t="s">
        <v>2017</v>
      </c>
      <c r="R3058" s="31">
        <v>5000</v>
      </c>
    </row>
    <row r="3059" s="1" customFormat="1" ht="16.35" hidden="1" customHeight="1" spans="1:18">
      <c r="A3059" s="6"/>
      <c r="B3059" s="6" t="s">
        <v>4123</v>
      </c>
      <c r="C3059" s="6" t="s">
        <v>4253</v>
      </c>
      <c r="D3059" s="7">
        <v>3</v>
      </c>
      <c r="E3059" s="6" t="s">
        <v>6736</v>
      </c>
      <c r="F3059" s="6" t="s">
        <v>5631</v>
      </c>
      <c r="G3059" s="6" t="s">
        <v>5632</v>
      </c>
      <c r="H3059" s="8"/>
      <c r="I3059" s="8">
        <v>-5000</v>
      </c>
      <c r="J3059" s="6"/>
      <c r="K3059" s="6" t="s">
        <v>2017</v>
      </c>
      <c r="L3059" s="6"/>
      <c r="M3059" s="6"/>
      <c r="N3059" s="6" t="s">
        <v>2017</v>
      </c>
      <c r="O3059" s="29">
        <f t="shared" si="72"/>
        <v>-5000</v>
      </c>
      <c r="Q3059" s="30" t="s">
        <v>2017</v>
      </c>
      <c r="R3059" s="31">
        <v>-5000</v>
      </c>
    </row>
    <row r="3060" s="1" customFormat="1" ht="16.35" hidden="1" customHeight="1" spans="1:18">
      <c r="A3060" s="6"/>
      <c r="B3060" s="6" t="s">
        <v>4123</v>
      </c>
      <c r="C3060" s="6" t="s">
        <v>4253</v>
      </c>
      <c r="D3060" s="7">
        <v>3</v>
      </c>
      <c r="E3060" s="6" t="s">
        <v>6737</v>
      </c>
      <c r="F3060" s="6" t="s">
        <v>5631</v>
      </c>
      <c r="G3060" s="6" t="s">
        <v>5632</v>
      </c>
      <c r="H3060" s="8"/>
      <c r="I3060" s="8">
        <v>5000</v>
      </c>
      <c r="J3060" s="6"/>
      <c r="K3060" s="6" t="s">
        <v>2065</v>
      </c>
      <c r="L3060" s="6"/>
      <c r="M3060" s="6"/>
      <c r="N3060" s="6" t="s">
        <v>2065</v>
      </c>
      <c r="O3060" s="29">
        <f t="shared" si="72"/>
        <v>5000</v>
      </c>
      <c r="Q3060" s="30" t="s">
        <v>2065</v>
      </c>
      <c r="R3060" s="31">
        <v>5000</v>
      </c>
    </row>
    <row r="3061" s="1" customFormat="1" ht="16.35" hidden="1" customHeight="1" spans="1:18">
      <c r="A3061" s="6"/>
      <c r="B3061" s="6" t="s">
        <v>4123</v>
      </c>
      <c r="C3061" s="6" t="s">
        <v>4253</v>
      </c>
      <c r="D3061" s="7">
        <v>3</v>
      </c>
      <c r="E3061" s="6" t="s">
        <v>6511</v>
      </c>
      <c r="F3061" s="6" t="s">
        <v>5631</v>
      </c>
      <c r="G3061" s="6" t="s">
        <v>5632</v>
      </c>
      <c r="H3061" s="8"/>
      <c r="I3061" s="8">
        <v>-5000</v>
      </c>
      <c r="J3061" s="6"/>
      <c r="K3061" s="6" t="s">
        <v>2065</v>
      </c>
      <c r="L3061" s="6"/>
      <c r="M3061" s="6"/>
      <c r="N3061" s="6" t="s">
        <v>2065</v>
      </c>
      <c r="O3061" s="29">
        <f t="shared" si="72"/>
        <v>-5000</v>
      </c>
      <c r="Q3061" s="30" t="s">
        <v>2065</v>
      </c>
      <c r="R3061" s="31">
        <v>-5000</v>
      </c>
    </row>
    <row r="3062" s="1" customFormat="1" ht="16.35" hidden="1" customHeight="1" spans="1:18">
      <c r="A3062" s="6"/>
      <c r="B3062" s="6" t="s">
        <v>4123</v>
      </c>
      <c r="C3062" s="6" t="s">
        <v>4253</v>
      </c>
      <c r="D3062" s="7">
        <v>3</v>
      </c>
      <c r="E3062" s="6" t="s">
        <v>6738</v>
      </c>
      <c r="F3062" s="6" t="s">
        <v>5631</v>
      </c>
      <c r="G3062" s="6" t="s">
        <v>5632</v>
      </c>
      <c r="H3062" s="8"/>
      <c r="I3062" s="8">
        <v>-5000</v>
      </c>
      <c r="J3062" s="6"/>
      <c r="K3062" s="6" t="s">
        <v>2065</v>
      </c>
      <c r="L3062" s="6"/>
      <c r="M3062" s="6"/>
      <c r="N3062" s="6" t="s">
        <v>2065</v>
      </c>
      <c r="O3062" s="29">
        <f t="shared" si="72"/>
        <v>-5000</v>
      </c>
      <c r="Q3062" s="30" t="s">
        <v>2065</v>
      </c>
      <c r="R3062" s="31">
        <v>-5000</v>
      </c>
    </row>
    <row r="3063" s="1" customFormat="1" ht="16.35" hidden="1" customHeight="1" spans="1:18">
      <c r="A3063" s="6"/>
      <c r="B3063" s="6" t="s">
        <v>4123</v>
      </c>
      <c r="C3063" s="6" t="s">
        <v>4253</v>
      </c>
      <c r="D3063" s="7">
        <v>129</v>
      </c>
      <c r="E3063" s="6" t="s">
        <v>6739</v>
      </c>
      <c r="F3063" s="6" t="s">
        <v>5631</v>
      </c>
      <c r="G3063" s="6" t="s">
        <v>5632</v>
      </c>
      <c r="H3063" s="8">
        <v>163138</v>
      </c>
      <c r="I3063" s="8"/>
      <c r="J3063" s="6"/>
      <c r="K3063" s="6" t="s">
        <v>2065</v>
      </c>
      <c r="L3063" s="6"/>
      <c r="M3063" s="6"/>
      <c r="N3063" s="6" t="s">
        <v>2065</v>
      </c>
      <c r="O3063" s="29">
        <f t="shared" si="72"/>
        <v>0</v>
      </c>
      <c r="Q3063" s="30" t="s">
        <v>2065</v>
      </c>
      <c r="R3063" s="31">
        <v>0</v>
      </c>
    </row>
    <row r="3064" s="1" customFormat="1" ht="16.35" hidden="1" customHeight="1" spans="1:18">
      <c r="A3064" s="6"/>
      <c r="B3064" s="6" t="s">
        <v>4123</v>
      </c>
      <c r="C3064" s="6" t="s">
        <v>4253</v>
      </c>
      <c r="D3064" s="7">
        <v>3</v>
      </c>
      <c r="E3064" s="6" t="s">
        <v>6740</v>
      </c>
      <c r="F3064" s="6" t="s">
        <v>5631</v>
      </c>
      <c r="G3064" s="6" t="s">
        <v>5632</v>
      </c>
      <c r="H3064" s="8"/>
      <c r="I3064" s="8">
        <v>5000</v>
      </c>
      <c r="J3064" s="6"/>
      <c r="K3064" s="6" t="s">
        <v>2077</v>
      </c>
      <c r="L3064" s="6"/>
      <c r="M3064" s="6"/>
      <c r="N3064" s="6" t="s">
        <v>2077</v>
      </c>
      <c r="O3064" s="29">
        <f t="shared" si="72"/>
        <v>5000</v>
      </c>
      <c r="Q3064" s="30" t="s">
        <v>2077</v>
      </c>
      <c r="R3064" s="31">
        <v>5000</v>
      </c>
    </row>
    <row r="3065" s="1" customFormat="1" ht="16.35" hidden="1" customHeight="1" spans="1:18">
      <c r="A3065" s="6"/>
      <c r="B3065" s="6" t="s">
        <v>4123</v>
      </c>
      <c r="C3065" s="6" t="s">
        <v>4253</v>
      </c>
      <c r="D3065" s="7">
        <v>3</v>
      </c>
      <c r="E3065" s="6" t="s">
        <v>6741</v>
      </c>
      <c r="F3065" s="6" t="s">
        <v>5631</v>
      </c>
      <c r="G3065" s="6" t="s">
        <v>5632</v>
      </c>
      <c r="H3065" s="8"/>
      <c r="I3065" s="8">
        <v>-5000</v>
      </c>
      <c r="J3065" s="6"/>
      <c r="K3065" s="6" t="s">
        <v>2077</v>
      </c>
      <c r="L3065" s="6"/>
      <c r="M3065" s="6"/>
      <c r="N3065" s="6" t="s">
        <v>2077</v>
      </c>
      <c r="O3065" s="29">
        <f t="shared" si="72"/>
        <v>-5000</v>
      </c>
      <c r="Q3065" s="30" t="s">
        <v>2077</v>
      </c>
      <c r="R3065" s="31">
        <v>-5000</v>
      </c>
    </row>
    <row r="3066" s="1" customFormat="1" ht="16.35" hidden="1" customHeight="1" spans="1:18">
      <c r="A3066" s="6"/>
      <c r="B3066" s="6" t="s">
        <v>4123</v>
      </c>
      <c r="C3066" s="6" t="s">
        <v>4253</v>
      </c>
      <c r="D3066" s="7">
        <v>3</v>
      </c>
      <c r="E3066" s="6" t="s">
        <v>6742</v>
      </c>
      <c r="F3066" s="6" t="s">
        <v>5631</v>
      </c>
      <c r="G3066" s="6" t="s">
        <v>5632</v>
      </c>
      <c r="H3066" s="8"/>
      <c r="I3066" s="8">
        <v>5000</v>
      </c>
      <c r="J3066" s="6"/>
      <c r="K3066" s="6" t="s">
        <v>2097</v>
      </c>
      <c r="L3066" s="6"/>
      <c r="M3066" s="6"/>
      <c r="N3066" s="6" t="s">
        <v>2097</v>
      </c>
      <c r="O3066" s="29">
        <f t="shared" si="72"/>
        <v>5000</v>
      </c>
      <c r="Q3066" s="30" t="s">
        <v>2097</v>
      </c>
      <c r="R3066" s="31">
        <v>5000</v>
      </c>
    </row>
    <row r="3067" s="1" customFormat="1" ht="16.35" hidden="1" customHeight="1" spans="1:18">
      <c r="A3067" s="6"/>
      <c r="B3067" s="6" t="s">
        <v>4123</v>
      </c>
      <c r="C3067" s="6" t="s">
        <v>4253</v>
      </c>
      <c r="D3067" s="7">
        <v>3</v>
      </c>
      <c r="E3067" s="6" t="s">
        <v>6743</v>
      </c>
      <c r="F3067" s="6" t="s">
        <v>5631</v>
      </c>
      <c r="G3067" s="6" t="s">
        <v>5632</v>
      </c>
      <c r="H3067" s="8"/>
      <c r="I3067" s="8">
        <v>-5000</v>
      </c>
      <c r="J3067" s="6"/>
      <c r="K3067" s="6" t="s">
        <v>2097</v>
      </c>
      <c r="L3067" s="6"/>
      <c r="M3067" s="6"/>
      <c r="N3067" s="6" t="s">
        <v>2097</v>
      </c>
      <c r="O3067" s="29">
        <f t="shared" si="72"/>
        <v>-5000</v>
      </c>
      <c r="Q3067" s="30" t="s">
        <v>2097</v>
      </c>
      <c r="R3067" s="31">
        <v>-5000</v>
      </c>
    </row>
    <row r="3068" s="1" customFormat="1" ht="16.35" hidden="1" customHeight="1" spans="1:18">
      <c r="A3068" s="6"/>
      <c r="B3068" s="6" t="s">
        <v>4123</v>
      </c>
      <c r="C3068" s="6" t="s">
        <v>4253</v>
      </c>
      <c r="D3068" s="7">
        <v>129</v>
      </c>
      <c r="E3068" s="6" t="s">
        <v>6744</v>
      </c>
      <c r="F3068" s="6" t="s">
        <v>5631</v>
      </c>
      <c r="G3068" s="6" t="s">
        <v>5632</v>
      </c>
      <c r="H3068" s="8">
        <v>456057</v>
      </c>
      <c r="I3068" s="8"/>
      <c r="J3068" s="6"/>
      <c r="K3068" s="6" t="s">
        <v>2801</v>
      </c>
      <c r="L3068" s="6"/>
      <c r="M3068" s="6"/>
      <c r="N3068" s="6" t="s">
        <v>2801</v>
      </c>
      <c r="O3068" s="29">
        <f t="shared" si="72"/>
        <v>0</v>
      </c>
      <c r="Q3068" s="30" t="s">
        <v>2801</v>
      </c>
      <c r="R3068" s="31">
        <v>0</v>
      </c>
    </row>
    <row r="3069" s="1" customFormat="1" ht="16.35" hidden="1" customHeight="1" spans="1:18">
      <c r="A3069" s="6"/>
      <c r="B3069" s="6" t="s">
        <v>4123</v>
      </c>
      <c r="C3069" s="6" t="s">
        <v>4253</v>
      </c>
      <c r="D3069" s="7">
        <v>3</v>
      </c>
      <c r="E3069" s="6" t="s">
        <v>6745</v>
      </c>
      <c r="F3069" s="6" t="s">
        <v>5631</v>
      </c>
      <c r="G3069" s="6" t="s">
        <v>5632</v>
      </c>
      <c r="H3069" s="8"/>
      <c r="I3069" s="8">
        <v>5000</v>
      </c>
      <c r="J3069" s="6"/>
      <c r="K3069" s="6" t="s">
        <v>2157</v>
      </c>
      <c r="L3069" s="6"/>
      <c r="M3069" s="6"/>
      <c r="N3069" s="6" t="s">
        <v>2157</v>
      </c>
      <c r="O3069" s="29">
        <f t="shared" si="72"/>
        <v>5000</v>
      </c>
      <c r="Q3069" s="30" t="s">
        <v>2157</v>
      </c>
      <c r="R3069" s="31">
        <v>5000</v>
      </c>
    </row>
    <row r="3070" s="1" customFormat="1" ht="16.35" hidden="1" customHeight="1" spans="1:18">
      <c r="A3070" s="6"/>
      <c r="B3070" s="6" t="s">
        <v>4123</v>
      </c>
      <c r="C3070" s="6" t="s">
        <v>4253</v>
      </c>
      <c r="D3070" s="7">
        <v>3</v>
      </c>
      <c r="E3070" s="6" t="s">
        <v>6746</v>
      </c>
      <c r="F3070" s="6" t="s">
        <v>5631</v>
      </c>
      <c r="G3070" s="6" t="s">
        <v>5632</v>
      </c>
      <c r="H3070" s="8"/>
      <c r="I3070" s="8">
        <v>5000</v>
      </c>
      <c r="J3070" s="6"/>
      <c r="K3070" s="6" t="s">
        <v>2188</v>
      </c>
      <c r="L3070" s="6"/>
      <c r="M3070" s="6"/>
      <c r="N3070" s="6" t="s">
        <v>2188</v>
      </c>
      <c r="O3070" s="29">
        <f t="shared" si="72"/>
        <v>5000</v>
      </c>
      <c r="Q3070" s="30" t="s">
        <v>2188</v>
      </c>
      <c r="R3070" s="31">
        <v>5000</v>
      </c>
    </row>
    <row r="3071" s="1" customFormat="1" ht="16.35" hidden="1" customHeight="1" spans="1:18">
      <c r="A3071" s="6"/>
      <c r="B3071" s="6" t="s">
        <v>4123</v>
      </c>
      <c r="C3071" s="6" t="s">
        <v>4253</v>
      </c>
      <c r="D3071" s="7">
        <v>3</v>
      </c>
      <c r="E3071" s="6" t="s">
        <v>6747</v>
      </c>
      <c r="F3071" s="6" t="s">
        <v>5631</v>
      </c>
      <c r="G3071" s="6" t="s">
        <v>5632</v>
      </c>
      <c r="H3071" s="8"/>
      <c r="I3071" s="8">
        <v>-5000</v>
      </c>
      <c r="J3071" s="6"/>
      <c r="K3071" s="6" t="s">
        <v>2188</v>
      </c>
      <c r="L3071" s="6"/>
      <c r="M3071" s="6"/>
      <c r="N3071" s="6" t="s">
        <v>2188</v>
      </c>
      <c r="O3071" s="29">
        <f t="shared" si="72"/>
        <v>-5000</v>
      </c>
      <c r="Q3071" s="30" t="s">
        <v>2188</v>
      </c>
      <c r="R3071" s="31">
        <v>-5000</v>
      </c>
    </row>
    <row r="3072" s="1" customFormat="1" ht="16.35" hidden="1" customHeight="1" spans="1:18">
      <c r="A3072" s="6"/>
      <c r="B3072" s="6" t="s">
        <v>4123</v>
      </c>
      <c r="C3072" s="6" t="s">
        <v>4253</v>
      </c>
      <c r="D3072" s="7">
        <v>3</v>
      </c>
      <c r="E3072" s="6" t="s">
        <v>6748</v>
      </c>
      <c r="F3072" s="6" t="s">
        <v>5631</v>
      </c>
      <c r="G3072" s="6" t="s">
        <v>5632</v>
      </c>
      <c r="H3072" s="8"/>
      <c r="I3072" s="8">
        <v>5000</v>
      </c>
      <c r="J3072" s="6"/>
      <c r="K3072" s="6" t="s">
        <v>2208</v>
      </c>
      <c r="L3072" s="6"/>
      <c r="M3072" s="6"/>
      <c r="N3072" s="6" t="s">
        <v>2208</v>
      </c>
      <c r="O3072" s="29">
        <f t="shared" si="72"/>
        <v>5000</v>
      </c>
      <c r="Q3072" s="30" t="s">
        <v>2208</v>
      </c>
      <c r="R3072" s="31">
        <v>5000</v>
      </c>
    </row>
    <row r="3073" s="1" customFormat="1" ht="16.35" hidden="1" customHeight="1" spans="1:18">
      <c r="A3073" s="6"/>
      <c r="B3073" s="6" t="s">
        <v>4123</v>
      </c>
      <c r="C3073" s="6" t="s">
        <v>4253</v>
      </c>
      <c r="D3073" s="7">
        <v>3</v>
      </c>
      <c r="E3073" s="6" t="s">
        <v>6749</v>
      </c>
      <c r="F3073" s="6" t="s">
        <v>5631</v>
      </c>
      <c r="G3073" s="6" t="s">
        <v>5632</v>
      </c>
      <c r="H3073" s="8"/>
      <c r="I3073" s="8">
        <v>5000</v>
      </c>
      <c r="J3073" s="6"/>
      <c r="K3073" s="6" t="s">
        <v>2249</v>
      </c>
      <c r="L3073" s="6"/>
      <c r="M3073" s="6"/>
      <c r="N3073" s="6" t="s">
        <v>2249</v>
      </c>
      <c r="O3073" s="29">
        <f t="shared" si="72"/>
        <v>5000</v>
      </c>
      <c r="Q3073" s="30" t="s">
        <v>2249</v>
      </c>
      <c r="R3073" s="31">
        <v>5000</v>
      </c>
    </row>
    <row r="3074" s="1" customFormat="1" ht="16.35" hidden="1" customHeight="1" spans="1:18">
      <c r="A3074" s="6"/>
      <c r="B3074" s="6" t="s">
        <v>4123</v>
      </c>
      <c r="C3074" s="6" t="s">
        <v>4253</v>
      </c>
      <c r="D3074" s="7">
        <v>3</v>
      </c>
      <c r="E3074" s="6" t="s">
        <v>6750</v>
      </c>
      <c r="F3074" s="6" t="s">
        <v>5631</v>
      </c>
      <c r="G3074" s="6" t="s">
        <v>5632</v>
      </c>
      <c r="H3074" s="8"/>
      <c r="I3074" s="8">
        <v>-5000</v>
      </c>
      <c r="J3074" s="6"/>
      <c r="K3074" s="6" t="s">
        <v>2249</v>
      </c>
      <c r="L3074" s="6"/>
      <c r="M3074" s="6"/>
      <c r="N3074" s="6" t="s">
        <v>2249</v>
      </c>
      <c r="O3074" s="29">
        <f t="shared" si="72"/>
        <v>-5000</v>
      </c>
      <c r="Q3074" s="30" t="s">
        <v>2249</v>
      </c>
      <c r="R3074" s="31">
        <v>-5000</v>
      </c>
    </row>
    <row r="3075" s="1" customFormat="1" ht="16.35" hidden="1" customHeight="1" spans="1:18">
      <c r="A3075" s="6"/>
      <c r="B3075" s="6" t="s">
        <v>4123</v>
      </c>
      <c r="C3075" s="6" t="s">
        <v>4253</v>
      </c>
      <c r="D3075" s="7">
        <v>129</v>
      </c>
      <c r="E3075" s="6" t="s">
        <v>6751</v>
      </c>
      <c r="F3075" s="6" t="s">
        <v>5631</v>
      </c>
      <c r="G3075" s="6" t="s">
        <v>5632</v>
      </c>
      <c r="H3075" s="8">
        <v>200850</v>
      </c>
      <c r="I3075" s="8"/>
      <c r="J3075" s="6"/>
      <c r="K3075" s="6" t="s">
        <v>2000</v>
      </c>
      <c r="L3075" s="6"/>
      <c r="M3075" s="6"/>
      <c r="N3075" s="6" t="s">
        <v>2000</v>
      </c>
      <c r="O3075" s="29">
        <f t="shared" ref="O3075:O3106" si="73">I3075</f>
        <v>0</v>
      </c>
      <c r="Q3075" s="30" t="s">
        <v>2000</v>
      </c>
      <c r="R3075" s="31">
        <v>0</v>
      </c>
    </row>
    <row r="3076" s="1" customFormat="1" ht="16.35" hidden="1" customHeight="1" spans="1:18">
      <c r="A3076" s="6"/>
      <c r="B3076" s="6" t="s">
        <v>4123</v>
      </c>
      <c r="C3076" s="6" t="s">
        <v>4253</v>
      </c>
      <c r="D3076" s="7">
        <v>3</v>
      </c>
      <c r="E3076" s="6" t="s">
        <v>6752</v>
      </c>
      <c r="F3076" s="6" t="s">
        <v>5631</v>
      </c>
      <c r="G3076" s="6" t="s">
        <v>5632</v>
      </c>
      <c r="H3076" s="8"/>
      <c r="I3076" s="8">
        <v>5000</v>
      </c>
      <c r="J3076" s="6"/>
      <c r="K3076" s="6" t="s">
        <v>1978</v>
      </c>
      <c r="L3076" s="6"/>
      <c r="M3076" s="6"/>
      <c r="N3076" s="6" t="s">
        <v>1978</v>
      </c>
      <c r="O3076" s="29">
        <f t="shared" si="73"/>
        <v>5000</v>
      </c>
      <c r="Q3076" s="30" t="s">
        <v>1978</v>
      </c>
      <c r="R3076" s="31">
        <v>5000</v>
      </c>
    </row>
    <row r="3077" s="1" customFormat="1" ht="16.35" hidden="1" customHeight="1" spans="1:18">
      <c r="A3077" s="6"/>
      <c r="B3077" s="6" t="s">
        <v>4123</v>
      </c>
      <c r="C3077" s="6" t="s">
        <v>4253</v>
      </c>
      <c r="D3077" s="7">
        <v>129</v>
      </c>
      <c r="E3077" s="6" t="s">
        <v>6753</v>
      </c>
      <c r="F3077" s="6" t="s">
        <v>5631</v>
      </c>
      <c r="G3077" s="6" t="s">
        <v>5632</v>
      </c>
      <c r="H3077" s="8">
        <v>195399</v>
      </c>
      <c r="I3077" s="8"/>
      <c r="J3077" s="6"/>
      <c r="K3077" s="6" t="s">
        <v>1978</v>
      </c>
      <c r="L3077" s="6"/>
      <c r="M3077" s="6"/>
      <c r="N3077" s="6" t="s">
        <v>1978</v>
      </c>
      <c r="O3077" s="29">
        <f t="shared" si="73"/>
        <v>0</v>
      </c>
      <c r="Q3077" s="30" t="s">
        <v>1978</v>
      </c>
      <c r="R3077" s="31">
        <v>0</v>
      </c>
    </row>
    <row r="3078" s="1" customFormat="1" ht="16.35" hidden="1" customHeight="1" spans="1:18">
      <c r="A3078" s="6"/>
      <c r="B3078" s="6" t="s">
        <v>4123</v>
      </c>
      <c r="C3078" s="6" t="s">
        <v>4253</v>
      </c>
      <c r="D3078" s="7">
        <v>149</v>
      </c>
      <c r="E3078" s="6" t="s">
        <v>6754</v>
      </c>
      <c r="F3078" s="6" t="s">
        <v>5631</v>
      </c>
      <c r="G3078" s="6" t="s">
        <v>5632</v>
      </c>
      <c r="H3078" s="8"/>
      <c r="I3078" s="8">
        <v>917</v>
      </c>
      <c r="J3078" s="6"/>
      <c r="K3078" s="6" t="s">
        <v>1974</v>
      </c>
      <c r="L3078" s="6"/>
      <c r="M3078" s="6"/>
      <c r="N3078" s="6" t="s">
        <v>1974</v>
      </c>
      <c r="O3078" s="29">
        <f t="shared" si="73"/>
        <v>917</v>
      </c>
      <c r="Q3078" s="30" t="s">
        <v>1974</v>
      </c>
      <c r="R3078" s="31">
        <v>917</v>
      </c>
    </row>
    <row r="3079" s="1" customFormat="1" ht="16.35" hidden="1" customHeight="1" spans="1:18">
      <c r="A3079" s="6"/>
      <c r="B3079" s="6" t="s">
        <v>4123</v>
      </c>
      <c r="C3079" s="6" t="s">
        <v>4253</v>
      </c>
      <c r="D3079" s="7">
        <v>149</v>
      </c>
      <c r="E3079" s="6" t="s">
        <v>6755</v>
      </c>
      <c r="F3079" s="6" t="s">
        <v>5631</v>
      </c>
      <c r="G3079" s="6" t="s">
        <v>5632</v>
      </c>
      <c r="H3079" s="8"/>
      <c r="I3079" s="8">
        <v>83</v>
      </c>
      <c r="J3079" s="6"/>
      <c r="K3079" s="6" t="s">
        <v>1974</v>
      </c>
      <c r="L3079" s="6"/>
      <c r="M3079" s="6"/>
      <c r="N3079" s="6" t="s">
        <v>1974</v>
      </c>
      <c r="O3079" s="29">
        <f t="shared" si="73"/>
        <v>83</v>
      </c>
      <c r="Q3079" s="30" t="s">
        <v>1974</v>
      </c>
      <c r="R3079" s="31">
        <v>83</v>
      </c>
    </row>
    <row r="3080" s="1" customFormat="1" ht="16.35" hidden="1" customHeight="1" spans="1:18">
      <c r="A3080" s="6"/>
      <c r="B3080" s="6" t="s">
        <v>4123</v>
      </c>
      <c r="C3080" s="6" t="s">
        <v>4253</v>
      </c>
      <c r="D3080" s="7">
        <v>3</v>
      </c>
      <c r="E3080" s="6" t="s">
        <v>6756</v>
      </c>
      <c r="F3080" s="6" t="s">
        <v>5631</v>
      </c>
      <c r="G3080" s="6" t="s">
        <v>5632</v>
      </c>
      <c r="H3080" s="8"/>
      <c r="I3080" s="8">
        <v>5000</v>
      </c>
      <c r="J3080" s="6"/>
      <c r="K3080" s="6" t="s">
        <v>1974</v>
      </c>
      <c r="L3080" s="6"/>
      <c r="M3080" s="6"/>
      <c r="N3080" s="6" t="s">
        <v>1974</v>
      </c>
      <c r="O3080" s="29">
        <f t="shared" si="73"/>
        <v>5000</v>
      </c>
      <c r="Q3080" s="30" t="s">
        <v>1974</v>
      </c>
      <c r="R3080" s="31">
        <v>5000</v>
      </c>
    </row>
    <row r="3081" s="1" customFormat="1" ht="16.35" hidden="1" customHeight="1" spans="1:18">
      <c r="A3081" s="6"/>
      <c r="B3081" s="6" t="s">
        <v>4123</v>
      </c>
      <c r="C3081" s="6" t="s">
        <v>4253</v>
      </c>
      <c r="D3081" s="7">
        <v>3</v>
      </c>
      <c r="E3081" s="6" t="s">
        <v>6511</v>
      </c>
      <c r="F3081" s="6" t="s">
        <v>5631</v>
      </c>
      <c r="G3081" s="6" t="s">
        <v>5632</v>
      </c>
      <c r="H3081" s="8"/>
      <c r="I3081" s="8">
        <v>-5000</v>
      </c>
      <c r="J3081" s="6"/>
      <c r="K3081" s="6" t="s">
        <v>1974</v>
      </c>
      <c r="L3081" s="6"/>
      <c r="M3081" s="6"/>
      <c r="N3081" s="6" t="s">
        <v>1974</v>
      </c>
      <c r="O3081" s="29">
        <f t="shared" si="73"/>
        <v>-5000</v>
      </c>
      <c r="Q3081" s="30" t="s">
        <v>1974</v>
      </c>
      <c r="R3081" s="31">
        <v>-5000</v>
      </c>
    </row>
    <row r="3082" s="1" customFormat="1" ht="16.35" hidden="1" customHeight="1" spans="1:18">
      <c r="A3082" s="6"/>
      <c r="B3082" s="6" t="s">
        <v>4123</v>
      </c>
      <c r="C3082" s="6" t="s">
        <v>4253</v>
      </c>
      <c r="D3082" s="7">
        <v>129</v>
      </c>
      <c r="E3082" s="6" t="s">
        <v>6757</v>
      </c>
      <c r="F3082" s="6" t="s">
        <v>5631</v>
      </c>
      <c r="G3082" s="6" t="s">
        <v>5632</v>
      </c>
      <c r="H3082" s="8">
        <v>194675</v>
      </c>
      <c r="I3082" s="8"/>
      <c r="J3082" s="6"/>
      <c r="K3082" s="6" t="s">
        <v>1974</v>
      </c>
      <c r="L3082" s="6"/>
      <c r="M3082" s="6"/>
      <c r="N3082" s="6" t="s">
        <v>1974</v>
      </c>
      <c r="O3082" s="29">
        <f t="shared" si="73"/>
        <v>0</v>
      </c>
      <c r="Q3082" s="30" t="s">
        <v>1974</v>
      </c>
      <c r="R3082" s="31">
        <v>0</v>
      </c>
    </row>
    <row r="3083" s="1" customFormat="1" ht="16.35" hidden="1" customHeight="1" spans="1:18">
      <c r="A3083" s="6"/>
      <c r="B3083" s="6" t="s">
        <v>4123</v>
      </c>
      <c r="C3083" s="6" t="s">
        <v>4253</v>
      </c>
      <c r="D3083" s="7">
        <v>3</v>
      </c>
      <c r="E3083" s="6" t="s">
        <v>6758</v>
      </c>
      <c r="F3083" s="6" t="s">
        <v>5631</v>
      </c>
      <c r="G3083" s="6" t="s">
        <v>5632</v>
      </c>
      <c r="H3083" s="8"/>
      <c r="I3083" s="8">
        <v>5000</v>
      </c>
      <c r="J3083" s="6"/>
      <c r="K3083" s="6" t="s">
        <v>2746</v>
      </c>
      <c r="L3083" s="6"/>
      <c r="M3083" s="6"/>
      <c r="N3083" s="6" t="s">
        <v>2746</v>
      </c>
      <c r="O3083" s="29">
        <f t="shared" si="73"/>
        <v>5000</v>
      </c>
      <c r="Q3083" s="30" t="s">
        <v>2746</v>
      </c>
      <c r="R3083" s="31">
        <v>5000</v>
      </c>
    </row>
    <row r="3084" s="1" customFormat="1" ht="16.35" hidden="1" customHeight="1" spans="1:18">
      <c r="A3084" s="6"/>
      <c r="B3084" s="6" t="s">
        <v>4123</v>
      </c>
      <c r="C3084" s="6" t="s">
        <v>4253</v>
      </c>
      <c r="D3084" s="7">
        <v>3</v>
      </c>
      <c r="E3084" s="6" t="s">
        <v>6759</v>
      </c>
      <c r="F3084" s="6" t="s">
        <v>5631</v>
      </c>
      <c r="G3084" s="6" t="s">
        <v>5632</v>
      </c>
      <c r="H3084" s="8"/>
      <c r="I3084" s="8">
        <v>5000</v>
      </c>
      <c r="J3084" s="6"/>
      <c r="K3084" s="6" t="s">
        <v>1980</v>
      </c>
      <c r="L3084" s="6"/>
      <c r="M3084" s="6"/>
      <c r="N3084" s="6" t="s">
        <v>1980</v>
      </c>
      <c r="O3084" s="29">
        <f t="shared" si="73"/>
        <v>5000</v>
      </c>
      <c r="Q3084" s="30" t="s">
        <v>1980</v>
      </c>
      <c r="R3084" s="31">
        <v>5000</v>
      </c>
    </row>
    <row r="3085" s="1" customFormat="1" ht="16.35" hidden="1" customHeight="1" spans="1:18">
      <c r="A3085" s="6"/>
      <c r="B3085" s="6" t="s">
        <v>4123</v>
      </c>
      <c r="C3085" s="6" t="s">
        <v>4253</v>
      </c>
      <c r="D3085" s="7">
        <v>3</v>
      </c>
      <c r="E3085" s="6" t="s">
        <v>6605</v>
      </c>
      <c r="F3085" s="6" t="s">
        <v>5631</v>
      </c>
      <c r="G3085" s="6" t="s">
        <v>5632</v>
      </c>
      <c r="H3085" s="8"/>
      <c r="I3085" s="8">
        <v>-5000</v>
      </c>
      <c r="J3085" s="6"/>
      <c r="K3085" s="6" t="s">
        <v>1980</v>
      </c>
      <c r="L3085" s="6"/>
      <c r="M3085" s="6"/>
      <c r="N3085" s="6" t="s">
        <v>1980</v>
      </c>
      <c r="O3085" s="29">
        <f t="shared" si="73"/>
        <v>-5000</v>
      </c>
      <c r="Q3085" s="30" t="s">
        <v>1980</v>
      </c>
      <c r="R3085" s="31">
        <v>-5000</v>
      </c>
    </row>
    <row r="3086" s="1" customFormat="1" ht="16.35" hidden="1" customHeight="1" spans="1:18">
      <c r="A3086" s="6"/>
      <c r="B3086" s="6" t="s">
        <v>4123</v>
      </c>
      <c r="C3086" s="6" t="s">
        <v>4253</v>
      </c>
      <c r="D3086" s="7">
        <v>129</v>
      </c>
      <c r="E3086" s="6" t="s">
        <v>6760</v>
      </c>
      <c r="F3086" s="6" t="s">
        <v>5631</v>
      </c>
      <c r="G3086" s="6" t="s">
        <v>5632</v>
      </c>
      <c r="H3086" s="8">
        <v>215583</v>
      </c>
      <c r="I3086" s="8"/>
      <c r="J3086" s="6"/>
      <c r="K3086" s="6" t="s">
        <v>1980</v>
      </c>
      <c r="L3086" s="6"/>
      <c r="M3086" s="6"/>
      <c r="N3086" s="6" t="s">
        <v>1980</v>
      </c>
      <c r="O3086" s="29">
        <f t="shared" si="73"/>
        <v>0</v>
      </c>
      <c r="Q3086" s="30" t="s">
        <v>1980</v>
      </c>
      <c r="R3086" s="31">
        <v>0</v>
      </c>
    </row>
    <row r="3087" s="1" customFormat="1" ht="16.35" hidden="1" customHeight="1" spans="1:18">
      <c r="A3087" s="6"/>
      <c r="B3087" s="6" t="s">
        <v>4123</v>
      </c>
      <c r="C3087" s="6" t="s">
        <v>4253</v>
      </c>
      <c r="D3087" s="7">
        <v>149</v>
      </c>
      <c r="E3087" s="6" t="s">
        <v>6761</v>
      </c>
      <c r="F3087" s="6" t="s">
        <v>5631</v>
      </c>
      <c r="G3087" s="6" t="s">
        <v>5632</v>
      </c>
      <c r="H3087" s="8"/>
      <c r="I3087" s="8">
        <v>95238</v>
      </c>
      <c r="J3087" s="6"/>
      <c r="K3087" s="6" t="s">
        <v>2760</v>
      </c>
      <c r="L3087" s="6"/>
      <c r="M3087" s="6"/>
      <c r="N3087" s="6" t="s">
        <v>2760</v>
      </c>
      <c r="O3087" s="29">
        <f t="shared" si="73"/>
        <v>95238</v>
      </c>
      <c r="Q3087" s="30" t="s">
        <v>2760</v>
      </c>
      <c r="R3087" s="31">
        <v>95238</v>
      </c>
    </row>
    <row r="3088" s="1" customFormat="1" ht="16.35" hidden="1" customHeight="1" spans="1:18">
      <c r="A3088" s="6"/>
      <c r="B3088" s="6" t="s">
        <v>4123</v>
      </c>
      <c r="C3088" s="6" t="s">
        <v>4253</v>
      </c>
      <c r="D3088" s="7">
        <v>149</v>
      </c>
      <c r="E3088" s="6" t="s">
        <v>6762</v>
      </c>
      <c r="F3088" s="6" t="s">
        <v>5631</v>
      </c>
      <c r="G3088" s="6" t="s">
        <v>5632</v>
      </c>
      <c r="H3088" s="8"/>
      <c r="I3088" s="8">
        <v>4762</v>
      </c>
      <c r="J3088" s="6"/>
      <c r="K3088" s="6" t="s">
        <v>2760</v>
      </c>
      <c r="L3088" s="6"/>
      <c r="M3088" s="6"/>
      <c r="N3088" s="6" t="s">
        <v>2760</v>
      </c>
      <c r="O3088" s="29">
        <f t="shared" si="73"/>
        <v>4762</v>
      </c>
      <c r="Q3088" s="30" t="s">
        <v>2760</v>
      </c>
      <c r="R3088" s="31">
        <v>4762</v>
      </c>
    </row>
    <row r="3089" s="1" customFormat="1" ht="16.35" hidden="1" customHeight="1" spans="1:18">
      <c r="A3089" s="6"/>
      <c r="B3089" s="6" t="s">
        <v>4123</v>
      </c>
      <c r="C3089" s="6" t="s">
        <v>4253</v>
      </c>
      <c r="D3089" s="7">
        <v>3</v>
      </c>
      <c r="E3089" s="6" t="s">
        <v>6763</v>
      </c>
      <c r="F3089" s="6" t="s">
        <v>5631</v>
      </c>
      <c r="G3089" s="6" t="s">
        <v>5632</v>
      </c>
      <c r="H3089" s="8"/>
      <c r="I3089" s="8">
        <v>5000</v>
      </c>
      <c r="J3089" s="6"/>
      <c r="K3089" s="6" t="s">
        <v>2760</v>
      </c>
      <c r="L3089" s="6"/>
      <c r="M3089" s="6"/>
      <c r="N3089" s="6" t="s">
        <v>2760</v>
      </c>
      <c r="O3089" s="29">
        <f t="shared" si="73"/>
        <v>5000</v>
      </c>
      <c r="Q3089" s="30" t="s">
        <v>2760</v>
      </c>
      <c r="R3089" s="31">
        <v>5000</v>
      </c>
    </row>
    <row r="3090" s="1" customFormat="1" ht="16.35" hidden="1" customHeight="1" spans="1:18">
      <c r="A3090" s="6"/>
      <c r="B3090" s="6" t="s">
        <v>4123</v>
      </c>
      <c r="C3090" s="6" t="s">
        <v>4253</v>
      </c>
      <c r="D3090" s="7">
        <v>129</v>
      </c>
      <c r="E3090" s="6" t="s">
        <v>6764</v>
      </c>
      <c r="F3090" s="6" t="s">
        <v>5631</v>
      </c>
      <c r="G3090" s="6" t="s">
        <v>5632</v>
      </c>
      <c r="H3090" s="8">
        <v>481932</v>
      </c>
      <c r="I3090" s="8"/>
      <c r="J3090" s="6"/>
      <c r="K3090" s="6" t="s">
        <v>2760</v>
      </c>
      <c r="L3090" s="6"/>
      <c r="M3090" s="6"/>
      <c r="N3090" s="6" t="s">
        <v>2760</v>
      </c>
      <c r="O3090" s="29">
        <f t="shared" si="73"/>
        <v>0</v>
      </c>
      <c r="Q3090" s="30" t="s">
        <v>2760</v>
      </c>
      <c r="R3090" s="31">
        <v>0</v>
      </c>
    </row>
    <row r="3091" s="1" customFormat="1" ht="16.35" hidden="1" customHeight="1" spans="1:18">
      <c r="A3091" s="6"/>
      <c r="B3091" s="6" t="s">
        <v>4123</v>
      </c>
      <c r="C3091" s="6" t="s">
        <v>4253</v>
      </c>
      <c r="D3091" s="7">
        <v>149</v>
      </c>
      <c r="E3091" s="6" t="s">
        <v>6754</v>
      </c>
      <c r="F3091" s="6" t="s">
        <v>5631</v>
      </c>
      <c r="G3091" s="6" t="s">
        <v>5632</v>
      </c>
      <c r="H3091" s="8"/>
      <c r="I3091" s="8">
        <v>-917</v>
      </c>
      <c r="J3091" s="6"/>
      <c r="K3091" s="6" t="s">
        <v>2043</v>
      </c>
      <c r="L3091" s="6"/>
      <c r="M3091" s="6"/>
      <c r="N3091" s="6" t="s">
        <v>2043</v>
      </c>
      <c r="O3091" s="29">
        <f t="shared" si="73"/>
        <v>-917</v>
      </c>
      <c r="Q3091" s="30" t="s">
        <v>2043</v>
      </c>
      <c r="R3091" s="31">
        <v>-917</v>
      </c>
    </row>
    <row r="3092" s="1" customFormat="1" ht="16.35" hidden="1" customHeight="1" spans="1:18">
      <c r="A3092" s="6"/>
      <c r="B3092" s="6" t="s">
        <v>4123</v>
      </c>
      <c r="C3092" s="6" t="s">
        <v>4253</v>
      </c>
      <c r="D3092" s="7">
        <v>149</v>
      </c>
      <c r="E3092" s="6" t="s">
        <v>6755</v>
      </c>
      <c r="F3092" s="6" t="s">
        <v>5631</v>
      </c>
      <c r="G3092" s="6" t="s">
        <v>5632</v>
      </c>
      <c r="H3092" s="8"/>
      <c r="I3092" s="8">
        <v>-83</v>
      </c>
      <c r="J3092" s="6"/>
      <c r="K3092" s="6" t="s">
        <v>2043</v>
      </c>
      <c r="L3092" s="6"/>
      <c r="M3092" s="6"/>
      <c r="N3092" s="6" t="s">
        <v>2043</v>
      </c>
      <c r="O3092" s="29">
        <f t="shared" si="73"/>
        <v>-83</v>
      </c>
      <c r="Q3092" s="30" t="s">
        <v>2043</v>
      </c>
      <c r="R3092" s="31">
        <v>-83</v>
      </c>
    </row>
    <row r="3093" s="1" customFormat="1" ht="16.35" hidden="1" customHeight="1" spans="1:18">
      <c r="A3093" s="6"/>
      <c r="B3093" s="6" t="s">
        <v>4123</v>
      </c>
      <c r="C3093" s="6" t="s">
        <v>4253</v>
      </c>
      <c r="D3093" s="7">
        <v>129</v>
      </c>
      <c r="E3093" s="6" t="s">
        <v>6765</v>
      </c>
      <c r="F3093" s="6" t="s">
        <v>5631</v>
      </c>
      <c r="G3093" s="6" t="s">
        <v>5632</v>
      </c>
      <c r="H3093" s="8">
        <v>267990</v>
      </c>
      <c r="I3093" s="8"/>
      <c r="J3093" s="6"/>
      <c r="K3093" s="6" t="s">
        <v>2043</v>
      </c>
      <c r="L3093" s="6"/>
      <c r="M3093" s="6"/>
      <c r="N3093" s="6" t="s">
        <v>2043</v>
      </c>
      <c r="O3093" s="29">
        <f t="shared" si="73"/>
        <v>0</v>
      </c>
      <c r="Q3093" s="30" t="s">
        <v>2043</v>
      </c>
      <c r="R3093" s="31">
        <v>0</v>
      </c>
    </row>
    <row r="3094" s="1" customFormat="1" ht="16.35" hidden="1" customHeight="1" spans="1:18">
      <c r="A3094" s="6"/>
      <c r="B3094" s="6" t="s">
        <v>4123</v>
      </c>
      <c r="C3094" s="6" t="s">
        <v>4253</v>
      </c>
      <c r="D3094" s="7">
        <v>3</v>
      </c>
      <c r="E3094" s="6" t="s">
        <v>6766</v>
      </c>
      <c r="F3094" s="6" t="s">
        <v>5631</v>
      </c>
      <c r="G3094" s="6" t="s">
        <v>5632</v>
      </c>
      <c r="H3094" s="8"/>
      <c r="I3094" s="8">
        <v>1000</v>
      </c>
      <c r="J3094" s="6"/>
      <c r="K3094" s="6" t="s">
        <v>2029</v>
      </c>
      <c r="L3094" s="6"/>
      <c r="M3094" s="6"/>
      <c r="N3094" s="6" t="s">
        <v>2029</v>
      </c>
      <c r="O3094" s="29">
        <f t="shared" si="73"/>
        <v>1000</v>
      </c>
      <c r="Q3094" s="30" t="s">
        <v>2029</v>
      </c>
      <c r="R3094" s="31">
        <v>1000</v>
      </c>
    </row>
    <row r="3095" s="1" customFormat="1" ht="16.35" hidden="1" customHeight="1" spans="1:18">
      <c r="A3095" s="6"/>
      <c r="B3095" s="6" t="s">
        <v>4123</v>
      </c>
      <c r="C3095" s="6" t="s">
        <v>4253</v>
      </c>
      <c r="D3095" s="7">
        <v>83</v>
      </c>
      <c r="E3095" s="6" t="s">
        <v>6767</v>
      </c>
      <c r="F3095" s="6" t="s">
        <v>5631</v>
      </c>
      <c r="G3095" s="6" t="s">
        <v>5632</v>
      </c>
      <c r="H3095" s="8"/>
      <c r="I3095" s="8">
        <v>60000</v>
      </c>
      <c r="J3095" s="6"/>
      <c r="K3095" s="6" t="s">
        <v>2075</v>
      </c>
      <c r="L3095" s="6"/>
      <c r="M3095" s="6"/>
      <c r="N3095" s="6" t="s">
        <v>2075</v>
      </c>
      <c r="O3095" s="29">
        <f t="shared" si="73"/>
        <v>60000</v>
      </c>
      <c r="Q3095" s="30" t="s">
        <v>2075</v>
      </c>
      <c r="R3095" s="31">
        <v>60000</v>
      </c>
    </row>
    <row r="3096" s="1" customFormat="1" ht="16.35" hidden="1" customHeight="1" spans="1:18">
      <c r="A3096" s="6"/>
      <c r="B3096" s="6" t="s">
        <v>4123</v>
      </c>
      <c r="C3096" s="6" t="s">
        <v>4253</v>
      </c>
      <c r="D3096" s="7">
        <v>83</v>
      </c>
      <c r="E3096" s="6" t="s">
        <v>6767</v>
      </c>
      <c r="F3096" s="6" t="s">
        <v>5631</v>
      </c>
      <c r="G3096" s="6" t="s">
        <v>5632</v>
      </c>
      <c r="H3096" s="8"/>
      <c r="I3096" s="8">
        <v>35000</v>
      </c>
      <c r="J3096" s="6"/>
      <c r="K3096" s="6" t="s">
        <v>2075</v>
      </c>
      <c r="L3096" s="6"/>
      <c r="M3096" s="6"/>
      <c r="N3096" s="6" t="s">
        <v>2075</v>
      </c>
      <c r="O3096" s="29">
        <f t="shared" si="73"/>
        <v>35000</v>
      </c>
      <c r="Q3096" s="30" t="s">
        <v>2075</v>
      </c>
      <c r="R3096" s="31">
        <v>35000</v>
      </c>
    </row>
    <row r="3097" s="1" customFormat="1" ht="16.35" hidden="1" customHeight="1" spans="1:18">
      <c r="A3097" s="6"/>
      <c r="B3097" s="6" t="s">
        <v>4123</v>
      </c>
      <c r="C3097" s="6" t="s">
        <v>4253</v>
      </c>
      <c r="D3097" s="7">
        <v>3</v>
      </c>
      <c r="E3097" s="6" t="s">
        <v>6768</v>
      </c>
      <c r="F3097" s="6" t="s">
        <v>5631</v>
      </c>
      <c r="G3097" s="6" t="s">
        <v>5632</v>
      </c>
      <c r="H3097" s="8"/>
      <c r="I3097" s="8">
        <v>1000</v>
      </c>
      <c r="J3097" s="6"/>
      <c r="K3097" s="6" t="s">
        <v>2125</v>
      </c>
      <c r="L3097" s="6"/>
      <c r="M3097" s="6"/>
      <c r="N3097" s="6" t="s">
        <v>2125</v>
      </c>
      <c r="O3097" s="29">
        <f t="shared" si="73"/>
        <v>1000</v>
      </c>
      <c r="Q3097" s="30" t="s">
        <v>2125</v>
      </c>
      <c r="R3097" s="31">
        <v>1000</v>
      </c>
    </row>
    <row r="3098" s="1" customFormat="1" ht="16.35" hidden="1" customHeight="1" spans="1:18">
      <c r="A3098" s="6"/>
      <c r="B3098" s="6" t="s">
        <v>4123</v>
      </c>
      <c r="C3098" s="6" t="s">
        <v>4253</v>
      </c>
      <c r="D3098" s="7">
        <v>3</v>
      </c>
      <c r="E3098" s="6" t="s">
        <v>6769</v>
      </c>
      <c r="F3098" s="6" t="s">
        <v>5631</v>
      </c>
      <c r="G3098" s="6" t="s">
        <v>5632</v>
      </c>
      <c r="H3098" s="8"/>
      <c r="I3098" s="8">
        <v>1000</v>
      </c>
      <c r="J3098" s="6"/>
      <c r="K3098" s="6" t="s">
        <v>2125</v>
      </c>
      <c r="L3098" s="6"/>
      <c r="M3098" s="6"/>
      <c r="N3098" s="6" t="s">
        <v>2125</v>
      </c>
      <c r="O3098" s="29">
        <f t="shared" si="73"/>
        <v>1000</v>
      </c>
      <c r="Q3098" s="30" t="s">
        <v>2125</v>
      </c>
      <c r="R3098" s="31">
        <v>1000</v>
      </c>
    </row>
    <row r="3099" s="1" customFormat="1" ht="16.35" hidden="1" customHeight="1" spans="1:18">
      <c r="A3099" s="6"/>
      <c r="B3099" s="6" t="s">
        <v>4123</v>
      </c>
      <c r="C3099" s="6" t="s">
        <v>4253</v>
      </c>
      <c r="D3099" s="7">
        <v>3</v>
      </c>
      <c r="E3099" s="6" t="s">
        <v>6605</v>
      </c>
      <c r="F3099" s="6" t="s">
        <v>5631</v>
      </c>
      <c r="G3099" s="6" t="s">
        <v>5632</v>
      </c>
      <c r="H3099" s="8"/>
      <c r="I3099" s="8">
        <v>-1000</v>
      </c>
      <c r="J3099" s="6"/>
      <c r="K3099" s="6" t="s">
        <v>2125</v>
      </c>
      <c r="L3099" s="6"/>
      <c r="M3099" s="6"/>
      <c r="N3099" s="6" t="s">
        <v>2125</v>
      </c>
      <c r="O3099" s="29">
        <f t="shared" si="73"/>
        <v>-1000</v>
      </c>
      <c r="Q3099" s="30" t="s">
        <v>2125</v>
      </c>
      <c r="R3099" s="31">
        <v>-1000</v>
      </c>
    </row>
    <row r="3100" s="1" customFormat="1" ht="16.35" hidden="1" customHeight="1" spans="1:18">
      <c r="A3100" s="6"/>
      <c r="B3100" s="6" t="s">
        <v>4123</v>
      </c>
      <c r="C3100" s="6" t="s">
        <v>4253</v>
      </c>
      <c r="D3100" s="7">
        <v>129</v>
      </c>
      <c r="E3100" s="6" t="s">
        <v>6770</v>
      </c>
      <c r="F3100" s="6" t="s">
        <v>5631</v>
      </c>
      <c r="G3100" s="6" t="s">
        <v>5632</v>
      </c>
      <c r="H3100" s="8">
        <v>133725</v>
      </c>
      <c r="I3100" s="8"/>
      <c r="J3100" s="6"/>
      <c r="K3100" s="6" t="s">
        <v>2125</v>
      </c>
      <c r="L3100" s="6"/>
      <c r="M3100" s="6"/>
      <c r="N3100" s="6" t="s">
        <v>2125</v>
      </c>
      <c r="O3100" s="29">
        <f t="shared" si="73"/>
        <v>0</v>
      </c>
      <c r="Q3100" s="30" t="s">
        <v>2125</v>
      </c>
      <c r="R3100" s="31">
        <v>0</v>
      </c>
    </row>
    <row r="3101" s="1" customFormat="1" ht="16.35" hidden="1" customHeight="1" spans="1:18">
      <c r="A3101" s="6"/>
      <c r="B3101" s="6" t="s">
        <v>4123</v>
      </c>
      <c r="C3101" s="6" t="s">
        <v>4253</v>
      </c>
      <c r="D3101" s="7">
        <v>129</v>
      </c>
      <c r="E3101" s="6" t="s">
        <v>6771</v>
      </c>
      <c r="F3101" s="6" t="s">
        <v>5631</v>
      </c>
      <c r="G3101" s="6" t="s">
        <v>5632</v>
      </c>
      <c r="H3101" s="8">
        <v>278569</v>
      </c>
      <c r="I3101" s="8"/>
      <c r="J3101" s="6"/>
      <c r="K3101" s="6" t="s">
        <v>2167</v>
      </c>
      <c r="L3101" s="6"/>
      <c r="M3101" s="6"/>
      <c r="N3101" s="6" t="s">
        <v>2167</v>
      </c>
      <c r="O3101" s="29">
        <f t="shared" si="73"/>
        <v>0</v>
      </c>
      <c r="Q3101" s="30" t="s">
        <v>2167</v>
      </c>
      <c r="R3101" s="31">
        <v>0</v>
      </c>
    </row>
    <row r="3102" s="1" customFormat="1" ht="16.35" hidden="1" customHeight="1" spans="1:18">
      <c r="A3102" s="6"/>
      <c r="B3102" s="6" t="s">
        <v>4123</v>
      </c>
      <c r="C3102" s="6" t="s">
        <v>4253</v>
      </c>
      <c r="D3102" s="7">
        <v>3</v>
      </c>
      <c r="E3102" s="6" t="s">
        <v>6772</v>
      </c>
      <c r="F3102" s="6" t="s">
        <v>5631</v>
      </c>
      <c r="G3102" s="6" t="s">
        <v>5632</v>
      </c>
      <c r="H3102" s="8"/>
      <c r="I3102" s="8">
        <v>5000</v>
      </c>
      <c r="J3102" s="6"/>
      <c r="K3102" s="6" t="s">
        <v>2790</v>
      </c>
      <c r="L3102" s="6"/>
      <c r="M3102" s="6"/>
      <c r="N3102" s="6" t="s">
        <v>2790</v>
      </c>
      <c r="O3102" s="29">
        <f t="shared" si="73"/>
        <v>5000</v>
      </c>
      <c r="Q3102" s="30" t="s">
        <v>2790</v>
      </c>
      <c r="R3102" s="31">
        <v>5000</v>
      </c>
    </row>
    <row r="3103" s="1" customFormat="1" ht="16.35" hidden="1" customHeight="1" spans="1:18">
      <c r="A3103" s="6"/>
      <c r="B3103" s="6" t="s">
        <v>4123</v>
      </c>
      <c r="C3103" s="6" t="s">
        <v>4253</v>
      </c>
      <c r="D3103" s="7">
        <v>129</v>
      </c>
      <c r="E3103" s="6" t="s">
        <v>6773</v>
      </c>
      <c r="F3103" s="6" t="s">
        <v>5631</v>
      </c>
      <c r="G3103" s="6" t="s">
        <v>5632</v>
      </c>
      <c r="H3103" s="8">
        <v>227650</v>
      </c>
      <c r="I3103" s="8"/>
      <c r="J3103" s="6"/>
      <c r="K3103" s="6" t="s">
        <v>2103</v>
      </c>
      <c r="L3103" s="6"/>
      <c r="M3103" s="6"/>
      <c r="N3103" s="6" t="s">
        <v>2103</v>
      </c>
      <c r="O3103" s="29">
        <f t="shared" si="73"/>
        <v>0</v>
      </c>
      <c r="Q3103" s="30" t="s">
        <v>2103</v>
      </c>
      <c r="R3103" s="31">
        <v>0</v>
      </c>
    </row>
    <row r="3104" s="1" customFormat="1" ht="16.35" hidden="1" customHeight="1" spans="1:18">
      <c r="A3104" s="6"/>
      <c r="B3104" s="6" t="s">
        <v>4123</v>
      </c>
      <c r="C3104" s="6" t="s">
        <v>4253</v>
      </c>
      <c r="D3104" s="7">
        <v>129</v>
      </c>
      <c r="E3104" s="6" t="s">
        <v>6774</v>
      </c>
      <c r="F3104" s="6" t="s">
        <v>5631</v>
      </c>
      <c r="G3104" s="6" t="s">
        <v>5632</v>
      </c>
      <c r="H3104" s="8">
        <v>117279</v>
      </c>
      <c r="I3104" s="8"/>
      <c r="J3104" s="6"/>
      <c r="K3104" s="6" t="s">
        <v>2145</v>
      </c>
      <c r="L3104" s="6"/>
      <c r="M3104" s="6"/>
      <c r="N3104" s="6" t="s">
        <v>2145</v>
      </c>
      <c r="O3104" s="29">
        <f t="shared" si="73"/>
        <v>0</v>
      </c>
      <c r="Q3104" s="30" t="s">
        <v>2145</v>
      </c>
      <c r="R3104" s="31">
        <v>0</v>
      </c>
    </row>
    <row r="3105" s="1" customFormat="1" ht="16.35" hidden="1" customHeight="1" spans="1:18">
      <c r="A3105" s="6"/>
      <c r="B3105" s="6" t="s">
        <v>4123</v>
      </c>
      <c r="C3105" s="6" t="s">
        <v>4253</v>
      </c>
      <c r="D3105" s="7">
        <v>3</v>
      </c>
      <c r="E3105" s="6" t="s">
        <v>6775</v>
      </c>
      <c r="F3105" s="6" t="s">
        <v>5631</v>
      </c>
      <c r="G3105" s="6" t="s">
        <v>5632</v>
      </c>
      <c r="H3105" s="8"/>
      <c r="I3105" s="8">
        <v>5000</v>
      </c>
      <c r="J3105" s="6"/>
      <c r="K3105" s="6" t="s">
        <v>2159</v>
      </c>
      <c r="L3105" s="6"/>
      <c r="M3105" s="6"/>
      <c r="N3105" s="6" t="s">
        <v>2159</v>
      </c>
      <c r="O3105" s="29">
        <f t="shared" si="73"/>
        <v>5000</v>
      </c>
      <c r="Q3105" s="30" t="s">
        <v>2159</v>
      </c>
      <c r="R3105" s="31">
        <v>5000</v>
      </c>
    </row>
    <row r="3106" s="1" customFormat="1" ht="16.35" hidden="1" customHeight="1" spans="1:18">
      <c r="A3106" s="6"/>
      <c r="B3106" s="6" t="s">
        <v>4123</v>
      </c>
      <c r="C3106" s="6" t="s">
        <v>4253</v>
      </c>
      <c r="D3106" s="7">
        <v>3</v>
      </c>
      <c r="E3106" s="6" t="s">
        <v>6776</v>
      </c>
      <c r="F3106" s="6" t="s">
        <v>5631</v>
      </c>
      <c r="G3106" s="6" t="s">
        <v>5632</v>
      </c>
      <c r="H3106" s="8"/>
      <c r="I3106" s="8">
        <v>-5000</v>
      </c>
      <c r="J3106" s="6"/>
      <c r="K3106" s="6" t="s">
        <v>2159</v>
      </c>
      <c r="L3106" s="6"/>
      <c r="M3106" s="6"/>
      <c r="N3106" s="6" t="s">
        <v>2159</v>
      </c>
      <c r="O3106" s="29">
        <f t="shared" si="73"/>
        <v>-5000</v>
      </c>
      <c r="Q3106" s="30" t="s">
        <v>2159</v>
      </c>
      <c r="R3106" s="31">
        <v>-5000</v>
      </c>
    </row>
    <row r="3107" s="1" customFormat="1" ht="16.35" hidden="1" customHeight="1" spans="1:18">
      <c r="A3107" s="6"/>
      <c r="B3107" s="6" t="s">
        <v>4123</v>
      </c>
      <c r="C3107" s="6" t="s">
        <v>4253</v>
      </c>
      <c r="D3107" s="7">
        <v>129</v>
      </c>
      <c r="E3107" s="6" t="s">
        <v>6777</v>
      </c>
      <c r="F3107" s="6" t="s">
        <v>5631</v>
      </c>
      <c r="G3107" s="6" t="s">
        <v>5632</v>
      </c>
      <c r="H3107" s="8">
        <v>164700</v>
      </c>
      <c r="I3107" s="8"/>
      <c r="J3107" s="6"/>
      <c r="K3107" s="6" t="s">
        <v>2163</v>
      </c>
      <c r="L3107" s="6"/>
      <c r="M3107" s="6"/>
      <c r="N3107" s="6" t="s">
        <v>2163</v>
      </c>
      <c r="O3107" s="29">
        <f t="shared" ref="O3107:O3130" si="74">I3107</f>
        <v>0</v>
      </c>
      <c r="Q3107" s="30" t="s">
        <v>2163</v>
      </c>
      <c r="R3107" s="31">
        <v>0</v>
      </c>
    </row>
    <row r="3108" s="1" customFormat="1" ht="16.35" hidden="1" customHeight="1" spans="1:18">
      <c r="A3108" s="6"/>
      <c r="B3108" s="6" t="s">
        <v>4123</v>
      </c>
      <c r="C3108" s="6" t="s">
        <v>4253</v>
      </c>
      <c r="D3108" s="7">
        <v>129</v>
      </c>
      <c r="E3108" s="6" t="s">
        <v>6778</v>
      </c>
      <c r="F3108" s="6" t="s">
        <v>5631</v>
      </c>
      <c r="G3108" s="6" t="s">
        <v>5632</v>
      </c>
      <c r="H3108" s="8">
        <v>217453</v>
      </c>
      <c r="I3108" s="8"/>
      <c r="J3108" s="6"/>
      <c r="K3108" s="6" t="s">
        <v>2239</v>
      </c>
      <c r="L3108" s="6"/>
      <c r="M3108" s="6"/>
      <c r="N3108" s="6" t="s">
        <v>2239</v>
      </c>
      <c r="O3108" s="29">
        <f t="shared" si="74"/>
        <v>0</v>
      </c>
      <c r="Q3108" s="30" t="s">
        <v>2239</v>
      </c>
      <c r="R3108" s="31">
        <v>0</v>
      </c>
    </row>
    <row r="3109" s="1" customFormat="1" ht="16.35" hidden="1" customHeight="1" spans="1:18">
      <c r="A3109" s="6"/>
      <c r="B3109" s="6" t="s">
        <v>4123</v>
      </c>
      <c r="C3109" s="6" t="s">
        <v>4253</v>
      </c>
      <c r="D3109" s="7">
        <v>129</v>
      </c>
      <c r="E3109" s="6" t="s">
        <v>6779</v>
      </c>
      <c r="F3109" s="6" t="s">
        <v>5631</v>
      </c>
      <c r="G3109" s="6" t="s">
        <v>5632</v>
      </c>
      <c r="H3109" s="8">
        <v>202644</v>
      </c>
      <c r="I3109" s="8"/>
      <c r="J3109" s="6"/>
      <c r="K3109" s="6" t="s">
        <v>2204</v>
      </c>
      <c r="L3109" s="6"/>
      <c r="M3109" s="6"/>
      <c r="N3109" s="6" t="s">
        <v>2204</v>
      </c>
      <c r="O3109" s="29">
        <f t="shared" si="74"/>
        <v>0</v>
      </c>
      <c r="Q3109" s="30" t="s">
        <v>2204</v>
      </c>
      <c r="R3109" s="31">
        <v>0</v>
      </c>
    </row>
    <row r="3110" s="1" customFormat="1" ht="16.35" hidden="1" customHeight="1" spans="1:18">
      <c r="A3110" s="6"/>
      <c r="B3110" s="6" t="s">
        <v>4123</v>
      </c>
      <c r="C3110" s="6" t="s">
        <v>4253</v>
      </c>
      <c r="D3110" s="7">
        <v>129</v>
      </c>
      <c r="E3110" s="6" t="s">
        <v>6780</v>
      </c>
      <c r="F3110" s="6" t="s">
        <v>5631</v>
      </c>
      <c r="G3110" s="6" t="s">
        <v>5632</v>
      </c>
      <c r="H3110" s="8">
        <v>217115</v>
      </c>
      <c r="I3110" s="8"/>
      <c r="J3110" s="6"/>
      <c r="K3110" s="6" t="s">
        <v>2263</v>
      </c>
      <c r="L3110" s="6"/>
      <c r="M3110" s="6"/>
      <c r="N3110" s="6" t="s">
        <v>2263</v>
      </c>
      <c r="O3110" s="29">
        <f t="shared" si="74"/>
        <v>0</v>
      </c>
      <c r="Q3110" s="30" t="s">
        <v>2263</v>
      </c>
      <c r="R3110" s="31">
        <v>0</v>
      </c>
    </row>
    <row r="3111" s="1" customFormat="1" ht="16.35" hidden="1" customHeight="1" spans="1:18">
      <c r="A3111" s="6"/>
      <c r="B3111" s="6" t="s">
        <v>4123</v>
      </c>
      <c r="C3111" s="6" t="s">
        <v>4253</v>
      </c>
      <c r="D3111" s="7">
        <v>3</v>
      </c>
      <c r="E3111" s="6" t="s">
        <v>6781</v>
      </c>
      <c r="F3111" s="6" t="s">
        <v>5631</v>
      </c>
      <c r="G3111" s="6" t="s">
        <v>5632</v>
      </c>
      <c r="H3111" s="8"/>
      <c r="I3111" s="8">
        <v>-2000</v>
      </c>
      <c r="J3111" s="6"/>
      <c r="K3111" s="6" t="s">
        <v>2269</v>
      </c>
      <c r="L3111" s="6"/>
      <c r="M3111" s="6"/>
      <c r="N3111" s="6" t="s">
        <v>2269</v>
      </c>
      <c r="O3111" s="29">
        <f t="shared" si="74"/>
        <v>-2000</v>
      </c>
      <c r="Q3111" s="30" t="s">
        <v>2269</v>
      </c>
      <c r="R3111" s="31">
        <v>-2000</v>
      </c>
    </row>
    <row r="3112" s="1" customFormat="1" ht="16.35" hidden="1" customHeight="1" spans="1:18">
      <c r="A3112" s="6"/>
      <c r="B3112" s="6" t="s">
        <v>4123</v>
      </c>
      <c r="C3112" s="6" t="s">
        <v>4253</v>
      </c>
      <c r="D3112" s="7">
        <v>129</v>
      </c>
      <c r="E3112" s="6" t="s">
        <v>6782</v>
      </c>
      <c r="F3112" s="6" t="s">
        <v>5631</v>
      </c>
      <c r="G3112" s="6" t="s">
        <v>5632</v>
      </c>
      <c r="H3112" s="8">
        <v>219915</v>
      </c>
      <c r="I3112" s="8"/>
      <c r="J3112" s="6"/>
      <c r="K3112" s="6" t="s">
        <v>2225</v>
      </c>
      <c r="L3112" s="6"/>
      <c r="M3112" s="6"/>
      <c r="N3112" s="6" t="s">
        <v>2225</v>
      </c>
      <c r="O3112" s="29">
        <f t="shared" si="74"/>
        <v>0</v>
      </c>
      <c r="Q3112" s="30" t="s">
        <v>2225</v>
      </c>
      <c r="R3112" s="31">
        <v>0</v>
      </c>
    </row>
    <row r="3113" s="1" customFormat="1" ht="16.35" hidden="1" customHeight="1" spans="1:18">
      <c r="A3113" s="6"/>
      <c r="B3113" s="6" t="s">
        <v>4123</v>
      </c>
      <c r="C3113" s="6" t="s">
        <v>4253</v>
      </c>
      <c r="D3113" s="7">
        <v>3</v>
      </c>
      <c r="E3113" s="6" t="s">
        <v>6783</v>
      </c>
      <c r="F3113" s="6" t="s">
        <v>5631</v>
      </c>
      <c r="G3113" s="6" t="s">
        <v>5632</v>
      </c>
      <c r="H3113" s="8"/>
      <c r="I3113" s="8">
        <v>5000</v>
      </c>
      <c r="J3113" s="6"/>
      <c r="K3113" s="6" t="s">
        <v>2227</v>
      </c>
      <c r="L3113" s="6"/>
      <c r="M3113" s="6"/>
      <c r="N3113" s="6" t="s">
        <v>2227</v>
      </c>
      <c r="O3113" s="29">
        <f t="shared" si="74"/>
        <v>5000</v>
      </c>
      <c r="Q3113" s="30" t="s">
        <v>2227</v>
      </c>
      <c r="R3113" s="31">
        <v>5000</v>
      </c>
    </row>
    <row r="3114" s="1" customFormat="1" ht="16.35" hidden="1" customHeight="1" spans="1:18">
      <c r="A3114" s="6"/>
      <c r="B3114" s="6" t="s">
        <v>4123</v>
      </c>
      <c r="C3114" s="6" t="s">
        <v>4253</v>
      </c>
      <c r="D3114" s="7">
        <v>3</v>
      </c>
      <c r="E3114" s="6" t="s">
        <v>6784</v>
      </c>
      <c r="F3114" s="6" t="s">
        <v>5631</v>
      </c>
      <c r="G3114" s="6" t="s">
        <v>5632</v>
      </c>
      <c r="H3114" s="8"/>
      <c r="I3114" s="8">
        <v>5000</v>
      </c>
      <c r="J3114" s="6"/>
      <c r="K3114" s="6" t="s">
        <v>2267</v>
      </c>
      <c r="L3114" s="6"/>
      <c r="M3114" s="6"/>
      <c r="N3114" s="6" t="s">
        <v>2267</v>
      </c>
      <c r="O3114" s="29">
        <f t="shared" si="74"/>
        <v>5000</v>
      </c>
      <c r="Q3114" s="30" t="s">
        <v>2267</v>
      </c>
      <c r="R3114" s="31">
        <v>5000</v>
      </c>
    </row>
    <row r="3115" s="1" customFormat="1" ht="16.35" hidden="1" customHeight="1" spans="1:18">
      <c r="A3115" s="6"/>
      <c r="B3115" s="6" t="s">
        <v>4123</v>
      </c>
      <c r="C3115" s="6" t="s">
        <v>4253</v>
      </c>
      <c r="D3115" s="7">
        <v>3</v>
      </c>
      <c r="E3115" s="6" t="s">
        <v>6785</v>
      </c>
      <c r="F3115" s="6" t="s">
        <v>5631</v>
      </c>
      <c r="G3115" s="6" t="s">
        <v>5632</v>
      </c>
      <c r="H3115" s="8"/>
      <c r="I3115" s="8">
        <v>-5000</v>
      </c>
      <c r="J3115" s="6"/>
      <c r="K3115" s="6" t="s">
        <v>2267</v>
      </c>
      <c r="L3115" s="6"/>
      <c r="M3115" s="6"/>
      <c r="N3115" s="6" t="s">
        <v>2267</v>
      </c>
      <c r="O3115" s="29">
        <f t="shared" si="74"/>
        <v>-5000</v>
      </c>
      <c r="Q3115" s="30" t="s">
        <v>2267</v>
      </c>
      <c r="R3115" s="31">
        <v>-5000</v>
      </c>
    </row>
    <row r="3116" s="1" customFormat="1" ht="16.35" hidden="1" customHeight="1" spans="1:18">
      <c r="A3116" s="6"/>
      <c r="B3116" s="6" t="s">
        <v>4123</v>
      </c>
      <c r="C3116" s="6" t="s">
        <v>4253</v>
      </c>
      <c r="D3116" s="7">
        <v>129</v>
      </c>
      <c r="E3116" s="6" t="s">
        <v>6786</v>
      </c>
      <c r="F3116" s="6" t="s">
        <v>5631</v>
      </c>
      <c r="G3116" s="6" t="s">
        <v>5632</v>
      </c>
      <c r="H3116" s="8">
        <v>230000</v>
      </c>
      <c r="I3116" s="8"/>
      <c r="J3116" s="6"/>
      <c r="K3116" s="6" t="s">
        <v>2271</v>
      </c>
      <c r="L3116" s="6"/>
      <c r="M3116" s="6"/>
      <c r="N3116" s="6" t="s">
        <v>2271</v>
      </c>
      <c r="O3116" s="29">
        <f t="shared" si="74"/>
        <v>0</v>
      </c>
      <c r="Q3116" s="30" t="s">
        <v>2271</v>
      </c>
      <c r="R3116" s="31">
        <v>0</v>
      </c>
    </row>
    <row r="3117" s="1" customFormat="1" ht="16.35" hidden="1" customHeight="1" spans="1:18">
      <c r="A3117" s="6"/>
      <c r="B3117" s="6" t="s">
        <v>4123</v>
      </c>
      <c r="C3117" s="6" t="s">
        <v>4253</v>
      </c>
      <c r="D3117" s="7">
        <v>129</v>
      </c>
      <c r="E3117" s="6" t="s">
        <v>6787</v>
      </c>
      <c r="F3117" s="6" t="s">
        <v>5631</v>
      </c>
      <c r="G3117" s="6" t="s">
        <v>5632</v>
      </c>
      <c r="H3117" s="8">
        <v>273216</v>
      </c>
      <c r="I3117" s="8"/>
      <c r="J3117" s="6"/>
      <c r="K3117" s="6" t="s">
        <v>2358</v>
      </c>
      <c r="L3117" s="6"/>
      <c r="M3117" s="6"/>
      <c r="N3117" s="6" t="s">
        <v>2358</v>
      </c>
      <c r="O3117" s="29">
        <f t="shared" si="74"/>
        <v>0</v>
      </c>
      <c r="Q3117" s="30" t="s">
        <v>2358</v>
      </c>
      <c r="R3117" s="31">
        <v>0</v>
      </c>
    </row>
    <row r="3118" s="1" customFormat="1" ht="16.35" hidden="1" customHeight="1" spans="1:18">
      <c r="A3118" s="6"/>
      <c r="B3118" s="6" t="s">
        <v>4123</v>
      </c>
      <c r="C3118" s="6" t="s">
        <v>4253</v>
      </c>
      <c r="D3118" s="7">
        <v>129</v>
      </c>
      <c r="E3118" s="6" t="s">
        <v>6788</v>
      </c>
      <c r="F3118" s="6" t="s">
        <v>5631</v>
      </c>
      <c r="G3118" s="6" t="s">
        <v>5632</v>
      </c>
      <c r="H3118" s="8">
        <v>254550</v>
      </c>
      <c r="I3118" s="8"/>
      <c r="J3118" s="6"/>
      <c r="K3118" s="6" t="s">
        <v>2364</v>
      </c>
      <c r="L3118" s="6"/>
      <c r="M3118" s="6"/>
      <c r="N3118" s="6" t="s">
        <v>2364</v>
      </c>
      <c r="O3118" s="29">
        <f t="shared" si="74"/>
        <v>0</v>
      </c>
      <c r="Q3118" s="30" t="s">
        <v>2364</v>
      </c>
      <c r="R3118" s="31">
        <v>0</v>
      </c>
    </row>
    <row r="3119" s="1" customFormat="1" ht="16.35" hidden="1" customHeight="1" spans="1:18">
      <c r="A3119" s="6"/>
      <c r="B3119" s="6" t="s">
        <v>4123</v>
      </c>
      <c r="C3119" s="6" t="s">
        <v>4253</v>
      </c>
      <c r="D3119" s="7">
        <v>129</v>
      </c>
      <c r="E3119" s="6" t="s">
        <v>6789</v>
      </c>
      <c r="F3119" s="6" t="s">
        <v>5631</v>
      </c>
      <c r="G3119" s="6" t="s">
        <v>5632</v>
      </c>
      <c r="H3119" s="8">
        <v>254432</v>
      </c>
      <c r="I3119" s="8"/>
      <c r="J3119" s="6"/>
      <c r="K3119" s="6" t="s">
        <v>2366</v>
      </c>
      <c r="L3119" s="6"/>
      <c r="M3119" s="6"/>
      <c r="N3119" s="6" t="s">
        <v>2366</v>
      </c>
      <c r="O3119" s="29">
        <f t="shared" si="74"/>
        <v>0</v>
      </c>
      <c r="Q3119" s="30" t="s">
        <v>2366</v>
      </c>
      <c r="R3119" s="31">
        <v>0</v>
      </c>
    </row>
    <row r="3120" s="1" customFormat="1" ht="16.35" hidden="1" customHeight="1" spans="1:18">
      <c r="A3120" s="6"/>
      <c r="B3120" s="6" t="s">
        <v>4123</v>
      </c>
      <c r="C3120" s="6" t="s">
        <v>4253</v>
      </c>
      <c r="D3120" s="7">
        <v>92</v>
      </c>
      <c r="E3120" s="6" t="s">
        <v>6790</v>
      </c>
      <c r="F3120" s="6" t="s">
        <v>5631</v>
      </c>
      <c r="G3120" s="6" t="s">
        <v>5632</v>
      </c>
      <c r="H3120" s="8"/>
      <c r="I3120" s="8">
        <v>43000</v>
      </c>
      <c r="J3120" s="6"/>
      <c r="K3120" s="6" t="s">
        <v>2368</v>
      </c>
      <c r="L3120" s="6"/>
      <c r="M3120" s="6"/>
      <c r="N3120" s="6" t="s">
        <v>2368</v>
      </c>
      <c r="O3120" s="29">
        <f t="shared" si="74"/>
        <v>43000</v>
      </c>
      <c r="Q3120" s="30" t="s">
        <v>2368</v>
      </c>
      <c r="R3120" s="31">
        <v>43000</v>
      </c>
    </row>
    <row r="3121" s="1" customFormat="1" ht="16.35" hidden="1" customHeight="1" spans="1:18">
      <c r="A3121" s="6"/>
      <c r="B3121" s="6" t="s">
        <v>4123</v>
      </c>
      <c r="C3121" s="6" t="s">
        <v>4253</v>
      </c>
      <c r="D3121" s="7">
        <v>55</v>
      </c>
      <c r="E3121" s="6" t="s">
        <v>6791</v>
      </c>
      <c r="F3121" s="6" t="s">
        <v>5631</v>
      </c>
      <c r="G3121" s="6" t="s">
        <v>5632</v>
      </c>
      <c r="H3121" s="8"/>
      <c r="I3121" s="8">
        <v>2000</v>
      </c>
      <c r="J3121" s="6"/>
      <c r="K3121" s="6" t="s">
        <v>2368</v>
      </c>
      <c r="L3121" s="6"/>
      <c r="M3121" s="6"/>
      <c r="N3121" s="6" t="s">
        <v>2368</v>
      </c>
      <c r="O3121" s="29">
        <f t="shared" si="74"/>
        <v>2000</v>
      </c>
      <c r="Q3121" s="30" t="s">
        <v>2368</v>
      </c>
      <c r="R3121" s="31">
        <v>2000</v>
      </c>
    </row>
    <row r="3122" s="1" customFormat="1" ht="16.35" hidden="1" customHeight="1" spans="1:18">
      <c r="A3122" s="6"/>
      <c r="B3122" s="6" t="s">
        <v>4123</v>
      </c>
      <c r="C3122" s="6" t="s">
        <v>4253</v>
      </c>
      <c r="D3122" s="7">
        <v>79</v>
      </c>
      <c r="E3122" s="6" t="s">
        <v>6792</v>
      </c>
      <c r="F3122" s="6" t="s">
        <v>5631</v>
      </c>
      <c r="G3122" s="6" t="s">
        <v>5632</v>
      </c>
      <c r="H3122" s="8"/>
      <c r="I3122" s="8">
        <v>18000</v>
      </c>
      <c r="J3122" s="6"/>
      <c r="K3122" s="6" t="s">
        <v>2368</v>
      </c>
      <c r="L3122" s="6"/>
      <c r="M3122" s="6"/>
      <c r="N3122" s="6" t="s">
        <v>2368</v>
      </c>
      <c r="O3122" s="29">
        <f t="shared" si="74"/>
        <v>18000</v>
      </c>
      <c r="Q3122" s="30" t="s">
        <v>2368</v>
      </c>
      <c r="R3122" s="31">
        <v>18000</v>
      </c>
    </row>
    <row r="3123" s="1" customFormat="1" ht="16.35" hidden="1" customHeight="1" spans="1:18">
      <c r="A3123" s="6"/>
      <c r="B3123" s="6" t="s">
        <v>4123</v>
      </c>
      <c r="C3123" s="6" t="s">
        <v>4253</v>
      </c>
      <c r="D3123" s="7">
        <v>140</v>
      </c>
      <c r="E3123" s="6" t="s">
        <v>6793</v>
      </c>
      <c r="F3123" s="6" t="s">
        <v>5631</v>
      </c>
      <c r="G3123" s="6" t="s">
        <v>5632</v>
      </c>
      <c r="H3123" s="8">
        <v>70000</v>
      </c>
      <c r="I3123" s="8"/>
      <c r="J3123" s="6"/>
      <c r="K3123" s="6" t="s">
        <v>666</v>
      </c>
      <c r="L3123" s="6"/>
      <c r="M3123" s="6"/>
      <c r="N3123" s="6" t="s">
        <v>666</v>
      </c>
      <c r="O3123" s="29">
        <f t="shared" si="74"/>
        <v>0</v>
      </c>
      <c r="Q3123" s="30" t="s">
        <v>666</v>
      </c>
      <c r="R3123" s="31">
        <v>0</v>
      </c>
    </row>
    <row r="3124" s="1" customFormat="1" ht="16.35" hidden="1" customHeight="1" spans="1:18">
      <c r="A3124" s="6"/>
      <c r="B3124" s="6" t="s">
        <v>4123</v>
      </c>
      <c r="C3124" s="6" t="s">
        <v>4253</v>
      </c>
      <c r="D3124" s="7">
        <v>56</v>
      </c>
      <c r="E3124" s="6" t="s">
        <v>6794</v>
      </c>
      <c r="F3124" s="6" t="s">
        <v>5631</v>
      </c>
      <c r="G3124" s="6" t="s">
        <v>5632</v>
      </c>
      <c r="H3124" s="8"/>
      <c r="I3124" s="8">
        <v>10000</v>
      </c>
      <c r="J3124" s="6"/>
      <c r="K3124" s="6" t="s">
        <v>954</v>
      </c>
      <c r="L3124" s="6"/>
      <c r="M3124" s="6"/>
      <c r="N3124" s="6" t="s">
        <v>954</v>
      </c>
      <c r="O3124" s="29">
        <f t="shared" si="74"/>
        <v>10000</v>
      </c>
      <c r="Q3124" s="30" t="s">
        <v>954</v>
      </c>
      <c r="R3124" s="31">
        <v>10000</v>
      </c>
    </row>
    <row r="3125" s="1" customFormat="1" ht="16.35" hidden="1" customHeight="1" spans="1:18">
      <c r="A3125" s="6"/>
      <c r="B3125" s="6" t="s">
        <v>4123</v>
      </c>
      <c r="C3125" s="6" t="s">
        <v>4253</v>
      </c>
      <c r="D3125" s="7">
        <v>56</v>
      </c>
      <c r="E3125" s="6" t="s">
        <v>6794</v>
      </c>
      <c r="F3125" s="6" t="s">
        <v>5631</v>
      </c>
      <c r="G3125" s="6" t="s">
        <v>5632</v>
      </c>
      <c r="H3125" s="8">
        <v>10000</v>
      </c>
      <c r="I3125" s="8"/>
      <c r="J3125" s="6"/>
      <c r="K3125" s="6" t="s">
        <v>954</v>
      </c>
      <c r="L3125" s="6"/>
      <c r="M3125" s="6"/>
      <c r="N3125" s="6" t="s">
        <v>954</v>
      </c>
      <c r="O3125" s="29">
        <f t="shared" si="74"/>
        <v>0</v>
      </c>
      <c r="Q3125" s="30" t="s">
        <v>954</v>
      </c>
      <c r="R3125" s="31">
        <v>0</v>
      </c>
    </row>
    <row r="3126" s="1" customFormat="1" ht="16.35" hidden="1" customHeight="1" spans="1:18">
      <c r="A3126" s="6"/>
      <c r="B3126" s="6" t="s">
        <v>4123</v>
      </c>
      <c r="C3126" s="6" t="s">
        <v>4253</v>
      </c>
      <c r="D3126" s="7">
        <v>139</v>
      </c>
      <c r="E3126" s="6" t="s">
        <v>6795</v>
      </c>
      <c r="F3126" s="6" t="s">
        <v>5631</v>
      </c>
      <c r="G3126" s="6" t="s">
        <v>5632</v>
      </c>
      <c r="H3126" s="8">
        <v>10000</v>
      </c>
      <c r="I3126" s="8"/>
      <c r="J3126" s="6"/>
      <c r="K3126" s="6" t="s">
        <v>954</v>
      </c>
      <c r="L3126" s="6"/>
      <c r="M3126" s="6"/>
      <c r="N3126" s="6" t="s">
        <v>954</v>
      </c>
      <c r="O3126" s="29">
        <f t="shared" si="74"/>
        <v>0</v>
      </c>
      <c r="Q3126" s="30" t="s">
        <v>954</v>
      </c>
      <c r="R3126" s="31">
        <v>0</v>
      </c>
    </row>
    <row r="3127" s="1" customFormat="1" ht="16.35" hidden="1" customHeight="1" spans="1:18">
      <c r="A3127" s="6"/>
      <c r="B3127" s="6" t="s">
        <v>4123</v>
      </c>
      <c r="C3127" s="6" t="s">
        <v>4253</v>
      </c>
      <c r="D3127" s="7">
        <v>140</v>
      </c>
      <c r="E3127" s="6" t="s">
        <v>6796</v>
      </c>
      <c r="F3127" s="6" t="s">
        <v>5631</v>
      </c>
      <c r="G3127" s="6" t="s">
        <v>5632</v>
      </c>
      <c r="H3127" s="8">
        <v>18769</v>
      </c>
      <c r="I3127" s="8"/>
      <c r="J3127" s="6"/>
      <c r="K3127" s="6" t="s">
        <v>954</v>
      </c>
      <c r="L3127" s="6"/>
      <c r="M3127" s="6"/>
      <c r="N3127" s="6" t="s">
        <v>954</v>
      </c>
      <c r="O3127" s="29">
        <f t="shared" si="74"/>
        <v>0</v>
      </c>
      <c r="Q3127" s="30" t="s">
        <v>954</v>
      </c>
      <c r="R3127" s="31">
        <v>0</v>
      </c>
    </row>
    <row r="3128" s="1" customFormat="1" ht="16.35" hidden="1" customHeight="1" spans="1:18">
      <c r="A3128" s="6"/>
      <c r="B3128" s="6" t="s">
        <v>4123</v>
      </c>
      <c r="C3128" s="6" t="s">
        <v>4253</v>
      </c>
      <c r="D3128" s="7">
        <v>140</v>
      </c>
      <c r="E3128" s="6" t="s">
        <v>6797</v>
      </c>
      <c r="F3128" s="6" t="s">
        <v>5631</v>
      </c>
      <c r="G3128" s="6" t="s">
        <v>5632</v>
      </c>
      <c r="H3128" s="8">
        <v>20000</v>
      </c>
      <c r="I3128" s="8"/>
      <c r="J3128" s="6"/>
      <c r="K3128" s="6" t="s">
        <v>954</v>
      </c>
      <c r="L3128" s="6"/>
      <c r="M3128" s="6"/>
      <c r="N3128" s="6" t="s">
        <v>954</v>
      </c>
      <c r="O3128" s="29">
        <f t="shared" si="74"/>
        <v>0</v>
      </c>
      <c r="Q3128" s="30" t="s">
        <v>954</v>
      </c>
      <c r="R3128" s="31">
        <v>0</v>
      </c>
    </row>
    <row r="3129" s="1" customFormat="1" ht="16.35" hidden="1" customHeight="1" spans="1:18">
      <c r="A3129" s="6"/>
      <c r="B3129" s="6" t="s">
        <v>4123</v>
      </c>
      <c r="C3129" s="6" t="s">
        <v>4253</v>
      </c>
      <c r="D3129" s="7">
        <v>140</v>
      </c>
      <c r="E3129" s="6" t="s">
        <v>6798</v>
      </c>
      <c r="F3129" s="6" t="s">
        <v>5631</v>
      </c>
      <c r="G3129" s="6" t="s">
        <v>5632</v>
      </c>
      <c r="H3129" s="8">
        <v>10000</v>
      </c>
      <c r="I3129" s="8"/>
      <c r="J3129" s="6"/>
      <c r="K3129" s="6" t="s">
        <v>954</v>
      </c>
      <c r="L3129" s="6"/>
      <c r="M3129" s="6"/>
      <c r="N3129" s="6" t="s">
        <v>954</v>
      </c>
      <c r="O3129" s="29">
        <f t="shared" si="74"/>
        <v>0</v>
      </c>
      <c r="Q3129" s="30" t="s">
        <v>954</v>
      </c>
      <c r="R3129" s="31">
        <v>0</v>
      </c>
    </row>
    <row r="3130" s="1" customFormat="1" ht="16.35" hidden="1" customHeight="1" spans="1:18">
      <c r="A3130" s="6"/>
      <c r="B3130" s="6" t="s">
        <v>4123</v>
      </c>
      <c r="C3130" s="6" t="s">
        <v>4253</v>
      </c>
      <c r="D3130" s="7">
        <v>132</v>
      </c>
      <c r="E3130" s="6" t="s">
        <v>6521</v>
      </c>
      <c r="F3130" s="6" t="s">
        <v>5631</v>
      </c>
      <c r="G3130" s="6" t="s">
        <v>5632</v>
      </c>
      <c r="H3130" s="8">
        <v>70000</v>
      </c>
      <c r="I3130" s="8"/>
      <c r="J3130" s="6"/>
      <c r="K3130" s="6" t="s">
        <v>767</v>
      </c>
      <c r="L3130" s="6"/>
      <c r="M3130" s="6"/>
      <c r="N3130" s="6" t="s">
        <v>767</v>
      </c>
      <c r="O3130" s="29">
        <f t="shared" si="74"/>
        <v>0</v>
      </c>
      <c r="Q3130" s="30" t="s">
        <v>767</v>
      </c>
      <c r="R3130" s="31">
        <v>0</v>
      </c>
    </row>
    <row r="3131" s="1" customFormat="1" ht="16.35" hidden="1" customHeight="1" spans="1:18">
      <c r="A3131" s="6"/>
      <c r="B3131" s="6" t="s">
        <v>4123</v>
      </c>
      <c r="C3131" s="6" t="s">
        <v>4253</v>
      </c>
      <c r="D3131" s="7">
        <v>4</v>
      </c>
      <c r="E3131" s="6" t="s">
        <v>6799</v>
      </c>
      <c r="F3131" s="6" t="s">
        <v>5631</v>
      </c>
      <c r="G3131" s="6" t="s">
        <v>5632</v>
      </c>
      <c r="H3131" s="8"/>
      <c r="I3131" s="8">
        <v>10000</v>
      </c>
      <c r="J3131" s="6"/>
      <c r="K3131" s="6" t="s">
        <v>2382</v>
      </c>
      <c r="L3131" s="6"/>
      <c r="M3131" s="6"/>
      <c r="N3131" s="6" t="s">
        <v>2382</v>
      </c>
      <c r="O3131" s="29">
        <f t="shared" ref="O3131:O3162" si="75">I3131</f>
        <v>10000</v>
      </c>
      <c r="Q3131" s="30" t="s">
        <v>2382</v>
      </c>
      <c r="R3131" s="31">
        <v>10000</v>
      </c>
    </row>
    <row r="3132" s="1" customFormat="1" ht="16.35" hidden="1" customHeight="1" spans="1:18">
      <c r="A3132" s="6"/>
      <c r="B3132" s="6" t="s">
        <v>4123</v>
      </c>
      <c r="C3132" s="6" t="s">
        <v>4253</v>
      </c>
      <c r="D3132" s="7">
        <v>4</v>
      </c>
      <c r="E3132" s="6" t="s">
        <v>6800</v>
      </c>
      <c r="F3132" s="6" t="s">
        <v>5631</v>
      </c>
      <c r="G3132" s="6" t="s">
        <v>5632</v>
      </c>
      <c r="H3132" s="8"/>
      <c r="I3132" s="8">
        <v>10000</v>
      </c>
      <c r="J3132" s="6"/>
      <c r="K3132" s="6" t="s">
        <v>2382</v>
      </c>
      <c r="L3132" s="6"/>
      <c r="M3132" s="6"/>
      <c r="N3132" s="6" t="s">
        <v>2382</v>
      </c>
      <c r="O3132" s="29">
        <f t="shared" si="75"/>
        <v>10000</v>
      </c>
      <c r="Q3132" s="30" t="s">
        <v>2382</v>
      </c>
      <c r="R3132" s="31">
        <v>10000</v>
      </c>
    </row>
    <row r="3133" s="1" customFormat="1" ht="16.35" hidden="1" customHeight="1" spans="1:18">
      <c r="A3133" s="6"/>
      <c r="B3133" s="6" t="s">
        <v>4123</v>
      </c>
      <c r="C3133" s="6" t="s">
        <v>4253</v>
      </c>
      <c r="D3133" s="7">
        <v>130</v>
      </c>
      <c r="E3133" s="6" t="s">
        <v>6801</v>
      </c>
      <c r="F3133" s="6" t="s">
        <v>5631</v>
      </c>
      <c r="G3133" s="6" t="s">
        <v>5632</v>
      </c>
      <c r="H3133" s="8">
        <v>249262</v>
      </c>
      <c r="I3133" s="8"/>
      <c r="J3133" s="6"/>
      <c r="K3133" s="6" t="s">
        <v>2382</v>
      </c>
      <c r="L3133" s="6"/>
      <c r="M3133" s="6"/>
      <c r="N3133" s="6" t="s">
        <v>2382</v>
      </c>
      <c r="O3133" s="29">
        <f t="shared" si="75"/>
        <v>0</v>
      </c>
      <c r="Q3133" s="30" t="s">
        <v>2382</v>
      </c>
      <c r="R3133" s="31">
        <v>0</v>
      </c>
    </row>
    <row r="3134" s="1" customFormat="1" ht="16.35" hidden="1" customHeight="1" spans="1:18">
      <c r="A3134" s="6"/>
      <c r="B3134" s="6" t="s">
        <v>4123</v>
      </c>
      <c r="C3134" s="6" t="s">
        <v>4253</v>
      </c>
      <c r="D3134" s="7">
        <v>4</v>
      </c>
      <c r="E3134" s="6" t="s">
        <v>6802</v>
      </c>
      <c r="F3134" s="6" t="s">
        <v>5631</v>
      </c>
      <c r="G3134" s="6" t="s">
        <v>5632</v>
      </c>
      <c r="H3134" s="8"/>
      <c r="I3134" s="8">
        <v>10000</v>
      </c>
      <c r="J3134" s="6"/>
      <c r="K3134" s="6" t="s">
        <v>2404</v>
      </c>
      <c r="L3134" s="6"/>
      <c r="M3134" s="6"/>
      <c r="N3134" s="6" t="s">
        <v>2404</v>
      </c>
      <c r="O3134" s="29">
        <f t="shared" si="75"/>
        <v>10000</v>
      </c>
      <c r="Q3134" s="30" t="s">
        <v>2404</v>
      </c>
      <c r="R3134" s="31">
        <v>10000</v>
      </c>
    </row>
    <row r="3135" s="1" customFormat="1" ht="16.35" hidden="1" customHeight="1" spans="1:18">
      <c r="A3135" s="6"/>
      <c r="B3135" s="6" t="s">
        <v>4123</v>
      </c>
      <c r="C3135" s="6" t="s">
        <v>4253</v>
      </c>
      <c r="D3135" s="7">
        <v>4</v>
      </c>
      <c r="E3135" s="6" t="s">
        <v>6803</v>
      </c>
      <c r="F3135" s="6" t="s">
        <v>5631</v>
      </c>
      <c r="G3135" s="6" t="s">
        <v>5632</v>
      </c>
      <c r="H3135" s="8"/>
      <c r="I3135" s="8">
        <v>10000</v>
      </c>
      <c r="J3135" s="6"/>
      <c r="K3135" s="6" t="s">
        <v>2404</v>
      </c>
      <c r="L3135" s="6"/>
      <c r="M3135" s="6"/>
      <c r="N3135" s="6" t="s">
        <v>2404</v>
      </c>
      <c r="O3135" s="29">
        <f t="shared" si="75"/>
        <v>10000</v>
      </c>
      <c r="Q3135" s="30" t="s">
        <v>2404</v>
      </c>
      <c r="R3135" s="31">
        <v>10000</v>
      </c>
    </row>
    <row r="3136" s="1" customFormat="1" ht="16.35" hidden="1" customHeight="1" spans="1:18">
      <c r="A3136" s="6"/>
      <c r="B3136" s="6" t="s">
        <v>4123</v>
      </c>
      <c r="C3136" s="6" t="s">
        <v>4253</v>
      </c>
      <c r="D3136" s="7">
        <v>4</v>
      </c>
      <c r="E3136" s="6" t="s">
        <v>6804</v>
      </c>
      <c r="F3136" s="6" t="s">
        <v>5631</v>
      </c>
      <c r="G3136" s="6" t="s">
        <v>5632</v>
      </c>
      <c r="H3136" s="8"/>
      <c r="I3136" s="8">
        <v>20000</v>
      </c>
      <c r="J3136" s="6"/>
      <c r="K3136" s="6" t="s">
        <v>2404</v>
      </c>
      <c r="L3136" s="6"/>
      <c r="M3136" s="6"/>
      <c r="N3136" s="6" t="s">
        <v>2404</v>
      </c>
      <c r="O3136" s="29">
        <f t="shared" si="75"/>
        <v>20000</v>
      </c>
      <c r="Q3136" s="30" t="s">
        <v>2404</v>
      </c>
      <c r="R3136" s="31">
        <v>20000</v>
      </c>
    </row>
    <row r="3137" s="1" customFormat="1" ht="16.35" hidden="1" customHeight="1" spans="1:18">
      <c r="A3137" s="6"/>
      <c r="B3137" s="6" t="s">
        <v>4123</v>
      </c>
      <c r="C3137" s="6" t="s">
        <v>4253</v>
      </c>
      <c r="D3137" s="7">
        <v>4</v>
      </c>
      <c r="E3137" s="6" t="s">
        <v>6527</v>
      </c>
      <c r="F3137" s="6" t="s">
        <v>5631</v>
      </c>
      <c r="G3137" s="6" t="s">
        <v>5632</v>
      </c>
      <c r="H3137" s="8"/>
      <c r="I3137" s="8">
        <v>-10000</v>
      </c>
      <c r="J3137" s="6"/>
      <c r="K3137" s="6" t="s">
        <v>2404</v>
      </c>
      <c r="L3137" s="6"/>
      <c r="M3137" s="6"/>
      <c r="N3137" s="6" t="s">
        <v>2404</v>
      </c>
      <c r="O3137" s="29">
        <f t="shared" si="75"/>
        <v>-10000</v>
      </c>
      <c r="Q3137" s="30" t="s">
        <v>2404</v>
      </c>
      <c r="R3137" s="31">
        <v>-10000</v>
      </c>
    </row>
    <row r="3138" s="1" customFormat="1" ht="16.35" hidden="1" customHeight="1" spans="1:18">
      <c r="A3138" s="6"/>
      <c r="B3138" s="6" t="s">
        <v>4123</v>
      </c>
      <c r="C3138" s="6" t="s">
        <v>4253</v>
      </c>
      <c r="D3138" s="7">
        <v>4</v>
      </c>
      <c r="E3138" s="6" t="s">
        <v>6805</v>
      </c>
      <c r="F3138" s="6" t="s">
        <v>5631</v>
      </c>
      <c r="G3138" s="6" t="s">
        <v>5632</v>
      </c>
      <c r="H3138" s="8"/>
      <c r="I3138" s="8">
        <v>10000</v>
      </c>
      <c r="J3138" s="6"/>
      <c r="K3138" s="6" t="s">
        <v>2412</v>
      </c>
      <c r="L3138" s="6"/>
      <c r="M3138" s="6"/>
      <c r="N3138" s="6" t="s">
        <v>2412</v>
      </c>
      <c r="O3138" s="29">
        <f t="shared" si="75"/>
        <v>10000</v>
      </c>
      <c r="Q3138" s="30" t="s">
        <v>2412</v>
      </c>
      <c r="R3138" s="31">
        <v>10000</v>
      </c>
    </row>
    <row r="3139" s="1" customFormat="1" ht="16.35" hidden="1" customHeight="1" spans="1:18">
      <c r="A3139" s="6"/>
      <c r="B3139" s="6" t="s">
        <v>4123</v>
      </c>
      <c r="C3139" s="6" t="s">
        <v>4253</v>
      </c>
      <c r="D3139" s="7">
        <v>4</v>
      </c>
      <c r="E3139" s="6" t="s">
        <v>6527</v>
      </c>
      <c r="F3139" s="6" t="s">
        <v>5631</v>
      </c>
      <c r="G3139" s="6" t="s">
        <v>5632</v>
      </c>
      <c r="H3139" s="8"/>
      <c r="I3139" s="8">
        <v>-10000</v>
      </c>
      <c r="J3139" s="6"/>
      <c r="K3139" s="6" t="s">
        <v>2412</v>
      </c>
      <c r="L3139" s="6"/>
      <c r="M3139" s="6"/>
      <c r="N3139" s="6" t="s">
        <v>2412</v>
      </c>
      <c r="O3139" s="29">
        <f t="shared" si="75"/>
        <v>-10000</v>
      </c>
      <c r="Q3139" s="30" t="s">
        <v>2412</v>
      </c>
      <c r="R3139" s="31">
        <v>-10000</v>
      </c>
    </row>
    <row r="3140" s="1" customFormat="1" ht="16.35" hidden="1" customHeight="1" spans="1:18">
      <c r="A3140" s="6"/>
      <c r="B3140" s="6" t="s">
        <v>4123</v>
      </c>
      <c r="C3140" s="6" t="s">
        <v>4253</v>
      </c>
      <c r="D3140" s="7">
        <v>4</v>
      </c>
      <c r="E3140" s="6" t="s">
        <v>6806</v>
      </c>
      <c r="F3140" s="6" t="s">
        <v>5631</v>
      </c>
      <c r="G3140" s="6" t="s">
        <v>5632</v>
      </c>
      <c r="H3140" s="8"/>
      <c r="I3140" s="8">
        <v>3500</v>
      </c>
      <c r="J3140" s="6"/>
      <c r="K3140" s="6" t="s">
        <v>6807</v>
      </c>
      <c r="L3140" s="6"/>
      <c r="M3140" s="6"/>
      <c r="N3140" s="6" t="s">
        <v>6807</v>
      </c>
      <c r="O3140" s="29">
        <f t="shared" si="75"/>
        <v>3500</v>
      </c>
      <c r="Q3140" s="30" t="s">
        <v>6807</v>
      </c>
      <c r="R3140" s="31">
        <v>3500</v>
      </c>
    </row>
    <row r="3141" s="1" customFormat="1" ht="16.35" hidden="1" customHeight="1" spans="1:18">
      <c r="A3141" s="6"/>
      <c r="B3141" s="6" t="s">
        <v>4123</v>
      </c>
      <c r="C3141" s="6" t="s">
        <v>4253</v>
      </c>
      <c r="D3141" s="7">
        <v>4</v>
      </c>
      <c r="E3141" s="6" t="s">
        <v>6808</v>
      </c>
      <c r="F3141" s="6" t="s">
        <v>5631</v>
      </c>
      <c r="G3141" s="6" t="s">
        <v>5632</v>
      </c>
      <c r="H3141" s="8"/>
      <c r="I3141" s="8">
        <v>1500</v>
      </c>
      <c r="J3141" s="6"/>
      <c r="K3141" s="6" t="s">
        <v>6807</v>
      </c>
      <c r="L3141" s="6"/>
      <c r="M3141" s="6"/>
      <c r="N3141" s="6" t="s">
        <v>6807</v>
      </c>
      <c r="O3141" s="29">
        <f t="shared" si="75"/>
        <v>1500</v>
      </c>
      <c r="Q3141" s="30" t="s">
        <v>6807</v>
      </c>
      <c r="R3141" s="31">
        <v>1500</v>
      </c>
    </row>
    <row r="3142" s="1" customFormat="1" ht="16.35" hidden="1" customHeight="1" spans="1:18">
      <c r="A3142" s="6"/>
      <c r="B3142" s="6" t="s">
        <v>4123</v>
      </c>
      <c r="C3142" s="6" t="s">
        <v>4253</v>
      </c>
      <c r="D3142" s="7">
        <v>4</v>
      </c>
      <c r="E3142" s="6" t="s">
        <v>6527</v>
      </c>
      <c r="F3142" s="6" t="s">
        <v>5631</v>
      </c>
      <c r="G3142" s="6" t="s">
        <v>5632</v>
      </c>
      <c r="H3142" s="8"/>
      <c r="I3142" s="8">
        <v>-5000</v>
      </c>
      <c r="J3142" s="6"/>
      <c r="K3142" s="6" t="s">
        <v>6807</v>
      </c>
      <c r="L3142" s="6"/>
      <c r="M3142" s="6"/>
      <c r="N3142" s="6" t="s">
        <v>6807</v>
      </c>
      <c r="O3142" s="29">
        <f t="shared" si="75"/>
        <v>-5000</v>
      </c>
      <c r="Q3142" s="30" t="s">
        <v>6807</v>
      </c>
      <c r="R3142" s="31">
        <v>-5000</v>
      </c>
    </row>
    <row r="3143" s="1" customFormat="1" ht="16.35" hidden="1" customHeight="1" spans="1:18">
      <c r="A3143" s="6"/>
      <c r="B3143" s="6" t="s">
        <v>4123</v>
      </c>
      <c r="C3143" s="6" t="s">
        <v>4253</v>
      </c>
      <c r="D3143" s="7">
        <v>10</v>
      </c>
      <c r="E3143" s="6" t="s">
        <v>6809</v>
      </c>
      <c r="F3143" s="6" t="s">
        <v>5631</v>
      </c>
      <c r="G3143" s="6" t="s">
        <v>5632</v>
      </c>
      <c r="H3143" s="8"/>
      <c r="I3143" s="8">
        <v>1500</v>
      </c>
      <c r="J3143" s="6"/>
      <c r="K3143" s="6" t="s">
        <v>2398</v>
      </c>
      <c r="L3143" s="6"/>
      <c r="M3143" s="6"/>
      <c r="N3143" s="6" t="s">
        <v>2398</v>
      </c>
      <c r="O3143" s="29">
        <f t="shared" si="75"/>
        <v>1500</v>
      </c>
      <c r="Q3143" s="30" t="s">
        <v>2398</v>
      </c>
      <c r="R3143" s="31">
        <v>1500</v>
      </c>
    </row>
    <row r="3144" s="1" customFormat="1" ht="16.35" hidden="1" customHeight="1" spans="1:18">
      <c r="A3144" s="6"/>
      <c r="B3144" s="6" t="s">
        <v>4123</v>
      </c>
      <c r="C3144" s="6" t="s">
        <v>4253</v>
      </c>
      <c r="D3144" s="7">
        <v>91</v>
      </c>
      <c r="E3144" s="6" t="s">
        <v>6810</v>
      </c>
      <c r="F3144" s="6" t="s">
        <v>5631</v>
      </c>
      <c r="G3144" s="6" t="s">
        <v>5632</v>
      </c>
      <c r="H3144" s="8"/>
      <c r="I3144" s="8">
        <v>20000</v>
      </c>
      <c r="J3144" s="6"/>
      <c r="K3144" s="6" t="s">
        <v>2422</v>
      </c>
      <c r="L3144" s="6"/>
      <c r="M3144" s="6"/>
      <c r="N3144" s="6" t="s">
        <v>2422</v>
      </c>
      <c r="O3144" s="29">
        <f t="shared" si="75"/>
        <v>20000</v>
      </c>
      <c r="Q3144" s="30" t="s">
        <v>2422</v>
      </c>
      <c r="R3144" s="31">
        <v>20000</v>
      </c>
    </row>
    <row r="3145" s="1" customFormat="1" ht="16.35" hidden="1" customHeight="1" spans="1:18">
      <c r="A3145" s="6"/>
      <c r="B3145" s="6" t="s">
        <v>4123</v>
      </c>
      <c r="C3145" s="6" t="s">
        <v>4253</v>
      </c>
      <c r="D3145" s="7">
        <v>130</v>
      </c>
      <c r="E3145" s="6" t="s">
        <v>6811</v>
      </c>
      <c r="F3145" s="6" t="s">
        <v>5631</v>
      </c>
      <c r="G3145" s="6" t="s">
        <v>5632</v>
      </c>
      <c r="H3145" s="8">
        <v>278000</v>
      </c>
      <c r="I3145" s="8"/>
      <c r="J3145" s="6"/>
      <c r="K3145" s="6" t="s">
        <v>2478</v>
      </c>
      <c r="L3145" s="6"/>
      <c r="M3145" s="6"/>
      <c r="N3145" s="6" t="s">
        <v>2478</v>
      </c>
      <c r="O3145" s="29">
        <f t="shared" si="75"/>
        <v>0</v>
      </c>
      <c r="Q3145" s="30" t="s">
        <v>2478</v>
      </c>
      <c r="R3145" s="31">
        <v>0</v>
      </c>
    </row>
    <row r="3146" s="1" customFormat="1" ht="16.35" hidden="1" customHeight="1" spans="1:18">
      <c r="A3146" s="6"/>
      <c r="B3146" s="6" t="s">
        <v>4123</v>
      </c>
      <c r="C3146" s="6" t="s">
        <v>4253</v>
      </c>
      <c r="D3146" s="7">
        <v>4</v>
      </c>
      <c r="E3146" s="6" t="s">
        <v>6812</v>
      </c>
      <c r="F3146" s="6" t="s">
        <v>5631</v>
      </c>
      <c r="G3146" s="6" t="s">
        <v>5632</v>
      </c>
      <c r="H3146" s="8"/>
      <c r="I3146" s="8">
        <v>10000</v>
      </c>
      <c r="J3146" s="6"/>
      <c r="K3146" s="6" t="s">
        <v>2472</v>
      </c>
      <c r="L3146" s="6"/>
      <c r="M3146" s="6"/>
      <c r="N3146" s="6" t="s">
        <v>2472</v>
      </c>
      <c r="O3146" s="29">
        <f t="shared" si="75"/>
        <v>10000</v>
      </c>
      <c r="Q3146" s="30" t="s">
        <v>2472</v>
      </c>
      <c r="R3146" s="31">
        <v>10000</v>
      </c>
    </row>
    <row r="3147" s="1" customFormat="1" ht="16.35" hidden="1" customHeight="1" spans="1:18">
      <c r="A3147" s="6"/>
      <c r="B3147" s="6" t="s">
        <v>4123</v>
      </c>
      <c r="C3147" s="6" t="s">
        <v>4253</v>
      </c>
      <c r="D3147" s="7">
        <v>4</v>
      </c>
      <c r="E3147" s="6" t="s">
        <v>6813</v>
      </c>
      <c r="F3147" s="6" t="s">
        <v>5631</v>
      </c>
      <c r="G3147" s="6" t="s">
        <v>5632</v>
      </c>
      <c r="H3147" s="8"/>
      <c r="I3147" s="8">
        <v>10000</v>
      </c>
      <c r="J3147" s="6"/>
      <c r="K3147" s="6" t="s">
        <v>2432</v>
      </c>
      <c r="L3147" s="6"/>
      <c r="M3147" s="6"/>
      <c r="N3147" s="6" t="s">
        <v>2432</v>
      </c>
      <c r="O3147" s="29">
        <f t="shared" si="75"/>
        <v>10000</v>
      </c>
      <c r="Q3147" s="30" t="s">
        <v>2432</v>
      </c>
      <c r="R3147" s="31">
        <v>10000</v>
      </c>
    </row>
    <row r="3148" s="1" customFormat="1" ht="16.35" hidden="1" customHeight="1" spans="1:18">
      <c r="A3148" s="6"/>
      <c r="B3148" s="6" t="s">
        <v>4123</v>
      </c>
      <c r="C3148" s="6" t="s">
        <v>4253</v>
      </c>
      <c r="D3148" s="7">
        <v>4</v>
      </c>
      <c r="E3148" s="6" t="s">
        <v>6814</v>
      </c>
      <c r="F3148" s="6" t="s">
        <v>5631</v>
      </c>
      <c r="G3148" s="6" t="s">
        <v>5632</v>
      </c>
      <c r="H3148" s="8"/>
      <c r="I3148" s="8">
        <v>3000</v>
      </c>
      <c r="J3148" s="6"/>
      <c r="K3148" s="6" t="s">
        <v>2432</v>
      </c>
      <c r="L3148" s="6"/>
      <c r="M3148" s="6"/>
      <c r="N3148" s="6" t="s">
        <v>2432</v>
      </c>
      <c r="O3148" s="29">
        <f t="shared" si="75"/>
        <v>3000</v>
      </c>
      <c r="Q3148" s="30" t="s">
        <v>2432</v>
      </c>
      <c r="R3148" s="31">
        <v>3000</v>
      </c>
    </row>
    <row r="3149" s="1" customFormat="1" ht="16.35" customHeight="1" spans="1:18">
      <c r="A3149" s="6"/>
      <c r="B3149" s="6" t="s">
        <v>4123</v>
      </c>
      <c r="C3149" s="6" t="s">
        <v>4253</v>
      </c>
      <c r="D3149" s="7">
        <v>4</v>
      </c>
      <c r="E3149" s="6" t="s">
        <v>6815</v>
      </c>
      <c r="F3149" s="6" t="s">
        <v>5631</v>
      </c>
      <c r="G3149" s="6" t="s">
        <v>5632</v>
      </c>
      <c r="H3149" s="8"/>
      <c r="I3149" s="8">
        <v>10000</v>
      </c>
      <c r="J3149" s="6"/>
      <c r="K3149" s="6" t="s">
        <v>2456</v>
      </c>
      <c r="L3149" s="6"/>
      <c r="M3149" s="6"/>
      <c r="N3149" s="6" t="s">
        <v>2456</v>
      </c>
      <c r="O3149" s="29">
        <f t="shared" si="75"/>
        <v>10000</v>
      </c>
      <c r="Q3149" s="30" t="s">
        <v>2456</v>
      </c>
      <c r="R3149" s="31">
        <v>10000</v>
      </c>
    </row>
    <row r="3150" s="1" customFormat="1" ht="16.35" customHeight="1" spans="1:18">
      <c r="A3150" s="6"/>
      <c r="B3150" s="6" t="s">
        <v>4123</v>
      </c>
      <c r="C3150" s="6" t="s">
        <v>4253</v>
      </c>
      <c r="D3150" s="7">
        <v>4</v>
      </c>
      <c r="E3150" s="6" t="s">
        <v>6816</v>
      </c>
      <c r="F3150" s="6" t="s">
        <v>5631</v>
      </c>
      <c r="G3150" s="6" t="s">
        <v>5632</v>
      </c>
      <c r="H3150" s="8"/>
      <c r="I3150" s="8">
        <v>98</v>
      </c>
      <c r="J3150" s="6"/>
      <c r="K3150" s="6" t="s">
        <v>2456</v>
      </c>
      <c r="L3150" s="6"/>
      <c r="M3150" s="6"/>
      <c r="N3150" s="6" t="s">
        <v>2456</v>
      </c>
      <c r="O3150" s="29">
        <f t="shared" si="75"/>
        <v>98</v>
      </c>
      <c r="Q3150" s="30" t="s">
        <v>2456</v>
      </c>
      <c r="R3150" s="31">
        <v>98</v>
      </c>
    </row>
    <row r="3151" s="1" customFormat="1" ht="16.35" customHeight="1" spans="1:18">
      <c r="A3151" s="6"/>
      <c r="B3151" s="6" t="s">
        <v>4123</v>
      </c>
      <c r="C3151" s="6" t="s">
        <v>4253</v>
      </c>
      <c r="D3151" s="7">
        <v>130</v>
      </c>
      <c r="E3151" s="6" t="s">
        <v>6817</v>
      </c>
      <c r="F3151" s="6" t="s">
        <v>5631</v>
      </c>
      <c r="G3151" s="6" t="s">
        <v>5632</v>
      </c>
      <c r="H3151" s="8">
        <v>10098</v>
      </c>
      <c r="I3151" s="8"/>
      <c r="J3151" s="6"/>
      <c r="K3151" s="6" t="s">
        <v>2456</v>
      </c>
      <c r="L3151" s="6"/>
      <c r="M3151" s="6"/>
      <c r="N3151" s="6" t="s">
        <v>2456</v>
      </c>
      <c r="O3151" s="29">
        <f t="shared" si="75"/>
        <v>0</v>
      </c>
      <c r="Q3151" s="30" t="s">
        <v>2456</v>
      </c>
      <c r="R3151" s="31">
        <v>0</v>
      </c>
    </row>
    <row r="3152" s="1" customFormat="1" ht="16.35" customHeight="1" spans="1:18">
      <c r="A3152" s="6"/>
      <c r="B3152" s="6" t="s">
        <v>4123</v>
      </c>
      <c r="C3152" s="6" t="s">
        <v>4253</v>
      </c>
      <c r="D3152" s="7">
        <v>130</v>
      </c>
      <c r="E3152" s="6" t="s">
        <v>6817</v>
      </c>
      <c r="F3152" s="6" t="s">
        <v>5631</v>
      </c>
      <c r="G3152" s="6" t="s">
        <v>5632</v>
      </c>
      <c r="H3152" s="8">
        <v>248000</v>
      </c>
      <c r="I3152" s="8"/>
      <c r="J3152" s="6"/>
      <c r="K3152" s="6" t="s">
        <v>2456</v>
      </c>
      <c r="L3152" s="6"/>
      <c r="M3152" s="6"/>
      <c r="N3152" s="6" t="s">
        <v>2456</v>
      </c>
      <c r="O3152" s="29">
        <f t="shared" si="75"/>
        <v>0</v>
      </c>
      <c r="Q3152" s="30" t="s">
        <v>2456</v>
      </c>
      <c r="R3152" s="31">
        <v>0</v>
      </c>
    </row>
    <row r="3153" s="1" customFormat="1" ht="16.35" hidden="1" customHeight="1" spans="1:18">
      <c r="A3153" s="6"/>
      <c r="B3153" s="6" t="s">
        <v>4123</v>
      </c>
      <c r="C3153" s="6" t="s">
        <v>4253</v>
      </c>
      <c r="D3153" s="7">
        <v>96</v>
      </c>
      <c r="E3153" s="6" t="s">
        <v>6549</v>
      </c>
      <c r="F3153" s="6" t="s">
        <v>5631</v>
      </c>
      <c r="G3153" s="6" t="s">
        <v>5632</v>
      </c>
      <c r="H3153" s="8"/>
      <c r="I3153" s="8">
        <v>272745</v>
      </c>
      <c r="J3153" s="6"/>
      <c r="K3153" s="6" t="s">
        <v>2482</v>
      </c>
      <c r="L3153" s="6"/>
      <c r="M3153" s="6"/>
      <c r="N3153" s="6" t="s">
        <v>2482</v>
      </c>
      <c r="O3153" s="29">
        <f t="shared" si="75"/>
        <v>272745</v>
      </c>
      <c r="Q3153" s="30" t="s">
        <v>2482</v>
      </c>
      <c r="R3153" s="31">
        <v>272745</v>
      </c>
    </row>
    <row r="3154" s="1" customFormat="1" ht="16.35" hidden="1" customHeight="1" spans="1:18">
      <c r="A3154" s="6"/>
      <c r="B3154" s="6" t="s">
        <v>4123</v>
      </c>
      <c r="C3154" s="6" t="s">
        <v>4253</v>
      </c>
      <c r="D3154" s="7">
        <v>4</v>
      </c>
      <c r="E3154" s="6" t="s">
        <v>6818</v>
      </c>
      <c r="F3154" s="6" t="s">
        <v>5631</v>
      </c>
      <c r="G3154" s="6" t="s">
        <v>5632</v>
      </c>
      <c r="H3154" s="8"/>
      <c r="I3154" s="8">
        <v>10000</v>
      </c>
      <c r="J3154" s="6"/>
      <c r="K3154" s="6" t="s">
        <v>2482</v>
      </c>
      <c r="L3154" s="6"/>
      <c r="M3154" s="6"/>
      <c r="N3154" s="6" t="s">
        <v>2482</v>
      </c>
      <c r="O3154" s="29">
        <f t="shared" si="75"/>
        <v>10000</v>
      </c>
      <c r="Q3154" s="30" t="s">
        <v>2482</v>
      </c>
      <c r="R3154" s="31">
        <v>10000</v>
      </c>
    </row>
    <row r="3155" s="1" customFormat="1" ht="16.35" hidden="1" customHeight="1" spans="1:18">
      <c r="A3155" s="6"/>
      <c r="B3155" s="6" t="s">
        <v>4123</v>
      </c>
      <c r="C3155" s="6" t="s">
        <v>4253</v>
      </c>
      <c r="D3155" s="7">
        <v>130</v>
      </c>
      <c r="E3155" s="6" t="s">
        <v>6819</v>
      </c>
      <c r="F3155" s="6" t="s">
        <v>5631</v>
      </c>
      <c r="G3155" s="6" t="s">
        <v>5632</v>
      </c>
      <c r="H3155" s="8">
        <v>272745</v>
      </c>
      <c r="I3155" s="8"/>
      <c r="J3155" s="6"/>
      <c r="K3155" s="6" t="s">
        <v>2482</v>
      </c>
      <c r="L3155" s="6"/>
      <c r="M3155" s="6"/>
      <c r="N3155" s="6" t="s">
        <v>2482</v>
      </c>
      <c r="O3155" s="29">
        <f t="shared" si="75"/>
        <v>0</v>
      </c>
      <c r="Q3155" s="30" t="s">
        <v>2482</v>
      </c>
      <c r="R3155" s="31">
        <v>0</v>
      </c>
    </row>
    <row r="3156" s="1" customFormat="1" ht="16.35" hidden="1" customHeight="1" spans="1:18">
      <c r="A3156" s="6"/>
      <c r="B3156" s="6" t="s">
        <v>4123</v>
      </c>
      <c r="C3156" s="6" t="s">
        <v>4253</v>
      </c>
      <c r="D3156" s="7">
        <v>8</v>
      </c>
      <c r="E3156" s="6" t="s">
        <v>6820</v>
      </c>
      <c r="F3156" s="6" t="s">
        <v>5631</v>
      </c>
      <c r="G3156" s="6" t="s">
        <v>5632</v>
      </c>
      <c r="H3156" s="8"/>
      <c r="I3156" s="8">
        <v>10000</v>
      </c>
      <c r="J3156" s="6"/>
      <c r="K3156" s="6" t="s">
        <v>2488</v>
      </c>
      <c r="L3156" s="6"/>
      <c r="M3156" s="6"/>
      <c r="N3156" s="6" t="s">
        <v>2488</v>
      </c>
      <c r="O3156" s="29">
        <f t="shared" si="75"/>
        <v>10000</v>
      </c>
      <c r="Q3156" s="30" t="s">
        <v>2488</v>
      </c>
      <c r="R3156" s="31">
        <v>10000</v>
      </c>
    </row>
    <row r="3157" s="1" customFormat="1" ht="16.35" hidden="1" customHeight="1" spans="1:18">
      <c r="A3157" s="6"/>
      <c r="B3157" s="6" t="s">
        <v>4123</v>
      </c>
      <c r="C3157" s="6" t="s">
        <v>4253</v>
      </c>
      <c r="D3157" s="7">
        <v>92</v>
      </c>
      <c r="E3157" s="6" t="s">
        <v>6821</v>
      </c>
      <c r="F3157" s="6" t="s">
        <v>5631</v>
      </c>
      <c r="G3157" s="6" t="s">
        <v>5632</v>
      </c>
      <c r="H3157" s="8"/>
      <c r="I3157" s="8">
        <v>50540</v>
      </c>
      <c r="J3157" s="6"/>
      <c r="K3157" s="6" t="s">
        <v>2464</v>
      </c>
      <c r="L3157" s="6"/>
      <c r="M3157" s="6"/>
      <c r="N3157" s="6" t="s">
        <v>2464</v>
      </c>
      <c r="O3157" s="29">
        <f t="shared" si="75"/>
        <v>50540</v>
      </c>
      <c r="Q3157" s="30" t="s">
        <v>2464</v>
      </c>
      <c r="R3157" s="31">
        <v>50540</v>
      </c>
    </row>
    <row r="3158" s="1" customFormat="1" ht="16.35" hidden="1" customHeight="1" spans="1:18">
      <c r="A3158" s="6"/>
      <c r="B3158" s="6" t="s">
        <v>4123</v>
      </c>
      <c r="C3158" s="6" t="s">
        <v>4253</v>
      </c>
      <c r="D3158" s="7">
        <v>79</v>
      </c>
      <c r="E3158" s="6" t="s">
        <v>6822</v>
      </c>
      <c r="F3158" s="6" t="s">
        <v>5631</v>
      </c>
      <c r="G3158" s="6" t="s">
        <v>5632</v>
      </c>
      <c r="H3158" s="8"/>
      <c r="I3158" s="8">
        <v>16000</v>
      </c>
      <c r="J3158" s="6"/>
      <c r="K3158" s="6" t="s">
        <v>2464</v>
      </c>
      <c r="L3158" s="6"/>
      <c r="M3158" s="6"/>
      <c r="N3158" s="6" t="s">
        <v>2464</v>
      </c>
      <c r="O3158" s="29">
        <f t="shared" si="75"/>
        <v>16000</v>
      </c>
      <c r="Q3158" s="30" t="s">
        <v>2464</v>
      </c>
      <c r="R3158" s="31">
        <v>16000</v>
      </c>
    </row>
    <row r="3159" s="1" customFormat="1" ht="16.35" hidden="1" customHeight="1" spans="1:18">
      <c r="A3159" s="6"/>
      <c r="B3159" s="6" t="s">
        <v>4123</v>
      </c>
      <c r="C3159" s="6" t="s">
        <v>4253</v>
      </c>
      <c r="D3159" s="7">
        <v>14</v>
      </c>
      <c r="E3159" s="6" t="s">
        <v>6823</v>
      </c>
      <c r="F3159" s="6" t="s">
        <v>5631</v>
      </c>
      <c r="G3159" s="6" t="s">
        <v>5632</v>
      </c>
      <c r="H3159" s="8"/>
      <c r="I3159" s="8">
        <v>20000</v>
      </c>
      <c r="J3159" s="6"/>
      <c r="K3159" s="6" t="s">
        <v>2513</v>
      </c>
      <c r="L3159" s="6"/>
      <c r="M3159" s="6"/>
      <c r="N3159" s="6" t="s">
        <v>2513</v>
      </c>
      <c r="O3159" s="29">
        <f t="shared" si="75"/>
        <v>20000</v>
      </c>
      <c r="Q3159" s="30" t="s">
        <v>2513</v>
      </c>
      <c r="R3159" s="31">
        <v>20000</v>
      </c>
    </row>
    <row r="3160" s="1" customFormat="1" ht="16.35" hidden="1" customHeight="1" spans="1:18">
      <c r="A3160" s="6"/>
      <c r="B3160" s="6" t="s">
        <v>4123</v>
      </c>
      <c r="C3160" s="6" t="s">
        <v>4253</v>
      </c>
      <c r="D3160" s="7">
        <v>130</v>
      </c>
      <c r="E3160" s="6" t="s">
        <v>6824</v>
      </c>
      <c r="F3160" s="6" t="s">
        <v>5631</v>
      </c>
      <c r="G3160" s="6" t="s">
        <v>5632</v>
      </c>
      <c r="H3160" s="8">
        <v>229000</v>
      </c>
      <c r="I3160" s="8"/>
      <c r="J3160" s="6"/>
      <c r="K3160" s="6" t="s">
        <v>2568</v>
      </c>
      <c r="L3160" s="6"/>
      <c r="M3160" s="6"/>
      <c r="N3160" s="6" t="s">
        <v>2568</v>
      </c>
      <c r="O3160" s="29">
        <f t="shared" si="75"/>
        <v>0</v>
      </c>
      <c r="Q3160" s="30" t="s">
        <v>2568</v>
      </c>
      <c r="R3160" s="31">
        <v>0</v>
      </c>
    </row>
    <row r="3161" s="1" customFormat="1" ht="16.35" hidden="1" customHeight="1" spans="1:18">
      <c r="A3161" s="6"/>
      <c r="B3161" s="6" t="s">
        <v>4123</v>
      </c>
      <c r="C3161" s="6" t="s">
        <v>4253</v>
      </c>
      <c r="D3161" s="7">
        <v>4</v>
      </c>
      <c r="E3161" s="6" t="s">
        <v>6825</v>
      </c>
      <c r="F3161" s="6" t="s">
        <v>5631</v>
      </c>
      <c r="G3161" s="6" t="s">
        <v>5632</v>
      </c>
      <c r="H3161" s="8"/>
      <c r="I3161" s="8">
        <v>5000</v>
      </c>
      <c r="J3161" s="6"/>
      <c r="K3161" s="6" t="s">
        <v>2590</v>
      </c>
      <c r="L3161" s="6"/>
      <c r="M3161" s="6"/>
      <c r="N3161" s="6" t="s">
        <v>2590</v>
      </c>
      <c r="O3161" s="29">
        <f t="shared" si="75"/>
        <v>5000</v>
      </c>
      <c r="Q3161" s="30" t="s">
        <v>2590</v>
      </c>
      <c r="R3161" s="31">
        <v>5000</v>
      </c>
    </row>
    <row r="3162" s="1" customFormat="1" ht="16.35" hidden="1" customHeight="1" spans="1:18">
      <c r="A3162" s="6"/>
      <c r="B3162" s="6" t="s">
        <v>4123</v>
      </c>
      <c r="C3162" s="6" t="s">
        <v>4253</v>
      </c>
      <c r="D3162" s="7">
        <v>130</v>
      </c>
      <c r="E3162" s="6" t="s">
        <v>6826</v>
      </c>
      <c r="F3162" s="6" t="s">
        <v>5631</v>
      </c>
      <c r="G3162" s="6" t="s">
        <v>5632</v>
      </c>
      <c r="H3162" s="8">
        <v>189600</v>
      </c>
      <c r="I3162" s="8"/>
      <c r="J3162" s="6"/>
      <c r="K3162" s="6" t="s">
        <v>2590</v>
      </c>
      <c r="L3162" s="6"/>
      <c r="M3162" s="6"/>
      <c r="N3162" s="6" t="s">
        <v>2590</v>
      </c>
      <c r="O3162" s="29">
        <f t="shared" si="75"/>
        <v>0</v>
      </c>
      <c r="Q3162" s="30" t="s">
        <v>2590</v>
      </c>
      <c r="R3162" s="31">
        <v>0</v>
      </c>
    </row>
    <row r="3163" s="1" customFormat="1" ht="16.35" hidden="1" customHeight="1" spans="1:18">
      <c r="A3163" s="6"/>
      <c r="B3163" s="6" t="s">
        <v>4123</v>
      </c>
      <c r="C3163" s="6" t="s">
        <v>4253</v>
      </c>
      <c r="D3163" s="7">
        <v>4</v>
      </c>
      <c r="E3163" s="6" t="s">
        <v>6827</v>
      </c>
      <c r="F3163" s="6" t="s">
        <v>5631</v>
      </c>
      <c r="G3163" s="6" t="s">
        <v>5632</v>
      </c>
      <c r="H3163" s="8"/>
      <c r="I3163" s="8">
        <v>4000</v>
      </c>
      <c r="J3163" s="6"/>
      <c r="K3163" s="6" t="s">
        <v>2529</v>
      </c>
      <c r="L3163" s="6"/>
      <c r="M3163" s="6"/>
      <c r="N3163" s="6" t="s">
        <v>2529</v>
      </c>
      <c r="O3163" s="29">
        <f t="shared" ref="O3163:O3194" si="76">I3163</f>
        <v>4000</v>
      </c>
      <c r="Q3163" s="30" t="s">
        <v>2529</v>
      </c>
      <c r="R3163" s="31">
        <v>4000</v>
      </c>
    </row>
    <row r="3164" s="1" customFormat="1" ht="16.35" hidden="1" customHeight="1" spans="1:18">
      <c r="A3164" s="6"/>
      <c r="B3164" s="6" t="s">
        <v>4123</v>
      </c>
      <c r="C3164" s="6" t="s">
        <v>4253</v>
      </c>
      <c r="D3164" s="7">
        <v>4</v>
      </c>
      <c r="E3164" s="6" t="s">
        <v>6828</v>
      </c>
      <c r="F3164" s="6" t="s">
        <v>5631</v>
      </c>
      <c r="G3164" s="6" t="s">
        <v>5632</v>
      </c>
      <c r="H3164" s="8"/>
      <c r="I3164" s="8">
        <v>1000</v>
      </c>
      <c r="J3164" s="6"/>
      <c r="K3164" s="6" t="s">
        <v>2529</v>
      </c>
      <c r="L3164" s="6"/>
      <c r="M3164" s="6"/>
      <c r="N3164" s="6" t="s">
        <v>2529</v>
      </c>
      <c r="O3164" s="29">
        <f t="shared" si="76"/>
        <v>1000</v>
      </c>
      <c r="Q3164" s="30" t="s">
        <v>2529</v>
      </c>
      <c r="R3164" s="31">
        <v>1000</v>
      </c>
    </row>
    <row r="3165" s="1" customFormat="1" ht="16.35" hidden="1" customHeight="1" spans="1:18">
      <c r="A3165" s="6"/>
      <c r="B3165" s="6" t="s">
        <v>4123</v>
      </c>
      <c r="C3165" s="6" t="s">
        <v>4253</v>
      </c>
      <c r="D3165" s="7">
        <v>4</v>
      </c>
      <c r="E3165" s="6" t="s">
        <v>6829</v>
      </c>
      <c r="F3165" s="6" t="s">
        <v>5631</v>
      </c>
      <c r="G3165" s="6" t="s">
        <v>5632</v>
      </c>
      <c r="H3165" s="8"/>
      <c r="I3165" s="8">
        <v>5000</v>
      </c>
      <c r="J3165" s="6"/>
      <c r="K3165" s="6" t="s">
        <v>2529</v>
      </c>
      <c r="L3165" s="6"/>
      <c r="M3165" s="6"/>
      <c r="N3165" s="6" t="s">
        <v>2529</v>
      </c>
      <c r="O3165" s="29">
        <f t="shared" si="76"/>
        <v>5000</v>
      </c>
      <c r="Q3165" s="30" t="s">
        <v>2529</v>
      </c>
      <c r="R3165" s="31">
        <v>5000</v>
      </c>
    </row>
    <row r="3166" s="1" customFormat="1" ht="16.35" hidden="1" customHeight="1" spans="1:18">
      <c r="A3166" s="6"/>
      <c r="B3166" s="6" t="s">
        <v>4123</v>
      </c>
      <c r="C3166" s="6" t="s">
        <v>4253</v>
      </c>
      <c r="D3166" s="7">
        <v>4</v>
      </c>
      <c r="E3166" s="6" t="s">
        <v>6527</v>
      </c>
      <c r="F3166" s="6" t="s">
        <v>5631</v>
      </c>
      <c r="G3166" s="6" t="s">
        <v>5632</v>
      </c>
      <c r="H3166" s="8"/>
      <c r="I3166" s="8">
        <v>-5000</v>
      </c>
      <c r="J3166" s="6"/>
      <c r="K3166" s="6" t="s">
        <v>2529</v>
      </c>
      <c r="L3166" s="6"/>
      <c r="M3166" s="6"/>
      <c r="N3166" s="6" t="s">
        <v>2529</v>
      </c>
      <c r="O3166" s="29">
        <f t="shared" si="76"/>
        <v>-5000</v>
      </c>
      <c r="Q3166" s="30" t="s">
        <v>2529</v>
      </c>
      <c r="R3166" s="31">
        <v>-5000</v>
      </c>
    </row>
    <row r="3167" s="1" customFormat="1" ht="16.35" hidden="1" customHeight="1" spans="1:18">
      <c r="A3167" s="6"/>
      <c r="B3167" s="6" t="s">
        <v>4123</v>
      </c>
      <c r="C3167" s="6" t="s">
        <v>4253</v>
      </c>
      <c r="D3167" s="7">
        <v>130</v>
      </c>
      <c r="E3167" s="6" t="s">
        <v>6830</v>
      </c>
      <c r="F3167" s="6" t="s">
        <v>5631</v>
      </c>
      <c r="G3167" s="6" t="s">
        <v>5632</v>
      </c>
      <c r="H3167" s="8">
        <v>208092</v>
      </c>
      <c r="I3167" s="8"/>
      <c r="J3167" s="6"/>
      <c r="K3167" s="6" t="s">
        <v>2529</v>
      </c>
      <c r="L3167" s="6"/>
      <c r="M3167" s="6"/>
      <c r="N3167" s="6" t="s">
        <v>2529</v>
      </c>
      <c r="O3167" s="29">
        <f t="shared" si="76"/>
        <v>0</v>
      </c>
      <c r="Q3167" s="30" t="s">
        <v>2529</v>
      </c>
      <c r="R3167" s="31">
        <v>0</v>
      </c>
    </row>
    <row r="3168" s="1" customFormat="1" ht="16.35" hidden="1" customHeight="1" spans="1:18">
      <c r="A3168" s="6"/>
      <c r="B3168" s="6" t="s">
        <v>4123</v>
      </c>
      <c r="C3168" s="6" t="s">
        <v>4253</v>
      </c>
      <c r="D3168" s="7">
        <v>4</v>
      </c>
      <c r="E3168" s="6" t="s">
        <v>6831</v>
      </c>
      <c r="F3168" s="6" t="s">
        <v>5631</v>
      </c>
      <c r="G3168" s="6" t="s">
        <v>5632</v>
      </c>
      <c r="H3168" s="8"/>
      <c r="I3168" s="8">
        <v>5000</v>
      </c>
      <c r="J3168" s="6"/>
      <c r="K3168" s="6" t="s">
        <v>2515</v>
      </c>
      <c r="L3168" s="6"/>
      <c r="M3168" s="6"/>
      <c r="N3168" s="6" t="s">
        <v>2515</v>
      </c>
      <c r="O3168" s="29">
        <f t="shared" si="76"/>
        <v>5000</v>
      </c>
      <c r="Q3168" s="30" t="s">
        <v>2515</v>
      </c>
      <c r="R3168" s="31">
        <v>5000</v>
      </c>
    </row>
    <row r="3169" s="1" customFormat="1" ht="16.35" hidden="1" customHeight="1" spans="1:18">
      <c r="A3169" s="6"/>
      <c r="B3169" s="6" t="s">
        <v>4123</v>
      </c>
      <c r="C3169" s="6" t="s">
        <v>4253</v>
      </c>
      <c r="D3169" s="7">
        <v>4</v>
      </c>
      <c r="E3169" s="6" t="s">
        <v>6573</v>
      </c>
      <c r="F3169" s="6" t="s">
        <v>5631</v>
      </c>
      <c r="G3169" s="6" t="s">
        <v>5632</v>
      </c>
      <c r="H3169" s="8"/>
      <c r="I3169" s="8">
        <v>-5000</v>
      </c>
      <c r="J3169" s="6"/>
      <c r="K3169" s="6" t="s">
        <v>2515</v>
      </c>
      <c r="L3169" s="6"/>
      <c r="M3169" s="6"/>
      <c r="N3169" s="6" t="s">
        <v>2515</v>
      </c>
      <c r="O3169" s="29">
        <f t="shared" si="76"/>
        <v>-5000</v>
      </c>
      <c r="Q3169" s="30" t="s">
        <v>2515</v>
      </c>
      <c r="R3169" s="31">
        <v>-5000</v>
      </c>
    </row>
    <row r="3170" s="1" customFormat="1" ht="16.35" hidden="1" customHeight="1" spans="1:18">
      <c r="A3170" s="6"/>
      <c r="B3170" s="6" t="s">
        <v>4123</v>
      </c>
      <c r="C3170" s="6" t="s">
        <v>4253</v>
      </c>
      <c r="D3170" s="7">
        <v>4</v>
      </c>
      <c r="E3170" s="6" t="s">
        <v>6832</v>
      </c>
      <c r="F3170" s="6" t="s">
        <v>5631</v>
      </c>
      <c r="G3170" s="6" t="s">
        <v>5632</v>
      </c>
      <c r="H3170" s="8"/>
      <c r="I3170" s="8">
        <v>5000</v>
      </c>
      <c r="J3170" s="6"/>
      <c r="K3170" s="6" t="s">
        <v>2547</v>
      </c>
      <c r="L3170" s="6"/>
      <c r="M3170" s="6"/>
      <c r="N3170" s="6" t="s">
        <v>2547</v>
      </c>
      <c r="O3170" s="29">
        <f t="shared" si="76"/>
        <v>5000</v>
      </c>
      <c r="Q3170" s="30" t="s">
        <v>2547</v>
      </c>
      <c r="R3170" s="31">
        <v>5000</v>
      </c>
    </row>
    <row r="3171" s="1" customFormat="1" ht="16.35" hidden="1" customHeight="1" spans="1:18">
      <c r="A3171" s="6"/>
      <c r="B3171" s="6" t="s">
        <v>4123</v>
      </c>
      <c r="C3171" s="6" t="s">
        <v>4253</v>
      </c>
      <c r="D3171" s="7">
        <v>4</v>
      </c>
      <c r="E3171" s="6" t="s">
        <v>6541</v>
      </c>
      <c r="F3171" s="6" t="s">
        <v>5631</v>
      </c>
      <c r="G3171" s="6" t="s">
        <v>5632</v>
      </c>
      <c r="H3171" s="8"/>
      <c r="I3171" s="8">
        <v>-5000</v>
      </c>
      <c r="J3171" s="6"/>
      <c r="K3171" s="6" t="s">
        <v>2547</v>
      </c>
      <c r="L3171" s="6"/>
      <c r="M3171" s="6"/>
      <c r="N3171" s="6" t="s">
        <v>2547</v>
      </c>
      <c r="O3171" s="29">
        <f t="shared" si="76"/>
        <v>-5000</v>
      </c>
      <c r="Q3171" s="30" t="s">
        <v>2547</v>
      </c>
      <c r="R3171" s="31">
        <v>-5000</v>
      </c>
    </row>
    <row r="3172" s="1" customFormat="1" ht="16.35" hidden="1" customHeight="1" spans="1:18">
      <c r="A3172" s="6"/>
      <c r="B3172" s="6" t="s">
        <v>4123</v>
      </c>
      <c r="C3172" s="6" t="s">
        <v>4253</v>
      </c>
      <c r="D3172" s="7">
        <v>4</v>
      </c>
      <c r="E3172" s="6" t="s">
        <v>6833</v>
      </c>
      <c r="F3172" s="6" t="s">
        <v>5631</v>
      </c>
      <c r="G3172" s="6" t="s">
        <v>5632</v>
      </c>
      <c r="H3172" s="8"/>
      <c r="I3172" s="8">
        <v>5000</v>
      </c>
      <c r="J3172" s="6"/>
      <c r="K3172" s="6" t="s">
        <v>2561</v>
      </c>
      <c r="L3172" s="6"/>
      <c r="M3172" s="6"/>
      <c r="N3172" s="6" t="s">
        <v>2561</v>
      </c>
      <c r="O3172" s="29">
        <f t="shared" si="76"/>
        <v>5000</v>
      </c>
      <c r="Q3172" s="30" t="s">
        <v>2561</v>
      </c>
      <c r="R3172" s="31">
        <v>5000</v>
      </c>
    </row>
    <row r="3173" s="1" customFormat="1" ht="16.35" hidden="1" customHeight="1" spans="1:18">
      <c r="A3173" s="6"/>
      <c r="B3173" s="6" t="s">
        <v>4123</v>
      </c>
      <c r="C3173" s="6" t="s">
        <v>4253</v>
      </c>
      <c r="D3173" s="7">
        <v>4</v>
      </c>
      <c r="E3173" s="6" t="s">
        <v>6834</v>
      </c>
      <c r="F3173" s="6" t="s">
        <v>5631</v>
      </c>
      <c r="G3173" s="6" t="s">
        <v>5632</v>
      </c>
      <c r="H3173" s="8"/>
      <c r="I3173" s="8">
        <v>5000</v>
      </c>
      <c r="J3173" s="6"/>
      <c r="K3173" s="6" t="s">
        <v>2561</v>
      </c>
      <c r="L3173" s="6"/>
      <c r="M3173" s="6"/>
      <c r="N3173" s="6" t="s">
        <v>2561</v>
      </c>
      <c r="O3173" s="29">
        <f t="shared" si="76"/>
        <v>5000</v>
      </c>
      <c r="Q3173" s="30" t="s">
        <v>2561</v>
      </c>
      <c r="R3173" s="31">
        <v>5000</v>
      </c>
    </row>
    <row r="3174" s="1" customFormat="1" ht="16.35" hidden="1" customHeight="1" spans="1:18">
      <c r="A3174" s="6"/>
      <c r="B3174" s="6" t="s">
        <v>4123</v>
      </c>
      <c r="C3174" s="6" t="s">
        <v>4253</v>
      </c>
      <c r="D3174" s="7">
        <v>81</v>
      </c>
      <c r="E3174" s="6" t="s">
        <v>6835</v>
      </c>
      <c r="F3174" s="6" t="s">
        <v>5631</v>
      </c>
      <c r="G3174" s="6" t="s">
        <v>5632</v>
      </c>
      <c r="H3174" s="8"/>
      <c r="I3174" s="8">
        <v>121000</v>
      </c>
      <c r="J3174" s="6"/>
      <c r="K3174" s="6" t="s">
        <v>2549</v>
      </c>
      <c r="L3174" s="6"/>
      <c r="M3174" s="6"/>
      <c r="N3174" s="6" t="s">
        <v>2549</v>
      </c>
      <c r="O3174" s="29">
        <f t="shared" si="76"/>
        <v>121000</v>
      </c>
      <c r="Q3174" s="30" t="s">
        <v>2549</v>
      </c>
      <c r="R3174" s="31">
        <v>121000</v>
      </c>
    </row>
    <row r="3175" s="1" customFormat="1" ht="16.35" hidden="1" customHeight="1" spans="1:18">
      <c r="A3175" s="6"/>
      <c r="B3175" s="6" t="s">
        <v>4123</v>
      </c>
      <c r="C3175" s="6" t="s">
        <v>4253</v>
      </c>
      <c r="D3175" s="7">
        <v>4</v>
      </c>
      <c r="E3175" s="6" t="s">
        <v>6836</v>
      </c>
      <c r="F3175" s="6" t="s">
        <v>5631</v>
      </c>
      <c r="G3175" s="6" t="s">
        <v>5632</v>
      </c>
      <c r="H3175" s="8"/>
      <c r="I3175" s="8">
        <v>10000</v>
      </c>
      <c r="J3175" s="6"/>
      <c r="K3175" s="6" t="s">
        <v>2618</v>
      </c>
      <c r="L3175" s="6"/>
      <c r="M3175" s="6"/>
      <c r="N3175" s="6" t="s">
        <v>2618</v>
      </c>
      <c r="O3175" s="29">
        <f t="shared" si="76"/>
        <v>10000</v>
      </c>
      <c r="Q3175" s="30" t="s">
        <v>2618</v>
      </c>
      <c r="R3175" s="31">
        <v>10000</v>
      </c>
    </row>
    <row r="3176" s="1" customFormat="1" ht="16.35" hidden="1" customHeight="1" spans="1:18">
      <c r="A3176" s="6"/>
      <c r="B3176" s="6" t="s">
        <v>4123</v>
      </c>
      <c r="C3176" s="6" t="s">
        <v>4253</v>
      </c>
      <c r="D3176" s="7">
        <v>4</v>
      </c>
      <c r="E3176" s="6" t="s">
        <v>6837</v>
      </c>
      <c r="F3176" s="6" t="s">
        <v>5631</v>
      </c>
      <c r="G3176" s="6" t="s">
        <v>5632</v>
      </c>
      <c r="H3176" s="8"/>
      <c r="I3176" s="8">
        <v>10000</v>
      </c>
      <c r="J3176" s="6"/>
      <c r="K3176" s="6" t="s">
        <v>2618</v>
      </c>
      <c r="L3176" s="6"/>
      <c r="M3176" s="6"/>
      <c r="N3176" s="6" t="s">
        <v>2618</v>
      </c>
      <c r="O3176" s="29">
        <f t="shared" si="76"/>
        <v>10000</v>
      </c>
      <c r="Q3176" s="30" t="s">
        <v>2618</v>
      </c>
      <c r="R3176" s="31">
        <v>10000</v>
      </c>
    </row>
    <row r="3177" s="1" customFormat="1" ht="16.35" hidden="1" customHeight="1" spans="1:18">
      <c r="A3177" s="6"/>
      <c r="B3177" s="6" t="s">
        <v>4123</v>
      </c>
      <c r="C3177" s="6" t="s">
        <v>4253</v>
      </c>
      <c r="D3177" s="7">
        <v>4</v>
      </c>
      <c r="E3177" s="6" t="s">
        <v>6527</v>
      </c>
      <c r="F3177" s="6" t="s">
        <v>5631</v>
      </c>
      <c r="G3177" s="6" t="s">
        <v>5632</v>
      </c>
      <c r="H3177" s="8"/>
      <c r="I3177" s="8">
        <v>-10000</v>
      </c>
      <c r="J3177" s="6"/>
      <c r="K3177" s="6" t="s">
        <v>2618</v>
      </c>
      <c r="L3177" s="6"/>
      <c r="M3177" s="6"/>
      <c r="N3177" s="6" t="s">
        <v>2618</v>
      </c>
      <c r="O3177" s="29">
        <f t="shared" si="76"/>
        <v>-10000</v>
      </c>
      <c r="Q3177" s="30" t="s">
        <v>2618</v>
      </c>
      <c r="R3177" s="31">
        <v>-10000</v>
      </c>
    </row>
    <row r="3178" s="1" customFormat="1" ht="16.35" hidden="1" customHeight="1" spans="1:18">
      <c r="A3178" s="6"/>
      <c r="B3178" s="6" t="s">
        <v>4123</v>
      </c>
      <c r="C3178" s="6" t="s">
        <v>4253</v>
      </c>
      <c r="D3178" s="7">
        <v>130</v>
      </c>
      <c r="E3178" s="6" t="s">
        <v>6838</v>
      </c>
      <c r="F3178" s="6" t="s">
        <v>5631</v>
      </c>
      <c r="G3178" s="6" t="s">
        <v>5632</v>
      </c>
      <c r="H3178" s="8">
        <v>218557</v>
      </c>
      <c r="I3178" s="8"/>
      <c r="J3178" s="6"/>
      <c r="K3178" s="6" t="s">
        <v>2618</v>
      </c>
      <c r="L3178" s="6"/>
      <c r="M3178" s="6"/>
      <c r="N3178" s="6" t="s">
        <v>2618</v>
      </c>
      <c r="O3178" s="29">
        <f t="shared" si="76"/>
        <v>0</v>
      </c>
      <c r="Q3178" s="30" t="s">
        <v>2618</v>
      </c>
      <c r="R3178" s="31">
        <v>0</v>
      </c>
    </row>
    <row r="3179" s="1" customFormat="1" ht="16.35" hidden="1" customHeight="1" spans="1:18">
      <c r="A3179" s="6"/>
      <c r="B3179" s="6" t="s">
        <v>4123</v>
      </c>
      <c r="C3179" s="6" t="s">
        <v>4253</v>
      </c>
      <c r="D3179" s="7">
        <v>4</v>
      </c>
      <c r="E3179" s="6" t="s">
        <v>6839</v>
      </c>
      <c r="F3179" s="6" t="s">
        <v>5631</v>
      </c>
      <c r="G3179" s="6" t="s">
        <v>5632</v>
      </c>
      <c r="H3179" s="8"/>
      <c r="I3179" s="8">
        <v>5000</v>
      </c>
      <c r="J3179" s="6"/>
      <c r="K3179" s="6" t="s">
        <v>2622</v>
      </c>
      <c r="L3179" s="6"/>
      <c r="M3179" s="6"/>
      <c r="N3179" s="6" t="s">
        <v>2622</v>
      </c>
      <c r="O3179" s="29">
        <f t="shared" si="76"/>
        <v>5000</v>
      </c>
      <c r="Q3179" s="30" t="s">
        <v>2622</v>
      </c>
      <c r="R3179" s="31">
        <v>5000</v>
      </c>
    </row>
    <row r="3180" s="1" customFormat="1" ht="16.35" hidden="1" customHeight="1" spans="1:18">
      <c r="A3180" s="6"/>
      <c r="B3180" s="6" t="s">
        <v>4123</v>
      </c>
      <c r="C3180" s="6" t="s">
        <v>4253</v>
      </c>
      <c r="D3180" s="7">
        <v>4</v>
      </c>
      <c r="E3180" s="6" t="s">
        <v>6840</v>
      </c>
      <c r="F3180" s="6" t="s">
        <v>5631</v>
      </c>
      <c r="G3180" s="6" t="s">
        <v>5632</v>
      </c>
      <c r="H3180" s="8"/>
      <c r="I3180" s="8">
        <v>5000</v>
      </c>
      <c r="J3180" s="6"/>
      <c r="K3180" s="6" t="s">
        <v>2622</v>
      </c>
      <c r="L3180" s="6"/>
      <c r="M3180" s="6"/>
      <c r="N3180" s="6" t="s">
        <v>2622</v>
      </c>
      <c r="O3180" s="29">
        <f t="shared" si="76"/>
        <v>5000</v>
      </c>
      <c r="Q3180" s="30" t="s">
        <v>2622</v>
      </c>
      <c r="R3180" s="31">
        <v>5000</v>
      </c>
    </row>
    <row r="3181" s="1" customFormat="1" ht="16.35" hidden="1" customHeight="1" spans="1:18">
      <c r="A3181" s="6"/>
      <c r="B3181" s="6" t="s">
        <v>4123</v>
      </c>
      <c r="C3181" s="6" t="s">
        <v>4253</v>
      </c>
      <c r="D3181" s="7">
        <v>4</v>
      </c>
      <c r="E3181" s="6" t="s">
        <v>6841</v>
      </c>
      <c r="F3181" s="6" t="s">
        <v>5631</v>
      </c>
      <c r="G3181" s="6" t="s">
        <v>5632</v>
      </c>
      <c r="H3181" s="8"/>
      <c r="I3181" s="8">
        <v>5000</v>
      </c>
      <c r="J3181" s="6"/>
      <c r="K3181" s="6" t="s">
        <v>2622</v>
      </c>
      <c r="L3181" s="6"/>
      <c r="M3181" s="6"/>
      <c r="N3181" s="6" t="s">
        <v>2622</v>
      </c>
      <c r="O3181" s="29">
        <f t="shared" si="76"/>
        <v>5000</v>
      </c>
      <c r="Q3181" s="30" t="s">
        <v>2622</v>
      </c>
      <c r="R3181" s="31">
        <v>5000</v>
      </c>
    </row>
    <row r="3182" s="1" customFormat="1" ht="16.35" hidden="1" customHeight="1" spans="1:18">
      <c r="A3182" s="6"/>
      <c r="B3182" s="6" t="s">
        <v>4123</v>
      </c>
      <c r="C3182" s="6" t="s">
        <v>4253</v>
      </c>
      <c r="D3182" s="7">
        <v>4</v>
      </c>
      <c r="E3182" s="6" t="s">
        <v>6842</v>
      </c>
      <c r="F3182" s="6" t="s">
        <v>5631</v>
      </c>
      <c r="G3182" s="6" t="s">
        <v>5632</v>
      </c>
      <c r="H3182" s="8"/>
      <c r="I3182" s="8">
        <v>5000</v>
      </c>
      <c r="J3182" s="6"/>
      <c r="K3182" s="6" t="s">
        <v>2622</v>
      </c>
      <c r="L3182" s="6"/>
      <c r="M3182" s="6"/>
      <c r="N3182" s="6" t="s">
        <v>2622</v>
      </c>
      <c r="O3182" s="29">
        <f t="shared" si="76"/>
        <v>5000</v>
      </c>
      <c r="Q3182" s="30" t="s">
        <v>2622</v>
      </c>
      <c r="R3182" s="31">
        <v>5000</v>
      </c>
    </row>
    <row r="3183" s="1" customFormat="1" ht="16.35" hidden="1" customHeight="1" spans="1:18">
      <c r="A3183" s="6"/>
      <c r="B3183" s="6" t="s">
        <v>4123</v>
      </c>
      <c r="C3183" s="6" t="s">
        <v>4253</v>
      </c>
      <c r="D3183" s="7">
        <v>4</v>
      </c>
      <c r="E3183" s="6" t="s">
        <v>6541</v>
      </c>
      <c r="F3183" s="6" t="s">
        <v>5631</v>
      </c>
      <c r="G3183" s="6" t="s">
        <v>5632</v>
      </c>
      <c r="H3183" s="8"/>
      <c r="I3183" s="8">
        <v>-5000</v>
      </c>
      <c r="J3183" s="6"/>
      <c r="K3183" s="6" t="s">
        <v>2622</v>
      </c>
      <c r="L3183" s="6"/>
      <c r="M3183" s="6"/>
      <c r="N3183" s="6" t="s">
        <v>2622</v>
      </c>
      <c r="O3183" s="29">
        <f t="shared" si="76"/>
        <v>-5000</v>
      </c>
      <c r="Q3183" s="30" t="s">
        <v>2622</v>
      </c>
      <c r="R3183" s="31">
        <v>-5000</v>
      </c>
    </row>
    <row r="3184" s="1" customFormat="1" ht="16.35" hidden="1" customHeight="1" spans="1:18">
      <c r="A3184" s="6"/>
      <c r="B3184" s="6" t="s">
        <v>4123</v>
      </c>
      <c r="C3184" s="6" t="s">
        <v>4253</v>
      </c>
      <c r="D3184" s="7">
        <v>4</v>
      </c>
      <c r="E3184" s="6" t="s">
        <v>6541</v>
      </c>
      <c r="F3184" s="6" t="s">
        <v>5631</v>
      </c>
      <c r="G3184" s="6" t="s">
        <v>5632</v>
      </c>
      <c r="H3184" s="8"/>
      <c r="I3184" s="8">
        <v>-5000</v>
      </c>
      <c r="J3184" s="6"/>
      <c r="K3184" s="6" t="s">
        <v>2622</v>
      </c>
      <c r="L3184" s="6"/>
      <c r="M3184" s="6"/>
      <c r="N3184" s="6" t="s">
        <v>2622</v>
      </c>
      <c r="O3184" s="29">
        <f t="shared" si="76"/>
        <v>-5000</v>
      </c>
      <c r="Q3184" s="30" t="s">
        <v>2622</v>
      </c>
      <c r="R3184" s="31">
        <v>-5000</v>
      </c>
    </row>
    <row r="3185" s="1" customFormat="1" ht="16.35" hidden="1" customHeight="1" spans="1:18">
      <c r="A3185" s="6"/>
      <c r="B3185" s="6" t="s">
        <v>4123</v>
      </c>
      <c r="C3185" s="6" t="s">
        <v>4253</v>
      </c>
      <c r="D3185" s="7">
        <v>130</v>
      </c>
      <c r="E3185" s="6" t="s">
        <v>6843</v>
      </c>
      <c r="F3185" s="6" t="s">
        <v>5631</v>
      </c>
      <c r="G3185" s="6" t="s">
        <v>5632</v>
      </c>
      <c r="H3185" s="8">
        <v>177434</v>
      </c>
      <c r="I3185" s="8"/>
      <c r="J3185" s="6"/>
      <c r="K3185" s="6" t="s">
        <v>2622</v>
      </c>
      <c r="L3185" s="6"/>
      <c r="M3185" s="6"/>
      <c r="N3185" s="6" t="s">
        <v>2622</v>
      </c>
      <c r="O3185" s="29">
        <f t="shared" si="76"/>
        <v>0</v>
      </c>
      <c r="Q3185" s="30" t="s">
        <v>2622</v>
      </c>
      <c r="R3185" s="31">
        <v>0</v>
      </c>
    </row>
    <row r="3186" s="1" customFormat="1" ht="16.35" hidden="1" customHeight="1" spans="1:18">
      <c r="A3186" s="6"/>
      <c r="B3186" s="6" t="s">
        <v>4123</v>
      </c>
      <c r="C3186" s="6" t="s">
        <v>4253</v>
      </c>
      <c r="D3186" s="7">
        <v>27</v>
      </c>
      <c r="E3186" s="6" t="s">
        <v>6844</v>
      </c>
      <c r="F3186" s="6" t="s">
        <v>5631</v>
      </c>
      <c r="G3186" s="6" t="s">
        <v>5632</v>
      </c>
      <c r="H3186" s="8"/>
      <c r="I3186" s="8">
        <v>158000</v>
      </c>
      <c r="J3186" s="6"/>
      <c r="K3186" s="6" t="s">
        <v>2672</v>
      </c>
      <c r="L3186" s="6"/>
      <c r="M3186" s="6"/>
      <c r="N3186" s="6" t="s">
        <v>2672</v>
      </c>
      <c r="O3186" s="29">
        <f t="shared" si="76"/>
        <v>158000</v>
      </c>
      <c r="Q3186" s="30" t="s">
        <v>2672</v>
      </c>
      <c r="R3186" s="31">
        <v>158000</v>
      </c>
    </row>
    <row r="3187" s="1" customFormat="1" ht="16.35" hidden="1" customHeight="1" spans="1:18">
      <c r="A3187" s="6"/>
      <c r="B3187" s="6" t="s">
        <v>4123</v>
      </c>
      <c r="C3187" s="6" t="s">
        <v>4253</v>
      </c>
      <c r="D3187" s="7">
        <v>124</v>
      </c>
      <c r="E3187" s="6" t="s">
        <v>6626</v>
      </c>
      <c r="F3187" s="6" t="s">
        <v>5631</v>
      </c>
      <c r="G3187" s="6" t="s">
        <v>5632</v>
      </c>
      <c r="H3187" s="8"/>
      <c r="I3187" s="8">
        <v>4000</v>
      </c>
      <c r="J3187" s="6"/>
      <c r="K3187" s="6" t="s">
        <v>2672</v>
      </c>
      <c r="L3187" s="6"/>
      <c r="M3187" s="6"/>
      <c r="N3187" s="6" t="s">
        <v>2672</v>
      </c>
      <c r="O3187" s="29">
        <f t="shared" si="76"/>
        <v>4000</v>
      </c>
      <c r="Q3187" s="30" t="s">
        <v>2672</v>
      </c>
      <c r="R3187" s="31">
        <v>4000</v>
      </c>
    </row>
    <row r="3188" s="1" customFormat="1" ht="16.35" hidden="1" customHeight="1" spans="1:18">
      <c r="A3188" s="6"/>
      <c r="B3188" s="6" t="s">
        <v>4123</v>
      </c>
      <c r="C3188" s="6" t="s">
        <v>4253</v>
      </c>
      <c r="D3188" s="7">
        <v>130</v>
      </c>
      <c r="E3188" s="6" t="s">
        <v>6845</v>
      </c>
      <c r="F3188" s="6" t="s">
        <v>5631</v>
      </c>
      <c r="G3188" s="6" t="s">
        <v>5632</v>
      </c>
      <c r="H3188" s="8">
        <v>226391</v>
      </c>
      <c r="I3188" s="8"/>
      <c r="J3188" s="6"/>
      <c r="K3188" s="6" t="s">
        <v>2672</v>
      </c>
      <c r="L3188" s="6"/>
      <c r="M3188" s="6"/>
      <c r="N3188" s="6" t="s">
        <v>2672</v>
      </c>
      <c r="O3188" s="29">
        <f t="shared" si="76"/>
        <v>0</v>
      </c>
      <c r="Q3188" s="30" t="s">
        <v>2672</v>
      </c>
      <c r="R3188" s="31">
        <v>0</v>
      </c>
    </row>
    <row r="3189" s="1" customFormat="1" ht="16.35" hidden="1" customHeight="1" spans="1:18">
      <c r="A3189" s="6"/>
      <c r="B3189" s="6" t="s">
        <v>4123</v>
      </c>
      <c r="C3189" s="6" t="s">
        <v>4253</v>
      </c>
      <c r="D3189" s="7">
        <v>130</v>
      </c>
      <c r="E3189" s="6" t="s">
        <v>6846</v>
      </c>
      <c r="F3189" s="6" t="s">
        <v>5631</v>
      </c>
      <c r="G3189" s="6" t="s">
        <v>5632</v>
      </c>
      <c r="H3189" s="8">
        <v>225000</v>
      </c>
      <c r="I3189" s="8"/>
      <c r="J3189" s="6"/>
      <c r="K3189" s="6" t="s">
        <v>2648</v>
      </c>
      <c r="L3189" s="6"/>
      <c r="M3189" s="6"/>
      <c r="N3189" s="6" t="s">
        <v>2648</v>
      </c>
      <c r="O3189" s="29">
        <f t="shared" si="76"/>
        <v>0</v>
      </c>
      <c r="Q3189" s="30" t="s">
        <v>2648</v>
      </c>
      <c r="R3189" s="31">
        <v>0</v>
      </c>
    </row>
    <row r="3190" s="1" customFormat="1" ht="16.35" hidden="1" customHeight="1" spans="1:18">
      <c r="A3190" s="6"/>
      <c r="B3190" s="6" t="s">
        <v>4123</v>
      </c>
      <c r="C3190" s="6" t="s">
        <v>4253</v>
      </c>
      <c r="D3190" s="7">
        <v>4</v>
      </c>
      <c r="E3190" s="6" t="s">
        <v>6831</v>
      </c>
      <c r="F3190" s="6" t="s">
        <v>5631</v>
      </c>
      <c r="G3190" s="6" t="s">
        <v>5632</v>
      </c>
      <c r="H3190" s="8"/>
      <c r="I3190" s="8">
        <v>5000</v>
      </c>
      <c r="J3190" s="6"/>
      <c r="K3190" s="6" t="s">
        <v>2652</v>
      </c>
      <c r="L3190" s="6"/>
      <c r="M3190" s="6"/>
      <c r="N3190" s="6" t="s">
        <v>2652</v>
      </c>
      <c r="O3190" s="29">
        <f t="shared" si="76"/>
        <v>5000</v>
      </c>
      <c r="Q3190" s="30" t="s">
        <v>2652</v>
      </c>
      <c r="R3190" s="31">
        <v>5000</v>
      </c>
    </row>
    <row r="3191" s="1" customFormat="1" ht="16.35" hidden="1" customHeight="1" spans="1:18">
      <c r="A3191" s="6"/>
      <c r="B3191" s="6" t="s">
        <v>4123</v>
      </c>
      <c r="C3191" s="6" t="s">
        <v>4253</v>
      </c>
      <c r="D3191" s="7">
        <v>4</v>
      </c>
      <c r="E3191" s="6" t="s">
        <v>6573</v>
      </c>
      <c r="F3191" s="6" t="s">
        <v>5631</v>
      </c>
      <c r="G3191" s="6" t="s">
        <v>5632</v>
      </c>
      <c r="H3191" s="8"/>
      <c r="I3191" s="8">
        <v>-5000</v>
      </c>
      <c r="J3191" s="6"/>
      <c r="K3191" s="6" t="s">
        <v>2652</v>
      </c>
      <c r="L3191" s="6"/>
      <c r="M3191" s="6"/>
      <c r="N3191" s="6" t="s">
        <v>2652</v>
      </c>
      <c r="O3191" s="29">
        <f t="shared" si="76"/>
        <v>-5000</v>
      </c>
      <c r="Q3191" s="30" t="s">
        <v>2652</v>
      </c>
      <c r="R3191" s="31">
        <v>-5000</v>
      </c>
    </row>
    <row r="3192" s="1" customFormat="1" ht="16.35" hidden="1" customHeight="1" spans="1:18">
      <c r="A3192" s="6"/>
      <c r="B3192" s="6" t="s">
        <v>4123</v>
      </c>
      <c r="C3192" s="6" t="s">
        <v>4253</v>
      </c>
      <c r="D3192" s="7">
        <v>16</v>
      </c>
      <c r="E3192" s="6" t="s">
        <v>6847</v>
      </c>
      <c r="F3192" s="6" t="s">
        <v>5631</v>
      </c>
      <c r="G3192" s="6" t="s">
        <v>5632</v>
      </c>
      <c r="H3192" s="8"/>
      <c r="I3192" s="8">
        <v>10000</v>
      </c>
      <c r="J3192" s="6"/>
      <c r="K3192" s="6" t="s">
        <v>2606</v>
      </c>
      <c r="L3192" s="6"/>
      <c r="M3192" s="6"/>
      <c r="N3192" s="6" t="s">
        <v>2606</v>
      </c>
      <c r="O3192" s="29">
        <f t="shared" si="76"/>
        <v>10000</v>
      </c>
      <c r="Q3192" s="30" t="s">
        <v>2606</v>
      </c>
      <c r="R3192" s="31">
        <v>10000</v>
      </c>
    </row>
    <row r="3193" s="1" customFormat="1" ht="16.35" hidden="1" customHeight="1" spans="1:18">
      <c r="A3193" s="6"/>
      <c r="B3193" s="6" t="s">
        <v>4123</v>
      </c>
      <c r="C3193" s="6" t="s">
        <v>4253</v>
      </c>
      <c r="D3193" s="7">
        <v>80</v>
      </c>
      <c r="E3193" s="6" t="s">
        <v>6848</v>
      </c>
      <c r="F3193" s="6" t="s">
        <v>5631</v>
      </c>
      <c r="G3193" s="6" t="s">
        <v>5632</v>
      </c>
      <c r="H3193" s="8"/>
      <c r="I3193" s="8">
        <v>20000</v>
      </c>
      <c r="J3193" s="6"/>
      <c r="K3193" s="6" t="s">
        <v>2606</v>
      </c>
      <c r="L3193" s="6"/>
      <c r="M3193" s="6"/>
      <c r="N3193" s="6" t="s">
        <v>2606</v>
      </c>
      <c r="O3193" s="29">
        <f t="shared" si="76"/>
        <v>20000</v>
      </c>
      <c r="Q3193" s="30" t="s">
        <v>2606</v>
      </c>
      <c r="R3193" s="31">
        <v>20000</v>
      </c>
    </row>
    <row r="3194" s="1" customFormat="1" ht="16.35" hidden="1" customHeight="1" spans="1:18">
      <c r="A3194" s="6"/>
      <c r="B3194" s="6" t="s">
        <v>4123</v>
      </c>
      <c r="C3194" s="6" t="s">
        <v>4253</v>
      </c>
      <c r="D3194" s="7">
        <v>4</v>
      </c>
      <c r="E3194" s="6" t="s">
        <v>6849</v>
      </c>
      <c r="F3194" s="6" t="s">
        <v>5631</v>
      </c>
      <c r="G3194" s="6" t="s">
        <v>5632</v>
      </c>
      <c r="H3194" s="8"/>
      <c r="I3194" s="8">
        <v>3000</v>
      </c>
      <c r="J3194" s="6"/>
      <c r="K3194" s="6" t="s">
        <v>2606</v>
      </c>
      <c r="L3194" s="6"/>
      <c r="M3194" s="6"/>
      <c r="N3194" s="6" t="s">
        <v>2606</v>
      </c>
      <c r="O3194" s="29">
        <f t="shared" si="76"/>
        <v>3000</v>
      </c>
      <c r="Q3194" s="30" t="s">
        <v>2606</v>
      </c>
      <c r="R3194" s="31">
        <v>3000</v>
      </c>
    </row>
    <row r="3195" s="1" customFormat="1" ht="16.35" hidden="1" customHeight="1" spans="1:18">
      <c r="A3195" s="6"/>
      <c r="B3195" s="6" t="s">
        <v>4123</v>
      </c>
      <c r="C3195" s="6" t="s">
        <v>4253</v>
      </c>
      <c r="D3195" s="7">
        <v>4</v>
      </c>
      <c r="E3195" s="6" t="s">
        <v>6850</v>
      </c>
      <c r="F3195" s="6" t="s">
        <v>5631</v>
      </c>
      <c r="G3195" s="6" t="s">
        <v>5632</v>
      </c>
      <c r="H3195" s="8"/>
      <c r="I3195" s="8">
        <v>2000</v>
      </c>
      <c r="J3195" s="6"/>
      <c r="K3195" s="6" t="s">
        <v>2606</v>
      </c>
      <c r="L3195" s="6"/>
      <c r="M3195" s="6"/>
      <c r="N3195" s="6" t="s">
        <v>2606</v>
      </c>
      <c r="O3195" s="29">
        <f t="shared" ref="O3195:O3226" si="77">I3195</f>
        <v>2000</v>
      </c>
      <c r="Q3195" s="30" t="s">
        <v>2606</v>
      </c>
      <c r="R3195" s="31">
        <v>2000</v>
      </c>
    </row>
    <row r="3196" s="1" customFormat="1" ht="16.35" hidden="1" customHeight="1" spans="1:18">
      <c r="A3196" s="6"/>
      <c r="B3196" s="6" t="s">
        <v>4123</v>
      </c>
      <c r="C3196" s="6" t="s">
        <v>4253</v>
      </c>
      <c r="D3196" s="7">
        <v>4</v>
      </c>
      <c r="E3196" s="6" t="s">
        <v>6541</v>
      </c>
      <c r="F3196" s="6" t="s">
        <v>5631</v>
      </c>
      <c r="G3196" s="6" t="s">
        <v>5632</v>
      </c>
      <c r="H3196" s="8"/>
      <c r="I3196" s="8">
        <v>-5000</v>
      </c>
      <c r="J3196" s="6"/>
      <c r="K3196" s="6" t="s">
        <v>2606</v>
      </c>
      <c r="L3196" s="6"/>
      <c r="M3196" s="6"/>
      <c r="N3196" s="6" t="s">
        <v>2606</v>
      </c>
      <c r="O3196" s="29">
        <f t="shared" si="77"/>
        <v>-5000</v>
      </c>
      <c r="Q3196" s="30" t="s">
        <v>2606</v>
      </c>
      <c r="R3196" s="31">
        <v>-5000</v>
      </c>
    </row>
    <row r="3197" s="28" customFormat="1" ht="16.35" hidden="1" customHeight="1" spans="1:18">
      <c r="A3197" s="38"/>
      <c r="B3197" s="38" t="s">
        <v>4123</v>
      </c>
      <c r="C3197" s="38" t="s">
        <v>4253</v>
      </c>
      <c r="D3197" s="39">
        <v>9</v>
      </c>
      <c r="E3197" s="38" t="s">
        <v>6851</v>
      </c>
      <c r="F3197" s="38" t="s">
        <v>5631</v>
      </c>
      <c r="G3197" s="38" t="s">
        <v>5632</v>
      </c>
      <c r="H3197" s="40"/>
      <c r="I3197" s="40">
        <v>6000</v>
      </c>
      <c r="J3197" s="38"/>
      <c r="K3197" s="38" t="s">
        <v>2686</v>
      </c>
      <c r="L3197" s="38"/>
      <c r="M3197" s="38"/>
      <c r="N3197" s="38" t="s">
        <v>2686</v>
      </c>
      <c r="O3197" s="29">
        <f t="shared" si="77"/>
        <v>6000</v>
      </c>
      <c r="Q3197" s="30" t="s">
        <v>2686</v>
      </c>
      <c r="R3197" s="31">
        <v>6000</v>
      </c>
    </row>
    <row r="3198" s="1" customFormat="1" ht="16.35" hidden="1" customHeight="1" spans="1:18">
      <c r="A3198" s="6"/>
      <c r="B3198" s="6" t="s">
        <v>4123</v>
      </c>
      <c r="C3198" s="6" t="s">
        <v>4253</v>
      </c>
      <c r="D3198" s="7">
        <v>87</v>
      </c>
      <c r="E3198" s="6" t="s">
        <v>6852</v>
      </c>
      <c r="F3198" s="6" t="s">
        <v>5631</v>
      </c>
      <c r="G3198" s="6" t="s">
        <v>5632</v>
      </c>
      <c r="H3198" s="8"/>
      <c r="I3198" s="8">
        <v>5000</v>
      </c>
      <c r="J3198" s="6"/>
      <c r="K3198" s="6" t="s">
        <v>2594</v>
      </c>
      <c r="L3198" s="6"/>
      <c r="M3198" s="6"/>
      <c r="N3198" s="6" t="s">
        <v>2594</v>
      </c>
      <c r="O3198" s="29">
        <f t="shared" si="77"/>
        <v>5000</v>
      </c>
      <c r="Q3198" s="30" t="s">
        <v>2594</v>
      </c>
      <c r="R3198" s="31">
        <v>5000</v>
      </c>
    </row>
    <row r="3199" s="1" customFormat="1" ht="16.35" hidden="1" customHeight="1" spans="1:18">
      <c r="A3199" s="6"/>
      <c r="B3199" s="6" t="s">
        <v>4123</v>
      </c>
      <c r="C3199" s="6" t="s">
        <v>4253</v>
      </c>
      <c r="D3199" s="7">
        <v>4</v>
      </c>
      <c r="E3199" s="6" t="s">
        <v>6853</v>
      </c>
      <c r="F3199" s="6" t="s">
        <v>5631</v>
      </c>
      <c r="G3199" s="6" t="s">
        <v>5632</v>
      </c>
      <c r="H3199" s="8"/>
      <c r="I3199" s="8">
        <v>10000</v>
      </c>
      <c r="J3199" s="6"/>
      <c r="K3199" s="6" t="s">
        <v>2690</v>
      </c>
      <c r="L3199" s="6"/>
      <c r="M3199" s="6"/>
      <c r="N3199" s="6" t="s">
        <v>2690</v>
      </c>
      <c r="O3199" s="29">
        <f t="shared" si="77"/>
        <v>10000</v>
      </c>
      <c r="Q3199" s="30" t="s">
        <v>2690</v>
      </c>
      <c r="R3199" s="31">
        <v>10000</v>
      </c>
    </row>
    <row r="3200" s="1" customFormat="1" ht="16.35" hidden="1" customHeight="1" spans="1:18">
      <c r="A3200" s="6"/>
      <c r="B3200" s="6" t="s">
        <v>4123</v>
      </c>
      <c r="C3200" s="6" t="s">
        <v>4253</v>
      </c>
      <c r="D3200" s="7">
        <v>89</v>
      </c>
      <c r="E3200" s="6" t="s">
        <v>6854</v>
      </c>
      <c r="F3200" s="6" t="s">
        <v>5631</v>
      </c>
      <c r="G3200" s="6" t="s">
        <v>5632</v>
      </c>
      <c r="H3200" s="8"/>
      <c r="I3200" s="8">
        <v>140000</v>
      </c>
      <c r="J3200" s="6"/>
      <c r="K3200" s="6" t="s">
        <v>2696</v>
      </c>
      <c r="L3200" s="6"/>
      <c r="M3200" s="6"/>
      <c r="N3200" s="6" t="s">
        <v>2696</v>
      </c>
      <c r="O3200" s="29">
        <f t="shared" si="77"/>
        <v>140000</v>
      </c>
      <c r="Q3200" s="30" t="s">
        <v>2696</v>
      </c>
      <c r="R3200" s="31">
        <v>140000</v>
      </c>
    </row>
    <row r="3201" s="1" customFormat="1" ht="16.35" hidden="1" customHeight="1" spans="1:18">
      <c r="A3201" s="6"/>
      <c r="B3201" s="6" t="s">
        <v>4123</v>
      </c>
      <c r="C3201" s="6" t="s">
        <v>4253</v>
      </c>
      <c r="D3201" s="7">
        <v>4</v>
      </c>
      <c r="E3201" s="6" t="s">
        <v>6855</v>
      </c>
      <c r="F3201" s="6" t="s">
        <v>5631</v>
      </c>
      <c r="G3201" s="6" t="s">
        <v>5632</v>
      </c>
      <c r="H3201" s="8"/>
      <c r="I3201" s="8">
        <v>10000</v>
      </c>
      <c r="J3201" s="6"/>
      <c r="K3201" s="6" t="s">
        <v>2696</v>
      </c>
      <c r="L3201" s="6"/>
      <c r="M3201" s="6"/>
      <c r="N3201" s="6" t="s">
        <v>2696</v>
      </c>
      <c r="O3201" s="29">
        <f t="shared" si="77"/>
        <v>10000</v>
      </c>
      <c r="Q3201" s="30" t="s">
        <v>2696</v>
      </c>
      <c r="R3201" s="31">
        <v>10000</v>
      </c>
    </row>
    <row r="3202" s="1" customFormat="1" ht="16.35" hidden="1" customHeight="1" spans="1:18">
      <c r="A3202" s="6"/>
      <c r="B3202" s="6" t="s">
        <v>4123</v>
      </c>
      <c r="C3202" s="6" t="s">
        <v>4253</v>
      </c>
      <c r="D3202" s="7">
        <v>4</v>
      </c>
      <c r="E3202" s="6" t="s">
        <v>6527</v>
      </c>
      <c r="F3202" s="6" t="s">
        <v>5631</v>
      </c>
      <c r="G3202" s="6" t="s">
        <v>5632</v>
      </c>
      <c r="H3202" s="8"/>
      <c r="I3202" s="8">
        <v>-10000</v>
      </c>
      <c r="J3202" s="6"/>
      <c r="K3202" s="6" t="s">
        <v>2696</v>
      </c>
      <c r="L3202" s="6"/>
      <c r="M3202" s="6"/>
      <c r="N3202" s="6" t="s">
        <v>2696</v>
      </c>
      <c r="O3202" s="29">
        <f t="shared" si="77"/>
        <v>-10000</v>
      </c>
      <c r="Q3202" s="30" t="s">
        <v>2696</v>
      </c>
      <c r="R3202" s="31">
        <v>-10000</v>
      </c>
    </row>
    <row r="3203" s="1" customFormat="1" ht="16.35" hidden="1" customHeight="1" spans="1:18">
      <c r="A3203" s="6"/>
      <c r="B3203" s="6" t="s">
        <v>4123</v>
      </c>
      <c r="C3203" s="6" t="s">
        <v>4253</v>
      </c>
      <c r="D3203" s="7">
        <v>13</v>
      </c>
      <c r="E3203" s="6" t="s">
        <v>6856</v>
      </c>
      <c r="F3203" s="6" t="s">
        <v>5631</v>
      </c>
      <c r="G3203" s="6" t="s">
        <v>5632</v>
      </c>
      <c r="H3203" s="8"/>
      <c r="I3203" s="8">
        <v>5000</v>
      </c>
      <c r="J3203" s="6"/>
      <c r="K3203" s="6" t="s">
        <v>2708</v>
      </c>
      <c r="L3203" s="6"/>
      <c r="M3203" s="6"/>
      <c r="N3203" s="6" t="s">
        <v>2708</v>
      </c>
      <c r="O3203" s="29">
        <f t="shared" si="77"/>
        <v>5000</v>
      </c>
      <c r="Q3203" s="30" t="s">
        <v>2708</v>
      </c>
      <c r="R3203" s="31">
        <v>5000</v>
      </c>
    </row>
    <row r="3204" s="1" customFormat="1" ht="16.35" hidden="1" customHeight="1" spans="1:18">
      <c r="A3204" s="6"/>
      <c r="B3204" s="6" t="s">
        <v>4123</v>
      </c>
      <c r="C3204" s="6" t="s">
        <v>4253</v>
      </c>
      <c r="D3204" s="7">
        <v>80</v>
      </c>
      <c r="E3204" s="6" t="s">
        <v>6857</v>
      </c>
      <c r="F3204" s="6" t="s">
        <v>5631</v>
      </c>
      <c r="G3204" s="6" t="s">
        <v>5632</v>
      </c>
      <c r="H3204" s="8"/>
      <c r="I3204" s="8">
        <v>69718</v>
      </c>
      <c r="J3204" s="6"/>
      <c r="K3204" s="6" t="s">
        <v>2708</v>
      </c>
      <c r="L3204" s="6"/>
      <c r="M3204" s="6"/>
      <c r="N3204" s="6" t="s">
        <v>2708</v>
      </c>
      <c r="O3204" s="29">
        <f t="shared" si="77"/>
        <v>69718</v>
      </c>
      <c r="Q3204" s="30" t="s">
        <v>2708</v>
      </c>
      <c r="R3204" s="31">
        <v>69718</v>
      </c>
    </row>
    <row r="3205" s="1" customFormat="1" ht="16.35" hidden="1" customHeight="1" spans="1:18">
      <c r="A3205" s="6"/>
      <c r="B3205" s="6" t="s">
        <v>4123</v>
      </c>
      <c r="C3205" s="6" t="s">
        <v>4253</v>
      </c>
      <c r="D3205" s="7">
        <v>129</v>
      </c>
      <c r="E3205" s="6" t="s">
        <v>6858</v>
      </c>
      <c r="F3205" s="6" t="s">
        <v>5631</v>
      </c>
      <c r="G3205" s="6" t="s">
        <v>5632</v>
      </c>
      <c r="H3205" s="8">
        <v>426230</v>
      </c>
      <c r="I3205" s="8"/>
      <c r="J3205" s="6"/>
      <c r="K3205" s="6" t="s">
        <v>2748</v>
      </c>
      <c r="L3205" s="6"/>
      <c r="M3205" s="6"/>
      <c r="N3205" s="6" t="s">
        <v>2748</v>
      </c>
      <c r="O3205" s="29">
        <f t="shared" si="77"/>
        <v>0</v>
      </c>
      <c r="Q3205" s="30" t="s">
        <v>2748</v>
      </c>
      <c r="R3205" s="31">
        <v>0</v>
      </c>
    </row>
    <row r="3206" s="1" customFormat="1" ht="16.35" hidden="1" customHeight="1" spans="1:18">
      <c r="A3206" s="6"/>
      <c r="B3206" s="6" t="s">
        <v>4123</v>
      </c>
      <c r="C3206" s="6" t="s">
        <v>4253</v>
      </c>
      <c r="D3206" s="7">
        <v>3</v>
      </c>
      <c r="E3206" s="6" t="s">
        <v>6859</v>
      </c>
      <c r="F3206" s="6" t="s">
        <v>5631</v>
      </c>
      <c r="G3206" s="6" t="s">
        <v>5632</v>
      </c>
      <c r="H3206" s="8"/>
      <c r="I3206" s="8">
        <v>5000</v>
      </c>
      <c r="J3206" s="6"/>
      <c r="K3206" s="6" t="s">
        <v>2740</v>
      </c>
      <c r="L3206" s="6"/>
      <c r="M3206" s="6"/>
      <c r="N3206" s="6" t="s">
        <v>2740</v>
      </c>
      <c r="O3206" s="29">
        <f t="shared" si="77"/>
        <v>5000</v>
      </c>
      <c r="Q3206" s="30" t="s">
        <v>2740</v>
      </c>
      <c r="R3206" s="31">
        <v>5000</v>
      </c>
    </row>
    <row r="3207" s="1" customFormat="1" ht="16.35" hidden="1" customHeight="1" spans="1:18">
      <c r="A3207" s="6"/>
      <c r="B3207" s="6" t="s">
        <v>4123</v>
      </c>
      <c r="C3207" s="6" t="s">
        <v>4253</v>
      </c>
      <c r="D3207" s="7">
        <v>3</v>
      </c>
      <c r="E3207" s="6" t="s">
        <v>6860</v>
      </c>
      <c r="F3207" s="6" t="s">
        <v>5631</v>
      </c>
      <c r="G3207" s="6" t="s">
        <v>5632</v>
      </c>
      <c r="H3207" s="8"/>
      <c r="I3207" s="8">
        <v>-5000</v>
      </c>
      <c r="J3207" s="6"/>
      <c r="K3207" s="6" t="s">
        <v>2740</v>
      </c>
      <c r="L3207" s="6"/>
      <c r="M3207" s="6"/>
      <c r="N3207" s="6" t="s">
        <v>2740</v>
      </c>
      <c r="O3207" s="29">
        <f t="shared" si="77"/>
        <v>-5000</v>
      </c>
      <c r="Q3207" s="30" t="s">
        <v>2740</v>
      </c>
      <c r="R3207" s="31">
        <v>-5000</v>
      </c>
    </row>
    <row r="3208" s="1" customFormat="1" ht="16.35" hidden="1" customHeight="1" spans="1:18">
      <c r="A3208" s="6"/>
      <c r="B3208" s="6" t="s">
        <v>4123</v>
      </c>
      <c r="C3208" s="6" t="s">
        <v>4253</v>
      </c>
      <c r="D3208" s="7">
        <v>129</v>
      </c>
      <c r="E3208" s="6" t="s">
        <v>6861</v>
      </c>
      <c r="F3208" s="6" t="s">
        <v>5631</v>
      </c>
      <c r="G3208" s="6" t="s">
        <v>5632</v>
      </c>
      <c r="H3208" s="8">
        <v>428000</v>
      </c>
      <c r="I3208" s="8"/>
      <c r="J3208" s="6"/>
      <c r="K3208" s="6" t="s">
        <v>2740</v>
      </c>
      <c r="L3208" s="6"/>
      <c r="M3208" s="6"/>
      <c r="N3208" s="6" t="s">
        <v>2740</v>
      </c>
      <c r="O3208" s="29">
        <f t="shared" si="77"/>
        <v>0</v>
      </c>
      <c r="Q3208" s="30" t="s">
        <v>2740</v>
      </c>
      <c r="R3208" s="31">
        <v>0</v>
      </c>
    </row>
    <row r="3209" s="1" customFormat="1" ht="16.35" hidden="1" customHeight="1" spans="1:18">
      <c r="A3209" s="6"/>
      <c r="B3209" s="6" t="s">
        <v>4123</v>
      </c>
      <c r="C3209" s="6" t="s">
        <v>4253</v>
      </c>
      <c r="D3209" s="7">
        <v>3</v>
      </c>
      <c r="E3209" s="6" t="s">
        <v>6862</v>
      </c>
      <c r="F3209" s="6" t="s">
        <v>5631</v>
      </c>
      <c r="G3209" s="6" t="s">
        <v>5632</v>
      </c>
      <c r="H3209" s="8"/>
      <c r="I3209" s="8">
        <v>2000</v>
      </c>
      <c r="J3209" s="6"/>
      <c r="K3209" s="6" t="s">
        <v>2752</v>
      </c>
      <c r="L3209" s="6"/>
      <c r="M3209" s="6"/>
      <c r="N3209" s="6" t="s">
        <v>2752</v>
      </c>
      <c r="O3209" s="29">
        <f t="shared" si="77"/>
        <v>2000</v>
      </c>
      <c r="Q3209" s="30" t="s">
        <v>2752</v>
      </c>
      <c r="R3209" s="31">
        <v>2000</v>
      </c>
    </row>
    <row r="3210" s="1" customFormat="1" ht="16.35" hidden="1" customHeight="1" spans="1:18">
      <c r="A3210" s="6"/>
      <c r="B3210" s="6" t="s">
        <v>4123</v>
      </c>
      <c r="C3210" s="6" t="s">
        <v>4253</v>
      </c>
      <c r="D3210" s="7">
        <v>3</v>
      </c>
      <c r="E3210" s="6" t="s">
        <v>6863</v>
      </c>
      <c r="F3210" s="6" t="s">
        <v>5631</v>
      </c>
      <c r="G3210" s="6" t="s">
        <v>5632</v>
      </c>
      <c r="H3210" s="8"/>
      <c r="I3210" s="8">
        <v>-2000</v>
      </c>
      <c r="J3210" s="6"/>
      <c r="K3210" s="6" t="s">
        <v>2752</v>
      </c>
      <c r="L3210" s="6"/>
      <c r="M3210" s="6"/>
      <c r="N3210" s="6" t="s">
        <v>2752</v>
      </c>
      <c r="O3210" s="29">
        <f t="shared" si="77"/>
        <v>-2000</v>
      </c>
      <c r="Q3210" s="30" t="s">
        <v>2752</v>
      </c>
      <c r="R3210" s="31">
        <v>-2000</v>
      </c>
    </row>
    <row r="3211" s="1" customFormat="1" ht="16.35" hidden="1" customHeight="1" spans="1:18">
      <c r="A3211" s="6"/>
      <c r="B3211" s="6" t="s">
        <v>4123</v>
      </c>
      <c r="C3211" s="6" t="s">
        <v>4253</v>
      </c>
      <c r="D3211" s="7">
        <v>129</v>
      </c>
      <c r="E3211" s="6" t="s">
        <v>6864</v>
      </c>
      <c r="F3211" s="6" t="s">
        <v>5631</v>
      </c>
      <c r="G3211" s="6" t="s">
        <v>5632</v>
      </c>
      <c r="H3211" s="8">
        <v>131435</v>
      </c>
      <c r="I3211" s="8"/>
      <c r="J3211" s="6"/>
      <c r="K3211" s="6" t="s">
        <v>2752</v>
      </c>
      <c r="L3211" s="6"/>
      <c r="M3211" s="6"/>
      <c r="N3211" s="6" t="s">
        <v>2752</v>
      </c>
      <c r="O3211" s="29">
        <f t="shared" si="77"/>
        <v>0</v>
      </c>
      <c r="Q3211" s="30" t="s">
        <v>2752</v>
      </c>
      <c r="R3211" s="31">
        <v>0</v>
      </c>
    </row>
    <row r="3212" s="1" customFormat="1" ht="16.35" hidden="1" customHeight="1" spans="1:18">
      <c r="A3212" s="6"/>
      <c r="B3212" s="6" t="s">
        <v>4123</v>
      </c>
      <c r="C3212" s="6" t="s">
        <v>4253</v>
      </c>
      <c r="D3212" s="7">
        <v>129</v>
      </c>
      <c r="E3212" s="6" t="s">
        <v>6865</v>
      </c>
      <c r="F3212" s="6" t="s">
        <v>5631</v>
      </c>
      <c r="G3212" s="6" t="s">
        <v>5632</v>
      </c>
      <c r="H3212" s="8">
        <v>231750</v>
      </c>
      <c r="I3212" s="8"/>
      <c r="J3212" s="6"/>
      <c r="K3212" s="6" t="s">
        <v>1938</v>
      </c>
      <c r="L3212" s="6"/>
      <c r="M3212" s="6"/>
      <c r="N3212" s="6" t="s">
        <v>1938</v>
      </c>
      <c r="O3212" s="29">
        <f t="shared" si="77"/>
        <v>0</v>
      </c>
      <c r="Q3212" s="30" t="s">
        <v>1938</v>
      </c>
      <c r="R3212" s="31">
        <v>0</v>
      </c>
    </row>
    <row r="3213" s="1" customFormat="1" ht="16.35" hidden="1" customHeight="1" spans="1:18">
      <c r="A3213" s="6"/>
      <c r="B3213" s="6" t="s">
        <v>4123</v>
      </c>
      <c r="C3213" s="6" t="s">
        <v>4253</v>
      </c>
      <c r="D3213" s="7">
        <v>3</v>
      </c>
      <c r="E3213" s="6" t="s">
        <v>6866</v>
      </c>
      <c r="F3213" s="6" t="s">
        <v>5631</v>
      </c>
      <c r="G3213" s="6" t="s">
        <v>5632</v>
      </c>
      <c r="H3213" s="8"/>
      <c r="I3213" s="8">
        <v>-5000</v>
      </c>
      <c r="J3213" s="6"/>
      <c r="K3213" s="6" t="s">
        <v>1940</v>
      </c>
      <c r="L3213" s="6"/>
      <c r="M3213" s="6"/>
      <c r="N3213" s="6" t="s">
        <v>1940</v>
      </c>
      <c r="O3213" s="29">
        <f t="shared" si="77"/>
        <v>-5000</v>
      </c>
      <c r="Q3213" s="30" t="s">
        <v>1940</v>
      </c>
      <c r="R3213" s="31">
        <v>-5000</v>
      </c>
    </row>
    <row r="3214" s="1" customFormat="1" ht="16.35" hidden="1" customHeight="1" spans="1:18">
      <c r="A3214" s="6"/>
      <c r="B3214" s="6" t="s">
        <v>4123</v>
      </c>
      <c r="C3214" s="6" t="s">
        <v>4253</v>
      </c>
      <c r="D3214" s="7">
        <v>3</v>
      </c>
      <c r="E3214" s="6" t="s">
        <v>6216</v>
      </c>
      <c r="F3214" s="6" t="s">
        <v>5631</v>
      </c>
      <c r="G3214" s="6" t="s">
        <v>5632</v>
      </c>
      <c r="H3214" s="8"/>
      <c r="I3214" s="8">
        <v>5000</v>
      </c>
      <c r="J3214" s="6"/>
      <c r="K3214" s="6" t="s">
        <v>1940</v>
      </c>
      <c r="L3214" s="6"/>
      <c r="M3214" s="6"/>
      <c r="N3214" s="6" t="s">
        <v>1940</v>
      </c>
      <c r="O3214" s="29">
        <f t="shared" si="77"/>
        <v>5000</v>
      </c>
      <c r="Q3214" s="30" t="s">
        <v>1940</v>
      </c>
      <c r="R3214" s="31">
        <v>5000</v>
      </c>
    </row>
    <row r="3215" s="1" customFormat="1" ht="16.35" hidden="1" customHeight="1" spans="1:18">
      <c r="A3215" s="6"/>
      <c r="B3215" s="6" t="s">
        <v>4123</v>
      </c>
      <c r="C3215" s="6" t="s">
        <v>4253</v>
      </c>
      <c r="D3215" s="7">
        <v>3</v>
      </c>
      <c r="E3215" s="6" t="s">
        <v>6867</v>
      </c>
      <c r="F3215" s="6" t="s">
        <v>5631</v>
      </c>
      <c r="G3215" s="6" t="s">
        <v>5632</v>
      </c>
      <c r="H3215" s="8"/>
      <c r="I3215" s="8">
        <v>5000</v>
      </c>
      <c r="J3215" s="6"/>
      <c r="K3215" s="6" t="s">
        <v>1961</v>
      </c>
      <c r="L3215" s="6"/>
      <c r="M3215" s="6"/>
      <c r="N3215" s="6" t="s">
        <v>1961</v>
      </c>
      <c r="O3215" s="29">
        <f t="shared" si="77"/>
        <v>5000</v>
      </c>
      <c r="Q3215" s="30" t="s">
        <v>1961</v>
      </c>
      <c r="R3215" s="31">
        <v>5000</v>
      </c>
    </row>
    <row r="3216" s="1" customFormat="1" ht="16.35" hidden="1" customHeight="1" spans="1:18">
      <c r="A3216" s="6"/>
      <c r="B3216" s="6" t="s">
        <v>4123</v>
      </c>
      <c r="C3216" s="6" t="s">
        <v>4253</v>
      </c>
      <c r="D3216" s="7">
        <v>3</v>
      </c>
      <c r="E3216" s="6" t="s">
        <v>6868</v>
      </c>
      <c r="F3216" s="6" t="s">
        <v>5631</v>
      </c>
      <c r="G3216" s="6" t="s">
        <v>5632</v>
      </c>
      <c r="H3216" s="8"/>
      <c r="I3216" s="8">
        <v>5000</v>
      </c>
      <c r="J3216" s="6"/>
      <c r="K3216" s="6" t="s">
        <v>1990</v>
      </c>
      <c r="L3216" s="6"/>
      <c r="M3216" s="6"/>
      <c r="N3216" s="6" t="s">
        <v>1990</v>
      </c>
      <c r="O3216" s="29">
        <f t="shared" si="77"/>
        <v>5000</v>
      </c>
      <c r="Q3216" s="30" t="s">
        <v>1990</v>
      </c>
      <c r="R3216" s="31">
        <v>5000</v>
      </c>
    </row>
    <row r="3217" s="1" customFormat="1" ht="16.35" hidden="1" customHeight="1" spans="1:18">
      <c r="A3217" s="6"/>
      <c r="B3217" s="6" t="s">
        <v>4123</v>
      </c>
      <c r="C3217" s="6" t="s">
        <v>4253</v>
      </c>
      <c r="D3217" s="7">
        <v>3</v>
      </c>
      <c r="E3217" s="6" t="s">
        <v>6511</v>
      </c>
      <c r="F3217" s="6" t="s">
        <v>5631</v>
      </c>
      <c r="G3217" s="6" t="s">
        <v>5632</v>
      </c>
      <c r="H3217" s="8"/>
      <c r="I3217" s="8">
        <v>-5000</v>
      </c>
      <c r="J3217" s="6"/>
      <c r="K3217" s="6" t="s">
        <v>1990</v>
      </c>
      <c r="L3217" s="6"/>
      <c r="M3217" s="6"/>
      <c r="N3217" s="6" t="s">
        <v>1990</v>
      </c>
      <c r="O3217" s="29">
        <f t="shared" si="77"/>
        <v>-5000</v>
      </c>
      <c r="Q3217" s="30" t="s">
        <v>1990</v>
      </c>
      <c r="R3217" s="31">
        <v>-5000</v>
      </c>
    </row>
    <row r="3218" s="1" customFormat="1" ht="16.35" hidden="1" customHeight="1" spans="1:18">
      <c r="A3218" s="6"/>
      <c r="B3218" s="6" t="s">
        <v>4123</v>
      </c>
      <c r="C3218" s="6" t="s">
        <v>4253</v>
      </c>
      <c r="D3218" s="7">
        <v>129</v>
      </c>
      <c r="E3218" s="6" t="s">
        <v>6869</v>
      </c>
      <c r="F3218" s="6" t="s">
        <v>5631</v>
      </c>
      <c r="G3218" s="6" t="s">
        <v>5632</v>
      </c>
      <c r="H3218" s="8">
        <v>208426</v>
      </c>
      <c r="I3218" s="8"/>
      <c r="J3218" s="6"/>
      <c r="K3218" s="6" t="s">
        <v>1990</v>
      </c>
      <c r="L3218" s="6"/>
      <c r="M3218" s="6"/>
      <c r="N3218" s="6" t="s">
        <v>1990</v>
      </c>
      <c r="O3218" s="29">
        <f t="shared" si="77"/>
        <v>0</v>
      </c>
      <c r="Q3218" s="30" t="s">
        <v>1990</v>
      </c>
      <c r="R3218" s="31">
        <v>0</v>
      </c>
    </row>
    <row r="3219" s="1" customFormat="1" ht="16.35" hidden="1" customHeight="1" spans="1:18">
      <c r="A3219" s="6"/>
      <c r="B3219" s="6" t="s">
        <v>4123</v>
      </c>
      <c r="C3219" s="6" t="s">
        <v>4253</v>
      </c>
      <c r="D3219" s="7">
        <v>3</v>
      </c>
      <c r="E3219" s="6" t="s">
        <v>6870</v>
      </c>
      <c r="F3219" s="6" t="s">
        <v>5631</v>
      </c>
      <c r="G3219" s="6" t="s">
        <v>5632</v>
      </c>
      <c r="H3219" s="8"/>
      <c r="I3219" s="8">
        <v>5000</v>
      </c>
      <c r="J3219" s="6"/>
      <c r="K3219" s="6" t="s">
        <v>2789</v>
      </c>
      <c r="L3219" s="6"/>
      <c r="M3219" s="6"/>
      <c r="N3219" s="6" t="s">
        <v>2789</v>
      </c>
      <c r="O3219" s="29">
        <f t="shared" si="77"/>
        <v>5000</v>
      </c>
      <c r="Q3219" s="30" t="s">
        <v>2789</v>
      </c>
      <c r="R3219" s="31">
        <v>5000</v>
      </c>
    </row>
    <row r="3220" s="1" customFormat="1" ht="16.35" hidden="1" customHeight="1" spans="1:18">
      <c r="A3220" s="6"/>
      <c r="B3220" s="6" t="s">
        <v>4123</v>
      </c>
      <c r="C3220" s="6" t="s">
        <v>4253</v>
      </c>
      <c r="D3220" s="7">
        <v>129</v>
      </c>
      <c r="E3220" s="6" t="s">
        <v>6871</v>
      </c>
      <c r="F3220" s="6" t="s">
        <v>5631</v>
      </c>
      <c r="G3220" s="6" t="s">
        <v>5632</v>
      </c>
      <c r="H3220" s="8">
        <v>370202</v>
      </c>
      <c r="I3220" s="8"/>
      <c r="J3220" s="6"/>
      <c r="K3220" s="6" t="s">
        <v>2789</v>
      </c>
      <c r="L3220" s="6"/>
      <c r="M3220" s="6"/>
      <c r="N3220" s="6" t="s">
        <v>2789</v>
      </c>
      <c r="O3220" s="29">
        <f t="shared" si="77"/>
        <v>0</v>
      </c>
      <c r="Q3220" s="30" t="s">
        <v>2789</v>
      </c>
      <c r="R3220" s="31">
        <v>0</v>
      </c>
    </row>
    <row r="3221" s="1" customFormat="1" ht="16.35" hidden="1" customHeight="1" spans="1:18">
      <c r="A3221" s="6"/>
      <c r="B3221" s="6" t="s">
        <v>4123</v>
      </c>
      <c r="C3221" s="6" t="s">
        <v>4253</v>
      </c>
      <c r="D3221" s="7">
        <v>129</v>
      </c>
      <c r="E3221" s="6" t="s">
        <v>6872</v>
      </c>
      <c r="F3221" s="6" t="s">
        <v>5631</v>
      </c>
      <c r="G3221" s="6" t="s">
        <v>5632</v>
      </c>
      <c r="H3221" s="8">
        <v>294314</v>
      </c>
      <c r="I3221" s="8"/>
      <c r="J3221" s="6"/>
      <c r="K3221" s="6" t="s">
        <v>2009</v>
      </c>
      <c r="L3221" s="6"/>
      <c r="M3221" s="6"/>
      <c r="N3221" s="6" t="s">
        <v>2009</v>
      </c>
      <c r="O3221" s="29">
        <f t="shared" si="77"/>
        <v>0</v>
      </c>
      <c r="Q3221" s="30" t="s">
        <v>2009</v>
      </c>
      <c r="R3221" s="31">
        <v>0</v>
      </c>
    </row>
    <row r="3222" s="1" customFormat="1" ht="16.35" hidden="1" customHeight="1" spans="1:18">
      <c r="A3222" s="6"/>
      <c r="B3222" s="6" t="s">
        <v>4123</v>
      </c>
      <c r="C3222" s="6" t="s">
        <v>4253</v>
      </c>
      <c r="D3222" s="7">
        <v>3</v>
      </c>
      <c r="E3222" s="6" t="s">
        <v>6873</v>
      </c>
      <c r="F3222" s="6" t="s">
        <v>5631</v>
      </c>
      <c r="G3222" s="6" t="s">
        <v>5632</v>
      </c>
      <c r="H3222" s="8"/>
      <c r="I3222" s="8">
        <v>5000</v>
      </c>
      <c r="J3222" s="6"/>
      <c r="K3222" s="6" t="s">
        <v>2007</v>
      </c>
      <c r="L3222" s="6"/>
      <c r="M3222" s="6"/>
      <c r="N3222" s="6" t="s">
        <v>2007</v>
      </c>
      <c r="O3222" s="29">
        <f t="shared" si="77"/>
        <v>5000</v>
      </c>
      <c r="Q3222" s="30" t="s">
        <v>2007</v>
      </c>
      <c r="R3222" s="31">
        <v>5000</v>
      </c>
    </row>
    <row r="3223" s="1" customFormat="1" ht="16.35" hidden="1" customHeight="1" spans="1:18">
      <c r="A3223" s="6"/>
      <c r="B3223" s="6" t="s">
        <v>4123</v>
      </c>
      <c r="C3223" s="6" t="s">
        <v>4253</v>
      </c>
      <c r="D3223" s="7">
        <v>3</v>
      </c>
      <c r="E3223" s="6" t="s">
        <v>6874</v>
      </c>
      <c r="F3223" s="6" t="s">
        <v>5631</v>
      </c>
      <c r="G3223" s="6" t="s">
        <v>5632</v>
      </c>
      <c r="H3223" s="8"/>
      <c r="I3223" s="8">
        <v>5000</v>
      </c>
      <c r="J3223" s="6"/>
      <c r="K3223" s="6" t="s">
        <v>2035</v>
      </c>
      <c r="L3223" s="6"/>
      <c r="M3223" s="6"/>
      <c r="N3223" s="6" t="s">
        <v>2035</v>
      </c>
      <c r="O3223" s="29">
        <f t="shared" si="77"/>
        <v>5000</v>
      </c>
      <c r="Q3223" s="30" t="s">
        <v>2035</v>
      </c>
      <c r="R3223" s="31">
        <v>5000</v>
      </c>
    </row>
    <row r="3224" s="1" customFormat="1" ht="16.35" hidden="1" customHeight="1" spans="1:18">
      <c r="A3224" s="6"/>
      <c r="B3224" s="6" t="s">
        <v>4123</v>
      </c>
      <c r="C3224" s="6" t="s">
        <v>4253</v>
      </c>
      <c r="D3224" s="7">
        <v>129</v>
      </c>
      <c r="E3224" s="6" t="s">
        <v>6875</v>
      </c>
      <c r="F3224" s="6" t="s">
        <v>5631</v>
      </c>
      <c r="G3224" s="6" t="s">
        <v>5632</v>
      </c>
      <c r="H3224" s="8">
        <v>283000</v>
      </c>
      <c r="I3224" s="8"/>
      <c r="J3224" s="6"/>
      <c r="K3224" s="6" t="s">
        <v>2039</v>
      </c>
      <c r="L3224" s="6"/>
      <c r="M3224" s="6"/>
      <c r="N3224" s="6" t="s">
        <v>2039</v>
      </c>
      <c r="O3224" s="29">
        <f t="shared" si="77"/>
        <v>0</v>
      </c>
      <c r="Q3224" s="30" t="s">
        <v>2039</v>
      </c>
      <c r="R3224" s="31">
        <v>0</v>
      </c>
    </row>
    <row r="3225" s="1" customFormat="1" ht="16.35" hidden="1" customHeight="1" spans="1:18">
      <c r="A3225" s="6"/>
      <c r="B3225" s="6" t="s">
        <v>4123</v>
      </c>
      <c r="C3225" s="6" t="s">
        <v>4253</v>
      </c>
      <c r="D3225" s="7">
        <v>3</v>
      </c>
      <c r="E3225" s="6" t="s">
        <v>6876</v>
      </c>
      <c r="F3225" s="6" t="s">
        <v>5631</v>
      </c>
      <c r="G3225" s="6" t="s">
        <v>5632</v>
      </c>
      <c r="H3225" s="8"/>
      <c r="I3225" s="8">
        <v>1000</v>
      </c>
      <c r="J3225" s="6"/>
      <c r="K3225" s="6" t="s">
        <v>2041</v>
      </c>
      <c r="L3225" s="6"/>
      <c r="M3225" s="6"/>
      <c r="N3225" s="6" t="s">
        <v>2041</v>
      </c>
      <c r="O3225" s="29">
        <f t="shared" si="77"/>
        <v>1000</v>
      </c>
      <c r="Q3225" s="30" t="s">
        <v>2041</v>
      </c>
      <c r="R3225" s="31">
        <v>1000</v>
      </c>
    </row>
    <row r="3226" s="1" customFormat="1" ht="16.35" hidden="1" customHeight="1" spans="1:18">
      <c r="A3226" s="6"/>
      <c r="B3226" s="6" t="s">
        <v>4123</v>
      </c>
      <c r="C3226" s="6" t="s">
        <v>4253</v>
      </c>
      <c r="D3226" s="7">
        <v>3</v>
      </c>
      <c r="E3226" s="6" t="s">
        <v>6511</v>
      </c>
      <c r="F3226" s="6" t="s">
        <v>5631</v>
      </c>
      <c r="G3226" s="6" t="s">
        <v>5632</v>
      </c>
      <c r="H3226" s="8"/>
      <c r="I3226" s="8">
        <v>-1000</v>
      </c>
      <c r="J3226" s="6"/>
      <c r="K3226" s="6" t="s">
        <v>2041</v>
      </c>
      <c r="L3226" s="6"/>
      <c r="M3226" s="6"/>
      <c r="N3226" s="6" t="s">
        <v>2041</v>
      </c>
      <c r="O3226" s="29">
        <f t="shared" si="77"/>
        <v>-1000</v>
      </c>
      <c r="Q3226" s="30" t="s">
        <v>2041</v>
      </c>
      <c r="R3226" s="31">
        <v>-1000</v>
      </c>
    </row>
    <row r="3227" s="1" customFormat="1" ht="16.35" hidden="1" customHeight="1" spans="1:18">
      <c r="A3227" s="6"/>
      <c r="B3227" s="6" t="s">
        <v>4123</v>
      </c>
      <c r="C3227" s="6" t="s">
        <v>4253</v>
      </c>
      <c r="D3227" s="7">
        <v>129</v>
      </c>
      <c r="E3227" s="6" t="s">
        <v>6877</v>
      </c>
      <c r="F3227" s="6" t="s">
        <v>5631</v>
      </c>
      <c r="G3227" s="6" t="s">
        <v>5632</v>
      </c>
      <c r="H3227" s="8">
        <v>123480</v>
      </c>
      <c r="I3227" s="8"/>
      <c r="J3227" s="6"/>
      <c r="K3227" s="6" t="s">
        <v>2047</v>
      </c>
      <c r="L3227" s="6"/>
      <c r="M3227" s="6"/>
      <c r="N3227" s="6" t="s">
        <v>2047</v>
      </c>
      <c r="O3227" s="29">
        <f t="shared" ref="O3227:O3258" si="78">I3227</f>
        <v>0</v>
      </c>
      <c r="Q3227" s="30" t="s">
        <v>2047</v>
      </c>
      <c r="R3227" s="31">
        <v>0</v>
      </c>
    </row>
    <row r="3228" s="1" customFormat="1" ht="16.35" hidden="1" customHeight="1" spans="1:18">
      <c r="A3228" s="6"/>
      <c r="B3228" s="6" t="s">
        <v>4123</v>
      </c>
      <c r="C3228" s="6" t="s">
        <v>4253</v>
      </c>
      <c r="D3228" s="7">
        <v>3</v>
      </c>
      <c r="E3228" s="6" t="s">
        <v>6878</v>
      </c>
      <c r="F3228" s="6" t="s">
        <v>5631</v>
      </c>
      <c r="G3228" s="6" t="s">
        <v>5632</v>
      </c>
      <c r="H3228" s="8"/>
      <c r="I3228" s="8">
        <v>5000</v>
      </c>
      <c r="J3228" s="6"/>
      <c r="K3228" s="6" t="s">
        <v>2813</v>
      </c>
      <c r="L3228" s="6"/>
      <c r="M3228" s="6"/>
      <c r="N3228" s="6" t="s">
        <v>2813</v>
      </c>
      <c r="O3228" s="29">
        <f t="shared" si="78"/>
        <v>5000</v>
      </c>
      <c r="Q3228" s="30" t="s">
        <v>2813</v>
      </c>
      <c r="R3228" s="31">
        <v>5000</v>
      </c>
    </row>
    <row r="3229" s="1" customFormat="1" ht="16.35" hidden="1" customHeight="1" spans="1:18">
      <c r="A3229" s="6"/>
      <c r="B3229" s="6" t="s">
        <v>4123</v>
      </c>
      <c r="C3229" s="6" t="s">
        <v>4253</v>
      </c>
      <c r="D3229" s="7">
        <v>3</v>
      </c>
      <c r="E3229" s="6" t="s">
        <v>6879</v>
      </c>
      <c r="F3229" s="6" t="s">
        <v>5631</v>
      </c>
      <c r="G3229" s="6" t="s">
        <v>5632</v>
      </c>
      <c r="H3229" s="8"/>
      <c r="I3229" s="8">
        <v>-5000</v>
      </c>
      <c r="J3229" s="6"/>
      <c r="K3229" s="6" t="s">
        <v>2813</v>
      </c>
      <c r="L3229" s="6"/>
      <c r="M3229" s="6"/>
      <c r="N3229" s="6" t="s">
        <v>2813</v>
      </c>
      <c r="O3229" s="29">
        <f t="shared" si="78"/>
        <v>-5000</v>
      </c>
      <c r="Q3229" s="30" t="s">
        <v>2813</v>
      </c>
      <c r="R3229" s="31">
        <v>-5000</v>
      </c>
    </row>
    <row r="3230" s="1" customFormat="1" ht="16.35" hidden="1" customHeight="1" spans="1:18">
      <c r="A3230" s="6"/>
      <c r="B3230" s="6" t="s">
        <v>4123</v>
      </c>
      <c r="C3230" s="6" t="s">
        <v>4253</v>
      </c>
      <c r="D3230" s="7">
        <v>129</v>
      </c>
      <c r="E3230" s="6" t="s">
        <v>6880</v>
      </c>
      <c r="F3230" s="6" t="s">
        <v>5631</v>
      </c>
      <c r="G3230" s="6" t="s">
        <v>5632</v>
      </c>
      <c r="H3230" s="8">
        <v>288728</v>
      </c>
      <c r="I3230" s="8"/>
      <c r="J3230" s="6"/>
      <c r="K3230" s="6" t="s">
        <v>2813</v>
      </c>
      <c r="L3230" s="6"/>
      <c r="M3230" s="6"/>
      <c r="N3230" s="6" t="s">
        <v>2813</v>
      </c>
      <c r="O3230" s="29">
        <f t="shared" si="78"/>
        <v>0</v>
      </c>
      <c r="Q3230" s="30" t="s">
        <v>2813</v>
      </c>
      <c r="R3230" s="31">
        <v>0</v>
      </c>
    </row>
    <row r="3231" s="1" customFormat="1" ht="16.35" hidden="1" customHeight="1" spans="1:18">
      <c r="A3231" s="6"/>
      <c r="B3231" s="6" t="s">
        <v>4123</v>
      </c>
      <c r="C3231" s="6" t="s">
        <v>4253</v>
      </c>
      <c r="D3231" s="7">
        <v>3</v>
      </c>
      <c r="E3231" s="6" t="s">
        <v>6881</v>
      </c>
      <c r="F3231" s="6" t="s">
        <v>5631</v>
      </c>
      <c r="G3231" s="6" t="s">
        <v>5632</v>
      </c>
      <c r="H3231" s="8"/>
      <c r="I3231" s="8">
        <v>5000</v>
      </c>
      <c r="J3231" s="6"/>
      <c r="K3231" s="6" t="s">
        <v>2791</v>
      </c>
      <c r="L3231" s="6"/>
      <c r="M3231" s="6"/>
      <c r="N3231" s="6" t="s">
        <v>2791</v>
      </c>
      <c r="O3231" s="29">
        <f t="shared" si="78"/>
        <v>5000</v>
      </c>
      <c r="Q3231" s="30" t="s">
        <v>2791</v>
      </c>
      <c r="R3231" s="31">
        <v>5000</v>
      </c>
    </row>
    <row r="3232" s="1" customFormat="1" ht="16.35" hidden="1" customHeight="1" spans="1:18">
      <c r="A3232" s="6"/>
      <c r="B3232" s="6" t="s">
        <v>4123</v>
      </c>
      <c r="C3232" s="6" t="s">
        <v>4253</v>
      </c>
      <c r="D3232" s="7">
        <v>3</v>
      </c>
      <c r="E3232" s="6" t="s">
        <v>6605</v>
      </c>
      <c r="F3232" s="6" t="s">
        <v>5631</v>
      </c>
      <c r="G3232" s="6" t="s">
        <v>5632</v>
      </c>
      <c r="H3232" s="8"/>
      <c r="I3232" s="8">
        <v>-5000</v>
      </c>
      <c r="J3232" s="6"/>
      <c r="K3232" s="6" t="s">
        <v>2791</v>
      </c>
      <c r="L3232" s="6"/>
      <c r="M3232" s="6"/>
      <c r="N3232" s="6" t="s">
        <v>2791</v>
      </c>
      <c r="O3232" s="29">
        <f t="shared" si="78"/>
        <v>-5000</v>
      </c>
      <c r="Q3232" s="30" t="s">
        <v>2791</v>
      </c>
      <c r="R3232" s="31">
        <v>-5000</v>
      </c>
    </row>
    <row r="3233" s="1" customFormat="1" ht="16.35" hidden="1" customHeight="1" spans="1:18">
      <c r="A3233" s="6"/>
      <c r="B3233" s="6" t="s">
        <v>4123</v>
      </c>
      <c r="C3233" s="6" t="s">
        <v>4253</v>
      </c>
      <c r="D3233" s="7">
        <v>129</v>
      </c>
      <c r="E3233" s="6" t="s">
        <v>6882</v>
      </c>
      <c r="F3233" s="6" t="s">
        <v>5631</v>
      </c>
      <c r="G3233" s="6" t="s">
        <v>5632</v>
      </c>
      <c r="H3233" s="8">
        <v>229423</v>
      </c>
      <c r="I3233" s="8"/>
      <c r="J3233" s="6"/>
      <c r="K3233" s="6" t="s">
        <v>2295</v>
      </c>
      <c r="L3233" s="6"/>
      <c r="M3233" s="6"/>
      <c r="N3233" s="6" t="s">
        <v>2295</v>
      </c>
      <c r="O3233" s="29">
        <f t="shared" si="78"/>
        <v>0</v>
      </c>
      <c r="Q3233" s="30" t="s">
        <v>2295</v>
      </c>
      <c r="R3233" s="31">
        <v>0</v>
      </c>
    </row>
    <row r="3234" s="1" customFormat="1" ht="16.35" hidden="1" customHeight="1" spans="1:18">
      <c r="A3234" s="6"/>
      <c r="B3234" s="6" t="s">
        <v>4123</v>
      </c>
      <c r="C3234" s="6" t="s">
        <v>4253</v>
      </c>
      <c r="D3234" s="7">
        <v>129</v>
      </c>
      <c r="E3234" s="6" t="s">
        <v>6883</v>
      </c>
      <c r="F3234" s="6" t="s">
        <v>5631</v>
      </c>
      <c r="G3234" s="6" t="s">
        <v>5632</v>
      </c>
      <c r="H3234" s="8">
        <v>220000</v>
      </c>
      <c r="I3234" s="8"/>
      <c r="J3234" s="6"/>
      <c r="K3234" s="6" t="s">
        <v>2235</v>
      </c>
      <c r="L3234" s="6"/>
      <c r="M3234" s="6"/>
      <c r="N3234" s="6" t="s">
        <v>2235</v>
      </c>
      <c r="O3234" s="29">
        <f t="shared" si="78"/>
        <v>0</v>
      </c>
      <c r="Q3234" s="30" t="s">
        <v>2235</v>
      </c>
      <c r="R3234" s="31">
        <v>0</v>
      </c>
    </row>
    <row r="3235" s="28" customFormat="1" ht="16.35" hidden="1" customHeight="1" spans="1:18">
      <c r="A3235" s="38"/>
      <c r="B3235" s="38" t="s">
        <v>4123</v>
      </c>
      <c r="C3235" s="38" t="s">
        <v>4253</v>
      </c>
      <c r="D3235" s="39">
        <v>3</v>
      </c>
      <c r="E3235" s="38" t="s">
        <v>6884</v>
      </c>
      <c r="F3235" s="38" t="s">
        <v>5631</v>
      </c>
      <c r="G3235" s="38" t="s">
        <v>5632</v>
      </c>
      <c r="H3235" s="40"/>
      <c r="I3235" s="40">
        <v>5000</v>
      </c>
      <c r="J3235" s="38"/>
      <c r="K3235" s="38" t="s">
        <v>2247</v>
      </c>
      <c r="L3235" s="38"/>
      <c r="M3235" s="38"/>
      <c r="N3235" s="38" t="s">
        <v>2247</v>
      </c>
      <c r="O3235" s="29">
        <f t="shared" si="78"/>
        <v>5000</v>
      </c>
      <c r="Q3235" s="30" t="s">
        <v>2247</v>
      </c>
      <c r="R3235" s="31">
        <v>5000</v>
      </c>
    </row>
    <row r="3236" s="1" customFormat="1" ht="16.35" hidden="1" customHeight="1" spans="1:18">
      <c r="A3236" s="6"/>
      <c r="B3236" s="6" t="s">
        <v>4123</v>
      </c>
      <c r="C3236" s="6" t="s">
        <v>4253</v>
      </c>
      <c r="D3236" s="7">
        <v>3</v>
      </c>
      <c r="E3236" s="6" t="s">
        <v>6885</v>
      </c>
      <c r="F3236" s="6" t="s">
        <v>5631</v>
      </c>
      <c r="G3236" s="6" t="s">
        <v>5632</v>
      </c>
      <c r="H3236" s="8"/>
      <c r="I3236" s="8">
        <v>-5000</v>
      </c>
      <c r="J3236" s="6"/>
      <c r="K3236" s="6" t="s">
        <v>2247</v>
      </c>
      <c r="L3236" s="6"/>
      <c r="M3236" s="6"/>
      <c r="N3236" s="6" t="s">
        <v>2247</v>
      </c>
      <c r="O3236" s="29">
        <f t="shared" si="78"/>
        <v>-5000</v>
      </c>
      <c r="Q3236" s="30" t="s">
        <v>2247</v>
      </c>
      <c r="R3236" s="31">
        <v>-5000</v>
      </c>
    </row>
    <row r="3237" s="1" customFormat="1" ht="16.35" hidden="1" customHeight="1" spans="1:18">
      <c r="A3237" s="6"/>
      <c r="B3237" s="6" t="s">
        <v>4123</v>
      </c>
      <c r="C3237" s="6" t="s">
        <v>4253</v>
      </c>
      <c r="D3237" s="7">
        <v>129</v>
      </c>
      <c r="E3237" s="6" t="s">
        <v>6886</v>
      </c>
      <c r="F3237" s="6" t="s">
        <v>5631</v>
      </c>
      <c r="G3237" s="6" t="s">
        <v>5632</v>
      </c>
      <c r="H3237" s="8">
        <v>221739</v>
      </c>
      <c r="I3237" s="8"/>
      <c r="J3237" s="6"/>
      <c r="K3237" s="6" t="s">
        <v>2215</v>
      </c>
      <c r="L3237" s="6"/>
      <c r="M3237" s="6"/>
      <c r="N3237" s="6" t="s">
        <v>2215</v>
      </c>
      <c r="O3237" s="29">
        <f t="shared" si="78"/>
        <v>0</v>
      </c>
      <c r="Q3237" s="30" t="s">
        <v>2215</v>
      </c>
      <c r="R3237" s="31">
        <v>0</v>
      </c>
    </row>
    <row r="3238" s="1" customFormat="1" ht="16.35" hidden="1" customHeight="1" spans="1:18">
      <c r="A3238" s="6"/>
      <c r="B3238" s="6" t="s">
        <v>4123</v>
      </c>
      <c r="C3238" s="6" t="s">
        <v>4253</v>
      </c>
      <c r="D3238" s="7">
        <v>3</v>
      </c>
      <c r="E3238" s="6" t="s">
        <v>6887</v>
      </c>
      <c r="F3238" s="6" t="s">
        <v>5631</v>
      </c>
      <c r="G3238" s="6" t="s">
        <v>5632</v>
      </c>
      <c r="H3238" s="8"/>
      <c r="I3238" s="8">
        <v>5000</v>
      </c>
      <c r="J3238" s="6"/>
      <c r="K3238" s="6" t="s">
        <v>2192</v>
      </c>
      <c r="L3238" s="6"/>
      <c r="M3238" s="6"/>
      <c r="N3238" s="6" t="s">
        <v>2192</v>
      </c>
      <c r="O3238" s="29">
        <f t="shared" si="78"/>
        <v>5000</v>
      </c>
      <c r="Q3238" s="30" t="s">
        <v>2192</v>
      </c>
      <c r="R3238" s="31">
        <v>5000</v>
      </c>
    </row>
    <row r="3239" s="1" customFormat="1" ht="16.35" hidden="1" customHeight="1" spans="1:18">
      <c r="A3239" s="6"/>
      <c r="B3239" s="6" t="s">
        <v>4123</v>
      </c>
      <c r="C3239" s="6" t="s">
        <v>4253</v>
      </c>
      <c r="D3239" s="7">
        <v>3</v>
      </c>
      <c r="E3239" s="6" t="s">
        <v>6888</v>
      </c>
      <c r="F3239" s="6" t="s">
        <v>5631</v>
      </c>
      <c r="G3239" s="6" t="s">
        <v>5632</v>
      </c>
      <c r="H3239" s="8"/>
      <c r="I3239" s="8">
        <v>5000</v>
      </c>
      <c r="J3239" s="6"/>
      <c r="K3239" s="6" t="s">
        <v>2229</v>
      </c>
      <c r="L3239" s="6"/>
      <c r="M3239" s="6"/>
      <c r="N3239" s="6" t="s">
        <v>2229</v>
      </c>
      <c r="O3239" s="29">
        <f t="shared" si="78"/>
        <v>5000</v>
      </c>
      <c r="Q3239" s="30" t="s">
        <v>2229</v>
      </c>
      <c r="R3239" s="31">
        <v>5000</v>
      </c>
    </row>
    <row r="3240" s="1" customFormat="1" ht="16.35" hidden="1" customHeight="1" spans="1:18">
      <c r="A3240" s="6"/>
      <c r="B3240" s="6" t="s">
        <v>4123</v>
      </c>
      <c r="C3240" s="6" t="s">
        <v>4253</v>
      </c>
      <c r="D3240" s="7">
        <v>3</v>
      </c>
      <c r="E3240" s="6" t="s">
        <v>6889</v>
      </c>
      <c r="F3240" s="6" t="s">
        <v>5631</v>
      </c>
      <c r="G3240" s="6" t="s">
        <v>5632</v>
      </c>
      <c r="H3240" s="8"/>
      <c r="I3240" s="8">
        <v>5000</v>
      </c>
      <c r="J3240" s="6"/>
      <c r="K3240" s="6" t="s">
        <v>2289</v>
      </c>
      <c r="L3240" s="6"/>
      <c r="M3240" s="6"/>
      <c r="N3240" s="6" t="s">
        <v>2289</v>
      </c>
      <c r="O3240" s="29">
        <f t="shared" si="78"/>
        <v>5000</v>
      </c>
      <c r="Q3240" s="30" t="s">
        <v>2289</v>
      </c>
      <c r="R3240" s="31">
        <v>5000</v>
      </c>
    </row>
    <row r="3241" s="1" customFormat="1" ht="16.35" hidden="1" customHeight="1" spans="1:18">
      <c r="A3241" s="6"/>
      <c r="B3241" s="6" t="s">
        <v>4123</v>
      </c>
      <c r="C3241" s="6" t="s">
        <v>4253</v>
      </c>
      <c r="D3241" s="7">
        <v>3</v>
      </c>
      <c r="E3241" s="6" t="s">
        <v>6511</v>
      </c>
      <c r="F3241" s="6" t="s">
        <v>5631</v>
      </c>
      <c r="G3241" s="6" t="s">
        <v>5632</v>
      </c>
      <c r="H3241" s="8"/>
      <c r="I3241" s="8">
        <v>-5000</v>
      </c>
      <c r="J3241" s="6"/>
      <c r="K3241" s="6" t="s">
        <v>2289</v>
      </c>
      <c r="L3241" s="6"/>
      <c r="M3241" s="6"/>
      <c r="N3241" s="6" t="s">
        <v>2289</v>
      </c>
      <c r="O3241" s="29">
        <f t="shared" si="78"/>
        <v>-5000</v>
      </c>
      <c r="Q3241" s="30" t="s">
        <v>2289</v>
      </c>
      <c r="R3241" s="31">
        <v>-5000</v>
      </c>
    </row>
    <row r="3242" s="1" customFormat="1" ht="16.35" hidden="1" customHeight="1" spans="1:18">
      <c r="A3242" s="6"/>
      <c r="B3242" s="6" t="s">
        <v>4123</v>
      </c>
      <c r="C3242" s="6" t="s">
        <v>4253</v>
      </c>
      <c r="D3242" s="7">
        <v>149</v>
      </c>
      <c r="E3242" s="6" t="s">
        <v>6517</v>
      </c>
      <c r="F3242" s="6" t="s">
        <v>5631</v>
      </c>
      <c r="G3242" s="6" t="s">
        <v>5632</v>
      </c>
      <c r="H3242" s="8"/>
      <c r="I3242" s="8">
        <v>10000</v>
      </c>
      <c r="J3242" s="6"/>
      <c r="K3242" s="6" t="s">
        <v>2293</v>
      </c>
      <c r="L3242" s="6"/>
      <c r="M3242" s="6"/>
      <c r="N3242" s="6" t="s">
        <v>2293</v>
      </c>
      <c r="O3242" s="29">
        <f t="shared" si="78"/>
        <v>10000</v>
      </c>
      <c r="Q3242" s="30" t="s">
        <v>2293</v>
      </c>
      <c r="R3242" s="31">
        <v>10000</v>
      </c>
    </row>
    <row r="3243" s="1" customFormat="1" ht="16.35" hidden="1" customHeight="1" spans="1:18">
      <c r="A3243" s="6"/>
      <c r="B3243" s="6" t="s">
        <v>4123</v>
      </c>
      <c r="C3243" s="6" t="s">
        <v>4253</v>
      </c>
      <c r="D3243" s="7">
        <v>129</v>
      </c>
      <c r="E3243" s="6" t="s">
        <v>6597</v>
      </c>
      <c r="F3243" s="6" t="s">
        <v>5631</v>
      </c>
      <c r="G3243" s="6" t="s">
        <v>5632</v>
      </c>
      <c r="H3243" s="8">
        <v>237597</v>
      </c>
      <c r="I3243" s="8"/>
      <c r="J3243" s="6"/>
      <c r="K3243" s="6" t="s">
        <v>2293</v>
      </c>
      <c r="L3243" s="6"/>
      <c r="M3243" s="6"/>
      <c r="N3243" s="6" t="s">
        <v>2293</v>
      </c>
      <c r="O3243" s="29">
        <f t="shared" si="78"/>
        <v>0</v>
      </c>
      <c r="Q3243" s="30" t="s">
        <v>2293</v>
      </c>
      <c r="R3243" s="31">
        <v>0</v>
      </c>
    </row>
    <row r="3244" s="1" customFormat="1" ht="16.35" hidden="1" customHeight="1" spans="1:18">
      <c r="A3244" s="6"/>
      <c r="B3244" s="6" t="s">
        <v>4123</v>
      </c>
      <c r="C3244" s="6" t="s">
        <v>4253</v>
      </c>
      <c r="D3244" s="7">
        <v>149</v>
      </c>
      <c r="E3244" s="6" t="s">
        <v>6761</v>
      </c>
      <c r="F3244" s="6" t="s">
        <v>5631</v>
      </c>
      <c r="G3244" s="6" t="s">
        <v>5632</v>
      </c>
      <c r="H3244" s="8"/>
      <c r="I3244" s="8">
        <v>-95238</v>
      </c>
      <c r="J3244" s="6"/>
      <c r="K3244" s="6" t="s">
        <v>2758</v>
      </c>
      <c r="L3244" s="6"/>
      <c r="M3244" s="6"/>
      <c r="N3244" s="6" t="s">
        <v>2758</v>
      </c>
      <c r="O3244" s="29">
        <f t="shared" si="78"/>
        <v>-95238</v>
      </c>
      <c r="Q3244" s="30" t="s">
        <v>2758</v>
      </c>
      <c r="R3244" s="31">
        <v>-95238</v>
      </c>
    </row>
    <row r="3245" s="1" customFormat="1" ht="16.35" hidden="1" customHeight="1" spans="1:18">
      <c r="A3245" s="6"/>
      <c r="B3245" s="6" t="s">
        <v>4123</v>
      </c>
      <c r="C3245" s="6" t="s">
        <v>4253</v>
      </c>
      <c r="D3245" s="7">
        <v>149</v>
      </c>
      <c r="E3245" s="6" t="s">
        <v>6762</v>
      </c>
      <c r="F3245" s="6" t="s">
        <v>5631</v>
      </c>
      <c r="G3245" s="6" t="s">
        <v>5632</v>
      </c>
      <c r="H3245" s="8"/>
      <c r="I3245" s="8">
        <v>-4762</v>
      </c>
      <c r="J3245" s="6"/>
      <c r="K3245" s="6" t="s">
        <v>2758</v>
      </c>
      <c r="L3245" s="6"/>
      <c r="M3245" s="6"/>
      <c r="N3245" s="6" t="s">
        <v>2758</v>
      </c>
      <c r="O3245" s="29">
        <f t="shared" si="78"/>
        <v>-4762</v>
      </c>
      <c r="Q3245" s="30" t="s">
        <v>2758</v>
      </c>
      <c r="R3245" s="31">
        <v>-4762</v>
      </c>
    </row>
    <row r="3246" s="1" customFormat="1" ht="16.35" hidden="1" customHeight="1" spans="1:18">
      <c r="A3246" s="6"/>
      <c r="B3246" s="6" t="s">
        <v>4123</v>
      </c>
      <c r="C3246" s="6" t="s">
        <v>4253</v>
      </c>
      <c r="D3246" s="7">
        <v>3</v>
      </c>
      <c r="E3246" s="6" t="s">
        <v>6890</v>
      </c>
      <c r="F3246" s="6" t="s">
        <v>5631</v>
      </c>
      <c r="G3246" s="6" t="s">
        <v>5632</v>
      </c>
      <c r="H3246" s="8"/>
      <c r="I3246" s="8">
        <v>10000</v>
      </c>
      <c r="J3246" s="6"/>
      <c r="K3246" s="6" t="s">
        <v>2758</v>
      </c>
      <c r="L3246" s="6"/>
      <c r="M3246" s="6"/>
      <c r="N3246" s="6" t="s">
        <v>2758</v>
      </c>
      <c r="O3246" s="29">
        <f t="shared" si="78"/>
        <v>10000</v>
      </c>
      <c r="Q3246" s="30" t="s">
        <v>2758</v>
      </c>
      <c r="R3246" s="31">
        <v>10000</v>
      </c>
    </row>
    <row r="3247" s="1" customFormat="1" ht="16.35" hidden="1" customHeight="1" spans="1:18">
      <c r="A3247" s="6"/>
      <c r="B3247" s="6" t="s">
        <v>4123</v>
      </c>
      <c r="C3247" s="6" t="s">
        <v>4253</v>
      </c>
      <c r="D3247" s="7">
        <v>129</v>
      </c>
      <c r="E3247" s="6" t="s">
        <v>6891</v>
      </c>
      <c r="F3247" s="6" t="s">
        <v>5631</v>
      </c>
      <c r="G3247" s="6" t="s">
        <v>5632</v>
      </c>
      <c r="H3247" s="8">
        <v>428736</v>
      </c>
      <c r="I3247" s="8"/>
      <c r="J3247" s="6"/>
      <c r="K3247" s="6" t="s">
        <v>2758</v>
      </c>
      <c r="L3247" s="6"/>
      <c r="M3247" s="6"/>
      <c r="N3247" s="6" t="s">
        <v>2758</v>
      </c>
      <c r="O3247" s="29">
        <f t="shared" si="78"/>
        <v>0</v>
      </c>
      <c r="Q3247" s="30" t="s">
        <v>2758</v>
      </c>
      <c r="R3247" s="31">
        <v>0</v>
      </c>
    </row>
    <row r="3248" s="1" customFormat="1" ht="16.35" hidden="1" customHeight="1" spans="1:18">
      <c r="A3248" s="6"/>
      <c r="B3248" s="6" t="s">
        <v>4123</v>
      </c>
      <c r="C3248" s="6" t="s">
        <v>4253</v>
      </c>
      <c r="D3248" s="7">
        <v>3</v>
      </c>
      <c r="E3248" s="6" t="s">
        <v>6892</v>
      </c>
      <c r="F3248" s="6" t="s">
        <v>5631</v>
      </c>
      <c r="G3248" s="6" t="s">
        <v>5632</v>
      </c>
      <c r="H3248" s="8"/>
      <c r="I3248" s="8">
        <v>2000</v>
      </c>
      <c r="J3248" s="6"/>
      <c r="K3248" s="6" t="s">
        <v>2744</v>
      </c>
      <c r="L3248" s="6"/>
      <c r="M3248" s="6"/>
      <c r="N3248" s="6" t="s">
        <v>2744</v>
      </c>
      <c r="O3248" s="29">
        <f t="shared" si="78"/>
        <v>2000</v>
      </c>
      <c r="P3248" s="2" t="s">
        <v>6893</v>
      </c>
      <c r="Q3248" s="30" t="s">
        <v>2744</v>
      </c>
      <c r="R3248" s="31">
        <v>2000</v>
      </c>
    </row>
    <row r="3249" s="1" customFormat="1" ht="16.35" hidden="1" customHeight="1" spans="1:18">
      <c r="A3249" s="6"/>
      <c r="B3249" s="6" t="s">
        <v>4123</v>
      </c>
      <c r="C3249" s="6" t="s">
        <v>4253</v>
      </c>
      <c r="D3249" s="7">
        <v>3</v>
      </c>
      <c r="E3249" s="6" t="s">
        <v>6605</v>
      </c>
      <c r="F3249" s="6" t="s">
        <v>5631</v>
      </c>
      <c r="G3249" s="6" t="s">
        <v>5632</v>
      </c>
      <c r="H3249" s="8"/>
      <c r="I3249" s="8">
        <v>-2000</v>
      </c>
      <c r="J3249" s="6"/>
      <c r="K3249" s="6" t="s">
        <v>2744</v>
      </c>
      <c r="L3249" s="6"/>
      <c r="M3249" s="6"/>
      <c r="N3249" s="6" t="s">
        <v>2744</v>
      </c>
      <c r="O3249" s="29">
        <f t="shared" si="78"/>
        <v>-2000</v>
      </c>
      <c r="Q3249" s="30" t="s">
        <v>2744</v>
      </c>
      <c r="R3249" s="31">
        <v>-2000</v>
      </c>
    </row>
    <row r="3250" s="1" customFormat="1" ht="16.35" hidden="1" customHeight="1" spans="1:18">
      <c r="A3250" s="6"/>
      <c r="B3250" s="6" t="s">
        <v>4123</v>
      </c>
      <c r="C3250" s="6" t="s">
        <v>4253</v>
      </c>
      <c r="D3250" s="7">
        <v>129</v>
      </c>
      <c r="E3250" s="6" t="s">
        <v>6894</v>
      </c>
      <c r="F3250" s="6" t="s">
        <v>5631</v>
      </c>
      <c r="G3250" s="6" t="s">
        <v>5632</v>
      </c>
      <c r="H3250" s="8">
        <v>207283</v>
      </c>
      <c r="I3250" s="8"/>
      <c r="J3250" s="6"/>
      <c r="K3250" s="6" t="s">
        <v>1950</v>
      </c>
      <c r="L3250" s="6"/>
      <c r="M3250" s="6"/>
      <c r="N3250" s="6" t="s">
        <v>1950</v>
      </c>
      <c r="O3250" s="29">
        <f t="shared" si="78"/>
        <v>0</v>
      </c>
      <c r="Q3250" s="30" t="s">
        <v>1950</v>
      </c>
      <c r="R3250" s="31">
        <v>0</v>
      </c>
    </row>
    <row r="3251" s="1" customFormat="1" ht="16.35" hidden="1" customHeight="1" spans="1:18">
      <c r="A3251" s="6"/>
      <c r="B3251" s="6" t="s">
        <v>4123</v>
      </c>
      <c r="C3251" s="6" t="s">
        <v>4253</v>
      </c>
      <c r="D3251" s="7">
        <v>3</v>
      </c>
      <c r="E3251" s="6" t="s">
        <v>6895</v>
      </c>
      <c r="F3251" s="6" t="s">
        <v>5631</v>
      </c>
      <c r="G3251" s="6" t="s">
        <v>5632</v>
      </c>
      <c r="H3251" s="8"/>
      <c r="I3251" s="8">
        <v>5000</v>
      </c>
      <c r="J3251" s="6"/>
      <c r="K3251" s="6" t="s">
        <v>1970</v>
      </c>
      <c r="L3251" s="6"/>
      <c r="M3251" s="6"/>
      <c r="N3251" s="6" t="s">
        <v>1970</v>
      </c>
      <c r="O3251" s="29">
        <f t="shared" si="78"/>
        <v>5000</v>
      </c>
      <c r="Q3251" s="30" t="s">
        <v>1970</v>
      </c>
      <c r="R3251" s="31">
        <v>5000</v>
      </c>
    </row>
    <row r="3252" s="1" customFormat="1" ht="16.35" hidden="1" customHeight="1" spans="1:18">
      <c r="A3252" s="6"/>
      <c r="B3252" s="6" t="s">
        <v>4123</v>
      </c>
      <c r="C3252" s="6" t="s">
        <v>4253</v>
      </c>
      <c r="D3252" s="7">
        <v>3</v>
      </c>
      <c r="E3252" s="6" t="s">
        <v>6896</v>
      </c>
      <c r="F3252" s="6" t="s">
        <v>5631</v>
      </c>
      <c r="G3252" s="6" t="s">
        <v>5632</v>
      </c>
      <c r="H3252" s="8"/>
      <c r="I3252" s="8">
        <v>5000</v>
      </c>
      <c r="J3252" s="6"/>
      <c r="K3252" s="6" t="s">
        <v>1994</v>
      </c>
      <c r="L3252" s="6"/>
      <c r="M3252" s="6"/>
      <c r="N3252" s="6" t="s">
        <v>1994</v>
      </c>
      <c r="O3252" s="29">
        <f t="shared" si="78"/>
        <v>5000</v>
      </c>
      <c r="Q3252" s="30" t="s">
        <v>1994</v>
      </c>
      <c r="R3252" s="31">
        <v>5000</v>
      </c>
    </row>
    <row r="3253" s="1" customFormat="1" ht="16.35" hidden="1" customHeight="1" spans="1:18">
      <c r="A3253" s="6"/>
      <c r="B3253" s="6" t="s">
        <v>4123</v>
      </c>
      <c r="C3253" s="6" t="s">
        <v>4253</v>
      </c>
      <c r="D3253" s="7">
        <v>3</v>
      </c>
      <c r="E3253" s="6" t="s">
        <v>6897</v>
      </c>
      <c r="F3253" s="6" t="s">
        <v>5631</v>
      </c>
      <c r="G3253" s="6" t="s">
        <v>5632</v>
      </c>
      <c r="H3253" s="8"/>
      <c r="I3253" s="8">
        <v>-5000</v>
      </c>
      <c r="J3253" s="6"/>
      <c r="K3253" s="6" t="s">
        <v>1994</v>
      </c>
      <c r="L3253" s="6"/>
      <c r="M3253" s="6"/>
      <c r="N3253" s="6" t="s">
        <v>1994</v>
      </c>
      <c r="O3253" s="29">
        <f t="shared" si="78"/>
        <v>-5000</v>
      </c>
      <c r="Q3253" s="30" t="s">
        <v>1994</v>
      </c>
      <c r="R3253" s="31">
        <v>-5000</v>
      </c>
    </row>
    <row r="3254" s="1" customFormat="1" ht="16.35" hidden="1" customHeight="1" spans="1:18">
      <c r="A3254" s="6"/>
      <c r="B3254" s="6" t="s">
        <v>4123</v>
      </c>
      <c r="C3254" s="6" t="s">
        <v>4253</v>
      </c>
      <c r="D3254" s="7">
        <v>129</v>
      </c>
      <c r="E3254" s="6" t="s">
        <v>6898</v>
      </c>
      <c r="F3254" s="6" t="s">
        <v>5631</v>
      </c>
      <c r="G3254" s="6" t="s">
        <v>5632</v>
      </c>
      <c r="H3254" s="8">
        <v>219856</v>
      </c>
      <c r="I3254" s="8"/>
      <c r="J3254" s="6"/>
      <c r="K3254" s="6" t="s">
        <v>2025</v>
      </c>
      <c r="L3254" s="6"/>
      <c r="M3254" s="6"/>
      <c r="N3254" s="6" t="s">
        <v>2025</v>
      </c>
      <c r="O3254" s="29">
        <f t="shared" si="78"/>
        <v>0</v>
      </c>
      <c r="Q3254" s="30" t="s">
        <v>2025</v>
      </c>
      <c r="R3254" s="31">
        <v>0</v>
      </c>
    </row>
    <row r="3255" s="1" customFormat="1" ht="16.35" hidden="1" customHeight="1" spans="1:18">
      <c r="A3255" s="6"/>
      <c r="B3255" s="6" t="s">
        <v>4123</v>
      </c>
      <c r="C3255" s="6" t="s">
        <v>4253</v>
      </c>
      <c r="D3255" s="7">
        <v>129</v>
      </c>
      <c r="E3255" s="6" t="s">
        <v>6899</v>
      </c>
      <c r="F3255" s="6" t="s">
        <v>5631</v>
      </c>
      <c r="G3255" s="6" t="s">
        <v>5632</v>
      </c>
      <c r="H3255" s="8">
        <v>463000</v>
      </c>
      <c r="I3255" s="8"/>
      <c r="J3255" s="6"/>
      <c r="K3255" s="6" t="s">
        <v>2772</v>
      </c>
      <c r="L3255" s="6"/>
      <c r="M3255" s="6"/>
      <c r="N3255" s="6" t="s">
        <v>2772</v>
      </c>
      <c r="O3255" s="29">
        <f t="shared" si="78"/>
        <v>0</v>
      </c>
      <c r="Q3255" s="30" t="s">
        <v>2772</v>
      </c>
      <c r="R3255" s="31">
        <v>0</v>
      </c>
    </row>
    <row r="3256" s="2" customFormat="1" ht="16.35" hidden="1" customHeight="1" spans="1:18">
      <c r="A3256" s="10"/>
      <c r="B3256" s="10" t="s">
        <v>4123</v>
      </c>
      <c r="C3256" s="10" t="s">
        <v>4253</v>
      </c>
      <c r="D3256" s="11">
        <v>3</v>
      </c>
      <c r="E3256" s="10" t="s">
        <v>6900</v>
      </c>
      <c r="F3256" s="10" t="s">
        <v>5631</v>
      </c>
      <c r="G3256" s="10" t="s">
        <v>5632</v>
      </c>
      <c r="H3256" s="12"/>
      <c r="I3256" s="12">
        <v>5000</v>
      </c>
      <c r="J3256" s="10"/>
      <c r="K3256" s="10" t="s">
        <v>2761</v>
      </c>
      <c r="L3256" s="10"/>
      <c r="M3256" s="10"/>
      <c r="N3256" s="10" t="s">
        <v>2761</v>
      </c>
      <c r="O3256" s="29">
        <f t="shared" si="78"/>
        <v>5000</v>
      </c>
      <c r="Q3256" s="30" t="s">
        <v>2761</v>
      </c>
      <c r="R3256" s="31">
        <v>5000</v>
      </c>
    </row>
    <row r="3257" s="1" customFormat="1" ht="16.35" hidden="1" customHeight="1" spans="1:18">
      <c r="A3257" s="6"/>
      <c r="B3257" s="6" t="s">
        <v>4123</v>
      </c>
      <c r="C3257" s="6" t="s">
        <v>4253</v>
      </c>
      <c r="D3257" s="7">
        <v>129</v>
      </c>
      <c r="E3257" s="6" t="s">
        <v>6901</v>
      </c>
      <c r="F3257" s="6" t="s">
        <v>5631</v>
      </c>
      <c r="G3257" s="6" t="s">
        <v>5632</v>
      </c>
      <c r="H3257" s="8">
        <v>133782</v>
      </c>
      <c r="I3257" s="8"/>
      <c r="J3257" s="6"/>
      <c r="K3257" s="6" t="s">
        <v>2761</v>
      </c>
      <c r="L3257" s="6"/>
      <c r="M3257" s="6"/>
      <c r="N3257" s="6" t="s">
        <v>2761</v>
      </c>
      <c r="O3257" s="29">
        <f t="shared" si="78"/>
        <v>0</v>
      </c>
      <c r="Q3257" s="30" t="s">
        <v>2761</v>
      </c>
      <c r="R3257" s="31">
        <v>0</v>
      </c>
    </row>
    <row r="3258" s="1" customFormat="1" ht="16.35" hidden="1" customHeight="1" spans="1:18">
      <c r="A3258" s="6"/>
      <c r="B3258" s="6" t="s">
        <v>4123</v>
      </c>
      <c r="C3258" s="6" t="s">
        <v>4253</v>
      </c>
      <c r="D3258" s="7">
        <v>3</v>
      </c>
      <c r="E3258" s="6" t="s">
        <v>6902</v>
      </c>
      <c r="F3258" s="6" t="s">
        <v>5631</v>
      </c>
      <c r="G3258" s="6" t="s">
        <v>5632</v>
      </c>
      <c r="H3258" s="8"/>
      <c r="I3258" s="8">
        <v>1000</v>
      </c>
      <c r="J3258" s="6"/>
      <c r="K3258" s="6" t="s">
        <v>2023</v>
      </c>
      <c r="L3258" s="6"/>
      <c r="M3258" s="6"/>
      <c r="N3258" s="6" t="s">
        <v>2023</v>
      </c>
      <c r="O3258" s="29">
        <f t="shared" si="78"/>
        <v>1000</v>
      </c>
      <c r="Q3258" s="30" t="s">
        <v>2023</v>
      </c>
      <c r="R3258" s="31">
        <v>1000</v>
      </c>
    </row>
    <row r="3259" s="1" customFormat="1" ht="16.35" hidden="1" customHeight="1" spans="1:18">
      <c r="A3259" s="6"/>
      <c r="B3259" s="6" t="s">
        <v>4123</v>
      </c>
      <c r="C3259" s="6" t="s">
        <v>4253</v>
      </c>
      <c r="D3259" s="7">
        <v>3</v>
      </c>
      <c r="E3259" s="6" t="s">
        <v>6511</v>
      </c>
      <c r="F3259" s="6" t="s">
        <v>5631</v>
      </c>
      <c r="G3259" s="6" t="s">
        <v>5632</v>
      </c>
      <c r="H3259" s="8"/>
      <c r="I3259" s="8">
        <v>-1000</v>
      </c>
      <c r="J3259" s="6"/>
      <c r="K3259" s="6" t="s">
        <v>2023</v>
      </c>
      <c r="L3259" s="6"/>
      <c r="M3259" s="6"/>
      <c r="N3259" s="6" t="s">
        <v>2023</v>
      </c>
      <c r="O3259" s="29">
        <f t="shared" ref="O3259:O3301" si="79">I3259</f>
        <v>-1000</v>
      </c>
      <c r="Q3259" s="30" t="s">
        <v>2023</v>
      </c>
      <c r="R3259" s="31">
        <v>-1000</v>
      </c>
    </row>
    <row r="3260" s="28" customFormat="1" ht="16.35" hidden="1" customHeight="1" spans="1:18">
      <c r="A3260" s="38"/>
      <c r="B3260" s="38" t="s">
        <v>4123</v>
      </c>
      <c r="C3260" s="38" t="s">
        <v>4253</v>
      </c>
      <c r="D3260" s="39">
        <v>3</v>
      </c>
      <c r="E3260" s="38" t="s">
        <v>6903</v>
      </c>
      <c r="F3260" s="38" t="s">
        <v>5631</v>
      </c>
      <c r="G3260" s="38" t="s">
        <v>5632</v>
      </c>
      <c r="H3260" s="40"/>
      <c r="I3260" s="40">
        <v>5000</v>
      </c>
      <c r="J3260" s="38"/>
      <c r="K3260" s="38" t="s">
        <v>2067</v>
      </c>
      <c r="L3260" s="38"/>
      <c r="M3260" s="38"/>
      <c r="N3260" s="38" t="s">
        <v>2067</v>
      </c>
      <c r="O3260" s="29">
        <f t="shared" si="79"/>
        <v>5000</v>
      </c>
      <c r="Q3260" s="30" t="s">
        <v>2067</v>
      </c>
      <c r="R3260" s="31">
        <v>5000</v>
      </c>
    </row>
    <row r="3261" s="1" customFormat="1" ht="16.35" hidden="1" customHeight="1" spans="1:18">
      <c r="A3261" s="6"/>
      <c r="B3261" s="6" t="s">
        <v>4123</v>
      </c>
      <c r="C3261" s="6" t="s">
        <v>4253</v>
      </c>
      <c r="D3261" s="7">
        <v>129</v>
      </c>
      <c r="E3261" s="6" t="s">
        <v>6904</v>
      </c>
      <c r="F3261" s="6" t="s">
        <v>5631</v>
      </c>
      <c r="G3261" s="6" t="s">
        <v>5632</v>
      </c>
      <c r="H3261" s="8">
        <v>229000</v>
      </c>
      <c r="I3261" s="8"/>
      <c r="J3261" s="6"/>
      <c r="K3261" s="6" t="s">
        <v>2067</v>
      </c>
      <c r="L3261" s="6"/>
      <c r="M3261" s="6"/>
      <c r="N3261" s="6" t="s">
        <v>2067</v>
      </c>
      <c r="O3261" s="29">
        <f t="shared" si="79"/>
        <v>0</v>
      </c>
      <c r="Q3261" s="30" t="s">
        <v>2067</v>
      </c>
      <c r="R3261" s="31">
        <v>0</v>
      </c>
    </row>
    <row r="3262" s="1" customFormat="1" ht="16.35" hidden="1" customHeight="1" spans="1:18">
      <c r="A3262" s="6"/>
      <c r="B3262" s="6" t="s">
        <v>4123</v>
      </c>
      <c r="C3262" s="6" t="s">
        <v>4253</v>
      </c>
      <c r="D3262" s="7">
        <v>3</v>
      </c>
      <c r="E3262" s="6" t="s">
        <v>6905</v>
      </c>
      <c r="F3262" s="6" t="s">
        <v>5631</v>
      </c>
      <c r="G3262" s="6" t="s">
        <v>5632</v>
      </c>
      <c r="H3262" s="8"/>
      <c r="I3262" s="8">
        <v>5000</v>
      </c>
      <c r="J3262" s="6"/>
      <c r="K3262" s="6" t="s">
        <v>2083</v>
      </c>
      <c r="L3262" s="6"/>
      <c r="M3262" s="6"/>
      <c r="N3262" s="6" t="s">
        <v>2083</v>
      </c>
      <c r="O3262" s="29">
        <f t="shared" si="79"/>
        <v>5000</v>
      </c>
      <c r="Q3262" s="30" t="s">
        <v>2083</v>
      </c>
      <c r="R3262" s="31">
        <v>5000</v>
      </c>
    </row>
    <row r="3263" s="1" customFormat="1" ht="16.35" hidden="1" customHeight="1" spans="1:18">
      <c r="A3263" s="6"/>
      <c r="B3263" s="6" t="s">
        <v>4123</v>
      </c>
      <c r="C3263" s="6" t="s">
        <v>4253</v>
      </c>
      <c r="D3263" s="7">
        <v>129</v>
      </c>
      <c r="E3263" s="6" t="s">
        <v>6906</v>
      </c>
      <c r="F3263" s="6" t="s">
        <v>5631</v>
      </c>
      <c r="G3263" s="6" t="s">
        <v>5632</v>
      </c>
      <c r="H3263" s="8">
        <v>-145022</v>
      </c>
      <c r="I3263" s="8"/>
      <c r="J3263" s="6"/>
      <c r="K3263" s="6" t="s">
        <v>2083</v>
      </c>
      <c r="L3263" s="6"/>
      <c r="M3263" s="6"/>
      <c r="N3263" s="6" t="s">
        <v>2083</v>
      </c>
      <c r="O3263" s="29">
        <f t="shared" si="79"/>
        <v>0</v>
      </c>
      <c r="Q3263" s="30" t="s">
        <v>2083</v>
      </c>
      <c r="R3263" s="31">
        <v>0</v>
      </c>
    </row>
    <row r="3264" s="1" customFormat="1" ht="16.35" hidden="1" customHeight="1" spans="1:18">
      <c r="A3264" s="6"/>
      <c r="B3264" s="6" t="s">
        <v>4123</v>
      </c>
      <c r="C3264" s="6" t="s">
        <v>4253</v>
      </c>
      <c r="D3264" s="7">
        <v>129</v>
      </c>
      <c r="E3264" s="6" t="s">
        <v>6906</v>
      </c>
      <c r="F3264" s="6" t="s">
        <v>5631</v>
      </c>
      <c r="G3264" s="6" t="s">
        <v>5632</v>
      </c>
      <c r="H3264" s="8">
        <v>145022</v>
      </c>
      <c r="I3264" s="8"/>
      <c r="J3264" s="6"/>
      <c r="K3264" s="6" t="s">
        <v>2083</v>
      </c>
      <c r="L3264" s="6"/>
      <c r="M3264" s="6"/>
      <c r="N3264" s="6" t="s">
        <v>2083</v>
      </c>
      <c r="O3264" s="29">
        <f t="shared" si="79"/>
        <v>0</v>
      </c>
      <c r="Q3264" s="30" t="s">
        <v>2083</v>
      </c>
      <c r="R3264" s="31">
        <v>0</v>
      </c>
    </row>
    <row r="3265" s="1" customFormat="1" ht="16.35" hidden="1" customHeight="1" spans="1:18">
      <c r="A3265" s="6"/>
      <c r="B3265" s="6" t="s">
        <v>4123</v>
      </c>
      <c r="C3265" s="6" t="s">
        <v>4253</v>
      </c>
      <c r="D3265" s="7">
        <v>3</v>
      </c>
      <c r="E3265" s="6" t="s">
        <v>6907</v>
      </c>
      <c r="F3265" s="6" t="s">
        <v>5631</v>
      </c>
      <c r="G3265" s="6" t="s">
        <v>5632</v>
      </c>
      <c r="H3265" s="8"/>
      <c r="I3265" s="8">
        <v>3000</v>
      </c>
      <c r="J3265" s="6"/>
      <c r="K3265" s="6" t="s">
        <v>2089</v>
      </c>
      <c r="L3265" s="6"/>
      <c r="M3265" s="6"/>
      <c r="N3265" s="6" t="s">
        <v>2089</v>
      </c>
      <c r="O3265" s="29">
        <f t="shared" si="79"/>
        <v>3000</v>
      </c>
      <c r="Q3265" s="30" t="s">
        <v>2089</v>
      </c>
      <c r="R3265" s="31">
        <v>3000</v>
      </c>
    </row>
    <row r="3266" s="1" customFormat="1" ht="16.35" hidden="1" customHeight="1" spans="1:18">
      <c r="A3266" s="6"/>
      <c r="B3266" s="6" t="s">
        <v>4123</v>
      </c>
      <c r="C3266" s="6" t="s">
        <v>4253</v>
      </c>
      <c r="D3266" s="7">
        <v>3</v>
      </c>
      <c r="E3266" s="6" t="s">
        <v>6605</v>
      </c>
      <c r="F3266" s="6" t="s">
        <v>5631</v>
      </c>
      <c r="G3266" s="6" t="s">
        <v>5632</v>
      </c>
      <c r="H3266" s="8"/>
      <c r="I3266" s="8">
        <v>-3000</v>
      </c>
      <c r="J3266" s="6"/>
      <c r="K3266" s="6" t="s">
        <v>2089</v>
      </c>
      <c r="L3266" s="6"/>
      <c r="M3266" s="6"/>
      <c r="N3266" s="6" t="s">
        <v>2089</v>
      </c>
      <c r="O3266" s="29">
        <f t="shared" si="79"/>
        <v>-3000</v>
      </c>
      <c r="Q3266" s="30" t="s">
        <v>2089</v>
      </c>
      <c r="R3266" s="31">
        <v>-3000</v>
      </c>
    </row>
    <row r="3267" s="1" customFormat="1" ht="16.35" hidden="1" customHeight="1" spans="1:18">
      <c r="A3267" s="6"/>
      <c r="B3267" s="6" t="s">
        <v>4123</v>
      </c>
      <c r="C3267" s="6" t="s">
        <v>4253</v>
      </c>
      <c r="D3267" s="7">
        <v>88</v>
      </c>
      <c r="E3267" s="6" t="s">
        <v>6908</v>
      </c>
      <c r="F3267" s="6" t="s">
        <v>5631</v>
      </c>
      <c r="G3267" s="6" t="s">
        <v>5632</v>
      </c>
      <c r="H3267" s="8"/>
      <c r="I3267" s="8">
        <v>74460</v>
      </c>
      <c r="J3267" s="6"/>
      <c r="K3267" s="6" t="s">
        <v>2081</v>
      </c>
      <c r="L3267" s="6"/>
      <c r="M3267" s="6"/>
      <c r="N3267" s="6" t="s">
        <v>2081</v>
      </c>
      <c r="O3267" s="29">
        <f t="shared" si="79"/>
        <v>74460</v>
      </c>
      <c r="Q3267" s="30" t="s">
        <v>2081</v>
      </c>
      <c r="R3267" s="31">
        <v>74460</v>
      </c>
    </row>
    <row r="3268" s="1" customFormat="1" ht="16.35" hidden="1" customHeight="1" spans="1:18">
      <c r="A3268" s="6"/>
      <c r="B3268" s="6" t="s">
        <v>4123</v>
      </c>
      <c r="C3268" s="6" t="s">
        <v>4253</v>
      </c>
      <c r="D3268" s="7">
        <v>53</v>
      </c>
      <c r="E3268" s="6" t="s">
        <v>6909</v>
      </c>
      <c r="F3268" s="6" t="s">
        <v>5631</v>
      </c>
      <c r="G3268" s="6" t="s">
        <v>5632</v>
      </c>
      <c r="H3268" s="8"/>
      <c r="I3268" s="8">
        <v>10000</v>
      </c>
      <c r="J3268" s="6"/>
      <c r="K3268" s="6" t="s">
        <v>2081</v>
      </c>
      <c r="L3268" s="6"/>
      <c r="M3268" s="6"/>
      <c r="N3268" s="6" t="s">
        <v>2081</v>
      </c>
      <c r="O3268" s="29">
        <f t="shared" si="79"/>
        <v>10000</v>
      </c>
      <c r="Q3268" s="30" t="s">
        <v>2081</v>
      </c>
      <c r="R3268" s="31">
        <v>10000</v>
      </c>
    </row>
    <row r="3269" s="1" customFormat="1" ht="16.35" hidden="1" customHeight="1" spans="1:18">
      <c r="A3269" s="6"/>
      <c r="B3269" s="6" t="s">
        <v>4123</v>
      </c>
      <c r="C3269" s="6" t="s">
        <v>4253</v>
      </c>
      <c r="D3269" s="7">
        <v>129</v>
      </c>
      <c r="E3269" s="6" t="s">
        <v>6910</v>
      </c>
      <c r="F3269" s="6" t="s">
        <v>5631</v>
      </c>
      <c r="G3269" s="6" t="s">
        <v>5632</v>
      </c>
      <c r="H3269" s="8">
        <v>242771</v>
      </c>
      <c r="I3269" s="8"/>
      <c r="J3269" s="6"/>
      <c r="K3269" s="6" t="s">
        <v>2165</v>
      </c>
      <c r="L3269" s="6"/>
      <c r="M3269" s="6"/>
      <c r="N3269" s="6" t="s">
        <v>2165</v>
      </c>
      <c r="O3269" s="29">
        <f t="shared" si="79"/>
        <v>0</v>
      </c>
      <c r="Q3269" s="30" t="s">
        <v>2165</v>
      </c>
      <c r="R3269" s="31">
        <v>0</v>
      </c>
    </row>
    <row r="3270" s="1" customFormat="1" ht="16.35" hidden="1" customHeight="1" spans="1:18">
      <c r="A3270" s="6"/>
      <c r="B3270" s="6" t="s">
        <v>4123</v>
      </c>
      <c r="C3270" s="6" t="s">
        <v>4253</v>
      </c>
      <c r="D3270" s="7">
        <v>129</v>
      </c>
      <c r="E3270" s="6" t="s">
        <v>6911</v>
      </c>
      <c r="F3270" s="6" t="s">
        <v>5631</v>
      </c>
      <c r="G3270" s="6" t="s">
        <v>5632</v>
      </c>
      <c r="H3270" s="8">
        <v>204100</v>
      </c>
      <c r="I3270" s="8"/>
      <c r="J3270" s="6"/>
      <c r="K3270" s="6" t="s">
        <v>2121</v>
      </c>
      <c r="L3270" s="6"/>
      <c r="M3270" s="6"/>
      <c r="N3270" s="6" t="s">
        <v>2121</v>
      </c>
      <c r="O3270" s="29">
        <f t="shared" si="79"/>
        <v>0</v>
      </c>
      <c r="Q3270" s="30" t="s">
        <v>2121</v>
      </c>
      <c r="R3270" s="31">
        <v>0</v>
      </c>
    </row>
    <row r="3271" s="1" customFormat="1" ht="16.35" hidden="1" customHeight="1" spans="1:18">
      <c r="A3271" s="6"/>
      <c r="B3271" s="6" t="s">
        <v>4123</v>
      </c>
      <c r="C3271" s="6" t="s">
        <v>4253</v>
      </c>
      <c r="D3271" s="7">
        <v>129</v>
      </c>
      <c r="E3271" s="6" t="s">
        <v>6912</v>
      </c>
      <c r="F3271" s="6" t="s">
        <v>5631</v>
      </c>
      <c r="G3271" s="6" t="s">
        <v>5632</v>
      </c>
      <c r="H3271" s="8">
        <v>280014</v>
      </c>
      <c r="I3271" s="8"/>
      <c r="J3271" s="6"/>
      <c r="K3271" s="6" t="s">
        <v>2105</v>
      </c>
      <c r="L3271" s="6"/>
      <c r="M3271" s="6"/>
      <c r="N3271" s="6" t="s">
        <v>2105</v>
      </c>
      <c r="O3271" s="29">
        <f t="shared" si="79"/>
        <v>0</v>
      </c>
      <c r="Q3271" s="30" t="s">
        <v>2105</v>
      </c>
      <c r="R3271" s="31">
        <v>0</v>
      </c>
    </row>
    <row r="3272" s="1" customFormat="1" ht="16.35" hidden="1" customHeight="1" spans="1:18">
      <c r="A3272" s="6"/>
      <c r="B3272" s="6" t="s">
        <v>4123</v>
      </c>
      <c r="C3272" s="6" t="s">
        <v>4253</v>
      </c>
      <c r="D3272" s="7">
        <v>129</v>
      </c>
      <c r="E3272" s="6" t="s">
        <v>6913</v>
      </c>
      <c r="F3272" s="6" t="s">
        <v>5631</v>
      </c>
      <c r="G3272" s="6" t="s">
        <v>5632</v>
      </c>
      <c r="H3272" s="8">
        <v>292000</v>
      </c>
      <c r="I3272" s="8"/>
      <c r="J3272" s="6"/>
      <c r="K3272" s="6" t="s">
        <v>2161</v>
      </c>
      <c r="L3272" s="6"/>
      <c r="M3272" s="6"/>
      <c r="N3272" s="6" t="s">
        <v>2161</v>
      </c>
      <c r="O3272" s="29">
        <f t="shared" si="79"/>
        <v>0</v>
      </c>
      <c r="Q3272" s="30" t="s">
        <v>2161</v>
      </c>
      <c r="R3272" s="31">
        <v>0</v>
      </c>
    </row>
    <row r="3273" s="1" customFormat="1" ht="16.35" hidden="1" customHeight="1" spans="1:18">
      <c r="A3273" s="6"/>
      <c r="B3273" s="6" t="s">
        <v>4123</v>
      </c>
      <c r="C3273" s="6" t="s">
        <v>4253</v>
      </c>
      <c r="D3273" s="7">
        <v>3</v>
      </c>
      <c r="E3273" s="6" t="s">
        <v>6914</v>
      </c>
      <c r="F3273" s="6" t="s">
        <v>5631</v>
      </c>
      <c r="G3273" s="6" t="s">
        <v>5632</v>
      </c>
      <c r="H3273" s="8"/>
      <c r="I3273" s="8">
        <v>1000</v>
      </c>
      <c r="J3273" s="6"/>
      <c r="K3273" s="6" t="s">
        <v>2113</v>
      </c>
      <c r="L3273" s="6"/>
      <c r="M3273" s="6"/>
      <c r="N3273" s="6" t="s">
        <v>2113</v>
      </c>
      <c r="O3273" s="29">
        <f t="shared" si="79"/>
        <v>1000</v>
      </c>
      <c r="Q3273" s="30" t="s">
        <v>2113</v>
      </c>
      <c r="R3273" s="31">
        <v>1000</v>
      </c>
    </row>
    <row r="3274" s="1" customFormat="1" ht="16.35" hidden="1" customHeight="1" spans="1:18">
      <c r="A3274" s="6"/>
      <c r="B3274" s="6" t="s">
        <v>4123</v>
      </c>
      <c r="C3274" s="6" t="s">
        <v>4253</v>
      </c>
      <c r="D3274" s="7">
        <v>3</v>
      </c>
      <c r="E3274" s="6" t="s">
        <v>6915</v>
      </c>
      <c r="F3274" s="6" t="s">
        <v>5631</v>
      </c>
      <c r="G3274" s="6" t="s">
        <v>5632</v>
      </c>
      <c r="H3274" s="8"/>
      <c r="I3274" s="8">
        <v>-1000</v>
      </c>
      <c r="J3274" s="6"/>
      <c r="K3274" s="6" t="s">
        <v>2113</v>
      </c>
      <c r="L3274" s="6"/>
      <c r="M3274" s="6"/>
      <c r="N3274" s="6" t="s">
        <v>2113</v>
      </c>
      <c r="O3274" s="29">
        <f t="shared" si="79"/>
        <v>-1000</v>
      </c>
      <c r="Q3274" s="30" t="s">
        <v>2113</v>
      </c>
      <c r="R3274" s="31">
        <v>-1000</v>
      </c>
    </row>
    <row r="3275" s="1" customFormat="1" ht="16.35" hidden="1" customHeight="1" spans="1:18">
      <c r="A3275" s="6"/>
      <c r="B3275" s="6" t="s">
        <v>4123</v>
      </c>
      <c r="C3275" s="6" t="s">
        <v>4253</v>
      </c>
      <c r="D3275" s="7">
        <v>129</v>
      </c>
      <c r="E3275" s="6" t="s">
        <v>6916</v>
      </c>
      <c r="F3275" s="6" t="s">
        <v>5631</v>
      </c>
      <c r="G3275" s="6" t="s">
        <v>5632</v>
      </c>
      <c r="H3275" s="8">
        <v>148257</v>
      </c>
      <c r="I3275" s="8"/>
      <c r="J3275" s="6"/>
      <c r="K3275" s="6" t="s">
        <v>2113</v>
      </c>
      <c r="L3275" s="6"/>
      <c r="M3275" s="6"/>
      <c r="N3275" s="6" t="s">
        <v>2113</v>
      </c>
      <c r="O3275" s="29">
        <f t="shared" si="79"/>
        <v>0</v>
      </c>
      <c r="Q3275" s="30" t="s">
        <v>2113</v>
      </c>
      <c r="R3275" s="31">
        <v>0</v>
      </c>
    </row>
    <row r="3276" s="1" customFormat="1" ht="16.35" hidden="1" customHeight="1" spans="1:18">
      <c r="A3276" s="6"/>
      <c r="B3276" s="6" t="s">
        <v>4123</v>
      </c>
      <c r="C3276" s="6" t="s">
        <v>4253</v>
      </c>
      <c r="D3276" s="7">
        <v>149</v>
      </c>
      <c r="E3276" s="6" t="s">
        <v>6588</v>
      </c>
      <c r="F3276" s="6" t="s">
        <v>5631</v>
      </c>
      <c r="G3276" s="6" t="s">
        <v>5632</v>
      </c>
      <c r="H3276" s="8"/>
      <c r="I3276" s="8">
        <v>-5000</v>
      </c>
      <c r="J3276" s="6"/>
      <c r="K3276" s="6" t="s">
        <v>2809</v>
      </c>
      <c r="L3276" s="6"/>
      <c r="M3276" s="6"/>
      <c r="N3276" s="6" t="s">
        <v>2809</v>
      </c>
      <c r="O3276" s="29">
        <f t="shared" si="79"/>
        <v>-5000</v>
      </c>
      <c r="Q3276" s="30" t="s">
        <v>2809</v>
      </c>
      <c r="R3276" s="31">
        <v>-5000</v>
      </c>
    </row>
    <row r="3277" s="1" customFormat="1" ht="16.35" hidden="1" customHeight="1" spans="1:18">
      <c r="A3277" s="6"/>
      <c r="B3277" s="6" t="s">
        <v>4123</v>
      </c>
      <c r="C3277" s="6" t="s">
        <v>4253</v>
      </c>
      <c r="D3277" s="7">
        <v>3</v>
      </c>
      <c r="E3277" s="6" t="s">
        <v>6917</v>
      </c>
      <c r="F3277" s="6" t="s">
        <v>5631</v>
      </c>
      <c r="G3277" s="6" t="s">
        <v>5632</v>
      </c>
      <c r="H3277" s="8"/>
      <c r="I3277" s="8">
        <v>5000</v>
      </c>
      <c r="J3277" s="6"/>
      <c r="K3277" s="6" t="s">
        <v>2809</v>
      </c>
      <c r="L3277" s="6"/>
      <c r="M3277" s="6"/>
      <c r="N3277" s="6" t="s">
        <v>2809</v>
      </c>
      <c r="O3277" s="29">
        <f t="shared" si="79"/>
        <v>5000</v>
      </c>
      <c r="Q3277" s="30" t="s">
        <v>2809</v>
      </c>
      <c r="R3277" s="31">
        <v>5000</v>
      </c>
    </row>
    <row r="3278" s="1" customFormat="1" ht="16.35" hidden="1" customHeight="1" spans="1:18">
      <c r="A3278" s="6"/>
      <c r="B3278" s="6" t="s">
        <v>4123</v>
      </c>
      <c r="C3278" s="6" t="s">
        <v>4253</v>
      </c>
      <c r="D3278" s="7">
        <v>129</v>
      </c>
      <c r="E3278" s="6" t="s">
        <v>6918</v>
      </c>
      <c r="F3278" s="6" t="s">
        <v>5631</v>
      </c>
      <c r="G3278" s="6" t="s">
        <v>5632</v>
      </c>
      <c r="H3278" s="8">
        <v>146727</v>
      </c>
      <c r="I3278" s="8"/>
      <c r="J3278" s="6"/>
      <c r="K3278" s="6" t="s">
        <v>2809</v>
      </c>
      <c r="L3278" s="6"/>
      <c r="M3278" s="6"/>
      <c r="N3278" s="6" t="s">
        <v>2809</v>
      </c>
      <c r="O3278" s="29">
        <f t="shared" si="79"/>
        <v>0</v>
      </c>
      <c r="Q3278" s="30" t="s">
        <v>2809</v>
      </c>
      <c r="R3278" s="31">
        <v>0</v>
      </c>
    </row>
    <row r="3279" s="1" customFormat="1" ht="16.35" hidden="1" customHeight="1" spans="1:18">
      <c r="A3279" s="6"/>
      <c r="B3279" s="6" t="s">
        <v>4123</v>
      </c>
      <c r="C3279" s="6" t="s">
        <v>4253</v>
      </c>
      <c r="D3279" s="7">
        <v>3</v>
      </c>
      <c r="E3279" s="6" t="s">
        <v>6919</v>
      </c>
      <c r="F3279" s="6" t="s">
        <v>5631</v>
      </c>
      <c r="G3279" s="6" t="s">
        <v>5632</v>
      </c>
      <c r="H3279" s="8"/>
      <c r="I3279" s="8">
        <v>5000</v>
      </c>
      <c r="J3279" s="6"/>
      <c r="K3279" s="6" t="s">
        <v>2093</v>
      </c>
      <c r="L3279" s="6"/>
      <c r="M3279" s="6"/>
      <c r="N3279" s="6" t="s">
        <v>2093</v>
      </c>
      <c r="O3279" s="29">
        <f t="shared" si="79"/>
        <v>5000</v>
      </c>
      <c r="Q3279" s="30" t="s">
        <v>2093</v>
      </c>
      <c r="R3279" s="31">
        <v>5000</v>
      </c>
    </row>
    <row r="3280" s="1" customFormat="1" ht="16.35" hidden="1" customHeight="1" spans="1:18">
      <c r="A3280" s="6"/>
      <c r="B3280" s="6" t="s">
        <v>4123</v>
      </c>
      <c r="C3280" s="6" t="s">
        <v>4253</v>
      </c>
      <c r="D3280" s="7">
        <v>129</v>
      </c>
      <c r="E3280" s="6" t="s">
        <v>6920</v>
      </c>
      <c r="F3280" s="6" t="s">
        <v>5631</v>
      </c>
      <c r="G3280" s="6" t="s">
        <v>5632</v>
      </c>
      <c r="H3280" s="8">
        <v>160973</v>
      </c>
      <c r="I3280" s="8"/>
      <c r="J3280" s="6"/>
      <c r="K3280" s="6" t="s">
        <v>2101</v>
      </c>
      <c r="L3280" s="6"/>
      <c r="M3280" s="6"/>
      <c r="N3280" s="6" t="s">
        <v>2101</v>
      </c>
      <c r="O3280" s="29">
        <f t="shared" si="79"/>
        <v>0</v>
      </c>
      <c r="Q3280" s="30" t="s">
        <v>2101</v>
      </c>
      <c r="R3280" s="31">
        <v>0</v>
      </c>
    </row>
    <row r="3281" s="1" customFormat="1" ht="16.35" hidden="1" customHeight="1" spans="1:18">
      <c r="A3281" s="6"/>
      <c r="B3281" s="6" t="s">
        <v>4123</v>
      </c>
      <c r="C3281" s="6" t="s">
        <v>4253</v>
      </c>
      <c r="D3281" s="7">
        <v>3</v>
      </c>
      <c r="E3281" s="6" t="s">
        <v>6921</v>
      </c>
      <c r="F3281" s="6" t="s">
        <v>5631</v>
      </c>
      <c r="G3281" s="6" t="s">
        <v>5632</v>
      </c>
      <c r="H3281" s="8"/>
      <c r="I3281" s="8">
        <v>5000</v>
      </c>
      <c r="J3281" s="6"/>
      <c r="K3281" s="6" t="s">
        <v>2119</v>
      </c>
      <c r="L3281" s="6"/>
      <c r="M3281" s="6"/>
      <c r="N3281" s="6" t="s">
        <v>2119</v>
      </c>
      <c r="O3281" s="29">
        <f t="shared" si="79"/>
        <v>5000</v>
      </c>
      <c r="Q3281" s="30" t="s">
        <v>2119</v>
      </c>
      <c r="R3281" s="31">
        <v>5000</v>
      </c>
    </row>
    <row r="3282" s="1" customFormat="1" ht="16.35" hidden="1" customHeight="1" spans="1:18">
      <c r="A3282" s="6"/>
      <c r="B3282" s="6" t="s">
        <v>4123</v>
      </c>
      <c r="C3282" s="6" t="s">
        <v>4253</v>
      </c>
      <c r="D3282" s="7">
        <v>3</v>
      </c>
      <c r="E3282" s="6" t="s">
        <v>6922</v>
      </c>
      <c r="F3282" s="6" t="s">
        <v>5631</v>
      </c>
      <c r="G3282" s="6" t="s">
        <v>5632</v>
      </c>
      <c r="H3282" s="8"/>
      <c r="I3282" s="8">
        <v>-5000</v>
      </c>
      <c r="J3282" s="6"/>
      <c r="K3282" s="6" t="s">
        <v>2119</v>
      </c>
      <c r="L3282" s="6"/>
      <c r="M3282" s="6"/>
      <c r="N3282" s="6" t="s">
        <v>2119</v>
      </c>
      <c r="O3282" s="29">
        <f t="shared" si="79"/>
        <v>-5000</v>
      </c>
      <c r="Q3282" s="30" t="s">
        <v>2119</v>
      </c>
      <c r="R3282" s="31">
        <v>-5000</v>
      </c>
    </row>
    <row r="3283" s="1" customFormat="1" ht="16.35" hidden="1" customHeight="1" spans="1:18">
      <c r="A3283" s="6"/>
      <c r="B3283" s="6" t="s">
        <v>4123</v>
      </c>
      <c r="C3283" s="6" t="s">
        <v>4253</v>
      </c>
      <c r="D3283" s="7">
        <v>3</v>
      </c>
      <c r="E3283" s="6" t="s">
        <v>6923</v>
      </c>
      <c r="F3283" s="6" t="s">
        <v>5631</v>
      </c>
      <c r="G3283" s="6" t="s">
        <v>5632</v>
      </c>
      <c r="H3283" s="8"/>
      <c r="I3283" s="8">
        <v>5000</v>
      </c>
      <c r="J3283" s="6"/>
      <c r="K3283" s="6" t="s">
        <v>2127</v>
      </c>
      <c r="L3283" s="6"/>
      <c r="M3283" s="6"/>
      <c r="N3283" s="6" t="s">
        <v>2127</v>
      </c>
      <c r="O3283" s="29">
        <f t="shared" si="79"/>
        <v>5000</v>
      </c>
      <c r="Q3283" s="30" t="s">
        <v>2127</v>
      </c>
      <c r="R3283" s="31">
        <v>5000</v>
      </c>
    </row>
    <row r="3284" s="1" customFormat="1" ht="16.35" hidden="1" customHeight="1" spans="1:18">
      <c r="A3284" s="6"/>
      <c r="B3284" s="6" t="s">
        <v>4123</v>
      </c>
      <c r="C3284" s="6" t="s">
        <v>4253</v>
      </c>
      <c r="D3284" s="7">
        <v>3</v>
      </c>
      <c r="E3284" s="6" t="s">
        <v>6924</v>
      </c>
      <c r="F3284" s="6" t="s">
        <v>5631</v>
      </c>
      <c r="G3284" s="6" t="s">
        <v>5632</v>
      </c>
      <c r="H3284" s="8"/>
      <c r="I3284" s="8">
        <v>5000</v>
      </c>
      <c r="J3284" s="6"/>
      <c r="K3284" s="6" t="s">
        <v>2127</v>
      </c>
      <c r="L3284" s="6"/>
      <c r="M3284" s="6"/>
      <c r="N3284" s="6" t="s">
        <v>2127</v>
      </c>
      <c r="O3284" s="29">
        <f t="shared" si="79"/>
        <v>5000</v>
      </c>
      <c r="Q3284" s="30" t="s">
        <v>2127</v>
      </c>
      <c r="R3284" s="31">
        <v>5000</v>
      </c>
    </row>
    <row r="3285" s="1" customFormat="1" ht="16.35" hidden="1" customHeight="1" spans="1:18">
      <c r="A3285" s="6"/>
      <c r="B3285" s="6" t="s">
        <v>4123</v>
      </c>
      <c r="C3285" s="6" t="s">
        <v>4253</v>
      </c>
      <c r="D3285" s="7">
        <v>129</v>
      </c>
      <c r="E3285" s="6" t="s">
        <v>6925</v>
      </c>
      <c r="F3285" s="6" t="s">
        <v>5631</v>
      </c>
      <c r="G3285" s="6" t="s">
        <v>5632</v>
      </c>
      <c r="H3285" s="8">
        <v>276861</v>
      </c>
      <c r="I3285" s="8"/>
      <c r="J3285" s="6"/>
      <c r="K3285" s="6" t="s">
        <v>2127</v>
      </c>
      <c r="L3285" s="6"/>
      <c r="M3285" s="6"/>
      <c r="N3285" s="6" t="s">
        <v>2127</v>
      </c>
      <c r="O3285" s="29">
        <f t="shared" si="79"/>
        <v>0</v>
      </c>
      <c r="Q3285" s="30" t="s">
        <v>2127</v>
      </c>
      <c r="R3285" s="31">
        <v>0</v>
      </c>
    </row>
    <row r="3286" s="1" customFormat="1" ht="16.35" hidden="1" customHeight="1" spans="1:18">
      <c r="A3286" s="6"/>
      <c r="B3286" s="6" t="s">
        <v>4123</v>
      </c>
      <c r="C3286" s="6" t="s">
        <v>4253</v>
      </c>
      <c r="D3286" s="7">
        <v>129</v>
      </c>
      <c r="E3286" s="6" t="s">
        <v>6926</v>
      </c>
      <c r="F3286" s="6" t="s">
        <v>5631</v>
      </c>
      <c r="G3286" s="6" t="s">
        <v>5632</v>
      </c>
      <c r="H3286" s="8">
        <v>202644</v>
      </c>
      <c r="I3286" s="8"/>
      <c r="J3286" s="6"/>
      <c r="K3286" s="6" t="s">
        <v>2283</v>
      </c>
      <c r="L3286" s="6"/>
      <c r="M3286" s="6"/>
      <c r="N3286" s="6" t="s">
        <v>2283</v>
      </c>
      <c r="O3286" s="29">
        <f t="shared" si="79"/>
        <v>0</v>
      </c>
      <c r="Q3286" s="30" t="s">
        <v>2283</v>
      </c>
      <c r="R3286" s="31">
        <v>0</v>
      </c>
    </row>
    <row r="3287" s="1" customFormat="1" ht="16.35" hidden="1" customHeight="1" spans="1:18">
      <c r="A3287" s="6"/>
      <c r="B3287" s="6" t="s">
        <v>4123</v>
      </c>
      <c r="C3287" s="6" t="s">
        <v>4253</v>
      </c>
      <c r="D3287" s="7">
        <v>129</v>
      </c>
      <c r="E3287" s="6" t="s">
        <v>6927</v>
      </c>
      <c r="F3287" s="6" t="s">
        <v>5631</v>
      </c>
      <c r="G3287" s="6" t="s">
        <v>5632</v>
      </c>
      <c r="H3287" s="8">
        <v>229923</v>
      </c>
      <c r="I3287" s="8"/>
      <c r="J3287" s="6"/>
      <c r="K3287" s="6" t="s">
        <v>2279</v>
      </c>
      <c r="L3287" s="6"/>
      <c r="M3287" s="6"/>
      <c r="N3287" s="6" t="s">
        <v>2279</v>
      </c>
      <c r="O3287" s="29">
        <f t="shared" si="79"/>
        <v>0</v>
      </c>
      <c r="Q3287" s="30" t="s">
        <v>2279</v>
      </c>
      <c r="R3287" s="31">
        <v>0</v>
      </c>
    </row>
    <row r="3288" s="1" customFormat="1" ht="16.35" hidden="1" customHeight="1" spans="1:18">
      <c r="A3288" s="6"/>
      <c r="B3288" s="6" t="s">
        <v>4123</v>
      </c>
      <c r="C3288" s="6" t="s">
        <v>4253</v>
      </c>
      <c r="D3288" s="7">
        <v>129</v>
      </c>
      <c r="E3288" s="6" t="s">
        <v>6928</v>
      </c>
      <c r="F3288" s="6" t="s">
        <v>5631</v>
      </c>
      <c r="G3288" s="6" t="s">
        <v>5632</v>
      </c>
      <c r="H3288" s="8">
        <v>208879</v>
      </c>
      <c r="I3288" s="8"/>
      <c r="J3288" s="6"/>
      <c r="K3288" s="6" t="s">
        <v>2305</v>
      </c>
      <c r="L3288" s="6"/>
      <c r="M3288" s="6"/>
      <c r="N3288" s="6" t="s">
        <v>2305</v>
      </c>
      <c r="O3288" s="29">
        <f t="shared" si="79"/>
        <v>0</v>
      </c>
      <c r="Q3288" s="30" t="s">
        <v>2305</v>
      </c>
      <c r="R3288" s="31">
        <v>0</v>
      </c>
    </row>
    <row r="3289" s="1" customFormat="1" ht="16.35" hidden="1" customHeight="1" spans="1:18">
      <c r="A3289" s="6"/>
      <c r="B3289" s="6" t="s">
        <v>4123</v>
      </c>
      <c r="C3289" s="6" t="s">
        <v>4253</v>
      </c>
      <c r="D3289" s="7">
        <v>3</v>
      </c>
      <c r="E3289" s="6" t="s">
        <v>6929</v>
      </c>
      <c r="F3289" s="6" t="s">
        <v>5631</v>
      </c>
      <c r="G3289" s="6" t="s">
        <v>5632</v>
      </c>
      <c r="H3289" s="8"/>
      <c r="I3289" s="8">
        <v>5000</v>
      </c>
      <c r="J3289" s="6"/>
      <c r="K3289" s="6" t="s">
        <v>2186</v>
      </c>
      <c r="L3289" s="6"/>
      <c r="M3289" s="6"/>
      <c r="N3289" s="6" t="s">
        <v>2186</v>
      </c>
      <c r="O3289" s="29">
        <f t="shared" si="79"/>
        <v>5000</v>
      </c>
      <c r="Q3289" s="30" t="s">
        <v>2186</v>
      </c>
      <c r="R3289" s="31">
        <v>5000</v>
      </c>
    </row>
    <row r="3290" s="1" customFormat="1" ht="16.35" hidden="1" customHeight="1" spans="1:18">
      <c r="A3290" s="6"/>
      <c r="B3290" s="6" t="s">
        <v>4123</v>
      </c>
      <c r="C3290" s="6" t="s">
        <v>4253</v>
      </c>
      <c r="D3290" s="7">
        <v>3</v>
      </c>
      <c r="E3290" s="6" t="s">
        <v>6930</v>
      </c>
      <c r="F3290" s="6" t="s">
        <v>5631</v>
      </c>
      <c r="G3290" s="6" t="s">
        <v>5632</v>
      </c>
      <c r="H3290" s="8"/>
      <c r="I3290" s="8">
        <v>-5000</v>
      </c>
      <c r="J3290" s="6"/>
      <c r="K3290" s="6" t="s">
        <v>2186</v>
      </c>
      <c r="L3290" s="6"/>
      <c r="M3290" s="6"/>
      <c r="N3290" s="6" t="s">
        <v>2186</v>
      </c>
      <c r="O3290" s="29">
        <f t="shared" si="79"/>
        <v>-5000</v>
      </c>
      <c r="Q3290" s="30" t="s">
        <v>2186</v>
      </c>
      <c r="R3290" s="31">
        <v>-5000</v>
      </c>
    </row>
    <row r="3291" s="1" customFormat="1" ht="16.35" hidden="1" customHeight="1" spans="1:18">
      <c r="A3291" s="6"/>
      <c r="B3291" s="6" t="s">
        <v>4123</v>
      </c>
      <c r="C3291" s="6" t="s">
        <v>4253</v>
      </c>
      <c r="D3291" s="7">
        <v>129</v>
      </c>
      <c r="E3291" s="6" t="s">
        <v>6931</v>
      </c>
      <c r="F3291" s="6" t="s">
        <v>5631</v>
      </c>
      <c r="G3291" s="6" t="s">
        <v>5632</v>
      </c>
      <c r="H3291" s="8">
        <v>92064</v>
      </c>
      <c r="I3291" s="8"/>
      <c r="J3291" s="6"/>
      <c r="K3291" s="6" t="s">
        <v>2831</v>
      </c>
      <c r="L3291" s="6"/>
      <c r="M3291" s="6"/>
      <c r="N3291" s="6" t="s">
        <v>2831</v>
      </c>
      <c r="O3291" s="29">
        <f t="shared" si="79"/>
        <v>0</v>
      </c>
      <c r="Q3291" s="30" t="s">
        <v>2831</v>
      </c>
      <c r="R3291" s="31">
        <v>0</v>
      </c>
    </row>
    <row r="3292" s="1" customFormat="1" ht="16.35" hidden="1" customHeight="1" spans="1:18">
      <c r="A3292" s="6"/>
      <c r="B3292" s="6" t="s">
        <v>4123</v>
      </c>
      <c r="C3292" s="6" t="s">
        <v>4253</v>
      </c>
      <c r="D3292" s="7">
        <v>149</v>
      </c>
      <c r="E3292" s="6" t="s">
        <v>6932</v>
      </c>
      <c r="F3292" s="6" t="s">
        <v>5631</v>
      </c>
      <c r="G3292" s="6" t="s">
        <v>5632</v>
      </c>
      <c r="H3292" s="8"/>
      <c r="I3292" s="8">
        <v>-7259</v>
      </c>
      <c r="J3292" s="6"/>
      <c r="K3292" s="6" t="s">
        <v>2273</v>
      </c>
      <c r="L3292" s="6"/>
      <c r="M3292" s="6"/>
      <c r="N3292" s="6" t="s">
        <v>2273</v>
      </c>
      <c r="O3292" s="29">
        <f t="shared" si="79"/>
        <v>-7259</v>
      </c>
      <c r="Q3292" s="30" t="s">
        <v>2273</v>
      </c>
      <c r="R3292" s="31">
        <v>-7259</v>
      </c>
    </row>
    <row r="3293" s="1" customFormat="1" ht="16.35" hidden="1" customHeight="1" spans="1:18">
      <c r="A3293" s="6"/>
      <c r="B3293" s="6" t="s">
        <v>4123</v>
      </c>
      <c r="C3293" s="6" t="s">
        <v>4253</v>
      </c>
      <c r="D3293" s="7">
        <v>149</v>
      </c>
      <c r="E3293" s="6" t="s">
        <v>6932</v>
      </c>
      <c r="F3293" s="6" t="s">
        <v>5631</v>
      </c>
      <c r="G3293" s="6" t="s">
        <v>5632</v>
      </c>
      <c r="H3293" s="8"/>
      <c r="I3293" s="8">
        <v>7295</v>
      </c>
      <c r="J3293" s="6"/>
      <c r="K3293" s="6" t="s">
        <v>2273</v>
      </c>
      <c r="L3293" s="6"/>
      <c r="M3293" s="6"/>
      <c r="N3293" s="6" t="s">
        <v>2273</v>
      </c>
      <c r="O3293" s="29">
        <f t="shared" si="79"/>
        <v>7295</v>
      </c>
      <c r="Q3293" s="30" t="s">
        <v>2273</v>
      </c>
      <c r="R3293" s="31">
        <v>7295</v>
      </c>
    </row>
    <row r="3294" s="1" customFormat="1" ht="16.35" hidden="1" customHeight="1" spans="1:18">
      <c r="A3294" s="6"/>
      <c r="B3294" s="6" t="s">
        <v>4123</v>
      </c>
      <c r="C3294" s="6" t="s">
        <v>4253</v>
      </c>
      <c r="D3294" s="7">
        <v>129</v>
      </c>
      <c r="E3294" s="6" t="s">
        <v>6933</v>
      </c>
      <c r="F3294" s="6" t="s">
        <v>5631</v>
      </c>
      <c r="G3294" s="6" t="s">
        <v>5632</v>
      </c>
      <c r="H3294" s="8">
        <v>244350</v>
      </c>
      <c r="I3294" s="8"/>
      <c r="J3294" s="6"/>
      <c r="K3294" s="6" t="s">
        <v>2273</v>
      </c>
      <c r="L3294" s="6"/>
      <c r="M3294" s="6"/>
      <c r="N3294" s="6" t="s">
        <v>2273</v>
      </c>
      <c r="O3294" s="29">
        <f t="shared" si="79"/>
        <v>0</v>
      </c>
      <c r="Q3294" s="30" t="s">
        <v>2273</v>
      </c>
      <c r="R3294" s="31">
        <v>0</v>
      </c>
    </row>
    <row r="3295" s="1" customFormat="1" ht="16.35" hidden="1" customHeight="1" spans="1:18">
      <c r="A3295" s="6"/>
      <c r="B3295" s="6" t="s">
        <v>4123</v>
      </c>
      <c r="C3295" s="6" t="s">
        <v>4253</v>
      </c>
      <c r="D3295" s="7">
        <v>3</v>
      </c>
      <c r="E3295" s="6" t="s">
        <v>6934</v>
      </c>
      <c r="F3295" s="6" t="s">
        <v>5631</v>
      </c>
      <c r="G3295" s="6" t="s">
        <v>5632</v>
      </c>
      <c r="H3295" s="8"/>
      <c r="I3295" s="8">
        <v>5000</v>
      </c>
      <c r="J3295" s="6"/>
      <c r="K3295" s="6" t="s">
        <v>2287</v>
      </c>
      <c r="L3295" s="6"/>
      <c r="M3295" s="6"/>
      <c r="N3295" s="6" t="s">
        <v>2287</v>
      </c>
      <c r="O3295" s="29">
        <f t="shared" si="79"/>
        <v>5000</v>
      </c>
      <c r="Q3295" s="30" t="s">
        <v>2287</v>
      </c>
      <c r="R3295" s="31">
        <v>5000</v>
      </c>
    </row>
    <row r="3296" s="1" customFormat="1" ht="16.35" hidden="1" customHeight="1" spans="1:18">
      <c r="A3296" s="6"/>
      <c r="B3296" s="6" t="s">
        <v>4123</v>
      </c>
      <c r="C3296" s="6" t="s">
        <v>4253</v>
      </c>
      <c r="D3296" s="7">
        <v>3</v>
      </c>
      <c r="E3296" s="6" t="s">
        <v>6935</v>
      </c>
      <c r="F3296" s="6" t="s">
        <v>5631</v>
      </c>
      <c r="G3296" s="6" t="s">
        <v>5632</v>
      </c>
      <c r="H3296" s="8"/>
      <c r="I3296" s="8">
        <v>5000</v>
      </c>
      <c r="J3296" s="6"/>
      <c r="K3296" s="6" t="s">
        <v>2287</v>
      </c>
      <c r="L3296" s="6"/>
      <c r="M3296" s="6"/>
      <c r="N3296" s="6" t="s">
        <v>2287</v>
      </c>
      <c r="O3296" s="29">
        <f t="shared" si="79"/>
        <v>5000</v>
      </c>
      <c r="Q3296" s="30" t="s">
        <v>2287</v>
      </c>
      <c r="R3296" s="31">
        <v>5000</v>
      </c>
    </row>
    <row r="3297" s="1" customFormat="1" ht="16.35" hidden="1" customHeight="1" spans="1:18">
      <c r="A3297" s="6"/>
      <c r="B3297" s="6" t="s">
        <v>4123</v>
      </c>
      <c r="C3297" s="6" t="s">
        <v>4253</v>
      </c>
      <c r="D3297" s="7">
        <v>129</v>
      </c>
      <c r="E3297" s="6" t="s">
        <v>6936</v>
      </c>
      <c r="F3297" s="6" t="s">
        <v>5631</v>
      </c>
      <c r="G3297" s="6" t="s">
        <v>5632</v>
      </c>
      <c r="H3297" s="8">
        <v>261338</v>
      </c>
      <c r="I3297" s="8"/>
      <c r="J3297" s="6"/>
      <c r="K3297" s="6" t="s">
        <v>2360</v>
      </c>
      <c r="L3297" s="6"/>
      <c r="M3297" s="6"/>
      <c r="N3297" s="6" t="s">
        <v>2360</v>
      </c>
      <c r="O3297" s="29">
        <f t="shared" si="79"/>
        <v>0</v>
      </c>
      <c r="Q3297" s="30" t="s">
        <v>2360</v>
      </c>
      <c r="R3297" s="31">
        <v>0</v>
      </c>
    </row>
    <row r="3298" s="1" customFormat="1" ht="16.35" hidden="1" customHeight="1" spans="1:18">
      <c r="A3298" s="6"/>
      <c r="B3298" s="6" t="s">
        <v>4123</v>
      </c>
      <c r="C3298" s="6" t="s">
        <v>4253</v>
      </c>
      <c r="D3298" s="7">
        <v>129</v>
      </c>
      <c r="E3298" s="6" t="s">
        <v>6937</v>
      </c>
      <c r="F3298" s="6" t="s">
        <v>5631</v>
      </c>
      <c r="G3298" s="6" t="s">
        <v>5632</v>
      </c>
      <c r="H3298" s="8">
        <v>261338</v>
      </c>
      <c r="I3298" s="8"/>
      <c r="J3298" s="6"/>
      <c r="K3298" s="6" t="s">
        <v>2316</v>
      </c>
      <c r="L3298" s="6"/>
      <c r="M3298" s="6"/>
      <c r="N3298" s="6" t="s">
        <v>2316</v>
      </c>
      <c r="O3298" s="29">
        <f t="shared" si="79"/>
        <v>0</v>
      </c>
      <c r="Q3298" s="30" t="s">
        <v>2316</v>
      </c>
      <c r="R3298" s="31">
        <v>0</v>
      </c>
    </row>
    <row r="3299" s="1" customFormat="1" ht="16.35" hidden="1" customHeight="1" spans="1:18">
      <c r="A3299" s="6"/>
      <c r="B3299" s="6" t="s">
        <v>4123</v>
      </c>
      <c r="C3299" s="6" t="s">
        <v>4253</v>
      </c>
      <c r="D3299" s="7">
        <v>129</v>
      </c>
      <c r="E3299" s="6" t="s">
        <v>6938</v>
      </c>
      <c r="F3299" s="6" t="s">
        <v>5631</v>
      </c>
      <c r="G3299" s="6" t="s">
        <v>5632</v>
      </c>
      <c r="H3299" s="8">
        <v>414800</v>
      </c>
      <c r="I3299" s="8"/>
      <c r="J3299" s="6"/>
      <c r="K3299" s="6" t="s">
        <v>2879</v>
      </c>
      <c r="L3299" s="6"/>
      <c r="M3299" s="6"/>
      <c r="N3299" s="6" t="s">
        <v>2879</v>
      </c>
      <c r="O3299" s="29">
        <f t="shared" si="79"/>
        <v>0</v>
      </c>
      <c r="Q3299" s="30" t="s">
        <v>2879</v>
      </c>
      <c r="R3299" s="31">
        <v>0</v>
      </c>
    </row>
    <row r="3300" s="1" customFormat="1" ht="20" hidden="1" customHeight="1" spans="1:18">
      <c r="A3300" s="6"/>
      <c r="B3300" s="6" t="s">
        <v>4123</v>
      </c>
      <c r="C3300" s="6" t="s">
        <v>4253</v>
      </c>
      <c r="D3300" s="7">
        <v>140</v>
      </c>
      <c r="E3300" s="6" t="s">
        <v>6939</v>
      </c>
      <c r="F3300" s="6" t="s">
        <v>5631</v>
      </c>
      <c r="G3300" s="6" t="s">
        <v>5632</v>
      </c>
      <c r="H3300" s="8">
        <v>230000</v>
      </c>
      <c r="I3300" s="8"/>
      <c r="J3300" s="6"/>
      <c r="K3300" s="6" t="s">
        <v>5322</v>
      </c>
      <c r="L3300" s="6"/>
      <c r="M3300" s="6"/>
      <c r="N3300" s="6" t="s">
        <v>5322</v>
      </c>
      <c r="O3300" s="29">
        <f t="shared" si="79"/>
        <v>0</v>
      </c>
      <c r="Q3300" s="30" t="s">
        <v>5322</v>
      </c>
      <c r="R3300" s="31">
        <v>0</v>
      </c>
    </row>
    <row r="3301" s="1" customFormat="1" ht="21" hidden="1" customHeight="1" spans="1:18">
      <c r="A3301" s="6"/>
      <c r="B3301" s="6" t="s">
        <v>4123</v>
      </c>
      <c r="C3301" s="6" t="s">
        <v>4253</v>
      </c>
      <c r="D3301" s="7">
        <v>140</v>
      </c>
      <c r="E3301" s="6" t="s">
        <v>6940</v>
      </c>
      <c r="F3301" s="6" t="s">
        <v>5631</v>
      </c>
      <c r="G3301" s="6" t="s">
        <v>5632</v>
      </c>
      <c r="H3301" s="8">
        <v>150000</v>
      </c>
      <c r="I3301" s="8"/>
      <c r="J3301" s="6"/>
      <c r="K3301" s="6" t="s">
        <v>5322</v>
      </c>
      <c r="L3301" s="6"/>
      <c r="M3301" s="6"/>
      <c r="N3301" s="6" t="s">
        <v>5322</v>
      </c>
      <c r="O3301" s="29">
        <f t="shared" si="79"/>
        <v>0</v>
      </c>
      <c r="Q3301" s="30" t="s">
        <v>5322</v>
      </c>
      <c r="R3301" s="31">
        <v>0</v>
      </c>
    </row>
    <row r="3302" s="28" customFormat="1" ht="16.35" hidden="1" customHeight="1" spans="1:18">
      <c r="A3302" s="38"/>
      <c r="B3302" s="38" t="s">
        <v>4123</v>
      </c>
      <c r="C3302" s="38" t="s">
        <v>4253</v>
      </c>
      <c r="D3302" s="39">
        <v>35</v>
      </c>
      <c r="E3302" s="38" t="s">
        <v>6941</v>
      </c>
      <c r="F3302" s="38" t="s">
        <v>5631</v>
      </c>
      <c r="G3302" s="38" t="s">
        <v>5632</v>
      </c>
      <c r="H3302" s="40"/>
      <c r="I3302" s="40">
        <v>10000</v>
      </c>
      <c r="J3302" s="38"/>
      <c r="K3302" s="38" t="s">
        <v>2476</v>
      </c>
      <c r="L3302" s="38"/>
      <c r="M3302" s="38"/>
      <c r="N3302" s="38" t="s">
        <v>2476</v>
      </c>
      <c r="O3302" s="29">
        <f t="shared" ref="O3302:O3348" si="80">I3302</f>
        <v>10000</v>
      </c>
      <c r="Q3302" s="30" t="s">
        <v>2476</v>
      </c>
      <c r="R3302" s="31">
        <v>10000</v>
      </c>
    </row>
    <row r="3303" s="1" customFormat="1" ht="16.35" hidden="1" customHeight="1" spans="1:18">
      <c r="A3303" s="6"/>
      <c r="B3303" s="6" t="s">
        <v>4123</v>
      </c>
      <c r="C3303" s="6" t="s">
        <v>4253</v>
      </c>
      <c r="D3303" s="7">
        <v>25</v>
      </c>
      <c r="E3303" s="6" t="s">
        <v>6942</v>
      </c>
      <c r="F3303" s="6" t="s">
        <v>5631</v>
      </c>
      <c r="G3303" s="6" t="s">
        <v>5632</v>
      </c>
      <c r="H3303" s="8"/>
      <c r="I3303" s="8">
        <v>166000</v>
      </c>
      <c r="J3303" s="6"/>
      <c r="K3303" s="6" t="s">
        <v>2426</v>
      </c>
      <c r="L3303" s="6"/>
      <c r="M3303" s="6"/>
      <c r="N3303" s="6" t="s">
        <v>2426</v>
      </c>
      <c r="O3303" s="29">
        <f t="shared" si="80"/>
        <v>166000</v>
      </c>
      <c r="Q3303" s="30" t="s">
        <v>2426</v>
      </c>
      <c r="R3303" s="31">
        <v>166000</v>
      </c>
    </row>
    <row r="3304" s="1" customFormat="1" ht="16.35" hidden="1" customHeight="1" spans="1:18">
      <c r="A3304" s="6"/>
      <c r="B3304" s="6" t="s">
        <v>4123</v>
      </c>
      <c r="C3304" s="6" t="s">
        <v>4253</v>
      </c>
      <c r="D3304" s="7">
        <v>4</v>
      </c>
      <c r="E3304" s="6" t="s">
        <v>6943</v>
      </c>
      <c r="F3304" s="6" t="s">
        <v>5631</v>
      </c>
      <c r="G3304" s="6" t="s">
        <v>5632</v>
      </c>
      <c r="H3304" s="8"/>
      <c r="I3304" s="8">
        <v>5000</v>
      </c>
      <c r="J3304" s="6"/>
      <c r="K3304" s="6" t="s">
        <v>2426</v>
      </c>
      <c r="L3304" s="6"/>
      <c r="M3304" s="6"/>
      <c r="N3304" s="6" t="s">
        <v>2426</v>
      </c>
      <c r="O3304" s="29">
        <f t="shared" si="80"/>
        <v>5000</v>
      </c>
      <c r="Q3304" s="30" t="s">
        <v>2426</v>
      </c>
      <c r="R3304" s="31">
        <v>5000</v>
      </c>
    </row>
    <row r="3305" s="1" customFormat="1" ht="16.35" hidden="1" customHeight="1" spans="1:18">
      <c r="A3305" s="6"/>
      <c r="B3305" s="6" t="s">
        <v>4123</v>
      </c>
      <c r="C3305" s="6" t="s">
        <v>4253</v>
      </c>
      <c r="D3305" s="7">
        <v>4</v>
      </c>
      <c r="E3305" s="6" t="s">
        <v>6944</v>
      </c>
      <c r="F3305" s="6" t="s">
        <v>5631</v>
      </c>
      <c r="G3305" s="6" t="s">
        <v>5632</v>
      </c>
      <c r="H3305" s="8"/>
      <c r="I3305" s="8">
        <v>5000</v>
      </c>
      <c r="J3305" s="6"/>
      <c r="K3305" s="6" t="s">
        <v>2426</v>
      </c>
      <c r="L3305" s="6"/>
      <c r="M3305" s="6"/>
      <c r="N3305" s="6" t="s">
        <v>2426</v>
      </c>
      <c r="O3305" s="29">
        <f t="shared" si="80"/>
        <v>5000</v>
      </c>
      <c r="Q3305" s="30" t="s">
        <v>2426</v>
      </c>
      <c r="R3305" s="31">
        <v>5000</v>
      </c>
    </row>
    <row r="3306" s="1" customFormat="1" ht="16.35" hidden="1" customHeight="1" spans="1:18">
      <c r="A3306" s="6"/>
      <c r="B3306" s="6" t="s">
        <v>4123</v>
      </c>
      <c r="C3306" s="6" t="s">
        <v>4253</v>
      </c>
      <c r="D3306" s="7">
        <v>4</v>
      </c>
      <c r="E3306" s="6" t="s">
        <v>6527</v>
      </c>
      <c r="F3306" s="6" t="s">
        <v>5631</v>
      </c>
      <c r="G3306" s="6" t="s">
        <v>5632</v>
      </c>
      <c r="H3306" s="8"/>
      <c r="I3306" s="8">
        <v>-10000</v>
      </c>
      <c r="J3306" s="6"/>
      <c r="K3306" s="6" t="s">
        <v>2426</v>
      </c>
      <c r="L3306" s="6"/>
      <c r="M3306" s="6"/>
      <c r="N3306" s="6" t="s">
        <v>2426</v>
      </c>
      <c r="O3306" s="29">
        <f t="shared" si="80"/>
        <v>-10000</v>
      </c>
      <c r="Q3306" s="30" t="s">
        <v>2426</v>
      </c>
      <c r="R3306" s="31">
        <v>-10000</v>
      </c>
    </row>
    <row r="3307" s="1" customFormat="1" ht="16.35" hidden="1" customHeight="1" spans="1:18">
      <c r="A3307" s="6"/>
      <c r="B3307" s="6" t="s">
        <v>4123</v>
      </c>
      <c r="C3307" s="6" t="s">
        <v>4253</v>
      </c>
      <c r="D3307" s="7">
        <v>130</v>
      </c>
      <c r="E3307" s="6" t="s">
        <v>6945</v>
      </c>
      <c r="F3307" s="6" t="s">
        <v>5631</v>
      </c>
      <c r="G3307" s="6" t="s">
        <v>5632</v>
      </c>
      <c r="H3307" s="8">
        <v>237000</v>
      </c>
      <c r="I3307" s="8"/>
      <c r="J3307" s="6"/>
      <c r="K3307" s="6" t="s">
        <v>2426</v>
      </c>
      <c r="L3307" s="6"/>
      <c r="M3307" s="6"/>
      <c r="N3307" s="6" t="s">
        <v>2426</v>
      </c>
      <c r="O3307" s="29">
        <f t="shared" si="80"/>
        <v>0</v>
      </c>
      <c r="Q3307" s="30" t="s">
        <v>2426</v>
      </c>
      <c r="R3307" s="31">
        <v>0</v>
      </c>
    </row>
    <row r="3308" s="1" customFormat="1" ht="16.35" hidden="1" customHeight="1" spans="1:18">
      <c r="A3308" s="6"/>
      <c r="B3308" s="6" t="s">
        <v>4123</v>
      </c>
      <c r="C3308" s="6" t="s">
        <v>4253</v>
      </c>
      <c r="D3308" s="7">
        <v>4</v>
      </c>
      <c r="E3308" s="6" t="s">
        <v>6946</v>
      </c>
      <c r="F3308" s="6" t="s">
        <v>5631</v>
      </c>
      <c r="G3308" s="6" t="s">
        <v>5632</v>
      </c>
      <c r="H3308" s="8"/>
      <c r="I3308" s="8">
        <v>10000</v>
      </c>
      <c r="J3308" s="6"/>
      <c r="K3308" s="6" t="s">
        <v>2440</v>
      </c>
      <c r="L3308" s="6"/>
      <c r="M3308" s="6"/>
      <c r="N3308" s="6" t="s">
        <v>2440</v>
      </c>
      <c r="O3308" s="29">
        <f t="shared" si="80"/>
        <v>10000</v>
      </c>
      <c r="Q3308" s="30" t="s">
        <v>2440</v>
      </c>
      <c r="R3308" s="31">
        <v>10000</v>
      </c>
    </row>
    <row r="3309" s="1" customFormat="1" ht="16.35" hidden="1" customHeight="1" spans="1:18">
      <c r="A3309" s="6"/>
      <c r="B3309" s="6" t="s">
        <v>4123</v>
      </c>
      <c r="C3309" s="6" t="s">
        <v>4253</v>
      </c>
      <c r="D3309" s="7">
        <v>18</v>
      </c>
      <c r="E3309" s="6" t="s">
        <v>6947</v>
      </c>
      <c r="F3309" s="6" t="s">
        <v>5631</v>
      </c>
      <c r="G3309" s="6" t="s">
        <v>5632</v>
      </c>
      <c r="H3309" s="8"/>
      <c r="I3309" s="8">
        <v>10000</v>
      </c>
      <c r="J3309" s="6"/>
      <c r="K3309" s="6" t="s">
        <v>2466</v>
      </c>
      <c r="L3309" s="6"/>
      <c r="M3309" s="6"/>
      <c r="N3309" s="6" t="s">
        <v>2466</v>
      </c>
      <c r="O3309" s="29">
        <f t="shared" si="80"/>
        <v>10000</v>
      </c>
      <c r="Q3309" s="30" t="s">
        <v>2466</v>
      </c>
      <c r="R3309" s="31">
        <v>10000</v>
      </c>
    </row>
    <row r="3310" s="1" customFormat="1" ht="16.35" hidden="1" customHeight="1" spans="1:18">
      <c r="A3310" s="6"/>
      <c r="B3310" s="6" t="s">
        <v>4123</v>
      </c>
      <c r="C3310" s="6" t="s">
        <v>4253</v>
      </c>
      <c r="D3310" s="7">
        <v>82</v>
      </c>
      <c r="E3310" s="6" t="s">
        <v>6948</v>
      </c>
      <c r="F3310" s="6" t="s">
        <v>5631</v>
      </c>
      <c r="G3310" s="6" t="s">
        <v>5632</v>
      </c>
      <c r="H3310" s="8"/>
      <c r="I3310" s="8">
        <v>62800</v>
      </c>
      <c r="J3310" s="6"/>
      <c r="K3310" s="6" t="s">
        <v>2466</v>
      </c>
      <c r="L3310" s="6"/>
      <c r="M3310" s="6"/>
      <c r="N3310" s="6" t="s">
        <v>2466</v>
      </c>
      <c r="O3310" s="29">
        <f t="shared" si="80"/>
        <v>62800</v>
      </c>
      <c r="Q3310" s="30" t="s">
        <v>2466</v>
      </c>
      <c r="R3310" s="31">
        <v>62800</v>
      </c>
    </row>
    <row r="3311" s="1" customFormat="1" ht="16.35" hidden="1" customHeight="1" spans="1:18">
      <c r="A3311" s="6"/>
      <c r="B3311" s="6" t="s">
        <v>4123</v>
      </c>
      <c r="C3311" s="6" t="s">
        <v>4253</v>
      </c>
      <c r="D3311" s="7">
        <v>87</v>
      </c>
      <c r="E3311" s="6" t="s">
        <v>6949</v>
      </c>
      <c r="F3311" s="6" t="s">
        <v>5631</v>
      </c>
      <c r="G3311" s="6" t="s">
        <v>5632</v>
      </c>
      <c r="H3311" s="8"/>
      <c r="I3311" s="8">
        <v>15000</v>
      </c>
      <c r="J3311" s="6"/>
      <c r="K3311" s="6" t="s">
        <v>2504</v>
      </c>
      <c r="L3311" s="6"/>
      <c r="M3311" s="6"/>
      <c r="N3311" s="6" t="s">
        <v>2504</v>
      </c>
      <c r="O3311" s="29">
        <f t="shared" si="80"/>
        <v>15000</v>
      </c>
      <c r="Q3311" s="30" t="s">
        <v>2504</v>
      </c>
      <c r="R3311" s="31">
        <v>15000</v>
      </c>
    </row>
    <row r="3312" s="1" customFormat="1" ht="16.35" hidden="1" customHeight="1" spans="1:18">
      <c r="A3312" s="6"/>
      <c r="B3312" s="6" t="s">
        <v>4123</v>
      </c>
      <c r="C3312" s="6" t="s">
        <v>4253</v>
      </c>
      <c r="D3312" s="7">
        <v>4</v>
      </c>
      <c r="E3312" s="6" t="s">
        <v>6950</v>
      </c>
      <c r="F3312" s="6" t="s">
        <v>5631</v>
      </c>
      <c r="G3312" s="6" t="s">
        <v>5632</v>
      </c>
      <c r="H3312" s="8"/>
      <c r="I3312" s="8">
        <v>5000</v>
      </c>
      <c r="J3312" s="6"/>
      <c r="K3312" s="6" t="s">
        <v>2504</v>
      </c>
      <c r="L3312" s="6"/>
      <c r="M3312" s="6"/>
      <c r="N3312" s="6" t="s">
        <v>2504</v>
      </c>
      <c r="O3312" s="29">
        <f t="shared" si="80"/>
        <v>5000</v>
      </c>
      <c r="Q3312" s="30" t="s">
        <v>2504</v>
      </c>
      <c r="R3312" s="31">
        <v>5000</v>
      </c>
    </row>
    <row r="3313" s="1" customFormat="1" ht="16.35" hidden="1" customHeight="1" spans="1:18">
      <c r="A3313" s="6"/>
      <c r="B3313" s="6" t="s">
        <v>4123</v>
      </c>
      <c r="C3313" s="6" t="s">
        <v>4253</v>
      </c>
      <c r="D3313" s="7">
        <v>130</v>
      </c>
      <c r="E3313" s="6" t="s">
        <v>6951</v>
      </c>
      <c r="F3313" s="6" t="s">
        <v>5631</v>
      </c>
      <c r="G3313" s="6" t="s">
        <v>5632</v>
      </c>
      <c r="H3313" s="8">
        <v>203171</v>
      </c>
      <c r="I3313" s="8"/>
      <c r="J3313" s="6"/>
      <c r="K3313" s="6" t="s">
        <v>2564</v>
      </c>
      <c r="L3313" s="6"/>
      <c r="M3313" s="6"/>
      <c r="N3313" s="6" t="s">
        <v>2564</v>
      </c>
      <c r="O3313" s="29">
        <f t="shared" si="80"/>
        <v>0</v>
      </c>
      <c r="Q3313" s="30" t="s">
        <v>2564</v>
      </c>
      <c r="R3313" s="31">
        <v>0</v>
      </c>
    </row>
    <row r="3314" s="1" customFormat="1" ht="16.35" hidden="1" customHeight="1" spans="1:18">
      <c r="A3314" s="6"/>
      <c r="B3314" s="6" t="s">
        <v>4123</v>
      </c>
      <c r="C3314" s="6" t="s">
        <v>4253</v>
      </c>
      <c r="D3314" s="7">
        <v>4</v>
      </c>
      <c r="E3314" s="6" t="s">
        <v>6952</v>
      </c>
      <c r="F3314" s="6" t="s">
        <v>5631</v>
      </c>
      <c r="G3314" s="6" t="s">
        <v>5632</v>
      </c>
      <c r="H3314" s="8"/>
      <c r="I3314" s="8">
        <v>10000</v>
      </c>
      <c r="J3314" s="6"/>
      <c r="K3314" s="6" t="s">
        <v>2498</v>
      </c>
      <c r="L3314" s="6"/>
      <c r="M3314" s="6"/>
      <c r="N3314" s="6" t="s">
        <v>2498</v>
      </c>
      <c r="O3314" s="29">
        <f t="shared" si="80"/>
        <v>10000</v>
      </c>
      <c r="Q3314" s="30" t="s">
        <v>2498</v>
      </c>
      <c r="R3314" s="31">
        <v>10000</v>
      </c>
    </row>
    <row r="3315" s="1" customFormat="1" ht="16.35" hidden="1" customHeight="1" spans="1:18">
      <c r="A3315" s="6"/>
      <c r="B3315" s="6" t="s">
        <v>4123</v>
      </c>
      <c r="C3315" s="6" t="s">
        <v>4253</v>
      </c>
      <c r="D3315" s="7">
        <v>130</v>
      </c>
      <c r="E3315" s="6" t="s">
        <v>6953</v>
      </c>
      <c r="F3315" s="6" t="s">
        <v>5631</v>
      </c>
      <c r="G3315" s="6" t="s">
        <v>5632</v>
      </c>
      <c r="H3315" s="8">
        <v>215510</v>
      </c>
      <c r="I3315" s="8"/>
      <c r="J3315" s="6"/>
      <c r="K3315" s="6" t="s">
        <v>2498</v>
      </c>
      <c r="L3315" s="6"/>
      <c r="M3315" s="6"/>
      <c r="N3315" s="6" t="s">
        <v>2498</v>
      </c>
      <c r="O3315" s="29">
        <f t="shared" si="80"/>
        <v>0</v>
      </c>
      <c r="Q3315" s="30" t="s">
        <v>2498</v>
      </c>
      <c r="R3315" s="31">
        <v>0</v>
      </c>
    </row>
    <row r="3316" s="1" customFormat="1" ht="16.35" hidden="1" customHeight="1" spans="1:18">
      <c r="A3316" s="6"/>
      <c r="B3316" s="6" t="s">
        <v>4123</v>
      </c>
      <c r="C3316" s="6" t="s">
        <v>4253</v>
      </c>
      <c r="D3316" s="7">
        <v>4</v>
      </c>
      <c r="E3316" s="6" t="s">
        <v>6954</v>
      </c>
      <c r="F3316" s="6" t="s">
        <v>5631</v>
      </c>
      <c r="G3316" s="6" t="s">
        <v>5632</v>
      </c>
      <c r="H3316" s="8"/>
      <c r="I3316" s="8">
        <v>5000</v>
      </c>
      <c r="J3316" s="6"/>
      <c r="K3316" s="6" t="s">
        <v>2574</v>
      </c>
      <c r="L3316" s="6"/>
      <c r="M3316" s="6"/>
      <c r="N3316" s="6" t="s">
        <v>2574</v>
      </c>
      <c r="O3316" s="29">
        <f t="shared" si="80"/>
        <v>5000</v>
      </c>
      <c r="Q3316" s="30" t="s">
        <v>2574</v>
      </c>
      <c r="R3316" s="31">
        <v>5000</v>
      </c>
    </row>
    <row r="3317" s="1" customFormat="1" ht="16.35" hidden="1" customHeight="1" spans="1:18">
      <c r="A3317" s="6"/>
      <c r="B3317" s="6" t="s">
        <v>4123</v>
      </c>
      <c r="C3317" s="6" t="s">
        <v>4253</v>
      </c>
      <c r="D3317" s="7">
        <v>130</v>
      </c>
      <c r="E3317" s="6" t="s">
        <v>6955</v>
      </c>
      <c r="F3317" s="6" t="s">
        <v>5631</v>
      </c>
      <c r="G3317" s="6" t="s">
        <v>5632</v>
      </c>
      <c r="H3317" s="8">
        <v>224829</v>
      </c>
      <c r="I3317" s="8"/>
      <c r="J3317" s="6"/>
      <c r="K3317" s="6" t="s">
        <v>2574</v>
      </c>
      <c r="L3317" s="6"/>
      <c r="M3317" s="6"/>
      <c r="N3317" s="6" t="s">
        <v>2574</v>
      </c>
      <c r="O3317" s="29">
        <f t="shared" si="80"/>
        <v>0</v>
      </c>
      <c r="Q3317" s="30" t="s">
        <v>2574</v>
      </c>
      <c r="R3317" s="31">
        <v>0</v>
      </c>
    </row>
    <row r="3318" s="2" customFormat="1" ht="16.35" hidden="1" customHeight="1" spans="1:18">
      <c r="A3318" s="10"/>
      <c r="B3318" s="10" t="s">
        <v>4123</v>
      </c>
      <c r="C3318" s="10" t="s">
        <v>4253</v>
      </c>
      <c r="D3318" s="11">
        <v>93</v>
      </c>
      <c r="E3318" s="10" t="s">
        <v>6956</v>
      </c>
      <c r="F3318" s="10" t="s">
        <v>5631</v>
      </c>
      <c r="G3318" s="10" t="s">
        <v>5632</v>
      </c>
      <c r="H3318" s="12"/>
      <c r="I3318" s="12">
        <v>50000</v>
      </c>
      <c r="J3318" s="10"/>
      <c r="K3318" s="10" t="s">
        <v>2531</v>
      </c>
      <c r="L3318" s="10"/>
      <c r="M3318" s="10"/>
      <c r="N3318" s="10" t="s">
        <v>2531</v>
      </c>
      <c r="O3318" s="29">
        <f t="shared" si="80"/>
        <v>50000</v>
      </c>
      <c r="P3318" s="2" t="s">
        <v>6957</v>
      </c>
      <c r="Q3318" s="30" t="s">
        <v>2531</v>
      </c>
      <c r="R3318" s="31">
        <v>50000</v>
      </c>
    </row>
    <row r="3319" s="1" customFormat="1" ht="16.35" hidden="1" customHeight="1" spans="1:18">
      <c r="A3319" s="6"/>
      <c r="B3319" s="6" t="s">
        <v>4123</v>
      </c>
      <c r="C3319" s="6" t="s">
        <v>4253</v>
      </c>
      <c r="D3319" s="7">
        <v>4</v>
      </c>
      <c r="E3319" s="6" t="s">
        <v>6958</v>
      </c>
      <c r="F3319" s="6" t="s">
        <v>5631</v>
      </c>
      <c r="G3319" s="6" t="s">
        <v>5632</v>
      </c>
      <c r="H3319" s="8"/>
      <c r="I3319" s="8">
        <v>5000</v>
      </c>
      <c r="J3319" s="6"/>
      <c r="K3319" s="6" t="s">
        <v>2531</v>
      </c>
      <c r="L3319" s="6"/>
      <c r="M3319" s="6"/>
      <c r="N3319" s="6" t="s">
        <v>2531</v>
      </c>
      <c r="O3319" s="29">
        <f t="shared" si="80"/>
        <v>5000</v>
      </c>
      <c r="Q3319" s="30" t="s">
        <v>2531</v>
      </c>
      <c r="R3319" s="31">
        <v>5000</v>
      </c>
    </row>
    <row r="3320" s="1" customFormat="1" ht="16.35" hidden="1" customHeight="1" spans="1:18">
      <c r="A3320" s="6"/>
      <c r="B3320" s="6" t="s">
        <v>4123</v>
      </c>
      <c r="C3320" s="6" t="s">
        <v>4253</v>
      </c>
      <c r="D3320" s="7">
        <v>4</v>
      </c>
      <c r="E3320" s="6" t="s">
        <v>6541</v>
      </c>
      <c r="F3320" s="6" t="s">
        <v>5631</v>
      </c>
      <c r="G3320" s="6" t="s">
        <v>5632</v>
      </c>
      <c r="H3320" s="8"/>
      <c r="I3320" s="8">
        <v>-5000</v>
      </c>
      <c r="J3320" s="6"/>
      <c r="K3320" s="6" t="s">
        <v>2531</v>
      </c>
      <c r="L3320" s="6"/>
      <c r="M3320" s="6"/>
      <c r="N3320" s="6" t="s">
        <v>2531</v>
      </c>
      <c r="O3320" s="29">
        <f t="shared" si="80"/>
        <v>-5000</v>
      </c>
      <c r="Q3320" s="30" t="s">
        <v>2531</v>
      </c>
      <c r="R3320" s="31">
        <v>-5000</v>
      </c>
    </row>
    <row r="3321" s="2" customFormat="1" ht="16.35" hidden="1" customHeight="1" spans="1:18">
      <c r="A3321" s="10"/>
      <c r="B3321" s="10" t="s">
        <v>4123</v>
      </c>
      <c r="C3321" s="10" t="s">
        <v>4253</v>
      </c>
      <c r="D3321" s="11">
        <v>98</v>
      </c>
      <c r="E3321" s="10" t="s">
        <v>6959</v>
      </c>
      <c r="F3321" s="10" t="s">
        <v>5631</v>
      </c>
      <c r="G3321" s="10" t="s">
        <v>5632</v>
      </c>
      <c r="H3321" s="12"/>
      <c r="I3321" s="12">
        <v>55540</v>
      </c>
      <c r="J3321" s="10"/>
      <c r="K3321" s="10" t="s">
        <v>2588</v>
      </c>
      <c r="L3321" s="10"/>
      <c r="M3321" s="10"/>
      <c r="N3321" s="10" t="s">
        <v>2588</v>
      </c>
      <c r="O3321" s="29">
        <f t="shared" si="80"/>
        <v>55540</v>
      </c>
      <c r="P3321" s="2" t="s">
        <v>6957</v>
      </c>
      <c r="Q3321" s="30" t="s">
        <v>2588</v>
      </c>
      <c r="R3321" s="31">
        <v>55540</v>
      </c>
    </row>
    <row r="3322" s="1" customFormat="1" ht="16.35" hidden="1" customHeight="1" spans="1:18">
      <c r="A3322" s="6"/>
      <c r="B3322" s="6" t="s">
        <v>4123</v>
      </c>
      <c r="C3322" s="6" t="s">
        <v>4253</v>
      </c>
      <c r="D3322" s="7">
        <v>31</v>
      </c>
      <c r="E3322" s="6" t="s">
        <v>6960</v>
      </c>
      <c r="F3322" s="6" t="s">
        <v>5631</v>
      </c>
      <c r="G3322" s="6" t="s">
        <v>5632</v>
      </c>
      <c r="H3322" s="8"/>
      <c r="I3322" s="8">
        <v>1000</v>
      </c>
      <c r="J3322" s="6"/>
      <c r="K3322" s="6" t="s">
        <v>2588</v>
      </c>
      <c r="L3322" s="6"/>
      <c r="M3322" s="6"/>
      <c r="N3322" s="6" t="s">
        <v>2588</v>
      </c>
      <c r="O3322" s="29">
        <f t="shared" si="80"/>
        <v>1000</v>
      </c>
      <c r="Q3322" s="30" t="s">
        <v>2588</v>
      </c>
      <c r="R3322" s="31">
        <v>1000</v>
      </c>
    </row>
    <row r="3323" s="1" customFormat="1" ht="16.35" hidden="1" customHeight="1" spans="1:18">
      <c r="A3323" s="6"/>
      <c r="B3323" s="6" t="s">
        <v>4123</v>
      </c>
      <c r="C3323" s="6" t="s">
        <v>4253</v>
      </c>
      <c r="D3323" s="7">
        <v>4</v>
      </c>
      <c r="E3323" s="6" t="s">
        <v>6961</v>
      </c>
      <c r="F3323" s="6" t="s">
        <v>5631</v>
      </c>
      <c r="G3323" s="6" t="s">
        <v>5632</v>
      </c>
      <c r="H3323" s="8"/>
      <c r="I3323" s="8">
        <v>1500</v>
      </c>
      <c r="J3323" s="6"/>
      <c r="K3323" s="6" t="s">
        <v>2588</v>
      </c>
      <c r="L3323" s="6"/>
      <c r="M3323" s="6"/>
      <c r="N3323" s="6" t="s">
        <v>2588</v>
      </c>
      <c r="O3323" s="29">
        <f t="shared" si="80"/>
        <v>1500</v>
      </c>
      <c r="Q3323" s="30" t="s">
        <v>2588</v>
      </c>
      <c r="R3323" s="31">
        <v>1500</v>
      </c>
    </row>
    <row r="3324" s="1" customFormat="1" ht="16.35" hidden="1" customHeight="1" spans="1:18">
      <c r="A3324" s="6"/>
      <c r="B3324" s="6" t="s">
        <v>4123</v>
      </c>
      <c r="C3324" s="6" t="s">
        <v>4253</v>
      </c>
      <c r="D3324" s="7">
        <v>4</v>
      </c>
      <c r="E3324" s="6" t="s">
        <v>6962</v>
      </c>
      <c r="F3324" s="6" t="s">
        <v>5631</v>
      </c>
      <c r="G3324" s="6" t="s">
        <v>5632</v>
      </c>
      <c r="H3324" s="8"/>
      <c r="I3324" s="8">
        <v>3500</v>
      </c>
      <c r="J3324" s="6"/>
      <c r="K3324" s="6" t="s">
        <v>2588</v>
      </c>
      <c r="L3324" s="6"/>
      <c r="M3324" s="6"/>
      <c r="N3324" s="6" t="s">
        <v>2588</v>
      </c>
      <c r="O3324" s="29">
        <f t="shared" si="80"/>
        <v>3500</v>
      </c>
      <c r="Q3324" s="30" t="s">
        <v>2588</v>
      </c>
      <c r="R3324" s="31">
        <v>3500</v>
      </c>
    </row>
    <row r="3325" s="1" customFormat="1" ht="16.35" hidden="1" customHeight="1" spans="1:18">
      <c r="A3325" s="6"/>
      <c r="B3325" s="6" t="s">
        <v>4123</v>
      </c>
      <c r="C3325" s="6" t="s">
        <v>4253</v>
      </c>
      <c r="D3325" s="7">
        <v>4</v>
      </c>
      <c r="E3325" s="6" t="s">
        <v>6527</v>
      </c>
      <c r="F3325" s="6" t="s">
        <v>5631</v>
      </c>
      <c r="G3325" s="6" t="s">
        <v>5632</v>
      </c>
      <c r="H3325" s="8"/>
      <c r="I3325" s="8">
        <v>-5000</v>
      </c>
      <c r="J3325" s="6"/>
      <c r="K3325" s="6" t="s">
        <v>2588</v>
      </c>
      <c r="L3325" s="6"/>
      <c r="M3325" s="6"/>
      <c r="N3325" s="6" t="s">
        <v>2588</v>
      </c>
      <c r="O3325" s="29">
        <f t="shared" si="80"/>
        <v>-5000</v>
      </c>
      <c r="Q3325" s="30" t="s">
        <v>2588</v>
      </c>
      <c r="R3325" s="31">
        <v>-5000</v>
      </c>
    </row>
    <row r="3326" s="1" customFormat="1" ht="16.35" hidden="1" customHeight="1" spans="1:18">
      <c r="A3326" s="6"/>
      <c r="B3326" s="6" t="s">
        <v>4123</v>
      </c>
      <c r="C3326" s="6" t="s">
        <v>4253</v>
      </c>
      <c r="D3326" s="7">
        <v>4</v>
      </c>
      <c r="E3326" s="6" t="s">
        <v>6963</v>
      </c>
      <c r="F3326" s="6" t="s">
        <v>5631</v>
      </c>
      <c r="G3326" s="6" t="s">
        <v>5632</v>
      </c>
      <c r="H3326" s="8"/>
      <c r="I3326" s="8">
        <v>5000</v>
      </c>
      <c r="J3326" s="6"/>
      <c r="K3326" s="6" t="s">
        <v>2535</v>
      </c>
      <c r="L3326" s="6"/>
      <c r="M3326" s="6"/>
      <c r="N3326" s="6" t="s">
        <v>2535</v>
      </c>
      <c r="O3326" s="29">
        <f t="shared" si="80"/>
        <v>5000</v>
      </c>
      <c r="Q3326" s="30" t="s">
        <v>2535</v>
      </c>
      <c r="R3326" s="31">
        <v>5000</v>
      </c>
    </row>
    <row r="3327" s="28" customFormat="1" ht="16.35" hidden="1" customHeight="1" spans="1:18">
      <c r="A3327" s="38"/>
      <c r="B3327" s="38" t="s">
        <v>4123</v>
      </c>
      <c r="C3327" s="38" t="s">
        <v>4253</v>
      </c>
      <c r="D3327" s="39">
        <v>4</v>
      </c>
      <c r="E3327" s="38" t="s">
        <v>6527</v>
      </c>
      <c r="F3327" s="38" t="s">
        <v>5631</v>
      </c>
      <c r="G3327" s="38" t="s">
        <v>5632</v>
      </c>
      <c r="H3327" s="40"/>
      <c r="I3327" s="40">
        <v>-5000</v>
      </c>
      <c r="J3327" s="38"/>
      <c r="K3327" s="38" t="s">
        <v>2535</v>
      </c>
      <c r="L3327" s="38"/>
      <c r="M3327" s="38"/>
      <c r="N3327" s="38" t="s">
        <v>2535</v>
      </c>
      <c r="O3327" s="29">
        <f t="shared" si="80"/>
        <v>-5000</v>
      </c>
      <c r="Q3327" s="30" t="s">
        <v>2535</v>
      </c>
      <c r="R3327" s="31">
        <v>-5000</v>
      </c>
    </row>
    <row r="3328" s="1" customFormat="1" ht="16.35" hidden="1" customHeight="1" spans="1:18">
      <c r="A3328" s="6"/>
      <c r="B3328" s="6" t="s">
        <v>4123</v>
      </c>
      <c r="C3328" s="6" t="s">
        <v>4253</v>
      </c>
      <c r="D3328" s="7">
        <v>4</v>
      </c>
      <c r="E3328" s="6" t="s">
        <v>6964</v>
      </c>
      <c r="F3328" s="6" t="s">
        <v>5631</v>
      </c>
      <c r="G3328" s="6" t="s">
        <v>5632</v>
      </c>
      <c r="H3328" s="8"/>
      <c r="I3328" s="8">
        <v>10000</v>
      </c>
      <c r="J3328" s="6"/>
      <c r="K3328" s="6" t="s">
        <v>2626</v>
      </c>
      <c r="L3328" s="6"/>
      <c r="M3328" s="6"/>
      <c r="N3328" s="6" t="s">
        <v>2626</v>
      </c>
      <c r="O3328" s="29">
        <f t="shared" si="80"/>
        <v>10000</v>
      </c>
      <c r="Q3328" s="30" t="s">
        <v>2626</v>
      </c>
      <c r="R3328" s="31">
        <v>10000</v>
      </c>
    </row>
    <row r="3329" s="1" customFormat="1" ht="16.35" hidden="1" customHeight="1" spans="1:18">
      <c r="A3329" s="6"/>
      <c r="B3329" s="6" t="s">
        <v>4123</v>
      </c>
      <c r="C3329" s="6" t="s">
        <v>4253</v>
      </c>
      <c r="D3329" s="7">
        <v>4</v>
      </c>
      <c r="E3329" s="6" t="s">
        <v>6541</v>
      </c>
      <c r="F3329" s="6" t="s">
        <v>5631</v>
      </c>
      <c r="G3329" s="6" t="s">
        <v>5632</v>
      </c>
      <c r="H3329" s="8"/>
      <c r="I3329" s="8">
        <v>-10000</v>
      </c>
      <c r="J3329" s="6"/>
      <c r="K3329" s="6" t="s">
        <v>2626</v>
      </c>
      <c r="L3329" s="6"/>
      <c r="M3329" s="6"/>
      <c r="N3329" s="6" t="s">
        <v>2626</v>
      </c>
      <c r="O3329" s="29">
        <f t="shared" si="80"/>
        <v>-10000</v>
      </c>
      <c r="Q3329" s="30" t="s">
        <v>2626</v>
      </c>
      <c r="R3329" s="31">
        <v>-10000</v>
      </c>
    </row>
    <row r="3330" s="1" customFormat="1" ht="16.35" hidden="1" customHeight="1" spans="1:18">
      <c r="A3330" s="6"/>
      <c r="B3330" s="6" t="s">
        <v>4123</v>
      </c>
      <c r="C3330" s="6" t="s">
        <v>4253</v>
      </c>
      <c r="D3330" s="7">
        <v>130</v>
      </c>
      <c r="E3330" s="6" t="s">
        <v>6965</v>
      </c>
      <c r="F3330" s="6" t="s">
        <v>5631</v>
      </c>
      <c r="G3330" s="6" t="s">
        <v>5632</v>
      </c>
      <c r="H3330" s="8">
        <v>215610</v>
      </c>
      <c r="I3330" s="8"/>
      <c r="J3330" s="6"/>
      <c r="K3330" s="6" t="s">
        <v>2626</v>
      </c>
      <c r="L3330" s="6"/>
      <c r="M3330" s="6"/>
      <c r="N3330" s="6" t="s">
        <v>2626</v>
      </c>
      <c r="O3330" s="29">
        <f t="shared" si="80"/>
        <v>0</v>
      </c>
      <c r="Q3330" s="30" t="s">
        <v>2626</v>
      </c>
      <c r="R3330" s="31">
        <v>0</v>
      </c>
    </row>
    <row r="3331" s="1" customFormat="1" ht="16.35" hidden="1" customHeight="1" spans="1:18">
      <c r="A3331" s="6"/>
      <c r="B3331" s="6" t="s">
        <v>4123</v>
      </c>
      <c r="C3331" s="6" t="s">
        <v>4253</v>
      </c>
      <c r="D3331" s="7">
        <v>5</v>
      </c>
      <c r="E3331" s="6" t="s">
        <v>6502</v>
      </c>
      <c r="F3331" s="6" t="s">
        <v>5631</v>
      </c>
      <c r="G3331" s="6" t="s">
        <v>5632</v>
      </c>
      <c r="H3331" s="8"/>
      <c r="I3331" s="8">
        <v>21000</v>
      </c>
      <c r="J3331" s="6"/>
      <c r="K3331" s="6" t="s">
        <v>2632</v>
      </c>
      <c r="L3331" s="6"/>
      <c r="M3331" s="6"/>
      <c r="N3331" s="6" t="s">
        <v>2632</v>
      </c>
      <c r="O3331" s="29">
        <f t="shared" si="80"/>
        <v>21000</v>
      </c>
      <c r="Q3331" s="30" t="s">
        <v>2632</v>
      </c>
      <c r="R3331" s="31">
        <v>21000</v>
      </c>
    </row>
    <row r="3332" s="1" customFormat="1" ht="16.35" hidden="1" customHeight="1" spans="1:18">
      <c r="A3332" s="6"/>
      <c r="B3332" s="6" t="s">
        <v>4123</v>
      </c>
      <c r="C3332" s="6" t="s">
        <v>4253</v>
      </c>
      <c r="D3332" s="7">
        <v>24</v>
      </c>
      <c r="E3332" s="6" t="s">
        <v>6966</v>
      </c>
      <c r="F3332" s="6" t="s">
        <v>5631</v>
      </c>
      <c r="G3332" s="6" t="s">
        <v>5632</v>
      </c>
      <c r="H3332" s="8"/>
      <c r="I3332" s="8">
        <v>100000</v>
      </c>
      <c r="J3332" s="6"/>
      <c r="K3332" s="6" t="s">
        <v>2602</v>
      </c>
      <c r="L3332" s="6"/>
      <c r="M3332" s="6"/>
      <c r="N3332" s="6" t="s">
        <v>2602</v>
      </c>
      <c r="O3332" s="29">
        <f t="shared" si="80"/>
        <v>100000</v>
      </c>
      <c r="Q3332" s="30" t="s">
        <v>2602</v>
      </c>
      <c r="R3332" s="31">
        <v>100000</v>
      </c>
    </row>
    <row r="3333" s="1" customFormat="1" ht="16.35" hidden="1" customHeight="1" spans="1:18">
      <c r="A3333" s="6"/>
      <c r="B3333" s="6" t="s">
        <v>4123</v>
      </c>
      <c r="C3333" s="6" t="s">
        <v>4253</v>
      </c>
      <c r="D3333" s="7">
        <v>4</v>
      </c>
      <c r="E3333" s="6" t="s">
        <v>6967</v>
      </c>
      <c r="F3333" s="6" t="s">
        <v>5631</v>
      </c>
      <c r="G3333" s="6" t="s">
        <v>5632</v>
      </c>
      <c r="H3333" s="8"/>
      <c r="I3333" s="8">
        <v>2000</v>
      </c>
      <c r="J3333" s="6"/>
      <c r="K3333" s="6" t="s">
        <v>2602</v>
      </c>
      <c r="L3333" s="6"/>
      <c r="M3333" s="6"/>
      <c r="N3333" s="6" t="s">
        <v>2602</v>
      </c>
      <c r="O3333" s="29">
        <f t="shared" si="80"/>
        <v>2000</v>
      </c>
      <c r="Q3333" s="30" t="s">
        <v>2602</v>
      </c>
      <c r="R3333" s="31">
        <v>2000</v>
      </c>
    </row>
    <row r="3334" s="1" customFormat="1" ht="16.35" hidden="1" customHeight="1" spans="1:18">
      <c r="A3334" s="6"/>
      <c r="B3334" s="6" t="s">
        <v>4123</v>
      </c>
      <c r="C3334" s="6" t="s">
        <v>4253</v>
      </c>
      <c r="D3334" s="7">
        <v>4</v>
      </c>
      <c r="E3334" s="6" t="s">
        <v>6968</v>
      </c>
      <c r="F3334" s="6" t="s">
        <v>5631</v>
      </c>
      <c r="G3334" s="6" t="s">
        <v>5632</v>
      </c>
      <c r="H3334" s="8"/>
      <c r="I3334" s="8">
        <v>8000</v>
      </c>
      <c r="J3334" s="6"/>
      <c r="K3334" s="6" t="s">
        <v>2602</v>
      </c>
      <c r="L3334" s="6"/>
      <c r="M3334" s="6"/>
      <c r="N3334" s="6" t="s">
        <v>2602</v>
      </c>
      <c r="O3334" s="29">
        <f t="shared" si="80"/>
        <v>8000</v>
      </c>
      <c r="Q3334" s="30" t="s">
        <v>2602</v>
      </c>
      <c r="R3334" s="31">
        <v>8000</v>
      </c>
    </row>
    <row r="3335" s="1" customFormat="1" ht="16.35" hidden="1" customHeight="1" spans="1:18">
      <c r="A3335" s="6"/>
      <c r="B3335" s="6" t="s">
        <v>4123</v>
      </c>
      <c r="C3335" s="6" t="s">
        <v>4253</v>
      </c>
      <c r="D3335" s="7">
        <v>130</v>
      </c>
      <c r="E3335" s="6" t="s">
        <v>6969</v>
      </c>
      <c r="F3335" s="6" t="s">
        <v>5631</v>
      </c>
      <c r="G3335" s="6" t="s">
        <v>5632</v>
      </c>
      <c r="H3335" s="8">
        <v>233578</v>
      </c>
      <c r="I3335" s="8"/>
      <c r="J3335" s="6"/>
      <c r="K3335" s="6" t="s">
        <v>2602</v>
      </c>
      <c r="L3335" s="6"/>
      <c r="M3335" s="6"/>
      <c r="N3335" s="6" t="s">
        <v>2602</v>
      </c>
      <c r="O3335" s="29">
        <f t="shared" si="80"/>
        <v>0</v>
      </c>
      <c r="Q3335" s="30" t="s">
        <v>2602</v>
      </c>
      <c r="R3335" s="31">
        <v>0</v>
      </c>
    </row>
    <row r="3336" s="1" customFormat="1" ht="16.35" hidden="1" customHeight="1" spans="1:18">
      <c r="A3336" s="6"/>
      <c r="B3336" s="6" t="s">
        <v>4123</v>
      </c>
      <c r="C3336" s="6" t="s">
        <v>4253</v>
      </c>
      <c r="D3336" s="7">
        <v>4</v>
      </c>
      <c r="E3336" s="6" t="s">
        <v>6970</v>
      </c>
      <c r="F3336" s="6" t="s">
        <v>5631</v>
      </c>
      <c r="G3336" s="6" t="s">
        <v>5632</v>
      </c>
      <c r="H3336" s="8"/>
      <c r="I3336" s="8">
        <v>5000</v>
      </c>
      <c r="J3336" s="6"/>
      <c r="K3336" s="6" t="s">
        <v>2660</v>
      </c>
      <c r="L3336" s="6"/>
      <c r="M3336" s="6"/>
      <c r="N3336" s="6" t="s">
        <v>2660</v>
      </c>
      <c r="O3336" s="29">
        <f t="shared" si="80"/>
        <v>5000</v>
      </c>
      <c r="Q3336" s="30" t="s">
        <v>2660</v>
      </c>
      <c r="R3336" s="31">
        <v>5000</v>
      </c>
    </row>
    <row r="3337" s="1" customFormat="1" ht="16.35" hidden="1" customHeight="1" spans="1:18">
      <c r="A3337" s="6"/>
      <c r="B3337" s="6" t="s">
        <v>4123</v>
      </c>
      <c r="C3337" s="6" t="s">
        <v>4253</v>
      </c>
      <c r="D3337" s="7">
        <v>4</v>
      </c>
      <c r="E3337" s="6" t="s">
        <v>6971</v>
      </c>
      <c r="F3337" s="6" t="s">
        <v>5631</v>
      </c>
      <c r="G3337" s="6" t="s">
        <v>5632</v>
      </c>
      <c r="H3337" s="8"/>
      <c r="I3337" s="8">
        <v>5000</v>
      </c>
      <c r="J3337" s="6"/>
      <c r="K3337" s="6" t="s">
        <v>2660</v>
      </c>
      <c r="L3337" s="6"/>
      <c r="M3337" s="6"/>
      <c r="N3337" s="6" t="s">
        <v>2660</v>
      </c>
      <c r="O3337" s="29">
        <f t="shared" si="80"/>
        <v>5000</v>
      </c>
      <c r="Q3337" s="30" t="s">
        <v>2660</v>
      </c>
      <c r="R3337" s="31">
        <v>5000</v>
      </c>
    </row>
    <row r="3338" s="1" customFormat="1" ht="16.35" hidden="1" customHeight="1" spans="1:18">
      <c r="A3338" s="6"/>
      <c r="B3338" s="6" t="s">
        <v>4123</v>
      </c>
      <c r="C3338" s="6" t="s">
        <v>4253</v>
      </c>
      <c r="D3338" s="7">
        <v>4</v>
      </c>
      <c r="E3338" s="6" t="s">
        <v>6541</v>
      </c>
      <c r="F3338" s="6" t="s">
        <v>5631</v>
      </c>
      <c r="G3338" s="6" t="s">
        <v>5632</v>
      </c>
      <c r="H3338" s="8"/>
      <c r="I3338" s="8">
        <v>-5000</v>
      </c>
      <c r="J3338" s="6"/>
      <c r="K3338" s="6" t="s">
        <v>2660</v>
      </c>
      <c r="L3338" s="6"/>
      <c r="M3338" s="6"/>
      <c r="N3338" s="6" t="s">
        <v>2660</v>
      </c>
      <c r="O3338" s="29">
        <f t="shared" si="80"/>
        <v>-5000</v>
      </c>
      <c r="Q3338" s="30" t="s">
        <v>2660</v>
      </c>
      <c r="R3338" s="31">
        <v>-5000</v>
      </c>
    </row>
    <row r="3339" s="1" customFormat="1" ht="16.35" hidden="1" customHeight="1" spans="1:18">
      <c r="A3339" s="6"/>
      <c r="B3339" s="6" t="s">
        <v>4123</v>
      </c>
      <c r="C3339" s="6" t="s">
        <v>4253</v>
      </c>
      <c r="D3339" s="7">
        <v>4</v>
      </c>
      <c r="E3339" s="6" t="s">
        <v>6527</v>
      </c>
      <c r="F3339" s="6" t="s">
        <v>5631</v>
      </c>
      <c r="G3339" s="6" t="s">
        <v>5632</v>
      </c>
      <c r="H3339" s="8"/>
      <c r="I3339" s="8">
        <v>-5000</v>
      </c>
      <c r="J3339" s="6"/>
      <c r="K3339" s="6" t="s">
        <v>2660</v>
      </c>
      <c r="L3339" s="6"/>
      <c r="M3339" s="6"/>
      <c r="N3339" s="6" t="s">
        <v>2660</v>
      </c>
      <c r="O3339" s="29">
        <f t="shared" si="80"/>
        <v>-5000</v>
      </c>
      <c r="Q3339" s="30" t="s">
        <v>2660</v>
      </c>
      <c r="R3339" s="31">
        <v>-5000</v>
      </c>
    </row>
    <row r="3340" s="1" customFormat="1" ht="16.35" hidden="1" customHeight="1" spans="1:18">
      <c r="A3340" s="6"/>
      <c r="B3340" s="6" t="s">
        <v>4123</v>
      </c>
      <c r="C3340" s="6" t="s">
        <v>4253</v>
      </c>
      <c r="D3340" s="7">
        <v>4</v>
      </c>
      <c r="E3340" s="6" t="s">
        <v>6972</v>
      </c>
      <c r="F3340" s="6" t="s">
        <v>5631</v>
      </c>
      <c r="G3340" s="6" t="s">
        <v>5632</v>
      </c>
      <c r="H3340" s="8"/>
      <c r="I3340" s="8">
        <v>10000</v>
      </c>
      <c r="J3340" s="6"/>
      <c r="K3340" s="6" t="s">
        <v>2604</v>
      </c>
      <c r="L3340" s="6"/>
      <c r="M3340" s="6"/>
      <c r="N3340" s="6" t="s">
        <v>2604</v>
      </c>
      <c r="O3340" s="29">
        <f t="shared" si="80"/>
        <v>10000</v>
      </c>
      <c r="Q3340" s="30" t="s">
        <v>2604</v>
      </c>
      <c r="R3340" s="31">
        <v>10000</v>
      </c>
    </row>
    <row r="3341" s="1" customFormat="1" ht="16.35" hidden="1" customHeight="1" spans="1:18">
      <c r="A3341" s="6"/>
      <c r="B3341" s="6" t="s">
        <v>4123</v>
      </c>
      <c r="C3341" s="6" t="s">
        <v>4253</v>
      </c>
      <c r="D3341" s="7">
        <v>7</v>
      </c>
      <c r="E3341" s="6" t="s">
        <v>6973</v>
      </c>
      <c r="F3341" s="6" t="s">
        <v>5631</v>
      </c>
      <c r="G3341" s="6" t="s">
        <v>5632</v>
      </c>
      <c r="H3341" s="8"/>
      <c r="I3341" s="8">
        <v>7000</v>
      </c>
      <c r="J3341" s="6"/>
      <c r="K3341" s="6" t="s">
        <v>2700</v>
      </c>
      <c r="L3341" s="6"/>
      <c r="M3341" s="6"/>
      <c r="N3341" s="6" t="s">
        <v>2700</v>
      </c>
      <c r="O3341" s="29">
        <f t="shared" si="80"/>
        <v>7000</v>
      </c>
      <c r="Q3341" s="30" t="s">
        <v>2700</v>
      </c>
      <c r="R3341" s="31">
        <v>7000</v>
      </c>
    </row>
    <row r="3342" s="1" customFormat="1" ht="16.35" hidden="1" customHeight="1" spans="1:18">
      <c r="A3342" s="6"/>
      <c r="B3342" s="6" t="s">
        <v>4123</v>
      </c>
      <c r="C3342" s="6" t="s">
        <v>4253</v>
      </c>
      <c r="D3342" s="7">
        <v>86</v>
      </c>
      <c r="E3342" s="6" t="s">
        <v>6974</v>
      </c>
      <c r="F3342" s="6" t="s">
        <v>5631</v>
      </c>
      <c r="G3342" s="6" t="s">
        <v>5632</v>
      </c>
      <c r="H3342" s="8"/>
      <c r="I3342" s="8">
        <v>96000</v>
      </c>
      <c r="J3342" s="6"/>
      <c r="K3342" s="6" t="s">
        <v>2700</v>
      </c>
      <c r="L3342" s="6"/>
      <c r="M3342" s="6"/>
      <c r="N3342" s="6" t="s">
        <v>2700</v>
      </c>
      <c r="O3342" s="29">
        <f t="shared" si="80"/>
        <v>96000</v>
      </c>
      <c r="Q3342" s="30" t="s">
        <v>2700</v>
      </c>
      <c r="R3342" s="31">
        <v>96000</v>
      </c>
    </row>
    <row r="3343" s="1" customFormat="1" ht="16.35" hidden="1" customHeight="1" spans="1:18">
      <c r="A3343" s="6"/>
      <c r="B3343" s="6" t="s">
        <v>4123</v>
      </c>
      <c r="C3343" s="6" t="s">
        <v>4253</v>
      </c>
      <c r="D3343" s="7">
        <v>4</v>
      </c>
      <c r="E3343" s="6" t="s">
        <v>6975</v>
      </c>
      <c r="F3343" s="6" t="s">
        <v>5631</v>
      </c>
      <c r="G3343" s="6" t="s">
        <v>5632</v>
      </c>
      <c r="H3343" s="8"/>
      <c r="I3343" s="8">
        <v>5000</v>
      </c>
      <c r="J3343" s="6"/>
      <c r="K3343" s="6" t="s">
        <v>2700</v>
      </c>
      <c r="L3343" s="6"/>
      <c r="M3343" s="6"/>
      <c r="N3343" s="6" t="s">
        <v>2700</v>
      </c>
      <c r="O3343" s="29">
        <f t="shared" si="80"/>
        <v>5000</v>
      </c>
      <c r="Q3343" s="30" t="s">
        <v>2700</v>
      </c>
      <c r="R3343" s="31">
        <v>5000</v>
      </c>
    </row>
    <row r="3344" s="1" customFormat="1" ht="16.35" hidden="1" customHeight="1" spans="1:18">
      <c r="A3344" s="6"/>
      <c r="B3344" s="6" t="s">
        <v>4123</v>
      </c>
      <c r="C3344" s="6" t="s">
        <v>4253</v>
      </c>
      <c r="D3344" s="7">
        <v>4</v>
      </c>
      <c r="E3344" s="6" t="s">
        <v>6976</v>
      </c>
      <c r="F3344" s="6" t="s">
        <v>5631</v>
      </c>
      <c r="G3344" s="6" t="s">
        <v>5632</v>
      </c>
      <c r="H3344" s="8"/>
      <c r="I3344" s="8">
        <v>5000</v>
      </c>
      <c r="J3344" s="6"/>
      <c r="K3344" s="6" t="s">
        <v>2700</v>
      </c>
      <c r="L3344" s="6"/>
      <c r="M3344" s="6"/>
      <c r="N3344" s="6" t="s">
        <v>2700</v>
      </c>
      <c r="O3344" s="29">
        <f t="shared" si="80"/>
        <v>5000</v>
      </c>
      <c r="Q3344" s="30" t="s">
        <v>2700</v>
      </c>
      <c r="R3344" s="31">
        <v>5000</v>
      </c>
    </row>
    <row r="3345" s="1" customFormat="1" ht="16.35" hidden="1" customHeight="1" spans="1:18">
      <c r="A3345" s="6"/>
      <c r="B3345" s="6" t="s">
        <v>4123</v>
      </c>
      <c r="C3345" s="6" t="s">
        <v>4253</v>
      </c>
      <c r="D3345" s="7">
        <v>4</v>
      </c>
      <c r="E3345" s="6" t="s">
        <v>6541</v>
      </c>
      <c r="F3345" s="6" t="s">
        <v>5631</v>
      </c>
      <c r="G3345" s="6" t="s">
        <v>5632</v>
      </c>
      <c r="H3345" s="8"/>
      <c r="I3345" s="8">
        <v>-10000</v>
      </c>
      <c r="J3345" s="6"/>
      <c r="K3345" s="6" t="s">
        <v>2700</v>
      </c>
      <c r="L3345" s="6"/>
      <c r="M3345" s="6"/>
      <c r="N3345" s="6" t="s">
        <v>2700</v>
      </c>
      <c r="O3345" s="29">
        <f t="shared" si="80"/>
        <v>-10000</v>
      </c>
      <c r="Q3345" s="30" t="s">
        <v>2700</v>
      </c>
      <c r="R3345" s="31">
        <v>-10000</v>
      </c>
    </row>
    <row r="3346" s="1" customFormat="1" ht="16.35" hidden="1" customHeight="1" spans="1:18">
      <c r="A3346" s="6"/>
      <c r="B3346" s="6" t="s">
        <v>4123</v>
      </c>
      <c r="C3346" s="6" t="s">
        <v>4253</v>
      </c>
      <c r="D3346" s="7">
        <v>4</v>
      </c>
      <c r="E3346" s="6" t="s">
        <v>6977</v>
      </c>
      <c r="F3346" s="6" t="s">
        <v>5631</v>
      </c>
      <c r="G3346" s="6" t="s">
        <v>5632</v>
      </c>
      <c r="H3346" s="8"/>
      <c r="I3346" s="8">
        <v>10000</v>
      </c>
      <c r="J3346" s="6"/>
      <c r="K3346" s="6" t="s">
        <v>2726</v>
      </c>
      <c r="L3346" s="6"/>
      <c r="M3346" s="6"/>
      <c r="N3346" s="6" t="s">
        <v>2726</v>
      </c>
      <c r="O3346" s="29">
        <f t="shared" si="80"/>
        <v>10000</v>
      </c>
      <c r="Q3346" s="30" t="s">
        <v>2726</v>
      </c>
      <c r="R3346" s="31">
        <v>10000</v>
      </c>
    </row>
    <row r="3347" s="1" customFormat="1" ht="16.35" hidden="1" customHeight="1" spans="1:18">
      <c r="A3347" s="6"/>
      <c r="B3347" s="6" t="s">
        <v>4123</v>
      </c>
      <c r="C3347" s="6" t="s">
        <v>4253</v>
      </c>
      <c r="D3347" s="7">
        <v>4</v>
      </c>
      <c r="E3347" s="6" t="s">
        <v>6541</v>
      </c>
      <c r="F3347" s="6" t="s">
        <v>5631</v>
      </c>
      <c r="G3347" s="6" t="s">
        <v>5632</v>
      </c>
      <c r="H3347" s="8"/>
      <c r="I3347" s="8">
        <v>-10000</v>
      </c>
      <c r="J3347" s="6"/>
      <c r="K3347" s="6" t="s">
        <v>2726</v>
      </c>
      <c r="L3347" s="6"/>
      <c r="M3347" s="6"/>
      <c r="N3347" s="6" t="s">
        <v>2726</v>
      </c>
      <c r="O3347" s="29">
        <f t="shared" si="80"/>
        <v>-10000</v>
      </c>
      <c r="Q3347" s="30" t="s">
        <v>2726</v>
      </c>
      <c r="R3347" s="31">
        <v>-10000</v>
      </c>
    </row>
    <row r="3348" s="1" customFormat="1" ht="16.35" hidden="1" customHeight="1" spans="1:18">
      <c r="A3348" s="6"/>
      <c r="B3348" s="6" t="s">
        <v>4123</v>
      </c>
      <c r="C3348" s="6" t="s">
        <v>4253</v>
      </c>
      <c r="D3348" s="7">
        <v>115</v>
      </c>
      <c r="E3348" s="6" t="s">
        <v>6978</v>
      </c>
      <c r="F3348" s="6" t="s">
        <v>5631</v>
      </c>
      <c r="G3348" s="6" t="s">
        <v>5632</v>
      </c>
      <c r="H3348" s="8"/>
      <c r="I3348" s="8">
        <v>-19048</v>
      </c>
      <c r="J3348" s="6"/>
      <c r="K3348" s="6" t="s">
        <v>1483</v>
      </c>
      <c r="L3348" s="6"/>
      <c r="M3348" s="6"/>
      <c r="N3348" s="6" t="s">
        <v>1483</v>
      </c>
      <c r="O3348" s="29">
        <f t="shared" si="80"/>
        <v>-19048</v>
      </c>
      <c r="Q3348" s="30" t="s">
        <v>1483</v>
      </c>
      <c r="R3348" s="31">
        <v>-19048</v>
      </c>
    </row>
    <row r="3349" s="1" customFormat="1" ht="16.35" hidden="1" customHeight="1" spans="1:18">
      <c r="A3349" s="6"/>
      <c r="B3349" s="6" t="s">
        <v>4271</v>
      </c>
      <c r="C3349" s="6" t="s">
        <v>4124</v>
      </c>
      <c r="D3349" s="7">
        <v>82</v>
      </c>
      <c r="E3349" s="6" t="s">
        <v>6979</v>
      </c>
      <c r="F3349" s="6" t="s">
        <v>5631</v>
      </c>
      <c r="G3349" s="6" t="s">
        <v>5632</v>
      </c>
      <c r="H3349" s="8"/>
      <c r="I3349" s="8">
        <v>69404</v>
      </c>
      <c r="J3349" s="6"/>
      <c r="K3349" s="6" t="s">
        <v>2173</v>
      </c>
      <c r="L3349" s="6"/>
      <c r="M3349" s="6"/>
      <c r="N3349" s="6" t="s">
        <v>2173</v>
      </c>
      <c r="O3349" s="29">
        <f t="shared" ref="O3349:O3398" si="81">I3349</f>
        <v>69404</v>
      </c>
      <c r="Q3349" s="30" t="s">
        <v>2173</v>
      </c>
      <c r="R3349" s="31">
        <v>69404</v>
      </c>
    </row>
    <row r="3350" s="1" customFormat="1" ht="16.35" hidden="1" customHeight="1" spans="1:18">
      <c r="A3350" s="6"/>
      <c r="B3350" s="6" t="s">
        <v>4271</v>
      </c>
      <c r="C3350" s="6" t="s">
        <v>4124</v>
      </c>
      <c r="D3350" s="7">
        <v>22</v>
      </c>
      <c r="E3350" s="6" t="s">
        <v>6980</v>
      </c>
      <c r="F3350" s="6" t="s">
        <v>5631</v>
      </c>
      <c r="G3350" s="6" t="s">
        <v>5632</v>
      </c>
      <c r="H3350" s="8"/>
      <c r="I3350" s="8">
        <v>1000</v>
      </c>
      <c r="J3350" s="6"/>
      <c r="K3350" s="6" t="s">
        <v>2325</v>
      </c>
      <c r="L3350" s="6"/>
      <c r="M3350" s="6"/>
      <c r="N3350" s="6" t="s">
        <v>2325</v>
      </c>
      <c r="O3350" s="29">
        <f t="shared" si="81"/>
        <v>1000</v>
      </c>
      <c r="Q3350" s="30" t="s">
        <v>2325</v>
      </c>
      <c r="R3350" s="31">
        <v>1000</v>
      </c>
    </row>
    <row r="3351" s="1" customFormat="1" ht="16.35" hidden="1" customHeight="1" spans="1:18">
      <c r="A3351" s="6"/>
      <c r="B3351" s="6" t="s">
        <v>4271</v>
      </c>
      <c r="C3351" s="6" t="s">
        <v>4124</v>
      </c>
      <c r="D3351" s="7">
        <v>71</v>
      </c>
      <c r="E3351" s="6" t="s">
        <v>6981</v>
      </c>
      <c r="F3351" s="6" t="s">
        <v>5631</v>
      </c>
      <c r="G3351" s="6" t="s">
        <v>5632</v>
      </c>
      <c r="H3351" s="8"/>
      <c r="I3351" s="8">
        <v>20000</v>
      </c>
      <c r="J3351" s="6"/>
      <c r="K3351" s="6" t="s">
        <v>2331</v>
      </c>
      <c r="L3351" s="6"/>
      <c r="M3351" s="6"/>
      <c r="N3351" s="6" t="s">
        <v>2331</v>
      </c>
      <c r="O3351" s="29">
        <f t="shared" si="81"/>
        <v>20000</v>
      </c>
      <c r="Q3351" s="30" t="s">
        <v>2331</v>
      </c>
      <c r="R3351" s="31">
        <v>20000</v>
      </c>
    </row>
    <row r="3352" s="1" customFormat="1" ht="16.35" hidden="1" customHeight="1" spans="1:18">
      <c r="A3352" s="6"/>
      <c r="B3352" s="6" t="s">
        <v>4271</v>
      </c>
      <c r="C3352" s="6" t="s">
        <v>4124</v>
      </c>
      <c r="D3352" s="7">
        <v>31</v>
      </c>
      <c r="E3352" s="6" t="s">
        <v>6982</v>
      </c>
      <c r="F3352" s="6" t="s">
        <v>5631</v>
      </c>
      <c r="G3352" s="6" t="s">
        <v>5632</v>
      </c>
      <c r="H3352" s="8"/>
      <c r="I3352" s="8">
        <v>180000</v>
      </c>
      <c r="J3352" s="6"/>
      <c r="K3352" s="6" t="s">
        <v>2402</v>
      </c>
      <c r="L3352" s="6"/>
      <c r="M3352" s="6"/>
      <c r="N3352" s="6" t="s">
        <v>2402</v>
      </c>
      <c r="O3352" s="29">
        <f t="shared" si="81"/>
        <v>180000</v>
      </c>
      <c r="Q3352" s="30" t="s">
        <v>2402</v>
      </c>
      <c r="R3352" s="31">
        <v>180000</v>
      </c>
    </row>
    <row r="3353" s="1" customFormat="1" ht="16.35" hidden="1" customHeight="1" spans="1:18">
      <c r="A3353" s="6"/>
      <c r="B3353" s="6" t="s">
        <v>4271</v>
      </c>
      <c r="C3353" s="6" t="s">
        <v>4124</v>
      </c>
      <c r="D3353" s="7">
        <v>84</v>
      </c>
      <c r="E3353" s="6" t="s">
        <v>6983</v>
      </c>
      <c r="F3353" s="6" t="s">
        <v>5631</v>
      </c>
      <c r="G3353" s="6" t="s">
        <v>5632</v>
      </c>
      <c r="H3353" s="8"/>
      <c r="I3353" s="8">
        <v>5000</v>
      </c>
      <c r="J3353" s="6"/>
      <c r="K3353" s="6" t="s">
        <v>2416</v>
      </c>
      <c r="L3353" s="6"/>
      <c r="M3353" s="6"/>
      <c r="N3353" s="6" t="s">
        <v>2416</v>
      </c>
      <c r="O3353" s="29">
        <f t="shared" si="81"/>
        <v>5000</v>
      </c>
      <c r="Q3353" s="30" t="s">
        <v>2416</v>
      </c>
      <c r="R3353" s="31">
        <v>5000</v>
      </c>
    </row>
    <row r="3354" s="1" customFormat="1" ht="16.35" hidden="1" customHeight="1" spans="1:18">
      <c r="A3354" s="6"/>
      <c r="B3354" s="6" t="s">
        <v>4271</v>
      </c>
      <c r="C3354" s="6" t="s">
        <v>4124</v>
      </c>
      <c r="D3354" s="7">
        <v>76</v>
      </c>
      <c r="E3354" s="6" t="s">
        <v>6983</v>
      </c>
      <c r="F3354" s="6" t="s">
        <v>5631</v>
      </c>
      <c r="G3354" s="6" t="s">
        <v>5632</v>
      </c>
      <c r="H3354" s="8"/>
      <c r="I3354" s="8">
        <v>60042</v>
      </c>
      <c r="J3354" s="6"/>
      <c r="K3354" s="6" t="s">
        <v>2416</v>
      </c>
      <c r="L3354" s="6"/>
      <c r="M3354" s="6"/>
      <c r="N3354" s="6" t="s">
        <v>2416</v>
      </c>
      <c r="O3354" s="29">
        <f t="shared" si="81"/>
        <v>60042</v>
      </c>
      <c r="Q3354" s="30" t="s">
        <v>2416</v>
      </c>
      <c r="R3354" s="31">
        <v>60042</v>
      </c>
    </row>
    <row r="3355" s="1" customFormat="1" ht="16.35" hidden="1" customHeight="1" spans="1:18">
      <c r="A3355" s="6"/>
      <c r="B3355" s="6" t="s">
        <v>4271</v>
      </c>
      <c r="C3355" s="6" t="s">
        <v>4124</v>
      </c>
      <c r="D3355" s="7">
        <v>24</v>
      </c>
      <c r="E3355" s="6" t="s">
        <v>6984</v>
      </c>
      <c r="F3355" s="6" t="s">
        <v>5631</v>
      </c>
      <c r="G3355" s="6" t="s">
        <v>5632</v>
      </c>
      <c r="H3355" s="8"/>
      <c r="I3355" s="8">
        <v>170000</v>
      </c>
      <c r="J3355" s="6"/>
      <c r="K3355" s="6" t="s">
        <v>2480</v>
      </c>
      <c r="L3355" s="6"/>
      <c r="M3355" s="6"/>
      <c r="N3355" s="6" t="s">
        <v>2480</v>
      </c>
      <c r="O3355" s="29">
        <f t="shared" si="81"/>
        <v>170000</v>
      </c>
      <c r="Q3355" s="30" t="s">
        <v>2480</v>
      </c>
      <c r="R3355" s="31">
        <v>170000</v>
      </c>
    </row>
    <row r="3356" s="1" customFormat="1" ht="16.35" hidden="1" customHeight="1" spans="1:18">
      <c r="A3356" s="6"/>
      <c r="B3356" s="6" t="s">
        <v>4271</v>
      </c>
      <c r="C3356" s="6" t="s">
        <v>4124</v>
      </c>
      <c r="D3356" s="7">
        <v>34</v>
      </c>
      <c r="E3356" s="6" t="s">
        <v>6985</v>
      </c>
      <c r="F3356" s="6" t="s">
        <v>5631</v>
      </c>
      <c r="G3356" s="6" t="s">
        <v>5632</v>
      </c>
      <c r="H3356" s="8"/>
      <c r="I3356" s="8">
        <v>118000</v>
      </c>
      <c r="J3356" s="6"/>
      <c r="K3356" s="6" t="s">
        <v>2434</v>
      </c>
      <c r="L3356" s="6"/>
      <c r="M3356" s="6"/>
      <c r="N3356" s="6" t="s">
        <v>2434</v>
      </c>
      <c r="O3356" s="29">
        <f t="shared" si="81"/>
        <v>118000</v>
      </c>
      <c r="Q3356" s="30" t="s">
        <v>2434</v>
      </c>
      <c r="R3356" s="31">
        <v>118000</v>
      </c>
    </row>
    <row r="3357" s="1" customFormat="1" ht="16.35" hidden="1" customHeight="1" spans="1:18">
      <c r="A3357" s="6"/>
      <c r="B3357" s="6" t="s">
        <v>4271</v>
      </c>
      <c r="C3357" s="6" t="s">
        <v>4124</v>
      </c>
      <c r="D3357" s="7">
        <v>88</v>
      </c>
      <c r="E3357" s="6" t="s">
        <v>6986</v>
      </c>
      <c r="F3357" s="6" t="s">
        <v>5631</v>
      </c>
      <c r="G3357" s="6" t="s">
        <v>5632</v>
      </c>
      <c r="H3357" s="8"/>
      <c r="I3357" s="8">
        <v>63503</v>
      </c>
      <c r="J3357" s="6"/>
      <c r="K3357" s="6" t="s">
        <v>2438</v>
      </c>
      <c r="L3357" s="6"/>
      <c r="M3357" s="6"/>
      <c r="N3357" s="6" t="s">
        <v>2438</v>
      </c>
      <c r="O3357" s="29">
        <f t="shared" si="81"/>
        <v>63503</v>
      </c>
      <c r="Q3357" s="30" t="s">
        <v>2438</v>
      </c>
      <c r="R3357" s="31">
        <v>63503</v>
      </c>
    </row>
    <row r="3358" s="1" customFormat="1" ht="16.35" hidden="1" customHeight="1" spans="1:18">
      <c r="A3358" s="6"/>
      <c r="B3358" s="6" t="s">
        <v>4271</v>
      </c>
      <c r="C3358" s="6" t="s">
        <v>4124</v>
      </c>
      <c r="D3358" s="7">
        <v>28</v>
      </c>
      <c r="E3358" s="6" t="s">
        <v>6987</v>
      </c>
      <c r="F3358" s="6" t="s">
        <v>5631</v>
      </c>
      <c r="G3358" s="6" t="s">
        <v>5632</v>
      </c>
      <c r="H3358" s="8"/>
      <c r="I3358" s="8">
        <v>138000</v>
      </c>
      <c r="J3358" s="6"/>
      <c r="K3358" s="6" t="s">
        <v>2592</v>
      </c>
      <c r="L3358" s="6"/>
      <c r="M3358" s="6"/>
      <c r="N3358" s="6" t="s">
        <v>2592</v>
      </c>
      <c r="O3358" s="29">
        <f t="shared" si="81"/>
        <v>138000</v>
      </c>
      <c r="Q3358" s="30" t="s">
        <v>2592</v>
      </c>
      <c r="R3358" s="31">
        <v>138000</v>
      </c>
    </row>
    <row r="3359" s="1" customFormat="1" ht="16.35" hidden="1" customHeight="1" spans="1:18">
      <c r="A3359" s="6"/>
      <c r="B3359" s="6" t="s">
        <v>4271</v>
      </c>
      <c r="C3359" s="6" t="s">
        <v>4124</v>
      </c>
      <c r="D3359" s="7">
        <v>73</v>
      </c>
      <c r="E3359" s="6" t="s">
        <v>6988</v>
      </c>
      <c r="F3359" s="6" t="s">
        <v>5631</v>
      </c>
      <c r="G3359" s="6" t="s">
        <v>5632</v>
      </c>
      <c r="H3359" s="8"/>
      <c r="I3359" s="8">
        <v>38652</v>
      </c>
      <c r="J3359" s="6"/>
      <c r="K3359" s="6" t="s">
        <v>2580</v>
      </c>
      <c r="L3359" s="6"/>
      <c r="M3359" s="6"/>
      <c r="N3359" s="6" t="s">
        <v>2580</v>
      </c>
      <c r="O3359" s="29">
        <f t="shared" si="81"/>
        <v>38652</v>
      </c>
      <c r="Q3359" s="30" t="s">
        <v>2580</v>
      </c>
      <c r="R3359" s="31">
        <v>38652</v>
      </c>
    </row>
    <row r="3360" s="1" customFormat="1" ht="16.35" hidden="1" customHeight="1" spans="1:18">
      <c r="A3360" s="6"/>
      <c r="B3360" s="6" t="s">
        <v>4271</v>
      </c>
      <c r="C3360" s="6" t="s">
        <v>4124</v>
      </c>
      <c r="D3360" s="7">
        <v>86</v>
      </c>
      <c r="E3360" s="6" t="s">
        <v>6989</v>
      </c>
      <c r="F3360" s="6" t="s">
        <v>5631</v>
      </c>
      <c r="G3360" s="6" t="s">
        <v>5632</v>
      </c>
      <c r="H3360" s="8"/>
      <c r="I3360" s="8">
        <v>10000</v>
      </c>
      <c r="J3360" s="6"/>
      <c r="K3360" s="6" t="s">
        <v>2566</v>
      </c>
      <c r="L3360" s="6"/>
      <c r="M3360" s="6"/>
      <c r="N3360" s="6" t="s">
        <v>2566</v>
      </c>
      <c r="O3360" s="29">
        <f t="shared" si="81"/>
        <v>10000</v>
      </c>
      <c r="Q3360" s="30" t="s">
        <v>2566</v>
      </c>
      <c r="R3360" s="31">
        <v>10000</v>
      </c>
    </row>
    <row r="3361" s="1" customFormat="1" ht="16.35" hidden="1" customHeight="1" spans="1:18">
      <c r="A3361" s="6"/>
      <c r="B3361" s="6" t="s">
        <v>4271</v>
      </c>
      <c r="C3361" s="6" t="s">
        <v>4124</v>
      </c>
      <c r="D3361" s="7">
        <v>42</v>
      </c>
      <c r="E3361" s="6" t="s">
        <v>6990</v>
      </c>
      <c r="F3361" s="6" t="s">
        <v>5631</v>
      </c>
      <c r="G3361" s="6" t="s">
        <v>5632</v>
      </c>
      <c r="H3361" s="8"/>
      <c r="I3361" s="8">
        <v>104000</v>
      </c>
      <c r="J3361" s="6"/>
      <c r="K3361" s="6" t="s">
        <v>2684</v>
      </c>
      <c r="L3361" s="6"/>
      <c r="M3361" s="6"/>
      <c r="N3361" s="6" t="s">
        <v>2684</v>
      </c>
      <c r="O3361" s="29">
        <f t="shared" si="81"/>
        <v>104000</v>
      </c>
      <c r="Q3361" s="30" t="s">
        <v>2684</v>
      </c>
      <c r="R3361" s="31">
        <v>104000</v>
      </c>
    </row>
    <row r="3362" s="1" customFormat="1" ht="16.35" hidden="1" customHeight="1" spans="1:18">
      <c r="A3362" s="6"/>
      <c r="B3362" s="6" t="s">
        <v>4271</v>
      </c>
      <c r="C3362" s="6" t="s">
        <v>4124</v>
      </c>
      <c r="D3362" s="7">
        <v>18</v>
      </c>
      <c r="E3362" s="6" t="s">
        <v>6991</v>
      </c>
      <c r="F3362" s="6" t="s">
        <v>5631</v>
      </c>
      <c r="G3362" s="6" t="s">
        <v>5632</v>
      </c>
      <c r="H3362" s="8"/>
      <c r="I3362" s="8">
        <v>38000</v>
      </c>
      <c r="J3362" s="6"/>
      <c r="K3362" s="6" t="s">
        <v>2688</v>
      </c>
      <c r="L3362" s="6"/>
      <c r="M3362" s="6"/>
      <c r="N3362" s="6" t="s">
        <v>2688</v>
      </c>
      <c r="O3362" s="29">
        <f t="shared" si="81"/>
        <v>38000</v>
      </c>
      <c r="Q3362" s="30" t="s">
        <v>2688</v>
      </c>
      <c r="R3362" s="31">
        <v>38000</v>
      </c>
    </row>
    <row r="3363" s="1" customFormat="1" ht="16.35" hidden="1" customHeight="1" spans="1:18">
      <c r="A3363" s="6"/>
      <c r="B3363" s="6" t="s">
        <v>4271</v>
      </c>
      <c r="C3363" s="6" t="s">
        <v>4124</v>
      </c>
      <c r="D3363" s="7">
        <v>78</v>
      </c>
      <c r="E3363" s="6" t="s">
        <v>6992</v>
      </c>
      <c r="F3363" s="6" t="s">
        <v>5631</v>
      </c>
      <c r="G3363" s="6" t="s">
        <v>5632</v>
      </c>
      <c r="H3363" s="8"/>
      <c r="I3363" s="8">
        <v>19000</v>
      </c>
      <c r="J3363" s="6"/>
      <c r="K3363" s="6" t="s">
        <v>2688</v>
      </c>
      <c r="L3363" s="6"/>
      <c r="M3363" s="6"/>
      <c r="N3363" s="6" t="s">
        <v>2688</v>
      </c>
      <c r="O3363" s="29">
        <f t="shared" si="81"/>
        <v>19000</v>
      </c>
      <c r="Q3363" s="30" t="s">
        <v>2688</v>
      </c>
      <c r="R3363" s="31">
        <v>19000</v>
      </c>
    </row>
    <row r="3364" s="1" customFormat="1" ht="16.35" hidden="1" customHeight="1" spans="1:18">
      <c r="A3364" s="6"/>
      <c r="B3364" s="6" t="s">
        <v>4271</v>
      </c>
      <c r="C3364" s="6" t="s">
        <v>4124</v>
      </c>
      <c r="D3364" s="7">
        <v>30</v>
      </c>
      <c r="E3364" s="6" t="s">
        <v>6993</v>
      </c>
      <c r="F3364" s="6" t="s">
        <v>5631</v>
      </c>
      <c r="G3364" s="6" t="s">
        <v>5632</v>
      </c>
      <c r="H3364" s="8"/>
      <c r="I3364" s="8">
        <v>166000</v>
      </c>
      <c r="J3364" s="6"/>
      <c r="K3364" s="6" t="s">
        <v>2732</v>
      </c>
      <c r="L3364" s="6"/>
      <c r="M3364" s="6"/>
      <c r="N3364" s="6" t="s">
        <v>2732</v>
      </c>
      <c r="O3364" s="29">
        <f t="shared" si="81"/>
        <v>166000</v>
      </c>
      <c r="Q3364" s="30" t="s">
        <v>2732</v>
      </c>
      <c r="R3364" s="31">
        <v>166000</v>
      </c>
    </row>
    <row r="3365" s="1" customFormat="1" ht="16.35" hidden="1" customHeight="1" spans="1:18">
      <c r="A3365" s="6"/>
      <c r="B3365" s="6" t="s">
        <v>4271</v>
      </c>
      <c r="C3365" s="6" t="s">
        <v>4124</v>
      </c>
      <c r="D3365" s="7">
        <v>83</v>
      </c>
      <c r="E3365" s="6" t="s">
        <v>6994</v>
      </c>
      <c r="F3365" s="6" t="s">
        <v>5631</v>
      </c>
      <c r="G3365" s="6" t="s">
        <v>5632</v>
      </c>
      <c r="H3365" s="8"/>
      <c r="I3365" s="8">
        <v>65102</v>
      </c>
      <c r="J3365" s="6"/>
      <c r="K3365" s="6" t="s">
        <v>2718</v>
      </c>
      <c r="L3365" s="6"/>
      <c r="M3365" s="6"/>
      <c r="N3365" s="6" t="s">
        <v>2718</v>
      </c>
      <c r="O3365" s="29">
        <f t="shared" si="81"/>
        <v>65102</v>
      </c>
      <c r="Q3365" s="30" t="s">
        <v>2718</v>
      </c>
      <c r="R3365" s="31">
        <v>65102</v>
      </c>
    </row>
    <row r="3366" s="1" customFormat="1" ht="16.35" hidden="1" customHeight="1" spans="1:18">
      <c r="A3366" s="6"/>
      <c r="B3366" s="6" t="s">
        <v>4271</v>
      </c>
      <c r="C3366" s="6" t="s">
        <v>4124</v>
      </c>
      <c r="D3366" s="7">
        <v>81</v>
      </c>
      <c r="E3366" s="6" t="s">
        <v>6995</v>
      </c>
      <c r="F3366" s="6" t="s">
        <v>5631</v>
      </c>
      <c r="G3366" s="6" t="s">
        <v>5632</v>
      </c>
      <c r="H3366" s="8"/>
      <c r="I3366" s="8">
        <v>10000</v>
      </c>
      <c r="J3366" s="6"/>
      <c r="K3366" s="6" t="s">
        <v>2143</v>
      </c>
      <c r="L3366" s="6"/>
      <c r="M3366" s="6"/>
      <c r="N3366" s="6" t="s">
        <v>2143</v>
      </c>
      <c r="O3366" s="29">
        <f t="shared" si="81"/>
        <v>10000</v>
      </c>
      <c r="Q3366" s="30" t="s">
        <v>2143</v>
      </c>
      <c r="R3366" s="31">
        <v>10000</v>
      </c>
    </row>
    <row r="3367" s="1" customFormat="1" ht="16.35" hidden="1" customHeight="1" spans="1:18">
      <c r="A3367" s="6"/>
      <c r="B3367" s="6" t="s">
        <v>4271</v>
      </c>
      <c r="C3367" s="6" t="s">
        <v>4124</v>
      </c>
      <c r="D3367" s="7">
        <v>26</v>
      </c>
      <c r="E3367" s="6" t="s">
        <v>6996</v>
      </c>
      <c r="F3367" s="6" t="s">
        <v>5631</v>
      </c>
      <c r="G3367" s="6" t="s">
        <v>5632</v>
      </c>
      <c r="H3367" s="8"/>
      <c r="I3367" s="8">
        <v>130000</v>
      </c>
      <c r="J3367" s="6"/>
      <c r="K3367" s="6" t="s">
        <v>2572</v>
      </c>
      <c r="L3367" s="6"/>
      <c r="M3367" s="6"/>
      <c r="N3367" s="6" t="s">
        <v>2572</v>
      </c>
      <c r="O3367" s="29">
        <f t="shared" si="81"/>
        <v>130000</v>
      </c>
      <c r="Q3367" s="30" t="s">
        <v>2572</v>
      </c>
      <c r="R3367" s="31">
        <v>130000</v>
      </c>
    </row>
    <row r="3368" s="1" customFormat="1" ht="16.35" hidden="1" customHeight="1" spans="1:18">
      <c r="A3368" s="6"/>
      <c r="B3368" s="6" t="s">
        <v>4271</v>
      </c>
      <c r="C3368" s="6" t="s">
        <v>4124</v>
      </c>
      <c r="D3368" s="7">
        <v>83</v>
      </c>
      <c r="E3368" s="6" t="s">
        <v>6994</v>
      </c>
      <c r="F3368" s="6" t="s">
        <v>5631</v>
      </c>
      <c r="G3368" s="6" t="s">
        <v>5632</v>
      </c>
      <c r="H3368" s="8"/>
      <c r="I3368" s="8">
        <v>8000</v>
      </c>
      <c r="J3368" s="6"/>
      <c r="K3368" s="6" t="s">
        <v>2390</v>
      </c>
      <c r="L3368" s="6"/>
      <c r="M3368" s="6"/>
      <c r="N3368" s="6" t="s">
        <v>2390</v>
      </c>
      <c r="O3368" s="29">
        <f t="shared" si="81"/>
        <v>8000</v>
      </c>
      <c r="Q3368" s="30" t="s">
        <v>2390</v>
      </c>
      <c r="R3368" s="31">
        <v>8000</v>
      </c>
    </row>
    <row r="3369" s="1" customFormat="1" ht="16.35" hidden="1" customHeight="1" spans="1:18">
      <c r="A3369" s="6"/>
      <c r="B3369" s="6" t="s">
        <v>4271</v>
      </c>
      <c r="C3369" s="6" t="s">
        <v>4124</v>
      </c>
      <c r="D3369" s="7">
        <v>86</v>
      </c>
      <c r="E3369" s="6" t="s">
        <v>6989</v>
      </c>
      <c r="F3369" s="6" t="s">
        <v>5631</v>
      </c>
      <c r="G3369" s="6" t="s">
        <v>5632</v>
      </c>
      <c r="H3369" s="8"/>
      <c r="I3369" s="8">
        <v>10000</v>
      </c>
      <c r="J3369" s="6"/>
      <c r="K3369" s="6" t="s">
        <v>2406</v>
      </c>
      <c r="L3369" s="6"/>
      <c r="M3369" s="6"/>
      <c r="N3369" s="6" t="s">
        <v>2406</v>
      </c>
      <c r="O3369" s="29">
        <f t="shared" si="81"/>
        <v>10000</v>
      </c>
      <c r="Q3369" s="30" t="s">
        <v>2406</v>
      </c>
      <c r="R3369" s="31">
        <v>10000</v>
      </c>
    </row>
    <row r="3370" s="1" customFormat="1" ht="16.35" hidden="1" customHeight="1" spans="1:18">
      <c r="A3370" s="6"/>
      <c r="B3370" s="6" t="s">
        <v>4271</v>
      </c>
      <c r="C3370" s="6" t="s">
        <v>4124</v>
      </c>
      <c r="D3370" s="7">
        <v>74</v>
      </c>
      <c r="E3370" s="6" t="s">
        <v>6997</v>
      </c>
      <c r="F3370" s="6" t="s">
        <v>5631</v>
      </c>
      <c r="G3370" s="6" t="s">
        <v>5632</v>
      </c>
      <c r="H3370" s="8"/>
      <c r="I3370" s="8">
        <v>10000</v>
      </c>
      <c r="J3370" s="6"/>
      <c r="K3370" s="6" t="s">
        <v>2406</v>
      </c>
      <c r="L3370" s="6"/>
      <c r="M3370" s="6"/>
      <c r="N3370" s="6" t="s">
        <v>2406</v>
      </c>
      <c r="O3370" s="29">
        <f t="shared" si="81"/>
        <v>10000</v>
      </c>
      <c r="Q3370" s="30" t="s">
        <v>2406</v>
      </c>
      <c r="R3370" s="31">
        <v>10000</v>
      </c>
    </row>
    <row r="3371" s="1" customFormat="1" ht="16.35" hidden="1" customHeight="1" spans="1:18">
      <c r="A3371" s="6"/>
      <c r="B3371" s="6" t="s">
        <v>4271</v>
      </c>
      <c r="C3371" s="6" t="s">
        <v>4124</v>
      </c>
      <c r="D3371" s="7">
        <v>85</v>
      </c>
      <c r="E3371" s="6" t="s">
        <v>6998</v>
      </c>
      <c r="F3371" s="6" t="s">
        <v>5631</v>
      </c>
      <c r="G3371" s="6" t="s">
        <v>5632</v>
      </c>
      <c r="H3371" s="8"/>
      <c r="I3371" s="8">
        <v>105873</v>
      </c>
      <c r="J3371" s="6"/>
      <c r="K3371" s="6" t="s">
        <v>2384</v>
      </c>
      <c r="L3371" s="6"/>
      <c r="M3371" s="6"/>
      <c r="N3371" s="6" t="s">
        <v>2384</v>
      </c>
      <c r="O3371" s="29">
        <f t="shared" si="81"/>
        <v>105873</v>
      </c>
      <c r="Q3371" s="30" t="s">
        <v>2384</v>
      </c>
      <c r="R3371" s="31">
        <v>105873</v>
      </c>
    </row>
    <row r="3372" s="1" customFormat="1" ht="16.35" hidden="1" customHeight="1" spans="1:18">
      <c r="A3372" s="6"/>
      <c r="B3372" s="6" t="s">
        <v>4271</v>
      </c>
      <c r="C3372" s="6" t="s">
        <v>4124</v>
      </c>
      <c r="D3372" s="7">
        <v>2</v>
      </c>
      <c r="E3372" s="6" t="s">
        <v>6999</v>
      </c>
      <c r="F3372" s="6" t="s">
        <v>5631</v>
      </c>
      <c r="G3372" s="6" t="s">
        <v>5632</v>
      </c>
      <c r="H3372" s="8"/>
      <c r="I3372" s="8">
        <v>5000</v>
      </c>
      <c r="J3372" s="6"/>
      <c r="K3372" s="6" t="s">
        <v>2557</v>
      </c>
      <c r="L3372" s="6"/>
      <c r="M3372" s="6"/>
      <c r="N3372" s="6" t="s">
        <v>2557</v>
      </c>
      <c r="O3372" s="29">
        <f t="shared" si="81"/>
        <v>5000</v>
      </c>
      <c r="Q3372" s="30" t="s">
        <v>2557</v>
      </c>
      <c r="R3372" s="31">
        <v>5000</v>
      </c>
    </row>
    <row r="3373" s="1" customFormat="1" ht="16.35" hidden="1" customHeight="1" spans="1:18">
      <c r="A3373" s="6"/>
      <c r="B3373" s="6" t="s">
        <v>4271</v>
      </c>
      <c r="C3373" s="6" t="s">
        <v>4124</v>
      </c>
      <c r="D3373" s="7">
        <v>32</v>
      </c>
      <c r="E3373" s="6" t="s">
        <v>7000</v>
      </c>
      <c r="F3373" s="6" t="s">
        <v>5631</v>
      </c>
      <c r="G3373" s="6" t="s">
        <v>5632</v>
      </c>
      <c r="H3373" s="8"/>
      <c r="I3373" s="8">
        <v>150000</v>
      </c>
      <c r="J3373" s="6"/>
      <c r="K3373" s="6" t="s">
        <v>2576</v>
      </c>
      <c r="L3373" s="6"/>
      <c r="M3373" s="6"/>
      <c r="N3373" s="6" t="s">
        <v>2576</v>
      </c>
      <c r="O3373" s="29">
        <f t="shared" si="81"/>
        <v>150000</v>
      </c>
      <c r="Q3373" s="30" t="s">
        <v>2576</v>
      </c>
      <c r="R3373" s="31">
        <v>150000</v>
      </c>
    </row>
    <row r="3374" s="1" customFormat="1" ht="16.35" hidden="1" customHeight="1" spans="1:18">
      <c r="A3374" s="6"/>
      <c r="B3374" s="6" t="s">
        <v>4271</v>
      </c>
      <c r="C3374" s="6" t="s">
        <v>4124</v>
      </c>
      <c r="D3374" s="7">
        <v>1</v>
      </c>
      <c r="E3374" s="6" t="s">
        <v>7001</v>
      </c>
      <c r="F3374" s="6" t="s">
        <v>5631</v>
      </c>
      <c r="G3374" s="6" t="s">
        <v>5632</v>
      </c>
      <c r="H3374" s="8"/>
      <c r="I3374" s="8">
        <v>-5000</v>
      </c>
      <c r="J3374" s="6"/>
      <c r="K3374" s="6" t="s">
        <v>2553</v>
      </c>
      <c r="L3374" s="6"/>
      <c r="M3374" s="6"/>
      <c r="N3374" s="6" t="s">
        <v>2553</v>
      </c>
      <c r="O3374" s="29">
        <f t="shared" si="81"/>
        <v>-5000</v>
      </c>
      <c r="Q3374" s="30" t="s">
        <v>2553</v>
      </c>
      <c r="R3374" s="31">
        <v>-5000</v>
      </c>
    </row>
    <row r="3375" s="1" customFormat="1" ht="16.35" hidden="1" customHeight="1" spans="1:18">
      <c r="A3375" s="6"/>
      <c r="B3375" s="6" t="s">
        <v>4271</v>
      </c>
      <c r="C3375" s="6" t="s">
        <v>4124</v>
      </c>
      <c r="D3375" s="7">
        <v>2</v>
      </c>
      <c r="E3375" s="6" t="s">
        <v>6999</v>
      </c>
      <c r="F3375" s="6" t="s">
        <v>5631</v>
      </c>
      <c r="G3375" s="6" t="s">
        <v>5632</v>
      </c>
      <c r="H3375" s="8"/>
      <c r="I3375" s="8">
        <v>-5000</v>
      </c>
      <c r="J3375" s="6"/>
      <c r="K3375" s="6" t="s">
        <v>2555</v>
      </c>
      <c r="L3375" s="6"/>
      <c r="M3375" s="6"/>
      <c r="N3375" s="6" t="s">
        <v>2555</v>
      </c>
      <c r="O3375" s="29">
        <f t="shared" si="81"/>
        <v>-5000</v>
      </c>
      <c r="Q3375" s="30" t="s">
        <v>2555</v>
      </c>
      <c r="R3375" s="31">
        <v>-5000</v>
      </c>
    </row>
    <row r="3376" s="1" customFormat="1" ht="16.35" hidden="1" customHeight="1" spans="1:18">
      <c r="A3376" s="6"/>
      <c r="B3376" s="6" t="s">
        <v>4271</v>
      </c>
      <c r="C3376" s="6" t="s">
        <v>4124</v>
      </c>
      <c r="D3376" s="7">
        <v>87</v>
      </c>
      <c r="E3376" s="6" t="s">
        <v>7002</v>
      </c>
      <c r="F3376" s="6" t="s">
        <v>5631</v>
      </c>
      <c r="G3376" s="6" t="s">
        <v>5632</v>
      </c>
      <c r="H3376" s="8"/>
      <c r="I3376" s="8">
        <v>89683</v>
      </c>
      <c r="J3376" s="6"/>
      <c r="K3376" s="6" t="s">
        <v>2644</v>
      </c>
      <c r="L3376" s="6"/>
      <c r="M3376" s="6"/>
      <c r="N3376" s="6" t="s">
        <v>2644</v>
      </c>
      <c r="O3376" s="29">
        <f t="shared" si="81"/>
        <v>89683</v>
      </c>
      <c r="Q3376" s="30" t="s">
        <v>2644</v>
      </c>
      <c r="R3376" s="31">
        <v>89683</v>
      </c>
    </row>
    <row r="3377" s="1" customFormat="1" ht="16.35" hidden="1" customHeight="1" spans="1:18">
      <c r="A3377" s="6"/>
      <c r="B3377" s="6" t="s">
        <v>4271</v>
      </c>
      <c r="C3377" s="6" t="s">
        <v>4124</v>
      </c>
      <c r="D3377" s="7">
        <v>88</v>
      </c>
      <c r="E3377" s="6" t="s">
        <v>6986</v>
      </c>
      <c r="F3377" s="6" t="s">
        <v>5631</v>
      </c>
      <c r="G3377" s="6" t="s">
        <v>5632</v>
      </c>
      <c r="H3377" s="8"/>
      <c r="I3377" s="8">
        <v>32000</v>
      </c>
      <c r="J3377" s="6"/>
      <c r="K3377" s="6" t="s">
        <v>2640</v>
      </c>
      <c r="L3377" s="6"/>
      <c r="M3377" s="6"/>
      <c r="N3377" s="6" t="s">
        <v>2640</v>
      </c>
      <c r="O3377" s="29">
        <f t="shared" si="81"/>
        <v>32000</v>
      </c>
      <c r="Q3377" s="30" t="s">
        <v>2640</v>
      </c>
      <c r="R3377" s="31">
        <v>32000</v>
      </c>
    </row>
    <row r="3378" s="1" customFormat="1" ht="16.35" hidden="1" customHeight="1" spans="1:18">
      <c r="A3378" s="6"/>
      <c r="B3378" s="6" t="s">
        <v>4271</v>
      </c>
      <c r="C3378" s="6" t="s">
        <v>4124</v>
      </c>
      <c r="D3378" s="7">
        <v>83</v>
      </c>
      <c r="E3378" s="6" t="s">
        <v>6994</v>
      </c>
      <c r="F3378" s="6" t="s">
        <v>5631</v>
      </c>
      <c r="G3378" s="6" t="s">
        <v>5632</v>
      </c>
      <c r="H3378" s="8"/>
      <c r="I3378" s="8">
        <v>52000</v>
      </c>
      <c r="J3378" s="6"/>
      <c r="K3378" s="6" t="s">
        <v>2662</v>
      </c>
      <c r="L3378" s="6"/>
      <c r="M3378" s="6"/>
      <c r="N3378" s="6" t="s">
        <v>2662</v>
      </c>
      <c r="O3378" s="29">
        <f t="shared" si="81"/>
        <v>52000</v>
      </c>
      <c r="Q3378" s="30" t="s">
        <v>2662</v>
      </c>
      <c r="R3378" s="31">
        <v>52000</v>
      </c>
    </row>
    <row r="3379" s="1" customFormat="1" ht="16.35" hidden="1" customHeight="1" spans="1:18">
      <c r="A3379" s="6"/>
      <c r="B3379" s="6" t="s">
        <v>4271</v>
      </c>
      <c r="C3379" s="6" t="s">
        <v>4124</v>
      </c>
      <c r="D3379" s="7">
        <v>14</v>
      </c>
      <c r="E3379" s="6" t="s">
        <v>7003</v>
      </c>
      <c r="F3379" s="6" t="s">
        <v>5631</v>
      </c>
      <c r="G3379" s="6" t="s">
        <v>5632</v>
      </c>
      <c r="H3379" s="8"/>
      <c r="I3379" s="8">
        <v>10000</v>
      </c>
      <c r="J3379" s="6"/>
      <c r="K3379" s="6" t="s">
        <v>2662</v>
      </c>
      <c r="L3379" s="6"/>
      <c r="M3379" s="6"/>
      <c r="N3379" s="6" t="s">
        <v>2662</v>
      </c>
      <c r="O3379" s="29">
        <f t="shared" si="81"/>
        <v>10000</v>
      </c>
      <c r="Q3379" s="30" t="s">
        <v>2662</v>
      </c>
      <c r="R3379" s="31">
        <v>10000</v>
      </c>
    </row>
    <row r="3380" s="1" customFormat="1" ht="16.35" hidden="1" customHeight="1" spans="1:18">
      <c r="A3380" s="6"/>
      <c r="B3380" s="6" t="s">
        <v>4271</v>
      </c>
      <c r="C3380" s="6" t="s">
        <v>4124</v>
      </c>
      <c r="D3380" s="7">
        <v>80</v>
      </c>
      <c r="E3380" s="6" t="s">
        <v>7004</v>
      </c>
      <c r="F3380" s="6" t="s">
        <v>5631</v>
      </c>
      <c r="G3380" s="6" t="s">
        <v>5632</v>
      </c>
      <c r="H3380" s="8"/>
      <c r="I3380" s="8">
        <v>4000</v>
      </c>
      <c r="J3380" s="6"/>
      <c r="K3380" s="6" t="s">
        <v>2662</v>
      </c>
      <c r="L3380" s="6"/>
      <c r="M3380" s="6"/>
      <c r="N3380" s="6" t="s">
        <v>2662</v>
      </c>
      <c r="O3380" s="29">
        <f t="shared" si="81"/>
        <v>4000</v>
      </c>
      <c r="Q3380" s="30" t="s">
        <v>2662</v>
      </c>
      <c r="R3380" s="31">
        <v>4000</v>
      </c>
    </row>
    <row r="3381" s="1" customFormat="1" ht="16.35" hidden="1" customHeight="1" spans="1:18">
      <c r="A3381" s="6"/>
      <c r="B3381" s="6" t="s">
        <v>4271</v>
      </c>
      <c r="C3381" s="6" t="s">
        <v>4124</v>
      </c>
      <c r="D3381" s="7">
        <v>25</v>
      </c>
      <c r="E3381" s="6" t="s">
        <v>7005</v>
      </c>
      <c r="F3381" s="6" t="s">
        <v>5631</v>
      </c>
      <c r="G3381" s="6" t="s">
        <v>5632</v>
      </c>
      <c r="H3381" s="8"/>
      <c r="I3381" s="8">
        <v>89000</v>
      </c>
      <c r="J3381" s="6"/>
      <c r="K3381" s="6" t="s">
        <v>2674</v>
      </c>
      <c r="L3381" s="6"/>
      <c r="M3381" s="6"/>
      <c r="N3381" s="6" t="s">
        <v>2674</v>
      </c>
      <c r="O3381" s="29">
        <f t="shared" si="81"/>
        <v>89000</v>
      </c>
      <c r="Q3381" s="30" t="s">
        <v>2674</v>
      </c>
      <c r="R3381" s="31">
        <v>89000</v>
      </c>
    </row>
    <row r="3382" s="1" customFormat="1" ht="16.35" hidden="1" customHeight="1" spans="1:18">
      <c r="A3382" s="6"/>
      <c r="B3382" s="6" t="s">
        <v>4271</v>
      </c>
      <c r="C3382" s="6" t="s">
        <v>4124</v>
      </c>
      <c r="D3382" s="7">
        <v>82</v>
      </c>
      <c r="E3382" s="6" t="s">
        <v>6979</v>
      </c>
      <c r="F3382" s="6" t="s">
        <v>5631</v>
      </c>
      <c r="G3382" s="6" t="s">
        <v>5632</v>
      </c>
      <c r="H3382" s="8"/>
      <c r="I3382" s="8">
        <v>23000</v>
      </c>
      <c r="J3382" s="6"/>
      <c r="K3382" s="6" t="s">
        <v>2656</v>
      </c>
      <c r="L3382" s="6"/>
      <c r="M3382" s="6"/>
      <c r="N3382" s="6" t="s">
        <v>2656</v>
      </c>
      <c r="O3382" s="29">
        <f t="shared" si="81"/>
        <v>23000</v>
      </c>
      <c r="Q3382" s="30" t="s">
        <v>2656</v>
      </c>
      <c r="R3382" s="31">
        <v>23000</v>
      </c>
    </row>
    <row r="3383" s="1" customFormat="1" ht="16.35" hidden="1" customHeight="1" spans="1:18">
      <c r="A3383" s="6"/>
      <c r="B3383" s="6" t="s">
        <v>4271</v>
      </c>
      <c r="C3383" s="6" t="s">
        <v>4124</v>
      </c>
      <c r="D3383" s="7">
        <v>80</v>
      </c>
      <c r="E3383" s="6" t="s">
        <v>7004</v>
      </c>
      <c r="F3383" s="6" t="s">
        <v>5631</v>
      </c>
      <c r="G3383" s="6" t="s">
        <v>5632</v>
      </c>
      <c r="H3383" s="8"/>
      <c r="I3383" s="8">
        <v>27000</v>
      </c>
      <c r="J3383" s="6"/>
      <c r="K3383" s="6" t="s">
        <v>2680</v>
      </c>
      <c r="L3383" s="6"/>
      <c r="M3383" s="6"/>
      <c r="N3383" s="6" t="s">
        <v>2680</v>
      </c>
      <c r="O3383" s="29">
        <f t="shared" si="81"/>
        <v>27000</v>
      </c>
      <c r="Q3383" s="30" t="s">
        <v>2680</v>
      </c>
      <c r="R3383" s="31">
        <v>27000</v>
      </c>
    </row>
    <row r="3384" s="1" customFormat="1" ht="16.35" hidden="1" customHeight="1" spans="1:18">
      <c r="A3384" s="6"/>
      <c r="B3384" s="6" t="s">
        <v>4271</v>
      </c>
      <c r="C3384" s="6" t="s">
        <v>4124</v>
      </c>
      <c r="D3384" s="7">
        <v>20</v>
      </c>
      <c r="E3384" s="6" t="s">
        <v>6715</v>
      </c>
      <c r="F3384" s="6" t="s">
        <v>5631</v>
      </c>
      <c r="G3384" s="6" t="s">
        <v>5632</v>
      </c>
      <c r="H3384" s="8"/>
      <c r="I3384" s="8">
        <v>7000</v>
      </c>
      <c r="J3384" s="6"/>
      <c r="K3384" s="6" t="s">
        <v>2624</v>
      </c>
      <c r="L3384" s="6"/>
      <c r="M3384" s="6"/>
      <c r="N3384" s="6" t="s">
        <v>2624</v>
      </c>
      <c r="O3384" s="29">
        <f t="shared" si="81"/>
        <v>7000</v>
      </c>
      <c r="Q3384" s="30" t="s">
        <v>2624</v>
      </c>
      <c r="R3384" s="31">
        <v>7000</v>
      </c>
    </row>
    <row r="3385" s="1" customFormat="1" ht="16.35" hidden="1" customHeight="1" spans="1:18">
      <c r="A3385" s="6"/>
      <c r="B3385" s="6" t="s">
        <v>4271</v>
      </c>
      <c r="C3385" s="6" t="s">
        <v>4124</v>
      </c>
      <c r="D3385" s="7">
        <v>91</v>
      </c>
      <c r="E3385" s="6" t="s">
        <v>7006</v>
      </c>
      <c r="F3385" s="6" t="s">
        <v>5631</v>
      </c>
      <c r="G3385" s="6" t="s">
        <v>5632</v>
      </c>
      <c r="H3385" s="8"/>
      <c r="I3385" s="8">
        <v>90000</v>
      </c>
      <c r="J3385" s="6"/>
      <c r="K3385" s="6" t="s">
        <v>2624</v>
      </c>
      <c r="L3385" s="6"/>
      <c r="M3385" s="6"/>
      <c r="N3385" s="6" t="s">
        <v>2624</v>
      </c>
      <c r="O3385" s="29">
        <f t="shared" si="81"/>
        <v>90000</v>
      </c>
      <c r="Q3385" s="30" t="s">
        <v>2624</v>
      </c>
      <c r="R3385" s="31">
        <v>90000</v>
      </c>
    </row>
    <row r="3386" s="1" customFormat="1" ht="16.35" hidden="1" customHeight="1" spans="1:18">
      <c r="A3386" s="6"/>
      <c r="B3386" s="6" t="s">
        <v>4271</v>
      </c>
      <c r="C3386" s="6" t="s">
        <v>4124</v>
      </c>
      <c r="D3386" s="7">
        <v>78</v>
      </c>
      <c r="E3386" s="6" t="s">
        <v>6992</v>
      </c>
      <c r="F3386" s="6" t="s">
        <v>5631</v>
      </c>
      <c r="G3386" s="6" t="s">
        <v>5632</v>
      </c>
      <c r="H3386" s="8"/>
      <c r="I3386" s="8">
        <v>2000</v>
      </c>
      <c r="J3386" s="6"/>
      <c r="K3386" s="6" t="s">
        <v>2624</v>
      </c>
      <c r="L3386" s="6"/>
      <c r="M3386" s="6"/>
      <c r="N3386" s="6" t="s">
        <v>2624</v>
      </c>
      <c r="O3386" s="29">
        <f t="shared" si="81"/>
        <v>2000</v>
      </c>
      <c r="Q3386" s="30" t="s">
        <v>2624</v>
      </c>
      <c r="R3386" s="31">
        <v>2000</v>
      </c>
    </row>
    <row r="3387" s="1" customFormat="1" ht="16.35" hidden="1" customHeight="1" spans="1:18">
      <c r="A3387" s="6"/>
      <c r="B3387" s="6" t="s">
        <v>4271</v>
      </c>
      <c r="C3387" s="6" t="s">
        <v>4124</v>
      </c>
      <c r="D3387" s="7">
        <v>8</v>
      </c>
      <c r="E3387" s="6" t="s">
        <v>7007</v>
      </c>
      <c r="F3387" s="6" t="s">
        <v>5631</v>
      </c>
      <c r="G3387" s="6" t="s">
        <v>5632</v>
      </c>
      <c r="H3387" s="8"/>
      <c r="I3387" s="8">
        <v>1000</v>
      </c>
      <c r="J3387" s="6"/>
      <c r="K3387" s="6" t="s">
        <v>2650</v>
      </c>
      <c r="L3387" s="6"/>
      <c r="M3387" s="6"/>
      <c r="N3387" s="6" t="s">
        <v>2650</v>
      </c>
      <c r="O3387" s="29">
        <f t="shared" si="81"/>
        <v>1000</v>
      </c>
      <c r="Q3387" s="30" t="s">
        <v>2650</v>
      </c>
      <c r="R3387" s="31">
        <v>1000</v>
      </c>
    </row>
    <row r="3388" s="1" customFormat="1" ht="16.35" hidden="1" customHeight="1" spans="1:18">
      <c r="A3388" s="6"/>
      <c r="B3388" s="6" t="s">
        <v>4271</v>
      </c>
      <c r="C3388" s="6" t="s">
        <v>4124</v>
      </c>
      <c r="D3388" s="7">
        <v>4</v>
      </c>
      <c r="E3388" s="6" t="s">
        <v>7007</v>
      </c>
      <c r="F3388" s="6" t="s">
        <v>5631</v>
      </c>
      <c r="G3388" s="6" t="s">
        <v>5632</v>
      </c>
      <c r="H3388" s="8"/>
      <c r="I3388" s="8">
        <v>10000</v>
      </c>
      <c r="J3388" s="6"/>
      <c r="K3388" s="6" t="s">
        <v>2650</v>
      </c>
      <c r="L3388" s="6"/>
      <c r="M3388" s="6"/>
      <c r="N3388" s="6" t="s">
        <v>2650</v>
      </c>
      <c r="O3388" s="29">
        <f t="shared" si="81"/>
        <v>10000</v>
      </c>
      <c r="Q3388" s="30" t="s">
        <v>2650</v>
      </c>
      <c r="R3388" s="31">
        <v>10000</v>
      </c>
    </row>
    <row r="3389" s="1" customFormat="1" ht="16.35" hidden="1" customHeight="1" spans="1:18">
      <c r="A3389" s="6"/>
      <c r="B3389" s="6" t="s">
        <v>4271</v>
      </c>
      <c r="C3389" s="6" t="s">
        <v>4124</v>
      </c>
      <c r="D3389" s="7">
        <v>80</v>
      </c>
      <c r="E3389" s="6" t="s">
        <v>7004</v>
      </c>
      <c r="F3389" s="6" t="s">
        <v>5631</v>
      </c>
      <c r="G3389" s="6" t="s">
        <v>5632</v>
      </c>
      <c r="H3389" s="8"/>
      <c r="I3389" s="8">
        <v>79579</v>
      </c>
      <c r="J3389" s="6"/>
      <c r="K3389" s="6" t="s">
        <v>2612</v>
      </c>
      <c r="L3389" s="6"/>
      <c r="M3389" s="6"/>
      <c r="N3389" s="6" t="s">
        <v>2612</v>
      </c>
      <c r="O3389" s="29">
        <f t="shared" si="81"/>
        <v>79579</v>
      </c>
      <c r="Q3389" s="30" t="s">
        <v>2612</v>
      </c>
      <c r="R3389" s="31">
        <v>79579</v>
      </c>
    </row>
    <row r="3390" s="1" customFormat="1" ht="16.35" hidden="1" customHeight="1" spans="1:18">
      <c r="A3390" s="6"/>
      <c r="B3390" s="6" t="s">
        <v>4271</v>
      </c>
      <c r="C3390" s="6" t="s">
        <v>4124</v>
      </c>
      <c r="D3390" s="7">
        <v>33</v>
      </c>
      <c r="E3390" s="6" t="s">
        <v>7008</v>
      </c>
      <c r="F3390" s="6" t="s">
        <v>5631</v>
      </c>
      <c r="G3390" s="6" t="s">
        <v>5632</v>
      </c>
      <c r="H3390" s="8"/>
      <c r="I3390" s="8">
        <v>186000</v>
      </c>
      <c r="J3390" s="6"/>
      <c r="K3390" s="6" t="s">
        <v>2698</v>
      </c>
      <c r="L3390" s="6"/>
      <c r="M3390" s="6"/>
      <c r="N3390" s="6" t="s">
        <v>2698</v>
      </c>
      <c r="O3390" s="29">
        <f t="shared" si="81"/>
        <v>186000</v>
      </c>
      <c r="Q3390" s="30" t="s">
        <v>2698</v>
      </c>
      <c r="R3390" s="31">
        <v>186000</v>
      </c>
    </row>
    <row r="3391" s="1" customFormat="1" ht="16.35" hidden="1" customHeight="1" spans="1:18">
      <c r="A3391" s="6"/>
      <c r="B3391" s="6" t="s">
        <v>4271</v>
      </c>
      <c r="C3391" s="6" t="s">
        <v>4124</v>
      </c>
      <c r="D3391" s="7">
        <v>17</v>
      </c>
      <c r="E3391" s="6" t="s">
        <v>7009</v>
      </c>
      <c r="F3391" s="6" t="s">
        <v>5631</v>
      </c>
      <c r="G3391" s="6" t="s">
        <v>5632</v>
      </c>
      <c r="H3391" s="8"/>
      <c r="I3391" s="8">
        <v>10000</v>
      </c>
      <c r="J3391" s="6"/>
      <c r="K3391" s="6" t="s">
        <v>2722</v>
      </c>
      <c r="L3391" s="6"/>
      <c r="M3391" s="6"/>
      <c r="N3391" s="6" t="s">
        <v>2722</v>
      </c>
      <c r="O3391" s="29">
        <f t="shared" si="81"/>
        <v>10000</v>
      </c>
      <c r="Q3391" s="30" t="s">
        <v>2722</v>
      </c>
      <c r="R3391" s="31">
        <v>10000</v>
      </c>
    </row>
    <row r="3392" s="1" customFormat="1" ht="16.35" hidden="1" customHeight="1" spans="1:18">
      <c r="A3392" s="6"/>
      <c r="B3392" s="6" t="s">
        <v>4271</v>
      </c>
      <c r="C3392" s="6" t="s">
        <v>4124</v>
      </c>
      <c r="D3392" s="7">
        <v>85</v>
      </c>
      <c r="E3392" s="6" t="s">
        <v>6998</v>
      </c>
      <c r="F3392" s="6" t="s">
        <v>5631</v>
      </c>
      <c r="G3392" s="6" t="s">
        <v>5632</v>
      </c>
      <c r="H3392" s="8"/>
      <c r="I3392" s="8">
        <v>10000</v>
      </c>
      <c r="J3392" s="6"/>
      <c r="K3392" s="6" t="s">
        <v>2728</v>
      </c>
      <c r="L3392" s="6"/>
      <c r="M3392" s="6"/>
      <c r="N3392" s="6" t="s">
        <v>2728</v>
      </c>
      <c r="O3392" s="29">
        <f t="shared" si="81"/>
        <v>10000</v>
      </c>
      <c r="Q3392" s="30" t="s">
        <v>2728</v>
      </c>
      <c r="R3392" s="31">
        <v>10000</v>
      </c>
    </row>
    <row r="3393" s="1" customFormat="1" ht="16.35" hidden="1" customHeight="1" spans="1:18">
      <c r="A3393" s="6"/>
      <c r="B3393" s="6" t="s">
        <v>4271</v>
      </c>
      <c r="C3393" s="6" t="s">
        <v>4124</v>
      </c>
      <c r="D3393" s="7">
        <v>90</v>
      </c>
      <c r="E3393" s="6" t="s">
        <v>6767</v>
      </c>
      <c r="F3393" s="6" t="s">
        <v>5631</v>
      </c>
      <c r="G3393" s="6" t="s">
        <v>5632</v>
      </c>
      <c r="H3393" s="8"/>
      <c r="I3393" s="8">
        <v>97000.01</v>
      </c>
      <c r="J3393" s="6"/>
      <c r="K3393" s="6" t="s">
        <v>2075</v>
      </c>
      <c r="L3393" s="6"/>
      <c r="M3393" s="6"/>
      <c r="N3393" s="6" t="s">
        <v>2075</v>
      </c>
      <c r="O3393" s="29">
        <f t="shared" si="81"/>
        <v>97000.01</v>
      </c>
      <c r="Q3393" s="30" t="s">
        <v>2075</v>
      </c>
      <c r="R3393" s="31">
        <v>97000.01</v>
      </c>
    </row>
    <row r="3394" s="1" customFormat="1" ht="16.35" hidden="1" customHeight="1" spans="1:18">
      <c r="A3394" s="6"/>
      <c r="B3394" s="6" t="s">
        <v>4271</v>
      </c>
      <c r="C3394" s="6" t="s">
        <v>4124</v>
      </c>
      <c r="D3394" s="7">
        <v>81</v>
      </c>
      <c r="E3394" s="6" t="s">
        <v>6995</v>
      </c>
      <c r="F3394" s="6" t="s">
        <v>5631</v>
      </c>
      <c r="G3394" s="6" t="s">
        <v>5632</v>
      </c>
      <c r="H3394" s="8"/>
      <c r="I3394" s="8">
        <v>84460</v>
      </c>
      <c r="J3394" s="6"/>
      <c r="K3394" s="6" t="s">
        <v>2051</v>
      </c>
      <c r="L3394" s="6"/>
      <c r="M3394" s="6"/>
      <c r="N3394" s="6" t="s">
        <v>2051</v>
      </c>
      <c r="O3394" s="29">
        <f t="shared" si="81"/>
        <v>84460</v>
      </c>
      <c r="Q3394" s="30" t="s">
        <v>2051</v>
      </c>
      <c r="R3394" s="31">
        <v>84460</v>
      </c>
    </row>
    <row r="3395" s="1" customFormat="1" ht="16.35" hidden="1" customHeight="1" spans="1:18">
      <c r="A3395" s="6"/>
      <c r="B3395" s="6" t="s">
        <v>4271</v>
      </c>
      <c r="C3395" s="6" t="s">
        <v>4124</v>
      </c>
      <c r="D3395" s="7">
        <v>86</v>
      </c>
      <c r="E3395" s="6" t="s">
        <v>6989</v>
      </c>
      <c r="F3395" s="6" t="s">
        <v>5631</v>
      </c>
      <c r="G3395" s="6" t="s">
        <v>5632</v>
      </c>
      <c r="H3395" s="8"/>
      <c r="I3395" s="8">
        <v>9000</v>
      </c>
      <c r="J3395" s="6"/>
      <c r="K3395" s="6" t="s">
        <v>2368</v>
      </c>
      <c r="L3395" s="6"/>
      <c r="M3395" s="6"/>
      <c r="N3395" s="6" t="s">
        <v>2368</v>
      </c>
      <c r="O3395" s="29">
        <f t="shared" si="81"/>
        <v>9000</v>
      </c>
      <c r="Q3395" s="30" t="s">
        <v>2368</v>
      </c>
      <c r="R3395" s="31">
        <v>9000</v>
      </c>
    </row>
    <row r="3396" s="1" customFormat="1" ht="16.35" hidden="1" customHeight="1" spans="1:18">
      <c r="A3396" s="6"/>
      <c r="B3396" s="6" t="s">
        <v>4271</v>
      </c>
      <c r="C3396" s="6" t="s">
        <v>4124</v>
      </c>
      <c r="D3396" s="7">
        <v>5</v>
      </c>
      <c r="E3396" s="6" t="s">
        <v>7010</v>
      </c>
      <c r="F3396" s="6" t="s">
        <v>5631</v>
      </c>
      <c r="G3396" s="6" t="s">
        <v>5632</v>
      </c>
      <c r="H3396" s="8"/>
      <c r="I3396" s="8">
        <v>580</v>
      </c>
      <c r="J3396" s="6"/>
      <c r="K3396" s="6" t="s">
        <v>2368</v>
      </c>
      <c r="L3396" s="6"/>
      <c r="M3396" s="6"/>
      <c r="N3396" s="6" t="s">
        <v>2368</v>
      </c>
      <c r="O3396" s="29">
        <f t="shared" si="81"/>
        <v>580</v>
      </c>
      <c r="Q3396" s="30" t="s">
        <v>2368</v>
      </c>
      <c r="R3396" s="31">
        <v>580</v>
      </c>
    </row>
    <row r="3397" s="1" customFormat="1" ht="16.35" hidden="1" customHeight="1" spans="1:18">
      <c r="A3397" s="6"/>
      <c r="B3397" s="6" t="s">
        <v>4271</v>
      </c>
      <c r="C3397" s="6" t="s">
        <v>4124</v>
      </c>
      <c r="D3397" s="7">
        <v>41</v>
      </c>
      <c r="E3397" s="6" t="s">
        <v>7011</v>
      </c>
      <c r="F3397" s="6" t="s">
        <v>5631</v>
      </c>
      <c r="G3397" s="6" t="s">
        <v>5632</v>
      </c>
      <c r="H3397" s="8"/>
      <c r="I3397" s="8">
        <v>20000</v>
      </c>
      <c r="J3397" s="6"/>
      <c r="K3397" s="6" t="s">
        <v>954</v>
      </c>
      <c r="L3397" s="6"/>
      <c r="M3397" s="6"/>
      <c r="N3397" s="6" t="s">
        <v>954</v>
      </c>
      <c r="O3397" s="29">
        <f t="shared" si="81"/>
        <v>20000</v>
      </c>
      <c r="Q3397" s="30" t="s">
        <v>954</v>
      </c>
      <c r="R3397" s="31">
        <v>20000</v>
      </c>
    </row>
    <row r="3398" s="1" customFormat="1" ht="16.35" hidden="1" customHeight="1" spans="1:18">
      <c r="A3398" s="6"/>
      <c r="B3398" s="6" t="s">
        <v>4271</v>
      </c>
      <c r="C3398" s="6" t="s">
        <v>4124</v>
      </c>
      <c r="D3398" s="7">
        <v>41</v>
      </c>
      <c r="E3398" s="6" t="s">
        <v>7011</v>
      </c>
      <c r="F3398" s="6" t="s">
        <v>5631</v>
      </c>
      <c r="G3398" s="6" t="s">
        <v>5632</v>
      </c>
      <c r="H3398" s="8">
        <v>20000</v>
      </c>
      <c r="I3398" s="8"/>
      <c r="J3398" s="6"/>
      <c r="K3398" s="6" t="s">
        <v>954</v>
      </c>
      <c r="L3398" s="6"/>
      <c r="M3398" s="6"/>
      <c r="N3398" s="6" t="s">
        <v>954</v>
      </c>
      <c r="O3398" s="29">
        <f t="shared" si="81"/>
        <v>0</v>
      </c>
      <c r="Q3398" s="30" t="s">
        <v>954</v>
      </c>
      <c r="R3398" s="31">
        <v>0</v>
      </c>
    </row>
    <row r="3399" s="1" customFormat="1" ht="16.35" hidden="1" customHeight="1" spans="1:18">
      <c r="A3399" s="6"/>
      <c r="B3399" s="6" t="s">
        <v>4271</v>
      </c>
      <c r="C3399" s="6" t="s">
        <v>4124</v>
      </c>
      <c r="D3399" s="7">
        <v>19</v>
      </c>
      <c r="E3399" s="6" t="s">
        <v>7012</v>
      </c>
      <c r="F3399" s="6" t="s">
        <v>5631</v>
      </c>
      <c r="G3399" s="6" t="s">
        <v>5632</v>
      </c>
      <c r="H3399" s="8"/>
      <c r="I3399" s="8">
        <v>10000</v>
      </c>
      <c r="J3399" s="6"/>
      <c r="K3399" s="6" t="s">
        <v>2412</v>
      </c>
      <c r="L3399" s="6"/>
      <c r="M3399" s="6"/>
      <c r="N3399" s="6" t="s">
        <v>2412</v>
      </c>
      <c r="O3399" s="29">
        <f t="shared" ref="O3399:O3421" si="82">I3399</f>
        <v>10000</v>
      </c>
      <c r="Q3399" s="30" t="s">
        <v>2412</v>
      </c>
      <c r="R3399" s="31">
        <v>10000</v>
      </c>
    </row>
    <row r="3400" s="1" customFormat="1" ht="16.35" hidden="1" customHeight="1" spans="1:18">
      <c r="A3400" s="6"/>
      <c r="B3400" s="6" t="s">
        <v>4271</v>
      </c>
      <c r="C3400" s="6" t="s">
        <v>4124</v>
      </c>
      <c r="D3400" s="7">
        <v>72</v>
      </c>
      <c r="E3400" s="6" t="s">
        <v>7013</v>
      </c>
      <c r="F3400" s="6" t="s">
        <v>5631</v>
      </c>
      <c r="G3400" s="6" t="s">
        <v>5632</v>
      </c>
      <c r="H3400" s="8"/>
      <c r="I3400" s="8">
        <v>8500</v>
      </c>
      <c r="J3400" s="6"/>
      <c r="K3400" s="6" t="s">
        <v>2398</v>
      </c>
      <c r="L3400" s="6"/>
      <c r="M3400" s="6"/>
      <c r="N3400" s="6" t="s">
        <v>2398</v>
      </c>
      <c r="O3400" s="29">
        <f t="shared" si="82"/>
        <v>8500</v>
      </c>
      <c r="Q3400" s="30" t="s">
        <v>2398</v>
      </c>
      <c r="R3400" s="31">
        <v>8500</v>
      </c>
    </row>
    <row r="3401" s="1" customFormat="1" ht="16.35" hidden="1" customHeight="1" spans="1:18">
      <c r="A3401" s="6"/>
      <c r="B3401" s="6" t="s">
        <v>4271</v>
      </c>
      <c r="C3401" s="6" t="s">
        <v>4124</v>
      </c>
      <c r="D3401" s="7">
        <v>37</v>
      </c>
      <c r="E3401" s="6" t="s">
        <v>7014</v>
      </c>
      <c r="F3401" s="6" t="s">
        <v>5631</v>
      </c>
      <c r="G3401" s="6" t="s">
        <v>5632</v>
      </c>
      <c r="H3401" s="8"/>
      <c r="I3401" s="8">
        <v>166000</v>
      </c>
      <c r="J3401" s="6"/>
      <c r="K3401" s="6" t="s">
        <v>2472</v>
      </c>
      <c r="L3401" s="6"/>
      <c r="M3401" s="6"/>
      <c r="N3401" s="6" t="s">
        <v>2472</v>
      </c>
      <c r="O3401" s="29">
        <f t="shared" si="82"/>
        <v>166000</v>
      </c>
      <c r="Q3401" s="30" t="s">
        <v>2472</v>
      </c>
      <c r="R3401" s="31">
        <v>166000</v>
      </c>
    </row>
    <row r="3402" s="1" customFormat="1" ht="16.35" hidden="1" customHeight="1" spans="1:18">
      <c r="A3402" s="6"/>
      <c r="B3402" s="6" t="s">
        <v>4271</v>
      </c>
      <c r="C3402" s="6" t="s">
        <v>4124</v>
      </c>
      <c r="D3402" s="7">
        <v>12</v>
      </c>
      <c r="E3402" s="6" t="s">
        <v>7015</v>
      </c>
      <c r="F3402" s="6" t="s">
        <v>5631</v>
      </c>
      <c r="G3402" s="6" t="s">
        <v>5632</v>
      </c>
      <c r="H3402" s="8"/>
      <c r="I3402" s="8">
        <v>10000</v>
      </c>
      <c r="J3402" s="6"/>
      <c r="K3402" s="6" t="s">
        <v>2446</v>
      </c>
      <c r="L3402" s="6"/>
      <c r="M3402" s="6"/>
      <c r="N3402" s="6" t="s">
        <v>2446</v>
      </c>
      <c r="O3402" s="29">
        <f t="shared" si="82"/>
        <v>10000</v>
      </c>
      <c r="Q3402" s="30" t="s">
        <v>2446</v>
      </c>
      <c r="R3402" s="31">
        <v>10000</v>
      </c>
    </row>
    <row r="3403" s="1" customFormat="1" ht="16.35" hidden="1" customHeight="1" spans="1:18">
      <c r="A3403" s="6"/>
      <c r="B3403" s="6" t="s">
        <v>4271</v>
      </c>
      <c r="C3403" s="6" t="s">
        <v>4124</v>
      </c>
      <c r="D3403" s="7">
        <v>77</v>
      </c>
      <c r="E3403" s="6" t="s">
        <v>7016</v>
      </c>
      <c r="F3403" s="6" t="s">
        <v>5631</v>
      </c>
      <c r="G3403" s="6" t="s">
        <v>5632</v>
      </c>
      <c r="H3403" s="8"/>
      <c r="I3403" s="8">
        <v>52704</v>
      </c>
      <c r="J3403" s="6"/>
      <c r="K3403" s="6" t="s">
        <v>2446</v>
      </c>
      <c r="L3403" s="6"/>
      <c r="M3403" s="6"/>
      <c r="N3403" s="6" t="s">
        <v>2446</v>
      </c>
      <c r="O3403" s="29">
        <f t="shared" si="82"/>
        <v>52704</v>
      </c>
      <c r="Q3403" s="30" t="s">
        <v>2446</v>
      </c>
      <c r="R3403" s="31">
        <v>52704</v>
      </c>
    </row>
    <row r="3404" s="1" customFormat="1" ht="16.35" hidden="1" customHeight="1" spans="1:18">
      <c r="A3404" s="6"/>
      <c r="B3404" s="6" t="s">
        <v>4271</v>
      </c>
      <c r="C3404" s="6" t="s">
        <v>4124</v>
      </c>
      <c r="D3404" s="7">
        <v>75</v>
      </c>
      <c r="E3404" s="6" t="s">
        <v>7017</v>
      </c>
      <c r="F3404" s="6" t="s">
        <v>5631</v>
      </c>
      <c r="G3404" s="6" t="s">
        <v>5632</v>
      </c>
      <c r="H3404" s="8"/>
      <c r="I3404" s="8">
        <v>6260</v>
      </c>
      <c r="J3404" s="6"/>
      <c r="K3404" s="6" t="s">
        <v>2464</v>
      </c>
      <c r="L3404" s="6"/>
      <c r="M3404" s="6"/>
      <c r="N3404" s="6" t="s">
        <v>2464</v>
      </c>
      <c r="O3404" s="29">
        <f t="shared" si="82"/>
        <v>6260</v>
      </c>
      <c r="Q3404" s="30" t="s">
        <v>2464</v>
      </c>
      <c r="R3404" s="31">
        <v>6260</v>
      </c>
    </row>
    <row r="3405" s="1" customFormat="1" ht="16.35" hidden="1" customHeight="1" spans="1:18">
      <c r="A3405" s="6"/>
      <c r="B3405" s="6" t="s">
        <v>4271</v>
      </c>
      <c r="C3405" s="6" t="s">
        <v>4124</v>
      </c>
      <c r="D3405" s="7">
        <v>10</v>
      </c>
      <c r="E3405" s="6" t="s">
        <v>7018</v>
      </c>
      <c r="F3405" s="6" t="s">
        <v>5631</v>
      </c>
      <c r="G3405" s="6" t="s">
        <v>5632</v>
      </c>
      <c r="H3405" s="8"/>
      <c r="I3405" s="8">
        <v>10000</v>
      </c>
      <c r="J3405" s="6"/>
      <c r="K3405" s="6" t="s">
        <v>2460</v>
      </c>
      <c r="L3405" s="6"/>
      <c r="M3405" s="6"/>
      <c r="N3405" s="6" t="s">
        <v>2460</v>
      </c>
      <c r="O3405" s="29">
        <f t="shared" si="82"/>
        <v>10000</v>
      </c>
      <c r="Q3405" s="30" t="s">
        <v>2460</v>
      </c>
      <c r="R3405" s="31">
        <v>10000</v>
      </c>
    </row>
    <row r="3406" s="1" customFormat="1" ht="16.35" hidden="1" customHeight="1" spans="1:18">
      <c r="A3406" s="6"/>
      <c r="B3406" s="6" t="s">
        <v>4271</v>
      </c>
      <c r="C3406" s="6" t="s">
        <v>4124</v>
      </c>
      <c r="D3406" s="7">
        <v>15</v>
      </c>
      <c r="E3406" s="6" t="s">
        <v>7019</v>
      </c>
      <c r="F3406" s="6" t="s">
        <v>5631</v>
      </c>
      <c r="G3406" s="6" t="s">
        <v>5632</v>
      </c>
      <c r="H3406" s="8"/>
      <c r="I3406" s="8">
        <v>10000</v>
      </c>
      <c r="J3406" s="6"/>
      <c r="K3406" s="6" t="s">
        <v>2490</v>
      </c>
      <c r="L3406" s="6"/>
      <c r="M3406" s="6"/>
      <c r="N3406" s="6" t="s">
        <v>2490</v>
      </c>
      <c r="O3406" s="29">
        <f t="shared" si="82"/>
        <v>10000</v>
      </c>
      <c r="Q3406" s="30" t="s">
        <v>2490</v>
      </c>
      <c r="R3406" s="31">
        <v>10000</v>
      </c>
    </row>
    <row r="3407" s="1" customFormat="1" ht="16.35" hidden="1" customHeight="1" spans="1:18">
      <c r="A3407" s="6"/>
      <c r="B3407" s="6" t="s">
        <v>4271</v>
      </c>
      <c r="C3407" s="6" t="s">
        <v>4124</v>
      </c>
      <c r="D3407" s="7">
        <v>85</v>
      </c>
      <c r="E3407" s="6" t="s">
        <v>6998</v>
      </c>
      <c r="F3407" s="6" t="s">
        <v>5631</v>
      </c>
      <c r="G3407" s="6" t="s">
        <v>5632</v>
      </c>
      <c r="H3407" s="8"/>
      <c r="I3407" s="8">
        <v>67950</v>
      </c>
      <c r="J3407" s="6"/>
      <c r="K3407" s="6" t="s">
        <v>2490</v>
      </c>
      <c r="L3407" s="6"/>
      <c r="M3407" s="6"/>
      <c r="N3407" s="6" t="s">
        <v>2490</v>
      </c>
      <c r="O3407" s="29">
        <f t="shared" si="82"/>
        <v>67950</v>
      </c>
      <c r="Q3407" s="30" t="s">
        <v>2490</v>
      </c>
      <c r="R3407" s="31">
        <v>67950</v>
      </c>
    </row>
    <row r="3408" s="1" customFormat="1" ht="16.35" hidden="1" customHeight="1" spans="1:18">
      <c r="A3408" s="6"/>
      <c r="B3408" s="6" t="s">
        <v>4271</v>
      </c>
      <c r="C3408" s="6" t="s">
        <v>4124</v>
      </c>
      <c r="D3408" s="7">
        <v>75</v>
      </c>
      <c r="E3408" s="6" t="s">
        <v>7017</v>
      </c>
      <c r="F3408" s="6" t="s">
        <v>5631</v>
      </c>
      <c r="G3408" s="6" t="s">
        <v>5632</v>
      </c>
      <c r="H3408" s="8"/>
      <c r="I3408" s="8">
        <v>29900</v>
      </c>
      <c r="J3408" s="6"/>
      <c r="K3408" s="6" t="s">
        <v>2513</v>
      </c>
      <c r="L3408" s="6"/>
      <c r="M3408" s="6"/>
      <c r="N3408" s="6" t="s">
        <v>2513</v>
      </c>
      <c r="O3408" s="29">
        <f t="shared" si="82"/>
        <v>29900</v>
      </c>
      <c r="Q3408" s="30" t="s">
        <v>2513</v>
      </c>
      <c r="R3408" s="31">
        <v>29900</v>
      </c>
    </row>
    <row r="3409" s="1" customFormat="1" ht="16.35" hidden="1" customHeight="1" spans="1:18">
      <c r="A3409" s="6"/>
      <c r="B3409" s="6" t="s">
        <v>4271</v>
      </c>
      <c r="C3409" s="6" t="s">
        <v>4124</v>
      </c>
      <c r="D3409" s="7">
        <v>86</v>
      </c>
      <c r="E3409" s="6" t="s">
        <v>6989</v>
      </c>
      <c r="F3409" s="6" t="s">
        <v>5631</v>
      </c>
      <c r="G3409" s="6" t="s">
        <v>5632</v>
      </c>
      <c r="H3409" s="8"/>
      <c r="I3409" s="8">
        <v>9000</v>
      </c>
      <c r="J3409" s="6"/>
      <c r="K3409" s="6" t="s">
        <v>2525</v>
      </c>
      <c r="L3409" s="6"/>
      <c r="M3409" s="6"/>
      <c r="N3409" s="6" t="s">
        <v>2525</v>
      </c>
      <c r="O3409" s="29">
        <f t="shared" si="82"/>
        <v>9000</v>
      </c>
      <c r="Q3409" s="30" t="s">
        <v>2525</v>
      </c>
      <c r="R3409" s="31">
        <v>9000</v>
      </c>
    </row>
    <row r="3410" s="1" customFormat="1" ht="16.35" hidden="1" customHeight="1" spans="1:18">
      <c r="A3410" s="6"/>
      <c r="B3410" s="6" t="s">
        <v>4271</v>
      </c>
      <c r="C3410" s="6" t="s">
        <v>4124</v>
      </c>
      <c r="D3410" s="7">
        <v>21</v>
      </c>
      <c r="E3410" s="6" t="s">
        <v>7020</v>
      </c>
      <c r="F3410" s="6" t="s">
        <v>5631</v>
      </c>
      <c r="G3410" s="6" t="s">
        <v>5632</v>
      </c>
      <c r="H3410" s="8"/>
      <c r="I3410" s="8">
        <v>10000</v>
      </c>
      <c r="J3410" s="6"/>
      <c r="K3410" s="6" t="s">
        <v>2541</v>
      </c>
      <c r="L3410" s="6"/>
      <c r="M3410" s="6"/>
      <c r="N3410" s="6" t="s">
        <v>2541</v>
      </c>
      <c r="O3410" s="29">
        <f t="shared" si="82"/>
        <v>10000</v>
      </c>
      <c r="Q3410" s="30" t="s">
        <v>2541</v>
      </c>
      <c r="R3410" s="31">
        <v>10000</v>
      </c>
    </row>
    <row r="3411" s="1" customFormat="1" ht="16.35" hidden="1" customHeight="1" spans="1:18">
      <c r="A3411" s="6"/>
      <c r="B3411" s="6" t="s">
        <v>4271</v>
      </c>
      <c r="C3411" s="6" t="s">
        <v>4124</v>
      </c>
      <c r="D3411" s="7">
        <v>16</v>
      </c>
      <c r="E3411" s="6" t="s">
        <v>7021</v>
      </c>
      <c r="F3411" s="6" t="s">
        <v>5631</v>
      </c>
      <c r="G3411" s="6" t="s">
        <v>5632</v>
      </c>
      <c r="H3411" s="8"/>
      <c r="I3411" s="8">
        <v>8900</v>
      </c>
      <c r="J3411" s="6"/>
      <c r="K3411" s="6" t="s">
        <v>2638</v>
      </c>
      <c r="L3411" s="6"/>
      <c r="M3411" s="6"/>
      <c r="N3411" s="6" t="s">
        <v>2638</v>
      </c>
      <c r="O3411" s="29">
        <f t="shared" si="82"/>
        <v>8900</v>
      </c>
      <c r="Q3411" s="30" t="s">
        <v>2638</v>
      </c>
      <c r="R3411" s="31">
        <v>8900</v>
      </c>
    </row>
    <row r="3412" s="1" customFormat="1" ht="16.35" hidden="1" customHeight="1" spans="1:18">
      <c r="A3412" s="6"/>
      <c r="B3412" s="6" t="s">
        <v>4271</v>
      </c>
      <c r="C3412" s="6" t="s">
        <v>4124</v>
      </c>
      <c r="D3412" s="7">
        <v>69</v>
      </c>
      <c r="E3412" s="6" t="s">
        <v>7022</v>
      </c>
      <c r="F3412" s="6" t="s">
        <v>5631</v>
      </c>
      <c r="G3412" s="6" t="s">
        <v>5632</v>
      </c>
      <c r="H3412" s="8"/>
      <c r="I3412" s="8">
        <v>9000</v>
      </c>
      <c r="J3412" s="6"/>
      <c r="K3412" s="6" t="s">
        <v>2606</v>
      </c>
      <c r="L3412" s="6"/>
      <c r="M3412" s="6"/>
      <c r="N3412" s="6" t="s">
        <v>2606</v>
      </c>
      <c r="O3412" s="29">
        <f t="shared" si="82"/>
        <v>9000</v>
      </c>
      <c r="Q3412" s="30" t="s">
        <v>2606</v>
      </c>
      <c r="R3412" s="31">
        <v>9000</v>
      </c>
    </row>
    <row r="3413" s="1" customFormat="1" ht="16.35" hidden="1" customHeight="1" spans="1:18">
      <c r="A3413" s="6"/>
      <c r="B3413" s="6" t="s">
        <v>4271</v>
      </c>
      <c r="C3413" s="6" t="s">
        <v>4124</v>
      </c>
      <c r="D3413" s="7">
        <v>72</v>
      </c>
      <c r="E3413" s="6" t="s">
        <v>7013</v>
      </c>
      <c r="F3413" s="6" t="s">
        <v>5631</v>
      </c>
      <c r="G3413" s="6" t="s">
        <v>5632</v>
      </c>
      <c r="H3413" s="8"/>
      <c r="I3413" s="8">
        <v>5000</v>
      </c>
      <c r="J3413" s="6"/>
      <c r="K3413" s="6" t="s">
        <v>2606</v>
      </c>
      <c r="L3413" s="6"/>
      <c r="M3413" s="6"/>
      <c r="N3413" s="6" t="s">
        <v>2606</v>
      </c>
      <c r="O3413" s="29">
        <f t="shared" si="82"/>
        <v>5000</v>
      </c>
      <c r="Q3413" s="30" t="s">
        <v>2606</v>
      </c>
      <c r="R3413" s="31">
        <v>5000</v>
      </c>
    </row>
    <row r="3414" s="1" customFormat="1" ht="16.35" hidden="1" customHeight="1" spans="1:18">
      <c r="A3414" s="6"/>
      <c r="B3414" s="6" t="s">
        <v>4271</v>
      </c>
      <c r="C3414" s="6" t="s">
        <v>4124</v>
      </c>
      <c r="D3414" s="7">
        <v>85</v>
      </c>
      <c r="E3414" s="6" t="s">
        <v>6998</v>
      </c>
      <c r="F3414" s="6" t="s">
        <v>5631</v>
      </c>
      <c r="G3414" s="6" t="s">
        <v>5632</v>
      </c>
      <c r="H3414" s="8"/>
      <c r="I3414" s="8">
        <v>61118</v>
      </c>
      <c r="J3414" s="6"/>
      <c r="K3414" s="6" t="s">
        <v>2686</v>
      </c>
      <c r="L3414" s="6"/>
      <c r="M3414" s="6"/>
      <c r="N3414" s="6" t="s">
        <v>2686</v>
      </c>
      <c r="O3414" s="29">
        <f t="shared" si="82"/>
        <v>61118</v>
      </c>
      <c r="Q3414" s="30" t="s">
        <v>2686</v>
      </c>
      <c r="R3414" s="31">
        <v>61118</v>
      </c>
    </row>
    <row r="3415" s="1" customFormat="1" ht="16.35" hidden="1" customHeight="1" spans="1:18">
      <c r="A3415" s="6"/>
      <c r="B3415" s="6" t="s">
        <v>4271</v>
      </c>
      <c r="C3415" s="6" t="s">
        <v>4124</v>
      </c>
      <c r="D3415" s="7">
        <v>86</v>
      </c>
      <c r="E3415" s="6" t="s">
        <v>6989</v>
      </c>
      <c r="F3415" s="6" t="s">
        <v>5631</v>
      </c>
      <c r="G3415" s="6" t="s">
        <v>5632</v>
      </c>
      <c r="H3415" s="8"/>
      <c r="I3415" s="8">
        <v>114204</v>
      </c>
      <c r="J3415" s="6"/>
      <c r="K3415" s="6" t="s">
        <v>2594</v>
      </c>
      <c r="L3415" s="6"/>
      <c r="M3415" s="6"/>
      <c r="N3415" s="6" t="s">
        <v>2594</v>
      </c>
      <c r="O3415" s="29">
        <f t="shared" si="82"/>
        <v>114204</v>
      </c>
      <c r="Q3415" s="30" t="s">
        <v>2594</v>
      </c>
      <c r="R3415" s="31">
        <v>114204</v>
      </c>
    </row>
    <row r="3416" s="1" customFormat="1" ht="16.35" hidden="1" customHeight="1" spans="1:18">
      <c r="A3416" s="6"/>
      <c r="B3416" s="6" t="s">
        <v>4271</v>
      </c>
      <c r="C3416" s="6" t="s">
        <v>4124</v>
      </c>
      <c r="D3416" s="7">
        <v>3</v>
      </c>
      <c r="E3416" s="6" t="s">
        <v>7023</v>
      </c>
      <c r="F3416" s="6" t="s">
        <v>5631</v>
      </c>
      <c r="G3416" s="6" t="s">
        <v>5632</v>
      </c>
      <c r="H3416" s="8"/>
      <c r="I3416" s="8">
        <v>7000</v>
      </c>
      <c r="J3416" s="6"/>
      <c r="K3416" s="6" t="s">
        <v>2696</v>
      </c>
      <c r="L3416" s="6"/>
      <c r="M3416" s="6"/>
      <c r="N3416" s="6" t="s">
        <v>2696</v>
      </c>
      <c r="O3416" s="29">
        <f t="shared" si="82"/>
        <v>7000</v>
      </c>
      <c r="Q3416" s="30" t="s">
        <v>2696</v>
      </c>
      <c r="R3416" s="31">
        <v>7000</v>
      </c>
    </row>
    <row r="3417" s="1" customFormat="1" ht="16.35" hidden="1" customHeight="1" spans="1:18">
      <c r="A3417" s="6"/>
      <c r="B3417" s="6" t="s">
        <v>4271</v>
      </c>
      <c r="C3417" s="6" t="s">
        <v>4124</v>
      </c>
      <c r="D3417" s="7">
        <v>38</v>
      </c>
      <c r="E3417" s="6" t="s">
        <v>7024</v>
      </c>
      <c r="F3417" s="6" t="s">
        <v>5631</v>
      </c>
      <c r="G3417" s="6" t="s">
        <v>5632</v>
      </c>
      <c r="H3417" s="8"/>
      <c r="I3417" s="8">
        <v>126000</v>
      </c>
      <c r="J3417" s="6"/>
      <c r="K3417" s="6" t="s">
        <v>2696</v>
      </c>
      <c r="L3417" s="6"/>
      <c r="M3417" s="6"/>
      <c r="N3417" s="6" t="s">
        <v>2696</v>
      </c>
      <c r="O3417" s="29">
        <f t="shared" si="82"/>
        <v>126000</v>
      </c>
      <c r="Q3417" s="30" t="s">
        <v>2696</v>
      </c>
      <c r="R3417" s="31">
        <v>126000</v>
      </c>
    </row>
    <row r="3418" s="1" customFormat="1" ht="16.35" hidden="1" customHeight="1" spans="1:18">
      <c r="A3418" s="6"/>
      <c r="B3418" s="6" t="s">
        <v>4271</v>
      </c>
      <c r="C3418" s="6" t="s">
        <v>4124</v>
      </c>
      <c r="D3418" s="7">
        <v>35</v>
      </c>
      <c r="E3418" s="6" t="s">
        <v>7025</v>
      </c>
      <c r="F3418" s="6" t="s">
        <v>5631</v>
      </c>
      <c r="G3418" s="6" t="s">
        <v>5632</v>
      </c>
      <c r="H3418" s="8"/>
      <c r="I3418" s="8">
        <v>190000</v>
      </c>
      <c r="J3418" s="6"/>
      <c r="K3418" s="6" t="s">
        <v>2045</v>
      </c>
      <c r="L3418" s="6"/>
      <c r="M3418" s="6"/>
      <c r="N3418" s="6" t="s">
        <v>2045</v>
      </c>
      <c r="O3418" s="29">
        <f t="shared" si="82"/>
        <v>190000</v>
      </c>
      <c r="Q3418" s="30" t="s">
        <v>2045</v>
      </c>
      <c r="R3418" s="31">
        <v>190000</v>
      </c>
    </row>
    <row r="3419" s="1" customFormat="1" ht="16.35" hidden="1" customHeight="1" spans="1:18">
      <c r="A3419" s="6"/>
      <c r="B3419" s="6" t="s">
        <v>4271</v>
      </c>
      <c r="C3419" s="6" t="s">
        <v>4124</v>
      </c>
      <c r="D3419" s="7">
        <v>36</v>
      </c>
      <c r="E3419" s="6" t="s">
        <v>7026</v>
      </c>
      <c r="F3419" s="6" t="s">
        <v>5631</v>
      </c>
      <c r="G3419" s="6" t="s">
        <v>5632</v>
      </c>
      <c r="H3419" s="8"/>
      <c r="I3419" s="8">
        <v>180000</v>
      </c>
      <c r="J3419" s="6"/>
      <c r="K3419" s="6" t="s">
        <v>2081</v>
      </c>
      <c r="L3419" s="6"/>
      <c r="M3419" s="6"/>
      <c r="N3419" s="6" t="s">
        <v>2081</v>
      </c>
      <c r="O3419" s="29">
        <f t="shared" si="82"/>
        <v>180000</v>
      </c>
      <c r="Q3419" s="30" t="s">
        <v>2081</v>
      </c>
      <c r="R3419" s="31">
        <v>180000</v>
      </c>
    </row>
    <row r="3420" s="1" customFormat="1" ht="16.35" hidden="1" customHeight="1" spans="1:18">
      <c r="A3420" s="6"/>
      <c r="B3420" s="6" t="s">
        <v>4271</v>
      </c>
      <c r="C3420" s="6" t="s">
        <v>4124</v>
      </c>
      <c r="D3420" s="7">
        <v>40</v>
      </c>
      <c r="E3420" s="6" t="s">
        <v>7027</v>
      </c>
      <c r="F3420" s="6" t="s">
        <v>5631</v>
      </c>
      <c r="G3420" s="6" t="s">
        <v>5632</v>
      </c>
      <c r="H3420" s="8"/>
      <c r="I3420" s="8">
        <v>150000</v>
      </c>
      <c r="J3420" s="6"/>
      <c r="K3420" s="6" t="s">
        <v>5322</v>
      </c>
      <c r="L3420" s="6"/>
      <c r="M3420" s="6"/>
      <c r="N3420" s="6" t="s">
        <v>5322</v>
      </c>
      <c r="O3420" s="29">
        <f t="shared" si="82"/>
        <v>150000</v>
      </c>
      <c r="Q3420" s="30" t="s">
        <v>5322</v>
      </c>
      <c r="R3420" s="31">
        <v>150000</v>
      </c>
    </row>
    <row r="3421" s="1" customFormat="1" ht="16.35" hidden="1" customHeight="1" spans="1:18">
      <c r="A3421" s="6"/>
      <c r="B3421" s="6" t="s">
        <v>4271</v>
      </c>
      <c r="C3421" s="6" t="s">
        <v>4124</v>
      </c>
      <c r="D3421" s="7">
        <v>40</v>
      </c>
      <c r="E3421" s="6" t="s">
        <v>7027</v>
      </c>
      <c r="F3421" s="6" t="s">
        <v>5631</v>
      </c>
      <c r="G3421" s="6" t="s">
        <v>5632</v>
      </c>
      <c r="H3421" s="8">
        <v>150000</v>
      </c>
      <c r="I3421" s="8"/>
      <c r="J3421" s="6"/>
      <c r="K3421" s="6" t="s">
        <v>5322</v>
      </c>
      <c r="L3421" s="6"/>
      <c r="M3421" s="6"/>
      <c r="N3421" s="6" t="s">
        <v>5322</v>
      </c>
      <c r="O3421" s="29">
        <f t="shared" si="82"/>
        <v>0</v>
      </c>
      <c r="Q3421" s="30" t="s">
        <v>5322</v>
      </c>
      <c r="R3421" s="31">
        <v>0</v>
      </c>
    </row>
    <row r="3422" s="1" customFormat="1" ht="16.35" hidden="1" customHeight="1" spans="1:18">
      <c r="A3422" s="6"/>
      <c r="B3422" s="6" t="s">
        <v>4271</v>
      </c>
      <c r="C3422" s="6" t="s">
        <v>4124</v>
      </c>
      <c r="D3422" s="7">
        <v>77</v>
      </c>
      <c r="E3422" s="6" t="s">
        <v>7016</v>
      </c>
      <c r="F3422" s="6" t="s">
        <v>5631</v>
      </c>
      <c r="G3422" s="6" t="s">
        <v>5632</v>
      </c>
      <c r="H3422" s="8"/>
      <c r="I3422" s="8">
        <v>30000</v>
      </c>
      <c r="J3422" s="6"/>
      <c r="K3422" s="6" t="s">
        <v>2440</v>
      </c>
      <c r="L3422" s="6"/>
      <c r="M3422" s="6"/>
      <c r="N3422" s="6" t="s">
        <v>2440</v>
      </c>
      <c r="O3422" s="29">
        <f t="shared" ref="O3422:O3485" si="83">I3422</f>
        <v>30000</v>
      </c>
      <c r="Q3422" s="30" t="s">
        <v>2440</v>
      </c>
      <c r="R3422" s="31">
        <v>30000</v>
      </c>
    </row>
    <row r="3423" s="1" customFormat="1" ht="16.35" hidden="1" customHeight="1" spans="1:18">
      <c r="A3423" s="6"/>
      <c r="B3423" s="6" t="s">
        <v>4271</v>
      </c>
      <c r="C3423" s="6" t="s">
        <v>4124</v>
      </c>
      <c r="D3423" s="7">
        <v>72</v>
      </c>
      <c r="E3423" s="6" t="s">
        <v>7013</v>
      </c>
      <c r="F3423" s="6" t="s">
        <v>5631</v>
      </c>
      <c r="G3423" s="6" t="s">
        <v>5632</v>
      </c>
      <c r="H3423" s="8"/>
      <c r="I3423" s="8">
        <v>47950</v>
      </c>
      <c r="J3423" s="6"/>
      <c r="K3423" s="6" t="s">
        <v>2440</v>
      </c>
      <c r="L3423" s="6"/>
      <c r="M3423" s="6"/>
      <c r="N3423" s="6" t="s">
        <v>2440</v>
      </c>
      <c r="O3423" s="29">
        <f t="shared" si="83"/>
        <v>47950</v>
      </c>
      <c r="Q3423" s="30" t="s">
        <v>2440</v>
      </c>
      <c r="R3423" s="31">
        <v>47950</v>
      </c>
    </row>
    <row r="3424" s="1" customFormat="1" ht="16.35" hidden="1" customHeight="1" spans="1:18">
      <c r="A3424" s="6"/>
      <c r="B3424" s="6" t="s">
        <v>4271</v>
      </c>
      <c r="C3424" s="6" t="s">
        <v>4124</v>
      </c>
      <c r="D3424" s="7">
        <v>81</v>
      </c>
      <c r="E3424" s="6" t="s">
        <v>6995</v>
      </c>
      <c r="F3424" s="6" t="s">
        <v>5631</v>
      </c>
      <c r="G3424" s="6" t="s">
        <v>5632</v>
      </c>
      <c r="H3424" s="8"/>
      <c r="I3424" s="8">
        <v>9968</v>
      </c>
      <c r="J3424" s="6"/>
      <c r="K3424" s="6" t="s">
        <v>2504</v>
      </c>
      <c r="L3424" s="6"/>
      <c r="M3424" s="6"/>
      <c r="N3424" s="6" t="s">
        <v>2504</v>
      </c>
      <c r="O3424" s="29">
        <f t="shared" si="83"/>
        <v>9968</v>
      </c>
      <c r="Q3424" s="30" t="s">
        <v>2504</v>
      </c>
      <c r="R3424" s="31">
        <v>9968</v>
      </c>
    </row>
    <row r="3425" s="1" customFormat="1" ht="16.35" hidden="1" customHeight="1" spans="1:18">
      <c r="A3425" s="6"/>
      <c r="B3425" s="6" t="s">
        <v>4271</v>
      </c>
      <c r="C3425" s="6" t="s">
        <v>4124</v>
      </c>
      <c r="D3425" s="7">
        <v>23</v>
      </c>
      <c r="E3425" s="6" t="s">
        <v>7028</v>
      </c>
      <c r="F3425" s="6" t="s">
        <v>5631</v>
      </c>
      <c r="G3425" s="6" t="s">
        <v>5632</v>
      </c>
      <c r="H3425" s="8"/>
      <c r="I3425" s="8">
        <v>140000</v>
      </c>
      <c r="J3425" s="6"/>
      <c r="K3425" s="6" t="s">
        <v>2564</v>
      </c>
      <c r="L3425" s="6"/>
      <c r="M3425" s="6"/>
      <c r="N3425" s="6" t="s">
        <v>2564</v>
      </c>
      <c r="O3425" s="29">
        <f t="shared" si="83"/>
        <v>140000</v>
      </c>
      <c r="Q3425" s="30" t="s">
        <v>2564</v>
      </c>
      <c r="R3425" s="31">
        <v>140000</v>
      </c>
    </row>
    <row r="3426" s="1" customFormat="1" ht="16.35" hidden="1" customHeight="1" spans="1:18">
      <c r="A3426" s="6"/>
      <c r="B3426" s="6" t="s">
        <v>4271</v>
      </c>
      <c r="C3426" s="6" t="s">
        <v>4124</v>
      </c>
      <c r="D3426" s="7">
        <v>83</v>
      </c>
      <c r="E3426" s="6" t="s">
        <v>6994</v>
      </c>
      <c r="F3426" s="6" t="s">
        <v>5631</v>
      </c>
      <c r="G3426" s="6" t="s">
        <v>5632</v>
      </c>
      <c r="H3426" s="8"/>
      <c r="I3426" s="8">
        <v>14000</v>
      </c>
      <c r="J3426" s="6"/>
      <c r="K3426" s="6" t="s">
        <v>2506</v>
      </c>
      <c r="L3426" s="6"/>
      <c r="M3426" s="6"/>
      <c r="N3426" s="6" t="s">
        <v>2506</v>
      </c>
      <c r="O3426" s="29">
        <f t="shared" si="83"/>
        <v>14000</v>
      </c>
      <c r="Q3426" s="30" t="s">
        <v>2506</v>
      </c>
      <c r="R3426" s="31">
        <v>14000</v>
      </c>
    </row>
    <row r="3427" s="1" customFormat="1" ht="16.35" hidden="1" customHeight="1" spans="1:18">
      <c r="A3427" s="6"/>
      <c r="B3427" s="6" t="s">
        <v>4271</v>
      </c>
      <c r="C3427" s="6" t="s">
        <v>4124</v>
      </c>
      <c r="D3427" s="7">
        <v>29</v>
      </c>
      <c r="E3427" s="6" t="s">
        <v>7029</v>
      </c>
      <c r="F3427" s="6" t="s">
        <v>5631</v>
      </c>
      <c r="G3427" s="6" t="s">
        <v>5632</v>
      </c>
      <c r="H3427" s="8"/>
      <c r="I3427" s="8">
        <v>157000</v>
      </c>
      <c r="J3427" s="6"/>
      <c r="K3427" s="6" t="s">
        <v>2574</v>
      </c>
      <c r="L3427" s="6"/>
      <c r="M3427" s="6"/>
      <c r="N3427" s="6" t="s">
        <v>2574</v>
      </c>
      <c r="O3427" s="29">
        <f t="shared" si="83"/>
        <v>157000</v>
      </c>
      <c r="Q3427" s="30" t="s">
        <v>2574</v>
      </c>
      <c r="R3427" s="31">
        <v>157000</v>
      </c>
    </row>
    <row r="3428" s="1" customFormat="1" ht="16.35" hidden="1" customHeight="1" spans="1:18">
      <c r="A3428" s="6"/>
      <c r="B3428" s="6" t="s">
        <v>4271</v>
      </c>
      <c r="C3428" s="6" t="s">
        <v>4124</v>
      </c>
      <c r="D3428" s="7">
        <v>27</v>
      </c>
      <c r="E3428" s="6" t="s">
        <v>7030</v>
      </c>
      <c r="F3428" s="6" t="s">
        <v>5631</v>
      </c>
      <c r="G3428" s="6" t="s">
        <v>5632</v>
      </c>
      <c r="H3428" s="8"/>
      <c r="I3428" s="8">
        <v>140000</v>
      </c>
      <c r="J3428" s="6"/>
      <c r="K3428" s="6" t="s">
        <v>2539</v>
      </c>
      <c r="L3428" s="6"/>
      <c r="M3428" s="6"/>
      <c r="N3428" s="6" t="s">
        <v>2539</v>
      </c>
      <c r="O3428" s="29">
        <f t="shared" si="83"/>
        <v>140000</v>
      </c>
      <c r="Q3428" s="30" t="s">
        <v>2539</v>
      </c>
      <c r="R3428" s="31">
        <v>140000</v>
      </c>
    </row>
    <row r="3429" s="1" customFormat="1" ht="16.35" hidden="1" customHeight="1" spans="1:18">
      <c r="A3429" s="6"/>
      <c r="B3429" s="6" t="s">
        <v>4271</v>
      </c>
      <c r="C3429" s="6" t="s">
        <v>4124</v>
      </c>
      <c r="D3429" s="7">
        <v>1</v>
      </c>
      <c r="E3429" s="6" t="s">
        <v>7001</v>
      </c>
      <c r="F3429" s="6" t="s">
        <v>5631</v>
      </c>
      <c r="G3429" s="6" t="s">
        <v>5632</v>
      </c>
      <c r="H3429" s="8"/>
      <c r="I3429" s="8">
        <v>5000</v>
      </c>
      <c r="J3429" s="6"/>
      <c r="K3429" s="6" t="s">
        <v>2533</v>
      </c>
      <c r="L3429" s="6"/>
      <c r="M3429" s="6"/>
      <c r="N3429" s="6" t="s">
        <v>2533</v>
      </c>
      <c r="O3429" s="29">
        <f t="shared" si="83"/>
        <v>5000</v>
      </c>
      <c r="Q3429" s="30" t="s">
        <v>2533</v>
      </c>
      <c r="R3429" s="31">
        <v>5000</v>
      </c>
    </row>
    <row r="3430" s="1" customFormat="1" ht="16.35" hidden="1" customHeight="1" spans="1:18">
      <c r="A3430" s="6"/>
      <c r="B3430" s="6" t="s">
        <v>4271</v>
      </c>
      <c r="C3430" s="6" t="s">
        <v>4124</v>
      </c>
      <c r="D3430" s="7">
        <v>1</v>
      </c>
      <c r="E3430" s="6" t="s">
        <v>7031</v>
      </c>
      <c r="F3430" s="6" t="s">
        <v>5631</v>
      </c>
      <c r="G3430" s="6" t="s">
        <v>5632</v>
      </c>
      <c r="H3430" s="8"/>
      <c r="I3430" s="8">
        <v>10000</v>
      </c>
      <c r="J3430" s="6"/>
      <c r="K3430" s="6" t="s">
        <v>2533</v>
      </c>
      <c r="L3430" s="6"/>
      <c r="M3430" s="6"/>
      <c r="N3430" s="6" t="s">
        <v>2533</v>
      </c>
      <c r="O3430" s="29">
        <f t="shared" si="83"/>
        <v>10000</v>
      </c>
      <c r="Q3430" s="30" t="s">
        <v>2533</v>
      </c>
      <c r="R3430" s="31">
        <v>10000</v>
      </c>
    </row>
    <row r="3431" s="1" customFormat="1" ht="16.35" hidden="1" customHeight="1" spans="1:18">
      <c r="A3431" s="6"/>
      <c r="B3431" s="6" t="s">
        <v>4271</v>
      </c>
      <c r="C3431" s="6" t="s">
        <v>4124</v>
      </c>
      <c r="D3431" s="7">
        <v>9</v>
      </c>
      <c r="E3431" s="6" t="s">
        <v>7032</v>
      </c>
      <c r="F3431" s="6" t="s">
        <v>5631</v>
      </c>
      <c r="G3431" s="6" t="s">
        <v>5632</v>
      </c>
      <c r="H3431" s="8"/>
      <c r="I3431" s="8">
        <v>1000</v>
      </c>
      <c r="J3431" s="6"/>
      <c r="K3431" s="6" t="s">
        <v>2502</v>
      </c>
      <c r="L3431" s="6"/>
      <c r="M3431" s="6"/>
      <c r="N3431" s="6" t="s">
        <v>2502</v>
      </c>
      <c r="O3431" s="29">
        <f t="shared" si="83"/>
        <v>1000</v>
      </c>
      <c r="Q3431" s="30" t="s">
        <v>2502</v>
      </c>
      <c r="R3431" s="31">
        <v>1000</v>
      </c>
    </row>
    <row r="3432" s="1" customFormat="1" ht="16.35" hidden="1" customHeight="1" spans="1:18">
      <c r="A3432" s="6"/>
      <c r="B3432" s="6" t="s">
        <v>4271</v>
      </c>
      <c r="C3432" s="6" t="s">
        <v>4124</v>
      </c>
      <c r="D3432" s="7">
        <v>7</v>
      </c>
      <c r="E3432" s="6" t="s">
        <v>7032</v>
      </c>
      <c r="F3432" s="6" t="s">
        <v>5631</v>
      </c>
      <c r="G3432" s="6" t="s">
        <v>5632</v>
      </c>
      <c r="H3432" s="8"/>
      <c r="I3432" s="8">
        <v>9000</v>
      </c>
      <c r="J3432" s="6"/>
      <c r="K3432" s="6" t="s">
        <v>2502</v>
      </c>
      <c r="L3432" s="6"/>
      <c r="M3432" s="6"/>
      <c r="N3432" s="6" t="s">
        <v>2502</v>
      </c>
      <c r="O3432" s="29">
        <f t="shared" si="83"/>
        <v>9000</v>
      </c>
      <c r="Q3432" s="30" t="s">
        <v>2502</v>
      </c>
      <c r="R3432" s="31">
        <v>9000</v>
      </c>
    </row>
    <row r="3433" s="1" customFormat="1" ht="16.35" hidden="1" customHeight="1" spans="1:18">
      <c r="A3433" s="6"/>
      <c r="B3433" s="6" t="s">
        <v>4271</v>
      </c>
      <c r="C3433" s="6" t="s">
        <v>4124</v>
      </c>
      <c r="D3433" s="7">
        <v>74</v>
      </c>
      <c r="E3433" s="6" t="s">
        <v>6997</v>
      </c>
      <c r="F3433" s="6" t="s">
        <v>5631</v>
      </c>
      <c r="G3433" s="6" t="s">
        <v>5632</v>
      </c>
      <c r="H3433" s="8"/>
      <c r="I3433" s="8">
        <v>193500</v>
      </c>
      <c r="J3433" s="6"/>
      <c r="K3433" s="6" t="s">
        <v>2500</v>
      </c>
      <c r="L3433" s="6"/>
      <c r="M3433" s="6"/>
      <c r="N3433" s="6" t="s">
        <v>2500</v>
      </c>
      <c r="O3433" s="29">
        <f t="shared" si="83"/>
        <v>193500</v>
      </c>
      <c r="Q3433" s="30" t="s">
        <v>2500</v>
      </c>
      <c r="R3433" s="31">
        <v>193500</v>
      </c>
    </row>
    <row r="3434" s="1" customFormat="1" ht="16.35" hidden="1" customHeight="1" spans="1:18">
      <c r="A3434" s="6"/>
      <c r="B3434" s="6" t="s">
        <v>4271</v>
      </c>
      <c r="C3434" s="6" t="s">
        <v>4124</v>
      </c>
      <c r="D3434" s="7">
        <v>85</v>
      </c>
      <c r="E3434" s="6" t="s">
        <v>6998</v>
      </c>
      <c r="F3434" s="6" t="s">
        <v>5631</v>
      </c>
      <c r="G3434" s="6" t="s">
        <v>5632</v>
      </c>
      <c r="H3434" s="8"/>
      <c r="I3434" s="8">
        <v>63640</v>
      </c>
      <c r="J3434" s="6"/>
      <c r="K3434" s="6" t="s">
        <v>2646</v>
      </c>
      <c r="L3434" s="6"/>
      <c r="M3434" s="6"/>
      <c r="N3434" s="6" t="s">
        <v>2646</v>
      </c>
      <c r="O3434" s="29">
        <f t="shared" si="83"/>
        <v>63640</v>
      </c>
      <c r="Q3434" s="30" t="s">
        <v>2646</v>
      </c>
      <c r="R3434" s="31">
        <v>63640</v>
      </c>
    </row>
    <row r="3435" s="1" customFormat="1" ht="16.35" hidden="1" customHeight="1" spans="1:18">
      <c r="A3435" s="6"/>
      <c r="B3435" s="6" t="s">
        <v>4271</v>
      </c>
      <c r="C3435" s="6" t="s">
        <v>4124</v>
      </c>
      <c r="D3435" s="7">
        <v>11</v>
      </c>
      <c r="E3435" s="6" t="s">
        <v>7033</v>
      </c>
      <c r="F3435" s="6" t="s">
        <v>5631</v>
      </c>
      <c r="G3435" s="6" t="s">
        <v>5632</v>
      </c>
      <c r="H3435" s="8"/>
      <c r="I3435" s="8">
        <v>50579</v>
      </c>
      <c r="J3435" s="6"/>
      <c r="K3435" s="6" t="s">
        <v>2634</v>
      </c>
      <c r="L3435" s="6"/>
      <c r="M3435" s="6"/>
      <c r="N3435" s="6" t="s">
        <v>2634</v>
      </c>
      <c r="O3435" s="29">
        <f t="shared" si="83"/>
        <v>50579</v>
      </c>
      <c r="Q3435" s="30" t="s">
        <v>2634</v>
      </c>
      <c r="R3435" s="31">
        <v>50579</v>
      </c>
    </row>
    <row r="3436" s="1" customFormat="1" ht="16.35" hidden="1" customHeight="1" spans="1:18">
      <c r="A3436" s="6"/>
      <c r="B3436" s="6" t="s">
        <v>4271</v>
      </c>
      <c r="C3436" s="6" t="s">
        <v>4124</v>
      </c>
      <c r="D3436" s="7">
        <v>70</v>
      </c>
      <c r="E3436" s="6" t="s">
        <v>7034</v>
      </c>
      <c r="F3436" s="6" t="s">
        <v>5631</v>
      </c>
      <c r="G3436" s="6" t="s">
        <v>5632</v>
      </c>
      <c r="H3436" s="8"/>
      <c r="I3436" s="8">
        <v>5000</v>
      </c>
      <c r="J3436" s="6"/>
      <c r="K3436" s="6" t="s">
        <v>2660</v>
      </c>
      <c r="L3436" s="6"/>
      <c r="M3436" s="6"/>
      <c r="N3436" s="6" t="s">
        <v>2660</v>
      </c>
      <c r="O3436" s="29">
        <f t="shared" si="83"/>
        <v>5000</v>
      </c>
      <c r="Q3436" s="30" t="s">
        <v>2660</v>
      </c>
      <c r="R3436" s="31">
        <v>5000</v>
      </c>
    </row>
    <row r="3437" s="1" customFormat="1" ht="16.35" hidden="1" customHeight="1" spans="1:18">
      <c r="A3437" s="6"/>
      <c r="B3437" s="6" t="s">
        <v>4271</v>
      </c>
      <c r="C3437" s="6" t="s">
        <v>4124</v>
      </c>
      <c r="D3437" s="7">
        <v>1</v>
      </c>
      <c r="E3437" s="6" t="s">
        <v>7031</v>
      </c>
      <c r="F3437" s="6" t="s">
        <v>5631</v>
      </c>
      <c r="G3437" s="6" t="s">
        <v>5632</v>
      </c>
      <c r="H3437" s="8"/>
      <c r="I3437" s="8">
        <v>-10000</v>
      </c>
      <c r="J3437" s="6"/>
      <c r="K3437" s="6" t="s">
        <v>2604</v>
      </c>
      <c r="L3437" s="6"/>
      <c r="M3437" s="6"/>
      <c r="N3437" s="6" t="s">
        <v>2604</v>
      </c>
      <c r="O3437" s="29">
        <f t="shared" si="83"/>
        <v>-10000</v>
      </c>
      <c r="Q3437" s="30" t="s">
        <v>2604</v>
      </c>
      <c r="R3437" s="31">
        <v>-10000</v>
      </c>
    </row>
    <row r="3438" s="1" customFormat="1" ht="16.35" hidden="1" customHeight="1" spans="1:18">
      <c r="A3438" s="6"/>
      <c r="B3438" s="6" t="s">
        <v>4271</v>
      </c>
      <c r="C3438" s="6" t="s">
        <v>4124</v>
      </c>
      <c r="D3438" s="7">
        <v>6</v>
      </c>
      <c r="E3438" s="6" t="s">
        <v>7035</v>
      </c>
      <c r="F3438" s="6" t="s">
        <v>5631</v>
      </c>
      <c r="G3438" s="6" t="s">
        <v>5632</v>
      </c>
      <c r="H3438" s="8"/>
      <c r="I3438" s="8">
        <v>5000</v>
      </c>
      <c r="J3438" s="6"/>
      <c r="K3438" s="6" t="s">
        <v>2608</v>
      </c>
      <c r="L3438" s="6"/>
      <c r="M3438" s="6"/>
      <c r="N3438" s="6" t="s">
        <v>2608</v>
      </c>
      <c r="O3438" s="29">
        <f t="shared" si="83"/>
        <v>5000</v>
      </c>
      <c r="Q3438" s="30" t="s">
        <v>2608</v>
      </c>
      <c r="R3438" s="31">
        <v>5000</v>
      </c>
    </row>
    <row r="3439" s="1" customFormat="1" ht="16.35" hidden="1" customHeight="1" spans="1:18">
      <c r="A3439" s="6"/>
      <c r="B3439" s="6" t="s">
        <v>4271</v>
      </c>
      <c r="C3439" s="6" t="s">
        <v>4124</v>
      </c>
      <c r="D3439" s="7">
        <v>83</v>
      </c>
      <c r="E3439" s="6" t="s">
        <v>6994</v>
      </c>
      <c r="F3439" s="6" t="s">
        <v>5631</v>
      </c>
      <c r="G3439" s="6" t="s">
        <v>5632</v>
      </c>
      <c r="H3439" s="8"/>
      <c r="I3439" s="8">
        <v>167000</v>
      </c>
      <c r="J3439" s="6"/>
      <c r="K3439" s="6" t="s">
        <v>2636</v>
      </c>
      <c r="L3439" s="6"/>
      <c r="M3439" s="6"/>
      <c r="N3439" s="6" t="s">
        <v>2636</v>
      </c>
      <c r="O3439" s="29">
        <f t="shared" si="83"/>
        <v>167000</v>
      </c>
      <c r="Q3439" s="30" t="s">
        <v>2636</v>
      </c>
      <c r="R3439" s="31">
        <v>167000</v>
      </c>
    </row>
    <row r="3440" s="1" customFormat="1" ht="16.35" hidden="1" customHeight="1" spans="1:18">
      <c r="A3440" s="6"/>
      <c r="B3440" s="6" t="s">
        <v>4271</v>
      </c>
      <c r="C3440" s="6" t="s">
        <v>4124</v>
      </c>
      <c r="D3440" s="7">
        <v>89</v>
      </c>
      <c r="E3440" s="6" t="s">
        <v>7036</v>
      </c>
      <c r="F3440" s="6" t="s">
        <v>5631</v>
      </c>
      <c r="G3440" s="6" t="s">
        <v>5632</v>
      </c>
      <c r="H3440" s="8"/>
      <c r="I3440" s="8">
        <v>10000</v>
      </c>
      <c r="J3440" s="6"/>
      <c r="K3440" s="6" t="s">
        <v>2666</v>
      </c>
      <c r="L3440" s="6"/>
      <c r="M3440" s="6"/>
      <c r="N3440" s="6" t="s">
        <v>2666</v>
      </c>
      <c r="O3440" s="29">
        <f t="shared" si="83"/>
        <v>10000</v>
      </c>
      <c r="Q3440" s="30" t="s">
        <v>2666</v>
      </c>
      <c r="R3440" s="31">
        <v>10000</v>
      </c>
    </row>
    <row r="3441" s="1" customFormat="1" ht="16.35" hidden="1" customHeight="1" spans="1:18">
      <c r="A3441" s="6"/>
      <c r="B3441" s="6" t="s">
        <v>4271</v>
      </c>
      <c r="C3441" s="6" t="s">
        <v>4124</v>
      </c>
      <c r="D3441" s="7">
        <v>83</v>
      </c>
      <c r="E3441" s="6" t="s">
        <v>6994</v>
      </c>
      <c r="F3441" s="6" t="s">
        <v>5631</v>
      </c>
      <c r="G3441" s="6" t="s">
        <v>5632</v>
      </c>
      <c r="H3441" s="8"/>
      <c r="I3441" s="8">
        <v>55000</v>
      </c>
      <c r="J3441" s="6"/>
      <c r="K3441" s="6" t="s">
        <v>2666</v>
      </c>
      <c r="L3441" s="6"/>
      <c r="M3441" s="6"/>
      <c r="N3441" s="6" t="s">
        <v>2666</v>
      </c>
      <c r="O3441" s="29">
        <f t="shared" si="83"/>
        <v>55000</v>
      </c>
      <c r="Q3441" s="30" t="s">
        <v>2666</v>
      </c>
      <c r="R3441" s="31">
        <v>55000</v>
      </c>
    </row>
    <row r="3442" s="1" customFormat="1" ht="16.35" hidden="1" customHeight="1" spans="1:18">
      <c r="A3442" s="6"/>
      <c r="B3442" s="6" t="s">
        <v>4271</v>
      </c>
      <c r="C3442" s="6" t="s">
        <v>4124</v>
      </c>
      <c r="D3442" s="7">
        <v>3</v>
      </c>
      <c r="E3442" s="6" t="s">
        <v>7023</v>
      </c>
      <c r="F3442" s="6" t="s">
        <v>5631</v>
      </c>
      <c r="G3442" s="6" t="s">
        <v>5632</v>
      </c>
      <c r="H3442" s="8"/>
      <c r="I3442" s="8">
        <v>-7000</v>
      </c>
      <c r="J3442" s="6"/>
      <c r="K3442" s="6" t="s">
        <v>2700</v>
      </c>
      <c r="L3442" s="6"/>
      <c r="M3442" s="6"/>
      <c r="N3442" s="6" t="s">
        <v>2700</v>
      </c>
      <c r="O3442" s="29">
        <f t="shared" si="83"/>
        <v>-7000</v>
      </c>
      <c r="Q3442" s="30" t="s">
        <v>2700</v>
      </c>
      <c r="R3442" s="31">
        <v>-7000</v>
      </c>
    </row>
    <row r="3443" s="1" customFormat="1" ht="16.35" hidden="1" customHeight="1" spans="1:18">
      <c r="A3443" s="6"/>
      <c r="B3443" s="6" t="s">
        <v>4271</v>
      </c>
      <c r="C3443" s="6" t="s">
        <v>4124</v>
      </c>
      <c r="D3443" s="7">
        <v>39</v>
      </c>
      <c r="E3443" s="6" t="s">
        <v>7037</v>
      </c>
      <c r="F3443" s="6" t="s">
        <v>5631</v>
      </c>
      <c r="G3443" s="6" t="s">
        <v>5632</v>
      </c>
      <c r="H3443" s="8"/>
      <c r="I3443" s="8">
        <v>168000</v>
      </c>
      <c r="J3443" s="6"/>
      <c r="K3443" s="6" t="s">
        <v>2700</v>
      </c>
      <c r="L3443" s="6"/>
      <c r="M3443" s="6"/>
      <c r="N3443" s="6" t="s">
        <v>2700</v>
      </c>
      <c r="O3443" s="29">
        <f t="shared" si="83"/>
        <v>168000</v>
      </c>
      <c r="Q3443" s="30" t="s">
        <v>2700</v>
      </c>
      <c r="R3443" s="31">
        <v>168000</v>
      </c>
    </row>
    <row r="3444" s="1" customFormat="1" ht="16.35" hidden="1" customHeight="1" spans="1:18">
      <c r="A3444" s="6"/>
      <c r="B3444" s="6" t="s">
        <v>4271</v>
      </c>
      <c r="C3444" s="6" t="s">
        <v>4124</v>
      </c>
      <c r="D3444" s="7">
        <v>13</v>
      </c>
      <c r="E3444" s="6" t="s">
        <v>7038</v>
      </c>
      <c r="F3444" s="6" t="s">
        <v>5631</v>
      </c>
      <c r="G3444" s="6" t="s">
        <v>5632</v>
      </c>
      <c r="H3444" s="8"/>
      <c r="I3444" s="8">
        <v>1000</v>
      </c>
      <c r="J3444" s="6"/>
      <c r="K3444" s="6" t="s">
        <v>2736</v>
      </c>
      <c r="L3444" s="6"/>
      <c r="M3444" s="6"/>
      <c r="N3444" s="6" t="s">
        <v>2736</v>
      </c>
      <c r="O3444" s="29">
        <f t="shared" si="83"/>
        <v>1000</v>
      </c>
      <c r="Q3444" s="30" t="s">
        <v>2736</v>
      </c>
      <c r="R3444" s="31">
        <v>1000</v>
      </c>
    </row>
    <row r="3445" s="1" customFormat="1" ht="16.35" hidden="1" customHeight="1" spans="1:18">
      <c r="A3445" s="6"/>
      <c r="B3445" s="6" t="s">
        <v>4271</v>
      </c>
      <c r="C3445" s="6" t="s">
        <v>4124</v>
      </c>
      <c r="D3445" s="7">
        <v>74</v>
      </c>
      <c r="E3445" s="6" t="s">
        <v>6997</v>
      </c>
      <c r="F3445" s="6" t="s">
        <v>5631</v>
      </c>
      <c r="G3445" s="6" t="s">
        <v>5632</v>
      </c>
      <c r="H3445" s="8"/>
      <c r="I3445" s="8">
        <v>68143</v>
      </c>
      <c r="J3445" s="6"/>
      <c r="K3445" s="6" t="s">
        <v>2736</v>
      </c>
      <c r="L3445" s="6"/>
      <c r="M3445" s="6"/>
      <c r="N3445" s="6" t="s">
        <v>2736</v>
      </c>
      <c r="O3445" s="29">
        <f t="shared" si="83"/>
        <v>68143</v>
      </c>
      <c r="Q3445" s="30" t="s">
        <v>2736</v>
      </c>
      <c r="R3445" s="31">
        <v>68143</v>
      </c>
    </row>
    <row r="3446" s="1" customFormat="1" ht="16.35" hidden="1" customHeight="1" spans="1:18">
      <c r="A3446" s="6"/>
      <c r="B3446" s="6" t="s">
        <v>4271</v>
      </c>
      <c r="C3446" s="6" t="s">
        <v>4279</v>
      </c>
      <c r="D3446" s="7">
        <v>40</v>
      </c>
      <c r="E3446" s="6" t="s">
        <v>7039</v>
      </c>
      <c r="F3446" s="6" t="s">
        <v>5631</v>
      </c>
      <c r="G3446" s="6" t="s">
        <v>5632</v>
      </c>
      <c r="H3446" s="8"/>
      <c r="I3446" s="8">
        <v>9000</v>
      </c>
      <c r="J3446" s="6"/>
      <c r="K3446" s="6" t="s">
        <v>2325</v>
      </c>
      <c r="L3446" s="6"/>
      <c r="M3446" s="6"/>
      <c r="N3446" s="6" t="s">
        <v>2325</v>
      </c>
      <c r="O3446" s="29">
        <f t="shared" si="83"/>
        <v>9000</v>
      </c>
      <c r="Q3446" s="30" t="s">
        <v>2325</v>
      </c>
      <c r="R3446" s="31">
        <v>9000</v>
      </c>
    </row>
    <row r="3447" s="1" customFormat="1" ht="16.35" hidden="1" customHeight="1" spans="1:18">
      <c r="A3447" s="6"/>
      <c r="B3447" s="6" t="s">
        <v>4271</v>
      </c>
      <c r="C3447" s="6" t="s">
        <v>4279</v>
      </c>
      <c r="D3447" s="7">
        <v>42</v>
      </c>
      <c r="E3447" s="6" t="s">
        <v>7040</v>
      </c>
      <c r="F3447" s="6" t="s">
        <v>5631</v>
      </c>
      <c r="G3447" s="6" t="s">
        <v>5632</v>
      </c>
      <c r="H3447" s="8"/>
      <c r="I3447" s="8">
        <v>77580</v>
      </c>
      <c r="J3447" s="6"/>
      <c r="K3447" s="6" t="s">
        <v>2325</v>
      </c>
      <c r="L3447" s="6"/>
      <c r="M3447" s="6"/>
      <c r="N3447" s="6" t="s">
        <v>2325</v>
      </c>
      <c r="O3447" s="29">
        <f t="shared" si="83"/>
        <v>77580</v>
      </c>
      <c r="Q3447" s="30" t="s">
        <v>2325</v>
      </c>
      <c r="R3447" s="31">
        <v>77580</v>
      </c>
    </row>
    <row r="3448" s="1" customFormat="1" ht="16.35" hidden="1" customHeight="1" spans="1:18">
      <c r="A3448" s="6"/>
      <c r="B3448" s="6" t="s">
        <v>4271</v>
      </c>
      <c r="C3448" s="6" t="s">
        <v>4279</v>
      </c>
      <c r="D3448" s="7">
        <v>53</v>
      </c>
      <c r="E3448" s="6" t="s">
        <v>7041</v>
      </c>
      <c r="F3448" s="6" t="s">
        <v>5631</v>
      </c>
      <c r="G3448" s="6" t="s">
        <v>5632</v>
      </c>
      <c r="H3448" s="8"/>
      <c r="I3448" s="8">
        <v>27000</v>
      </c>
      <c r="J3448" s="6"/>
      <c r="K3448" s="6" t="s">
        <v>2376</v>
      </c>
      <c r="L3448" s="6"/>
      <c r="M3448" s="6"/>
      <c r="N3448" s="6" t="s">
        <v>2376</v>
      </c>
      <c r="O3448" s="29">
        <f t="shared" si="83"/>
        <v>27000</v>
      </c>
      <c r="Q3448" s="30" t="s">
        <v>2376</v>
      </c>
      <c r="R3448" s="31">
        <v>27000</v>
      </c>
    </row>
    <row r="3449" s="1" customFormat="1" ht="16.35" hidden="1" customHeight="1" spans="1:18">
      <c r="A3449" s="6"/>
      <c r="B3449" s="6" t="s">
        <v>4271</v>
      </c>
      <c r="C3449" s="6" t="s">
        <v>4279</v>
      </c>
      <c r="D3449" s="7">
        <v>8</v>
      </c>
      <c r="E3449" s="6" t="s">
        <v>7042</v>
      </c>
      <c r="F3449" s="6" t="s">
        <v>5631</v>
      </c>
      <c r="G3449" s="6" t="s">
        <v>5632</v>
      </c>
      <c r="H3449" s="8"/>
      <c r="I3449" s="8">
        <v>-10000</v>
      </c>
      <c r="J3449" s="6"/>
      <c r="K3449" s="6" t="s">
        <v>2430</v>
      </c>
      <c r="L3449" s="6"/>
      <c r="M3449" s="6"/>
      <c r="N3449" s="6" t="s">
        <v>2430</v>
      </c>
      <c r="O3449" s="29">
        <f t="shared" si="83"/>
        <v>-10000</v>
      </c>
      <c r="Q3449" s="30" t="s">
        <v>2430</v>
      </c>
      <c r="R3449" s="31">
        <v>-10000</v>
      </c>
    </row>
    <row r="3450" s="1" customFormat="1" ht="16.35" hidden="1" customHeight="1" spans="1:18">
      <c r="A3450" s="6"/>
      <c r="B3450" s="6" t="s">
        <v>4271</v>
      </c>
      <c r="C3450" s="6" t="s">
        <v>4279</v>
      </c>
      <c r="D3450" s="7">
        <v>43</v>
      </c>
      <c r="E3450" s="6" t="s">
        <v>7043</v>
      </c>
      <c r="F3450" s="6" t="s">
        <v>5631</v>
      </c>
      <c r="G3450" s="6" t="s">
        <v>5632</v>
      </c>
      <c r="H3450" s="8"/>
      <c r="I3450" s="8">
        <v>10000</v>
      </c>
      <c r="J3450" s="6"/>
      <c r="K3450" s="6" t="s">
        <v>2470</v>
      </c>
      <c r="L3450" s="6"/>
      <c r="M3450" s="6"/>
      <c r="N3450" s="6" t="s">
        <v>2470</v>
      </c>
      <c r="O3450" s="29">
        <f t="shared" si="83"/>
        <v>10000</v>
      </c>
      <c r="Q3450" s="30" t="s">
        <v>2470</v>
      </c>
      <c r="R3450" s="31">
        <v>10000</v>
      </c>
    </row>
    <row r="3451" s="1" customFormat="1" ht="16.35" hidden="1" customHeight="1" spans="1:18">
      <c r="A3451" s="6"/>
      <c r="B3451" s="6" t="s">
        <v>4271</v>
      </c>
      <c r="C3451" s="6" t="s">
        <v>4279</v>
      </c>
      <c r="D3451" s="7">
        <v>8</v>
      </c>
      <c r="E3451" s="6" t="s">
        <v>7042</v>
      </c>
      <c r="F3451" s="6" t="s">
        <v>5631</v>
      </c>
      <c r="G3451" s="6" t="s">
        <v>5632</v>
      </c>
      <c r="H3451" s="8"/>
      <c r="I3451" s="8">
        <v>10000</v>
      </c>
      <c r="J3451" s="6"/>
      <c r="K3451" s="6" t="s">
        <v>2642</v>
      </c>
      <c r="L3451" s="6"/>
      <c r="M3451" s="6"/>
      <c r="N3451" s="6" t="s">
        <v>2642</v>
      </c>
      <c r="O3451" s="29">
        <f t="shared" si="83"/>
        <v>10000</v>
      </c>
      <c r="Q3451" s="30" t="s">
        <v>2642</v>
      </c>
      <c r="R3451" s="31">
        <v>10000</v>
      </c>
    </row>
    <row r="3452" s="1" customFormat="1" ht="16.35" hidden="1" customHeight="1" spans="1:18">
      <c r="A3452" s="6"/>
      <c r="B3452" s="6" t="s">
        <v>4271</v>
      </c>
      <c r="C3452" s="6" t="s">
        <v>4279</v>
      </c>
      <c r="D3452" s="7">
        <v>8</v>
      </c>
      <c r="E3452" s="6" t="s">
        <v>7044</v>
      </c>
      <c r="F3452" s="6" t="s">
        <v>5631</v>
      </c>
      <c r="G3452" s="6" t="s">
        <v>5632</v>
      </c>
      <c r="H3452" s="8"/>
      <c r="I3452" s="8">
        <v>10000</v>
      </c>
      <c r="J3452" s="6"/>
      <c r="K3452" s="6" t="s">
        <v>2642</v>
      </c>
      <c r="L3452" s="6"/>
      <c r="M3452" s="6"/>
      <c r="N3452" s="6" t="s">
        <v>2642</v>
      </c>
      <c r="O3452" s="29">
        <f t="shared" si="83"/>
        <v>10000</v>
      </c>
      <c r="Q3452" s="30" t="s">
        <v>2642</v>
      </c>
      <c r="R3452" s="31">
        <v>10000</v>
      </c>
    </row>
    <row r="3453" s="1" customFormat="1" ht="16.35" hidden="1" customHeight="1" spans="1:18">
      <c r="A3453" s="6"/>
      <c r="B3453" s="6" t="s">
        <v>4271</v>
      </c>
      <c r="C3453" s="6" t="s">
        <v>4279</v>
      </c>
      <c r="D3453" s="7">
        <v>8</v>
      </c>
      <c r="E3453" s="6" t="s">
        <v>7045</v>
      </c>
      <c r="F3453" s="6" t="s">
        <v>5631</v>
      </c>
      <c r="G3453" s="6" t="s">
        <v>5632</v>
      </c>
      <c r="H3453" s="8"/>
      <c r="I3453" s="8">
        <v>10000</v>
      </c>
      <c r="J3453" s="6"/>
      <c r="K3453" s="6" t="s">
        <v>2642</v>
      </c>
      <c r="L3453" s="6"/>
      <c r="M3453" s="6"/>
      <c r="N3453" s="6" t="s">
        <v>2642</v>
      </c>
      <c r="O3453" s="29">
        <f t="shared" si="83"/>
        <v>10000</v>
      </c>
      <c r="Q3453" s="30" t="s">
        <v>2642</v>
      </c>
      <c r="R3453" s="31">
        <v>10000</v>
      </c>
    </row>
    <row r="3454" s="1" customFormat="1" ht="16.35" hidden="1" customHeight="1" spans="1:18">
      <c r="A3454" s="6"/>
      <c r="B3454" s="6" t="s">
        <v>4271</v>
      </c>
      <c r="C3454" s="6" t="s">
        <v>4279</v>
      </c>
      <c r="D3454" s="7">
        <v>8</v>
      </c>
      <c r="E3454" s="6" t="s">
        <v>7046</v>
      </c>
      <c r="F3454" s="6" t="s">
        <v>5631</v>
      </c>
      <c r="G3454" s="6" t="s">
        <v>5632</v>
      </c>
      <c r="H3454" s="8"/>
      <c r="I3454" s="8">
        <v>5000</v>
      </c>
      <c r="J3454" s="6"/>
      <c r="K3454" s="6" t="s">
        <v>2642</v>
      </c>
      <c r="L3454" s="6"/>
      <c r="M3454" s="6"/>
      <c r="N3454" s="6" t="s">
        <v>2642</v>
      </c>
      <c r="O3454" s="29">
        <f t="shared" si="83"/>
        <v>5000</v>
      </c>
      <c r="Q3454" s="30" t="s">
        <v>2642</v>
      </c>
      <c r="R3454" s="31">
        <v>5000</v>
      </c>
    </row>
    <row r="3455" s="1" customFormat="1" ht="16.35" hidden="1" customHeight="1" spans="1:18">
      <c r="A3455" s="6"/>
      <c r="B3455" s="6" t="s">
        <v>4271</v>
      </c>
      <c r="C3455" s="6" t="s">
        <v>4279</v>
      </c>
      <c r="D3455" s="7">
        <v>8</v>
      </c>
      <c r="E3455" s="6" t="s">
        <v>7047</v>
      </c>
      <c r="F3455" s="6" t="s">
        <v>5631</v>
      </c>
      <c r="G3455" s="6" t="s">
        <v>5632</v>
      </c>
      <c r="H3455" s="8"/>
      <c r="I3455" s="8">
        <v>-5000</v>
      </c>
      <c r="J3455" s="6"/>
      <c r="K3455" s="6" t="s">
        <v>2642</v>
      </c>
      <c r="L3455" s="6"/>
      <c r="M3455" s="6"/>
      <c r="N3455" s="6" t="s">
        <v>2642</v>
      </c>
      <c r="O3455" s="29">
        <f t="shared" si="83"/>
        <v>-5000</v>
      </c>
      <c r="Q3455" s="30" t="s">
        <v>2642</v>
      </c>
      <c r="R3455" s="31">
        <v>-5000</v>
      </c>
    </row>
    <row r="3456" s="1" customFormat="1" ht="16.35" hidden="1" customHeight="1" spans="1:18">
      <c r="A3456" s="6"/>
      <c r="B3456" s="6" t="s">
        <v>4271</v>
      </c>
      <c r="C3456" s="6" t="s">
        <v>4279</v>
      </c>
      <c r="D3456" s="7">
        <v>8</v>
      </c>
      <c r="E3456" s="6" t="s">
        <v>7047</v>
      </c>
      <c r="F3456" s="6" t="s">
        <v>5631</v>
      </c>
      <c r="G3456" s="6" t="s">
        <v>5632</v>
      </c>
      <c r="H3456" s="8"/>
      <c r="I3456" s="8">
        <v>5000</v>
      </c>
      <c r="J3456" s="6"/>
      <c r="K3456" s="6" t="s">
        <v>2642</v>
      </c>
      <c r="L3456" s="6"/>
      <c r="M3456" s="6"/>
      <c r="N3456" s="6" t="s">
        <v>2642</v>
      </c>
      <c r="O3456" s="29">
        <f t="shared" si="83"/>
        <v>5000</v>
      </c>
      <c r="Q3456" s="30" t="s">
        <v>2642</v>
      </c>
      <c r="R3456" s="31">
        <v>5000</v>
      </c>
    </row>
    <row r="3457" s="1" customFormat="1" ht="16.35" hidden="1" customHeight="1" spans="1:18">
      <c r="A3457" s="6"/>
      <c r="B3457" s="6" t="s">
        <v>4271</v>
      </c>
      <c r="C3457" s="6" t="s">
        <v>4279</v>
      </c>
      <c r="D3457" s="7">
        <v>8</v>
      </c>
      <c r="E3457" s="6" t="s">
        <v>7044</v>
      </c>
      <c r="F3457" s="6" t="s">
        <v>5631</v>
      </c>
      <c r="G3457" s="6" t="s">
        <v>5632</v>
      </c>
      <c r="H3457" s="8"/>
      <c r="I3457" s="8">
        <v>3000</v>
      </c>
      <c r="J3457" s="6"/>
      <c r="K3457" s="6" t="s">
        <v>2642</v>
      </c>
      <c r="L3457" s="6"/>
      <c r="M3457" s="6"/>
      <c r="N3457" s="6" t="s">
        <v>2642</v>
      </c>
      <c r="O3457" s="29">
        <f t="shared" si="83"/>
        <v>3000</v>
      </c>
      <c r="Q3457" s="30" t="s">
        <v>2642</v>
      </c>
      <c r="R3457" s="31">
        <v>3000</v>
      </c>
    </row>
    <row r="3458" s="1" customFormat="1" ht="16.35" hidden="1" customHeight="1" spans="1:18">
      <c r="A3458" s="6"/>
      <c r="B3458" s="6" t="s">
        <v>4271</v>
      </c>
      <c r="C3458" s="6" t="s">
        <v>4279</v>
      </c>
      <c r="D3458" s="7">
        <v>8</v>
      </c>
      <c r="E3458" s="6" t="s">
        <v>7048</v>
      </c>
      <c r="F3458" s="6" t="s">
        <v>5631</v>
      </c>
      <c r="G3458" s="6" t="s">
        <v>5632</v>
      </c>
      <c r="H3458" s="8"/>
      <c r="I3458" s="8">
        <v>5000</v>
      </c>
      <c r="J3458" s="6"/>
      <c r="K3458" s="6" t="s">
        <v>2642</v>
      </c>
      <c r="L3458" s="6"/>
      <c r="M3458" s="6"/>
      <c r="N3458" s="6" t="s">
        <v>2642</v>
      </c>
      <c r="O3458" s="29">
        <f t="shared" si="83"/>
        <v>5000</v>
      </c>
      <c r="Q3458" s="30" t="s">
        <v>2642</v>
      </c>
      <c r="R3458" s="31">
        <v>5000</v>
      </c>
    </row>
    <row r="3459" s="1" customFormat="1" ht="16.35" hidden="1" customHeight="1" spans="1:18">
      <c r="A3459" s="6"/>
      <c r="B3459" s="6" t="s">
        <v>4271</v>
      </c>
      <c r="C3459" s="6" t="s">
        <v>4279</v>
      </c>
      <c r="D3459" s="7">
        <v>5</v>
      </c>
      <c r="E3459" s="6" t="s">
        <v>7049</v>
      </c>
      <c r="F3459" s="6" t="s">
        <v>5631</v>
      </c>
      <c r="G3459" s="6" t="s">
        <v>5632</v>
      </c>
      <c r="H3459" s="8"/>
      <c r="I3459" s="8">
        <v>-10000</v>
      </c>
      <c r="J3459" s="6"/>
      <c r="K3459" s="6" t="s">
        <v>2664</v>
      </c>
      <c r="L3459" s="6"/>
      <c r="M3459" s="6"/>
      <c r="N3459" s="6" t="s">
        <v>2664</v>
      </c>
      <c r="O3459" s="29">
        <f t="shared" si="83"/>
        <v>-10000</v>
      </c>
      <c r="Q3459" s="30" t="s">
        <v>2664</v>
      </c>
      <c r="R3459" s="31">
        <v>-10000</v>
      </c>
    </row>
    <row r="3460" s="1" customFormat="1" ht="16.35" hidden="1" customHeight="1" spans="1:18">
      <c r="A3460" s="6"/>
      <c r="B3460" s="6" t="s">
        <v>4271</v>
      </c>
      <c r="C3460" s="6" t="s">
        <v>4279</v>
      </c>
      <c r="D3460" s="7">
        <v>3</v>
      </c>
      <c r="E3460" s="6" t="s">
        <v>7050</v>
      </c>
      <c r="F3460" s="6" t="s">
        <v>5631</v>
      </c>
      <c r="G3460" s="6" t="s">
        <v>5632</v>
      </c>
      <c r="H3460" s="8"/>
      <c r="I3460" s="8">
        <v>79579</v>
      </c>
      <c r="J3460" s="6"/>
      <c r="K3460" s="6" t="s">
        <v>2600</v>
      </c>
      <c r="L3460" s="6"/>
      <c r="M3460" s="6"/>
      <c r="N3460" s="6" t="s">
        <v>2600</v>
      </c>
      <c r="O3460" s="29">
        <f t="shared" si="83"/>
        <v>79579</v>
      </c>
      <c r="Q3460" s="30" t="s">
        <v>2600</v>
      </c>
      <c r="R3460" s="31">
        <v>79579</v>
      </c>
    </row>
    <row r="3461" s="1" customFormat="1" ht="16.35" hidden="1" customHeight="1" spans="1:18">
      <c r="A3461" s="6"/>
      <c r="B3461" s="6" t="s">
        <v>4271</v>
      </c>
      <c r="C3461" s="6" t="s">
        <v>4279</v>
      </c>
      <c r="D3461" s="7">
        <v>4</v>
      </c>
      <c r="E3461" s="6" t="s">
        <v>7051</v>
      </c>
      <c r="F3461" s="6" t="s">
        <v>5631</v>
      </c>
      <c r="G3461" s="6" t="s">
        <v>5632</v>
      </c>
      <c r="H3461" s="8"/>
      <c r="I3461" s="8">
        <v>2000</v>
      </c>
      <c r="J3461" s="6"/>
      <c r="K3461" s="6" t="s">
        <v>2600</v>
      </c>
      <c r="L3461" s="6"/>
      <c r="M3461" s="6"/>
      <c r="N3461" s="6" t="s">
        <v>2600</v>
      </c>
      <c r="O3461" s="29">
        <f t="shared" si="83"/>
        <v>2000</v>
      </c>
      <c r="Q3461" s="30" t="s">
        <v>2600</v>
      </c>
      <c r="R3461" s="31">
        <v>2000</v>
      </c>
    </row>
    <row r="3462" s="1" customFormat="1" ht="16.35" hidden="1" customHeight="1" spans="1:18">
      <c r="A3462" s="6"/>
      <c r="B3462" s="6" t="s">
        <v>4271</v>
      </c>
      <c r="C3462" s="6" t="s">
        <v>4279</v>
      </c>
      <c r="D3462" s="7">
        <v>4</v>
      </c>
      <c r="E3462" s="6" t="s">
        <v>7052</v>
      </c>
      <c r="F3462" s="6" t="s">
        <v>5631</v>
      </c>
      <c r="G3462" s="6" t="s">
        <v>5632</v>
      </c>
      <c r="H3462" s="8"/>
      <c r="I3462" s="8">
        <v>3000</v>
      </c>
      <c r="J3462" s="6"/>
      <c r="K3462" s="6" t="s">
        <v>2600</v>
      </c>
      <c r="L3462" s="6"/>
      <c r="M3462" s="6"/>
      <c r="N3462" s="6" t="s">
        <v>2600</v>
      </c>
      <c r="O3462" s="29">
        <f t="shared" si="83"/>
        <v>3000</v>
      </c>
      <c r="Q3462" s="30" t="s">
        <v>2600</v>
      </c>
      <c r="R3462" s="31">
        <v>3000</v>
      </c>
    </row>
    <row r="3463" s="1" customFormat="1" ht="16.35" hidden="1" customHeight="1" spans="1:18">
      <c r="A3463" s="6"/>
      <c r="B3463" s="6" t="s">
        <v>4271</v>
      </c>
      <c r="C3463" s="6" t="s">
        <v>4279</v>
      </c>
      <c r="D3463" s="7">
        <v>7</v>
      </c>
      <c r="E3463" s="6" t="s">
        <v>7053</v>
      </c>
      <c r="F3463" s="6" t="s">
        <v>5631</v>
      </c>
      <c r="G3463" s="6" t="s">
        <v>5632</v>
      </c>
      <c r="H3463" s="8"/>
      <c r="I3463" s="8">
        <v>-1000</v>
      </c>
      <c r="J3463" s="6"/>
      <c r="K3463" s="6" t="s">
        <v>2600</v>
      </c>
      <c r="L3463" s="6"/>
      <c r="M3463" s="6"/>
      <c r="N3463" s="6" t="s">
        <v>2600</v>
      </c>
      <c r="O3463" s="29">
        <f t="shared" si="83"/>
        <v>-1000</v>
      </c>
      <c r="Q3463" s="30" t="s">
        <v>2600</v>
      </c>
      <c r="R3463" s="31">
        <v>-1000</v>
      </c>
    </row>
    <row r="3464" s="1" customFormat="1" ht="16.35" hidden="1" customHeight="1" spans="1:18">
      <c r="A3464" s="6"/>
      <c r="B3464" s="6" t="s">
        <v>4271</v>
      </c>
      <c r="C3464" s="6" t="s">
        <v>4279</v>
      </c>
      <c r="D3464" s="7">
        <v>7</v>
      </c>
      <c r="E3464" s="6" t="s">
        <v>7053</v>
      </c>
      <c r="F3464" s="6" t="s">
        <v>5631</v>
      </c>
      <c r="G3464" s="6" t="s">
        <v>5632</v>
      </c>
      <c r="H3464" s="8"/>
      <c r="I3464" s="8">
        <v>1000</v>
      </c>
      <c r="J3464" s="6"/>
      <c r="K3464" s="6" t="s">
        <v>2600</v>
      </c>
      <c r="L3464" s="6"/>
      <c r="M3464" s="6"/>
      <c r="N3464" s="6" t="s">
        <v>2600</v>
      </c>
      <c r="O3464" s="29">
        <f t="shared" si="83"/>
        <v>1000</v>
      </c>
      <c r="Q3464" s="30" t="s">
        <v>2600</v>
      </c>
      <c r="R3464" s="31">
        <v>1000</v>
      </c>
    </row>
    <row r="3465" s="1" customFormat="1" ht="16.35" hidden="1" customHeight="1" spans="1:18">
      <c r="A3465" s="6"/>
      <c r="B3465" s="6" t="s">
        <v>4271</v>
      </c>
      <c r="C3465" s="6" t="s">
        <v>4279</v>
      </c>
      <c r="D3465" s="7">
        <v>7</v>
      </c>
      <c r="E3465" s="6" t="s">
        <v>7054</v>
      </c>
      <c r="F3465" s="6" t="s">
        <v>5631</v>
      </c>
      <c r="G3465" s="6" t="s">
        <v>5632</v>
      </c>
      <c r="H3465" s="8"/>
      <c r="I3465" s="8">
        <v>-39000</v>
      </c>
      <c r="J3465" s="6"/>
      <c r="K3465" s="6" t="s">
        <v>2600</v>
      </c>
      <c r="L3465" s="6"/>
      <c r="M3465" s="6"/>
      <c r="N3465" s="6" t="s">
        <v>2600</v>
      </c>
      <c r="O3465" s="29">
        <f t="shared" si="83"/>
        <v>-39000</v>
      </c>
      <c r="Q3465" s="30" t="s">
        <v>2600</v>
      </c>
      <c r="R3465" s="31">
        <v>-39000</v>
      </c>
    </row>
    <row r="3466" s="1" customFormat="1" ht="16.35" hidden="1" customHeight="1" spans="1:18">
      <c r="A3466" s="6"/>
      <c r="B3466" s="6" t="s">
        <v>4271</v>
      </c>
      <c r="C3466" s="6" t="s">
        <v>4279</v>
      </c>
      <c r="D3466" s="7">
        <v>7</v>
      </c>
      <c r="E3466" s="6" t="s">
        <v>7054</v>
      </c>
      <c r="F3466" s="6" t="s">
        <v>5631</v>
      </c>
      <c r="G3466" s="6" t="s">
        <v>5632</v>
      </c>
      <c r="H3466" s="8"/>
      <c r="I3466" s="8">
        <v>39000</v>
      </c>
      <c r="J3466" s="6"/>
      <c r="K3466" s="6" t="s">
        <v>2600</v>
      </c>
      <c r="L3466" s="6"/>
      <c r="M3466" s="6"/>
      <c r="N3466" s="6" t="s">
        <v>2600</v>
      </c>
      <c r="O3466" s="29">
        <f t="shared" si="83"/>
        <v>39000</v>
      </c>
      <c r="Q3466" s="30" t="s">
        <v>2600</v>
      </c>
      <c r="R3466" s="31">
        <v>39000</v>
      </c>
    </row>
    <row r="3467" s="1" customFormat="1" ht="16.35" hidden="1" customHeight="1" spans="1:18">
      <c r="A3467" s="6"/>
      <c r="B3467" s="6" t="s">
        <v>4271</v>
      </c>
      <c r="C3467" s="6" t="s">
        <v>4279</v>
      </c>
      <c r="D3467" s="7">
        <v>8</v>
      </c>
      <c r="E3467" s="6" t="s">
        <v>7046</v>
      </c>
      <c r="F3467" s="6" t="s">
        <v>5631</v>
      </c>
      <c r="G3467" s="6" t="s">
        <v>5632</v>
      </c>
      <c r="H3467" s="8"/>
      <c r="I3467" s="8">
        <v>-5000</v>
      </c>
      <c r="J3467" s="6"/>
      <c r="K3467" s="6" t="s">
        <v>2600</v>
      </c>
      <c r="L3467" s="6"/>
      <c r="M3467" s="6"/>
      <c r="N3467" s="6" t="s">
        <v>2600</v>
      </c>
      <c r="O3467" s="29">
        <f t="shared" si="83"/>
        <v>-5000</v>
      </c>
      <c r="Q3467" s="30" t="s">
        <v>2600</v>
      </c>
      <c r="R3467" s="31">
        <v>-5000</v>
      </c>
    </row>
    <row r="3468" s="1" customFormat="1" ht="16.35" hidden="1" customHeight="1" spans="1:18">
      <c r="A3468" s="6"/>
      <c r="B3468" s="6" t="s">
        <v>4271</v>
      </c>
      <c r="C3468" s="6" t="s">
        <v>4279</v>
      </c>
      <c r="D3468" s="7">
        <v>17</v>
      </c>
      <c r="E3468" s="6" t="s">
        <v>7055</v>
      </c>
      <c r="F3468" s="6" t="s">
        <v>5631</v>
      </c>
      <c r="G3468" s="6" t="s">
        <v>5632</v>
      </c>
      <c r="H3468" s="8"/>
      <c r="I3468" s="8">
        <v>5000</v>
      </c>
      <c r="J3468" s="6"/>
      <c r="K3468" s="6" t="s">
        <v>2600</v>
      </c>
      <c r="L3468" s="6"/>
      <c r="M3468" s="6"/>
      <c r="N3468" s="6" t="s">
        <v>2600</v>
      </c>
      <c r="O3468" s="29">
        <f t="shared" si="83"/>
        <v>5000</v>
      </c>
      <c r="Q3468" s="30" t="s">
        <v>2600</v>
      </c>
      <c r="R3468" s="31">
        <v>5000</v>
      </c>
    </row>
    <row r="3469" s="1" customFormat="1" ht="16.35" hidden="1" customHeight="1" spans="1:18">
      <c r="A3469" s="6"/>
      <c r="B3469" s="6" t="s">
        <v>4271</v>
      </c>
      <c r="C3469" s="6" t="s">
        <v>4279</v>
      </c>
      <c r="D3469" s="7">
        <v>54</v>
      </c>
      <c r="E3469" s="6" t="s">
        <v>7056</v>
      </c>
      <c r="F3469" s="6" t="s">
        <v>5631</v>
      </c>
      <c r="G3469" s="6" t="s">
        <v>5632</v>
      </c>
      <c r="H3469" s="8"/>
      <c r="I3469" s="8">
        <v>49350</v>
      </c>
      <c r="J3469" s="6"/>
      <c r="K3469" s="6" t="s">
        <v>2678</v>
      </c>
      <c r="L3469" s="6"/>
      <c r="M3469" s="6"/>
      <c r="N3469" s="6" t="s">
        <v>2678</v>
      </c>
      <c r="O3469" s="29">
        <f t="shared" si="83"/>
        <v>49350</v>
      </c>
      <c r="Q3469" s="30" t="s">
        <v>2678</v>
      </c>
      <c r="R3469" s="31">
        <v>49350</v>
      </c>
    </row>
    <row r="3470" s="1" customFormat="1" ht="16.35" hidden="1" customHeight="1" spans="1:18">
      <c r="A3470" s="6"/>
      <c r="B3470" s="6" t="s">
        <v>4271</v>
      </c>
      <c r="C3470" s="6" t="s">
        <v>4279</v>
      </c>
      <c r="D3470" s="7">
        <v>53</v>
      </c>
      <c r="E3470" s="6" t="s">
        <v>7057</v>
      </c>
      <c r="F3470" s="6" t="s">
        <v>5631</v>
      </c>
      <c r="G3470" s="6" t="s">
        <v>5632</v>
      </c>
      <c r="H3470" s="8"/>
      <c r="I3470" s="8">
        <v>151000</v>
      </c>
      <c r="J3470" s="6"/>
      <c r="K3470" s="6" t="s">
        <v>1963</v>
      </c>
      <c r="L3470" s="6"/>
      <c r="M3470" s="6"/>
      <c r="N3470" s="6" t="s">
        <v>1963</v>
      </c>
      <c r="O3470" s="29">
        <f t="shared" si="83"/>
        <v>151000</v>
      </c>
      <c r="Q3470" s="30" t="s">
        <v>1963</v>
      </c>
      <c r="R3470" s="31">
        <v>151000</v>
      </c>
    </row>
    <row r="3471" s="1" customFormat="1" ht="16.35" hidden="1" customHeight="1" spans="1:18">
      <c r="A3471" s="6"/>
      <c r="B3471" s="6" t="s">
        <v>4271</v>
      </c>
      <c r="C3471" s="6" t="s">
        <v>4279</v>
      </c>
      <c r="D3471" s="7">
        <v>45</v>
      </c>
      <c r="E3471" s="6" t="s">
        <v>7058</v>
      </c>
      <c r="F3471" s="6" t="s">
        <v>5631</v>
      </c>
      <c r="G3471" s="6" t="s">
        <v>5632</v>
      </c>
      <c r="H3471" s="8"/>
      <c r="I3471" s="8">
        <v>69404</v>
      </c>
      <c r="J3471" s="6"/>
      <c r="K3471" s="6" t="s">
        <v>2143</v>
      </c>
      <c r="L3471" s="6"/>
      <c r="M3471" s="6"/>
      <c r="N3471" s="6" t="s">
        <v>2143</v>
      </c>
      <c r="O3471" s="29">
        <f t="shared" si="83"/>
        <v>69404</v>
      </c>
      <c r="Q3471" s="30" t="s">
        <v>2143</v>
      </c>
      <c r="R3471" s="31">
        <v>69404</v>
      </c>
    </row>
    <row r="3472" s="1" customFormat="1" ht="16.35" hidden="1" customHeight="1" spans="1:18">
      <c r="A3472" s="6"/>
      <c r="B3472" s="6" t="s">
        <v>4271</v>
      </c>
      <c r="C3472" s="6" t="s">
        <v>4279</v>
      </c>
      <c r="D3472" s="7">
        <v>34</v>
      </c>
      <c r="E3472" s="6" t="s">
        <v>7059</v>
      </c>
      <c r="F3472" s="6" t="s">
        <v>5631</v>
      </c>
      <c r="G3472" s="6" t="s">
        <v>5632</v>
      </c>
      <c r="H3472" s="8"/>
      <c r="I3472" s="8">
        <v>230</v>
      </c>
      <c r="J3472" s="6"/>
      <c r="K3472" s="6" t="s">
        <v>2378</v>
      </c>
      <c r="L3472" s="6"/>
      <c r="M3472" s="6"/>
      <c r="N3472" s="6" t="s">
        <v>2378</v>
      </c>
      <c r="O3472" s="29">
        <f t="shared" si="83"/>
        <v>230</v>
      </c>
      <c r="Q3472" s="30" t="s">
        <v>2378</v>
      </c>
      <c r="R3472" s="31">
        <v>230</v>
      </c>
    </row>
    <row r="3473" s="1" customFormat="1" ht="16.35" hidden="1" customHeight="1" spans="1:18">
      <c r="A3473" s="6"/>
      <c r="B3473" s="6" t="s">
        <v>4271</v>
      </c>
      <c r="C3473" s="6" t="s">
        <v>4279</v>
      </c>
      <c r="D3473" s="7">
        <v>50</v>
      </c>
      <c r="E3473" s="6" t="s">
        <v>7060</v>
      </c>
      <c r="F3473" s="6" t="s">
        <v>5631</v>
      </c>
      <c r="G3473" s="6" t="s">
        <v>5632</v>
      </c>
      <c r="H3473" s="8"/>
      <c r="I3473" s="8">
        <v>43432</v>
      </c>
      <c r="J3473" s="6"/>
      <c r="K3473" s="6" t="s">
        <v>2420</v>
      </c>
      <c r="L3473" s="6"/>
      <c r="M3473" s="6"/>
      <c r="N3473" s="6" t="s">
        <v>2420</v>
      </c>
      <c r="O3473" s="29">
        <f t="shared" si="83"/>
        <v>43432</v>
      </c>
      <c r="Q3473" s="30" t="s">
        <v>2420</v>
      </c>
      <c r="R3473" s="31">
        <v>43432</v>
      </c>
    </row>
    <row r="3474" s="1" customFormat="1" ht="16.35" hidden="1" customHeight="1" spans="1:18">
      <c r="A3474" s="6"/>
      <c r="B3474" s="6" t="s">
        <v>4271</v>
      </c>
      <c r="C3474" s="6" t="s">
        <v>4279</v>
      </c>
      <c r="D3474" s="7">
        <v>13</v>
      </c>
      <c r="E3474" s="6" t="s">
        <v>7061</v>
      </c>
      <c r="F3474" s="6" t="s">
        <v>5631</v>
      </c>
      <c r="G3474" s="6" t="s">
        <v>5632</v>
      </c>
      <c r="H3474" s="8"/>
      <c r="I3474" s="8">
        <v>652</v>
      </c>
      <c r="J3474" s="6"/>
      <c r="K3474" s="6" t="s">
        <v>2390</v>
      </c>
      <c r="L3474" s="6"/>
      <c r="M3474" s="6"/>
      <c r="N3474" s="6" t="s">
        <v>2390</v>
      </c>
      <c r="O3474" s="29">
        <f t="shared" si="83"/>
        <v>652</v>
      </c>
      <c r="Q3474" s="30" t="s">
        <v>2390</v>
      </c>
      <c r="R3474" s="31">
        <v>652</v>
      </c>
    </row>
    <row r="3475" s="1" customFormat="1" ht="16.35" hidden="1" customHeight="1" spans="1:18">
      <c r="A3475" s="6"/>
      <c r="B3475" s="6" t="s">
        <v>4271</v>
      </c>
      <c r="C3475" s="6" t="s">
        <v>4279</v>
      </c>
      <c r="D3475" s="7">
        <v>40</v>
      </c>
      <c r="E3475" s="6" t="s">
        <v>7062</v>
      </c>
      <c r="F3475" s="6" t="s">
        <v>5631</v>
      </c>
      <c r="G3475" s="6" t="s">
        <v>5632</v>
      </c>
      <c r="H3475" s="8"/>
      <c r="I3475" s="8">
        <v>100000</v>
      </c>
      <c r="J3475" s="6"/>
      <c r="K3475" s="6" t="s">
        <v>2390</v>
      </c>
      <c r="L3475" s="6"/>
      <c r="M3475" s="6"/>
      <c r="N3475" s="6" t="s">
        <v>2390</v>
      </c>
      <c r="O3475" s="29">
        <f t="shared" si="83"/>
        <v>100000</v>
      </c>
      <c r="Q3475" s="30" t="s">
        <v>2390</v>
      </c>
      <c r="R3475" s="31">
        <v>100000</v>
      </c>
    </row>
    <row r="3476" s="1" customFormat="1" ht="16.35" hidden="1" customHeight="1" spans="1:18">
      <c r="A3476" s="6"/>
      <c r="B3476" s="6" t="s">
        <v>4271</v>
      </c>
      <c r="C3476" s="6" t="s">
        <v>4279</v>
      </c>
      <c r="D3476" s="7">
        <v>35</v>
      </c>
      <c r="E3476" s="6" t="s">
        <v>7063</v>
      </c>
      <c r="F3476" s="6" t="s">
        <v>5631</v>
      </c>
      <c r="G3476" s="6" t="s">
        <v>5632</v>
      </c>
      <c r="H3476" s="8"/>
      <c r="I3476" s="8">
        <v>873</v>
      </c>
      <c r="J3476" s="6"/>
      <c r="K3476" s="6" t="s">
        <v>2410</v>
      </c>
      <c r="L3476" s="6"/>
      <c r="M3476" s="6"/>
      <c r="N3476" s="6" t="s">
        <v>2410</v>
      </c>
      <c r="O3476" s="29">
        <f t="shared" si="83"/>
        <v>873</v>
      </c>
      <c r="Q3476" s="30" t="s">
        <v>2410</v>
      </c>
      <c r="R3476" s="31">
        <v>873</v>
      </c>
    </row>
    <row r="3477" s="1" customFormat="1" ht="16.35" hidden="1" customHeight="1" spans="1:18">
      <c r="A3477" s="6"/>
      <c r="B3477" s="6" t="s">
        <v>4271</v>
      </c>
      <c r="C3477" s="6" t="s">
        <v>4279</v>
      </c>
      <c r="D3477" s="7">
        <v>36</v>
      </c>
      <c r="E3477" s="6" t="s">
        <v>7064</v>
      </c>
      <c r="F3477" s="6" t="s">
        <v>5631</v>
      </c>
      <c r="G3477" s="6" t="s">
        <v>5632</v>
      </c>
      <c r="H3477" s="8"/>
      <c r="I3477" s="8">
        <v>5000</v>
      </c>
      <c r="J3477" s="6"/>
      <c r="K3477" s="6" t="s">
        <v>2380</v>
      </c>
      <c r="L3477" s="6"/>
      <c r="M3477" s="6"/>
      <c r="N3477" s="6" t="s">
        <v>2380</v>
      </c>
      <c r="O3477" s="29">
        <f t="shared" si="83"/>
        <v>5000</v>
      </c>
      <c r="Q3477" s="30" t="s">
        <v>2380</v>
      </c>
      <c r="R3477" s="31">
        <v>5000</v>
      </c>
    </row>
    <row r="3478" s="1" customFormat="1" ht="16.35" hidden="1" customHeight="1" spans="1:18">
      <c r="A3478" s="6"/>
      <c r="B3478" s="6" t="s">
        <v>4271</v>
      </c>
      <c r="C3478" s="6" t="s">
        <v>4279</v>
      </c>
      <c r="D3478" s="7">
        <v>54</v>
      </c>
      <c r="E3478" s="6" t="s">
        <v>7065</v>
      </c>
      <c r="F3478" s="6" t="s">
        <v>5631</v>
      </c>
      <c r="G3478" s="6" t="s">
        <v>5632</v>
      </c>
      <c r="H3478" s="8"/>
      <c r="I3478" s="8">
        <v>150873</v>
      </c>
      <c r="J3478" s="6"/>
      <c r="K3478" s="6" t="s">
        <v>2380</v>
      </c>
      <c r="L3478" s="6"/>
      <c r="M3478" s="6"/>
      <c r="N3478" s="6" t="s">
        <v>2380</v>
      </c>
      <c r="O3478" s="29">
        <f t="shared" si="83"/>
        <v>150873</v>
      </c>
      <c r="Q3478" s="30" t="s">
        <v>2380</v>
      </c>
      <c r="R3478" s="31">
        <v>150873</v>
      </c>
    </row>
    <row r="3479" s="1" customFormat="1" ht="16.35" hidden="1" customHeight="1" spans="1:18">
      <c r="A3479" s="6"/>
      <c r="B3479" s="6" t="s">
        <v>4271</v>
      </c>
      <c r="C3479" s="6" t="s">
        <v>4279</v>
      </c>
      <c r="D3479" s="7">
        <v>50</v>
      </c>
      <c r="E3479" s="6" t="s">
        <v>7066</v>
      </c>
      <c r="F3479" s="6" t="s">
        <v>5631</v>
      </c>
      <c r="G3479" s="6" t="s">
        <v>5632</v>
      </c>
      <c r="H3479" s="8"/>
      <c r="I3479" s="8">
        <v>58000</v>
      </c>
      <c r="J3479" s="6"/>
      <c r="K3479" s="6" t="s">
        <v>2484</v>
      </c>
      <c r="L3479" s="6"/>
      <c r="M3479" s="6"/>
      <c r="N3479" s="6" t="s">
        <v>2484</v>
      </c>
      <c r="O3479" s="29">
        <f t="shared" si="83"/>
        <v>58000</v>
      </c>
      <c r="Q3479" s="30" t="s">
        <v>2484</v>
      </c>
      <c r="R3479" s="31">
        <v>58000</v>
      </c>
    </row>
    <row r="3480" s="1" customFormat="1" ht="16.35" hidden="1" customHeight="1" spans="1:18">
      <c r="A3480" s="6"/>
      <c r="B3480" s="6" t="s">
        <v>4271</v>
      </c>
      <c r="C3480" s="6" t="s">
        <v>4279</v>
      </c>
      <c r="D3480" s="7">
        <v>51</v>
      </c>
      <c r="E3480" s="6" t="s">
        <v>7067</v>
      </c>
      <c r="F3480" s="6" t="s">
        <v>5631</v>
      </c>
      <c r="G3480" s="6" t="s">
        <v>5632</v>
      </c>
      <c r="H3480" s="8"/>
      <c r="I3480" s="8">
        <v>5000</v>
      </c>
      <c r="J3480" s="6"/>
      <c r="K3480" s="6" t="s">
        <v>2484</v>
      </c>
      <c r="L3480" s="6"/>
      <c r="M3480" s="6"/>
      <c r="N3480" s="6" t="s">
        <v>2484</v>
      </c>
      <c r="O3480" s="29">
        <f t="shared" si="83"/>
        <v>5000</v>
      </c>
      <c r="Q3480" s="30" t="s">
        <v>2484</v>
      </c>
      <c r="R3480" s="31">
        <v>5000</v>
      </c>
    </row>
    <row r="3481" s="1" customFormat="1" ht="16.35" hidden="1" customHeight="1" spans="1:18">
      <c r="A3481" s="6"/>
      <c r="B3481" s="6" t="s">
        <v>4271</v>
      </c>
      <c r="C3481" s="6" t="s">
        <v>4279</v>
      </c>
      <c r="D3481" s="7">
        <v>5</v>
      </c>
      <c r="E3481" s="6" t="s">
        <v>7049</v>
      </c>
      <c r="F3481" s="6" t="s">
        <v>5631</v>
      </c>
      <c r="G3481" s="6" t="s">
        <v>5632</v>
      </c>
      <c r="H3481" s="8"/>
      <c r="I3481" s="8">
        <v>10000</v>
      </c>
      <c r="J3481" s="6"/>
      <c r="K3481" s="6" t="s">
        <v>2559</v>
      </c>
      <c r="L3481" s="6"/>
      <c r="M3481" s="6"/>
      <c r="N3481" s="6" t="s">
        <v>2559</v>
      </c>
      <c r="O3481" s="29">
        <f t="shared" si="83"/>
        <v>10000</v>
      </c>
      <c r="Q3481" s="30" t="s">
        <v>2559</v>
      </c>
      <c r="R3481" s="31">
        <v>10000</v>
      </c>
    </row>
    <row r="3482" s="1" customFormat="1" ht="16.35" hidden="1" customHeight="1" spans="1:18">
      <c r="A3482" s="6"/>
      <c r="B3482" s="6" t="s">
        <v>4271</v>
      </c>
      <c r="C3482" s="6" t="s">
        <v>4279</v>
      </c>
      <c r="D3482" s="7">
        <v>8</v>
      </c>
      <c r="E3482" s="6" t="s">
        <v>7048</v>
      </c>
      <c r="F3482" s="6" t="s">
        <v>5631</v>
      </c>
      <c r="G3482" s="6" t="s">
        <v>5632</v>
      </c>
      <c r="H3482" s="8"/>
      <c r="I3482" s="8">
        <v>-5000</v>
      </c>
      <c r="J3482" s="6"/>
      <c r="K3482" s="6" t="s">
        <v>2521</v>
      </c>
      <c r="L3482" s="6"/>
      <c r="M3482" s="6"/>
      <c r="N3482" s="6" t="s">
        <v>2521</v>
      </c>
      <c r="O3482" s="29">
        <f t="shared" si="83"/>
        <v>-5000</v>
      </c>
      <c r="Q3482" s="30" t="s">
        <v>2521</v>
      </c>
      <c r="R3482" s="31">
        <v>-5000</v>
      </c>
    </row>
    <row r="3483" s="1" customFormat="1" ht="16.35" hidden="1" customHeight="1" spans="1:18">
      <c r="A3483" s="6"/>
      <c r="B3483" s="6" t="s">
        <v>4271</v>
      </c>
      <c r="C3483" s="6" t="s">
        <v>4279</v>
      </c>
      <c r="D3483" s="7">
        <v>52</v>
      </c>
      <c r="E3483" s="6" t="s">
        <v>7068</v>
      </c>
      <c r="F3483" s="6" t="s">
        <v>5631</v>
      </c>
      <c r="G3483" s="6" t="s">
        <v>5632</v>
      </c>
      <c r="H3483" s="8"/>
      <c r="I3483" s="8">
        <v>150000</v>
      </c>
      <c r="J3483" s="6"/>
      <c r="K3483" s="6" t="s">
        <v>2545</v>
      </c>
      <c r="L3483" s="6"/>
      <c r="M3483" s="6"/>
      <c r="N3483" s="6" t="s">
        <v>2545</v>
      </c>
      <c r="O3483" s="29">
        <f t="shared" si="83"/>
        <v>150000</v>
      </c>
      <c r="Q3483" s="30" t="s">
        <v>2545</v>
      </c>
      <c r="R3483" s="31">
        <v>150000</v>
      </c>
    </row>
    <row r="3484" s="1" customFormat="1" ht="16.35" hidden="1" customHeight="1" spans="1:18">
      <c r="A3484" s="6"/>
      <c r="B3484" s="6" t="s">
        <v>4271</v>
      </c>
      <c r="C3484" s="6" t="s">
        <v>4279</v>
      </c>
      <c r="D3484" s="7">
        <v>54</v>
      </c>
      <c r="E3484" s="6" t="s">
        <v>7068</v>
      </c>
      <c r="F3484" s="6" t="s">
        <v>5631</v>
      </c>
      <c r="G3484" s="6" t="s">
        <v>5632</v>
      </c>
      <c r="H3484" s="8"/>
      <c r="I3484" s="8">
        <v>16000</v>
      </c>
      <c r="J3484" s="6"/>
      <c r="K3484" s="6" t="s">
        <v>2545</v>
      </c>
      <c r="L3484" s="6"/>
      <c r="M3484" s="6"/>
      <c r="N3484" s="6" t="s">
        <v>2545</v>
      </c>
      <c r="O3484" s="29">
        <f t="shared" si="83"/>
        <v>16000</v>
      </c>
      <c r="Q3484" s="30" t="s">
        <v>2545</v>
      </c>
      <c r="R3484" s="31">
        <v>16000</v>
      </c>
    </row>
    <row r="3485" s="1" customFormat="1" ht="16.35" hidden="1" customHeight="1" spans="1:18">
      <c r="A3485" s="6"/>
      <c r="B3485" s="6" t="s">
        <v>4271</v>
      </c>
      <c r="C3485" s="6" t="s">
        <v>4279</v>
      </c>
      <c r="D3485" s="7">
        <v>10</v>
      </c>
      <c r="E3485" s="6" t="s">
        <v>7069</v>
      </c>
      <c r="F3485" s="6" t="s">
        <v>5631</v>
      </c>
      <c r="G3485" s="6" t="s">
        <v>5632</v>
      </c>
      <c r="H3485" s="8"/>
      <c r="I3485" s="8">
        <v>-5000</v>
      </c>
      <c r="J3485" s="6"/>
      <c r="K3485" s="6" t="s">
        <v>2511</v>
      </c>
      <c r="L3485" s="6"/>
      <c r="M3485" s="6"/>
      <c r="N3485" s="6" t="s">
        <v>2511</v>
      </c>
      <c r="O3485" s="29">
        <f t="shared" si="83"/>
        <v>-5000</v>
      </c>
      <c r="Q3485" s="30" t="s">
        <v>2511</v>
      </c>
      <c r="R3485" s="31">
        <v>-5000</v>
      </c>
    </row>
    <row r="3486" s="1" customFormat="1" ht="16.35" hidden="1" customHeight="1" spans="1:18">
      <c r="A3486" s="6"/>
      <c r="B3486" s="6" t="s">
        <v>4271</v>
      </c>
      <c r="C3486" s="6" t="s">
        <v>4279</v>
      </c>
      <c r="D3486" s="7">
        <v>4</v>
      </c>
      <c r="E3486" s="6" t="s">
        <v>7051</v>
      </c>
      <c r="F3486" s="6" t="s">
        <v>5631</v>
      </c>
      <c r="G3486" s="6" t="s">
        <v>5632</v>
      </c>
      <c r="H3486" s="8"/>
      <c r="I3486" s="8">
        <v>-2000</v>
      </c>
      <c r="J3486" s="6"/>
      <c r="K3486" s="6" t="s">
        <v>2630</v>
      </c>
      <c r="L3486" s="6"/>
      <c r="M3486" s="6"/>
      <c r="N3486" s="6" t="s">
        <v>2630</v>
      </c>
      <c r="O3486" s="29">
        <f t="shared" ref="O3486:O3549" si="84">I3486</f>
        <v>-2000</v>
      </c>
      <c r="Q3486" s="30" t="s">
        <v>2630</v>
      </c>
      <c r="R3486" s="31">
        <v>-2000</v>
      </c>
    </row>
    <row r="3487" s="1" customFormat="1" ht="16.35" hidden="1" customHeight="1" spans="1:18">
      <c r="A3487" s="6"/>
      <c r="B3487" s="6" t="s">
        <v>4271</v>
      </c>
      <c r="C3487" s="6" t="s">
        <v>4279</v>
      </c>
      <c r="D3487" s="7">
        <v>4</v>
      </c>
      <c r="E3487" s="6" t="s">
        <v>7052</v>
      </c>
      <c r="F3487" s="6" t="s">
        <v>5631</v>
      </c>
      <c r="G3487" s="6" t="s">
        <v>5632</v>
      </c>
      <c r="H3487" s="8"/>
      <c r="I3487" s="8">
        <v>-3000</v>
      </c>
      <c r="J3487" s="6"/>
      <c r="K3487" s="6" t="s">
        <v>2630</v>
      </c>
      <c r="L3487" s="6"/>
      <c r="M3487" s="6"/>
      <c r="N3487" s="6" t="s">
        <v>2630</v>
      </c>
      <c r="O3487" s="29">
        <f t="shared" si="84"/>
        <v>-3000</v>
      </c>
      <c r="Q3487" s="30" t="s">
        <v>2630</v>
      </c>
      <c r="R3487" s="31">
        <v>-3000</v>
      </c>
    </row>
    <row r="3488" s="1" customFormat="1" ht="16.35" hidden="1" customHeight="1" spans="1:18">
      <c r="A3488" s="6"/>
      <c r="B3488" s="6" t="s">
        <v>4271</v>
      </c>
      <c r="C3488" s="6" t="s">
        <v>4279</v>
      </c>
      <c r="D3488" s="7">
        <v>21</v>
      </c>
      <c r="E3488" s="6" t="s">
        <v>7070</v>
      </c>
      <c r="F3488" s="6" t="s">
        <v>5631</v>
      </c>
      <c r="G3488" s="6" t="s">
        <v>5632</v>
      </c>
      <c r="H3488" s="8"/>
      <c r="I3488" s="8">
        <v>165000</v>
      </c>
      <c r="J3488" s="6"/>
      <c r="K3488" s="6" t="s">
        <v>2656</v>
      </c>
      <c r="L3488" s="6"/>
      <c r="M3488" s="6"/>
      <c r="N3488" s="6" t="s">
        <v>2656</v>
      </c>
      <c r="O3488" s="29">
        <f t="shared" si="84"/>
        <v>165000</v>
      </c>
      <c r="Q3488" s="30" t="s">
        <v>2656</v>
      </c>
      <c r="R3488" s="31">
        <v>165000</v>
      </c>
    </row>
    <row r="3489" s="1" customFormat="1" ht="16.35" hidden="1" customHeight="1" spans="1:18">
      <c r="A3489" s="6"/>
      <c r="B3489" s="6" t="s">
        <v>4271</v>
      </c>
      <c r="C3489" s="6" t="s">
        <v>4279</v>
      </c>
      <c r="D3489" s="7">
        <v>47</v>
      </c>
      <c r="E3489" s="6" t="s">
        <v>7071</v>
      </c>
      <c r="F3489" s="6" t="s">
        <v>5631</v>
      </c>
      <c r="G3489" s="6" t="s">
        <v>5632</v>
      </c>
      <c r="H3489" s="8"/>
      <c r="I3489" s="8">
        <v>35017</v>
      </c>
      <c r="J3489" s="6"/>
      <c r="K3489" s="6" t="s">
        <v>2680</v>
      </c>
      <c r="L3489" s="6"/>
      <c r="M3489" s="6"/>
      <c r="N3489" s="6" t="s">
        <v>2680</v>
      </c>
      <c r="O3489" s="29">
        <f t="shared" si="84"/>
        <v>35017</v>
      </c>
      <c r="Q3489" s="30" t="s">
        <v>2680</v>
      </c>
      <c r="R3489" s="31">
        <v>35017</v>
      </c>
    </row>
    <row r="3490" s="1" customFormat="1" ht="16.35" hidden="1" customHeight="1" spans="1:18">
      <c r="A3490" s="6"/>
      <c r="B3490" s="6" t="s">
        <v>4271</v>
      </c>
      <c r="C3490" s="6" t="s">
        <v>4279</v>
      </c>
      <c r="D3490" s="7">
        <v>12</v>
      </c>
      <c r="E3490" s="6" t="s">
        <v>7072</v>
      </c>
      <c r="F3490" s="6" t="s">
        <v>5631</v>
      </c>
      <c r="G3490" s="6" t="s">
        <v>5632</v>
      </c>
      <c r="H3490" s="8"/>
      <c r="I3490" s="8">
        <v>5000</v>
      </c>
      <c r="J3490" s="6"/>
      <c r="K3490" s="6" t="s">
        <v>2650</v>
      </c>
      <c r="L3490" s="6"/>
      <c r="M3490" s="6"/>
      <c r="N3490" s="6" t="s">
        <v>2650</v>
      </c>
      <c r="O3490" s="29">
        <f t="shared" si="84"/>
        <v>5000</v>
      </c>
      <c r="Q3490" s="30" t="s">
        <v>2650</v>
      </c>
      <c r="R3490" s="31">
        <v>5000</v>
      </c>
    </row>
    <row r="3491" s="1" customFormat="1" ht="16.35" hidden="1" customHeight="1" spans="1:18">
      <c r="A3491" s="6"/>
      <c r="B3491" s="6" t="s">
        <v>4271</v>
      </c>
      <c r="C3491" s="6" t="s">
        <v>4279</v>
      </c>
      <c r="D3491" s="7">
        <v>14</v>
      </c>
      <c r="E3491" s="6" t="s">
        <v>7072</v>
      </c>
      <c r="F3491" s="6" t="s">
        <v>5631</v>
      </c>
      <c r="G3491" s="6" t="s">
        <v>5632</v>
      </c>
      <c r="H3491" s="8"/>
      <c r="I3491" s="8">
        <v>50000</v>
      </c>
      <c r="J3491" s="6"/>
      <c r="K3491" s="6" t="s">
        <v>2650</v>
      </c>
      <c r="L3491" s="6"/>
      <c r="M3491" s="6"/>
      <c r="N3491" s="6" t="s">
        <v>2650</v>
      </c>
      <c r="O3491" s="29">
        <f t="shared" si="84"/>
        <v>50000</v>
      </c>
      <c r="Q3491" s="30" t="s">
        <v>2650</v>
      </c>
      <c r="R3491" s="31">
        <v>50000</v>
      </c>
    </row>
    <row r="3492" s="1" customFormat="1" ht="16.35" hidden="1" customHeight="1" spans="1:18">
      <c r="A3492" s="6"/>
      <c r="B3492" s="6" t="s">
        <v>4271</v>
      </c>
      <c r="C3492" s="6" t="s">
        <v>4279</v>
      </c>
      <c r="D3492" s="7">
        <v>16</v>
      </c>
      <c r="E3492" s="6" t="s">
        <v>7073</v>
      </c>
      <c r="F3492" s="6" t="s">
        <v>5631</v>
      </c>
      <c r="G3492" s="6" t="s">
        <v>5632</v>
      </c>
      <c r="H3492" s="8"/>
      <c r="I3492" s="8">
        <v>50000</v>
      </c>
      <c r="J3492" s="6"/>
      <c r="K3492" s="6" t="s">
        <v>2650</v>
      </c>
      <c r="L3492" s="6"/>
      <c r="M3492" s="6"/>
      <c r="N3492" s="6" t="s">
        <v>2650</v>
      </c>
      <c r="O3492" s="29">
        <f t="shared" si="84"/>
        <v>50000</v>
      </c>
      <c r="Q3492" s="30" t="s">
        <v>2650</v>
      </c>
      <c r="R3492" s="31">
        <v>50000</v>
      </c>
    </row>
    <row r="3493" s="1" customFormat="1" ht="16.35" hidden="1" customHeight="1" spans="1:18">
      <c r="A3493" s="6"/>
      <c r="B3493" s="6" t="s">
        <v>4271</v>
      </c>
      <c r="C3493" s="6" t="s">
        <v>4279</v>
      </c>
      <c r="D3493" s="7">
        <v>3</v>
      </c>
      <c r="E3493" s="6" t="s">
        <v>7050</v>
      </c>
      <c r="F3493" s="6" t="s">
        <v>5631</v>
      </c>
      <c r="G3493" s="6" t="s">
        <v>5632</v>
      </c>
      <c r="H3493" s="8"/>
      <c r="I3493" s="8">
        <v>-79579</v>
      </c>
      <c r="J3493" s="6"/>
      <c r="K3493" s="6" t="s">
        <v>2612</v>
      </c>
      <c r="L3493" s="6"/>
      <c r="M3493" s="6"/>
      <c r="N3493" s="6" t="s">
        <v>2612</v>
      </c>
      <c r="O3493" s="29">
        <f t="shared" si="84"/>
        <v>-79579</v>
      </c>
      <c r="Q3493" s="30" t="s">
        <v>2612</v>
      </c>
      <c r="R3493" s="31">
        <v>-79579</v>
      </c>
    </row>
    <row r="3494" s="1" customFormat="1" ht="16.35" hidden="1" customHeight="1" spans="1:18">
      <c r="A3494" s="6"/>
      <c r="B3494" s="6" t="s">
        <v>4271</v>
      </c>
      <c r="C3494" s="6" t="s">
        <v>4279</v>
      </c>
      <c r="D3494" s="7">
        <v>56</v>
      </c>
      <c r="E3494" s="6" t="s">
        <v>7074</v>
      </c>
      <c r="F3494" s="6" t="s">
        <v>5631</v>
      </c>
      <c r="G3494" s="6" t="s">
        <v>5632</v>
      </c>
      <c r="H3494" s="8"/>
      <c r="I3494" s="8">
        <v>105000</v>
      </c>
      <c r="J3494" s="6"/>
      <c r="K3494" s="6" t="s">
        <v>2720</v>
      </c>
      <c r="L3494" s="6"/>
      <c r="M3494" s="6"/>
      <c r="N3494" s="6" t="s">
        <v>2720</v>
      </c>
      <c r="O3494" s="29">
        <f t="shared" si="84"/>
        <v>105000</v>
      </c>
      <c r="Q3494" s="30" t="s">
        <v>2720</v>
      </c>
      <c r="R3494" s="31">
        <v>105000</v>
      </c>
    </row>
    <row r="3495" s="1" customFormat="1" ht="16.35" hidden="1" customHeight="1" spans="1:18">
      <c r="A3495" s="6"/>
      <c r="B3495" s="6" t="s">
        <v>4271</v>
      </c>
      <c r="C3495" s="6" t="s">
        <v>4279</v>
      </c>
      <c r="D3495" s="7">
        <v>9</v>
      </c>
      <c r="E3495" s="6" t="s">
        <v>7075</v>
      </c>
      <c r="F3495" s="6" t="s">
        <v>5631</v>
      </c>
      <c r="G3495" s="6" t="s">
        <v>5632</v>
      </c>
      <c r="H3495" s="8"/>
      <c r="I3495" s="8">
        <v>-10000</v>
      </c>
      <c r="J3495" s="6"/>
      <c r="K3495" s="6" t="s">
        <v>2722</v>
      </c>
      <c r="L3495" s="6"/>
      <c r="M3495" s="6"/>
      <c r="N3495" s="6" t="s">
        <v>2722</v>
      </c>
      <c r="O3495" s="29">
        <f t="shared" si="84"/>
        <v>-10000</v>
      </c>
      <c r="Q3495" s="30" t="s">
        <v>2722</v>
      </c>
      <c r="R3495" s="31">
        <v>-10000</v>
      </c>
    </row>
    <row r="3496" s="1" customFormat="1" ht="16.35" hidden="1" customHeight="1" spans="1:18">
      <c r="A3496" s="6"/>
      <c r="B3496" s="6" t="s">
        <v>4271</v>
      </c>
      <c r="C3496" s="6" t="s">
        <v>4279</v>
      </c>
      <c r="D3496" s="7">
        <v>9</v>
      </c>
      <c r="E3496" s="6" t="s">
        <v>7075</v>
      </c>
      <c r="F3496" s="6" t="s">
        <v>5631</v>
      </c>
      <c r="G3496" s="6" t="s">
        <v>5632</v>
      </c>
      <c r="H3496" s="8"/>
      <c r="I3496" s="8">
        <v>10000</v>
      </c>
      <c r="J3496" s="6"/>
      <c r="K3496" s="6" t="s">
        <v>2722</v>
      </c>
      <c r="L3496" s="6"/>
      <c r="M3496" s="6"/>
      <c r="N3496" s="6" t="s">
        <v>2722</v>
      </c>
      <c r="O3496" s="29">
        <f t="shared" si="84"/>
        <v>10000</v>
      </c>
      <c r="Q3496" s="30" t="s">
        <v>2722</v>
      </c>
      <c r="R3496" s="31">
        <v>10000</v>
      </c>
    </row>
    <row r="3497" s="1" customFormat="1" ht="16.35" hidden="1" customHeight="1" spans="1:18">
      <c r="A3497" s="6"/>
      <c r="B3497" s="6" t="s">
        <v>4271</v>
      </c>
      <c r="C3497" s="6" t="s">
        <v>4279</v>
      </c>
      <c r="D3497" s="7">
        <v>48</v>
      </c>
      <c r="E3497" s="6" t="s">
        <v>7076</v>
      </c>
      <c r="F3497" s="6" t="s">
        <v>5631</v>
      </c>
      <c r="G3497" s="6" t="s">
        <v>5632</v>
      </c>
      <c r="H3497" s="8"/>
      <c r="I3497" s="8">
        <v>10000</v>
      </c>
      <c r="J3497" s="6"/>
      <c r="K3497" s="6" t="s">
        <v>2702</v>
      </c>
      <c r="L3497" s="6"/>
      <c r="M3497" s="6"/>
      <c r="N3497" s="6" t="s">
        <v>2702</v>
      </c>
      <c r="O3497" s="29">
        <f t="shared" si="84"/>
        <v>10000</v>
      </c>
      <c r="Q3497" s="30" t="s">
        <v>2702</v>
      </c>
      <c r="R3497" s="31">
        <v>10000</v>
      </c>
    </row>
    <row r="3498" s="1" customFormat="1" ht="16.35" hidden="1" customHeight="1" spans="1:18">
      <c r="A3498" s="6"/>
      <c r="B3498" s="6" t="s">
        <v>4271</v>
      </c>
      <c r="C3498" s="6" t="s">
        <v>4279</v>
      </c>
      <c r="D3498" s="7">
        <v>60</v>
      </c>
      <c r="E3498" s="6" t="s">
        <v>7077</v>
      </c>
      <c r="F3498" s="6" t="s">
        <v>5631</v>
      </c>
      <c r="G3498" s="6" t="s">
        <v>5632</v>
      </c>
      <c r="H3498" s="8"/>
      <c r="I3498" s="8">
        <v>180000</v>
      </c>
      <c r="J3498" s="6"/>
      <c r="K3498" s="6" t="s">
        <v>2051</v>
      </c>
      <c r="L3498" s="6"/>
      <c r="M3498" s="6"/>
      <c r="N3498" s="6" t="s">
        <v>2051</v>
      </c>
      <c r="O3498" s="29">
        <f t="shared" si="84"/>
        <v>180000</v>
      </c>
      <c r="Q3498" s="30" t="s">
        <v>2051</v>
      </c>
      <c r="R3498" s="31">
        <v>180000</v>
      </c>
    </row>
    <row r="3499" s="1" customFormat="1" ht="16.35" hidden="1" customHeight="1" spans="1:18">
      <c r="A3499" s="6"/>
      <c r="B3499" s="6" t="s">
        <v>4271</v>
      </c>
      <c r="C3499" s="6" t="s">
        <v>4279</v>
      </c>
      <c r="D3499" s="7">
        <v>59</v>
      </c>
      <c r="E3499" s="6" t="s">
        <v>7078</v>
      </c>
      <c r="F3499" s="6" t="s">
        <v>5631</v>
      </c>
      <c r="G3499" s="6" t="s">
        <v>5632</v>
      </c>
      <c r="H3499" s="8"/>
      <c r="I3499" s="8">
        <v>165000</v>
      </c>
      <c r="J3499" s="6"/>
      <c r="K3499" s="6" t="s">
        <v>2368</v>
      </c>
      <c r="L3499" s="6"/>
      <c r="M3499" s="6"/>
      <c r="N3499" s="6" t="s">
        <v>2368</v>
      </c>
      <c r="O3499" s="29">
        <f t="shared" si="84"/>
        <v>165000</v>
      </c>
      <c r="Q3499" s="30" t="s">
        <v>2368</v>
      </c>
      <c r="R3499" s="31">
        <v>165000</v>
      </c>
    </row>
    <row r="3500" s="1" customFormat="1" ht="16.35" hidden="1" customHeight="1" spans="1:18">
      <c r="A3500" s="6"/>
      <c r="B3500" s="6" t="s">
        <v>4271</v>
      </c>
      <c r="C3500" s="6" t="s">
        <v>4279</v>
      </c>
      <c r="D3500" s="7">
        <v>20</v>
      </c>
      <c r="E3500" s="6" t="s">
        <v>7079</v>
      </c>
      <c r="F3500" s="6" t="s">
        <v>5631</v>
      </c>
      <c r="G3500" s="6" t="s">
        <v>5632</v>
      </c>
      <c r="H3500" s="8"/>
      <c r="I3500" s="8">
        <v>170000</v>
      </c>
      <c r="J3500" s="6"/>
      <c r="K3500" s="6" t="s">
        <v>2382</v>
      </c>
      <c r="L3500" s="6"/>
      <c r="M3500" s="6"/>
      <c r="N3500" s="6" t="s">
        <v>2382</v>
      </c>
      <c r="O3500" s="29">
        <f t="shared" si="84"/>
        <v>170000</v>
      </c>
      <c r="Q3500" s="30" t="s">
        <v>2382</v>
      </c>
      <c r="R3500" s="31">
        <v>170000</v>
      </c>
    </row>
    <row r="3501" s="1" customFormat="1" ht="16.35" hidden="1" customHeight="1" spans="1:18">
      <c r="A3501" s="6"/>
      <c r="B3501" s="6" t="s">
        <v>4271</v>
      </c>
      <c r="C3501" s="6" t="s">
        <v>4279</v>
      </c>
      <c r="D3501" s="7">
        <v>50</v>
      </c>
      <c r="E3501" s="6" t="s">
        <v>7080</v>
      </c>
      <c r="F3501" s="6" t="s">
        <v>5631</v>
      </c>
      <c r="G3501" s="6" t="s">
        <v>5632</v>
      </c>
      <c r="H3501" s="8"/>
      <c r="I3501" s="8">
        <v>219000</v>
      </c>
      <c r="J3501" s="6"/>
      <c r="K3501" s="6" t="s">
        <v>2404</v>
      </c>
      <c r="L3501" s="6"/>
      <c r="M3501" s="6"/>
      <c r="N3501" s="6" t="s">
        <v>2404</v>
      </c>
      <c r="O3501" s="29">
        <f t="shared" si="84"/>
        <v>219000</v>
      </c>
      <c r="Q3501" s="30" t="s">
        <v>2404</v>
      </c>
      <c r="R3501" s="31">
        <v>219000</v>
      </c>
    </row>
    <row r="3502" s="1" customFormat="1" ht="16.35" hidden="1" customHeight="1" spans="1:18">
      <c r="A3502" s="6"/>
      <c r="B3502" s="6" t="s">
        <v>4271</v>
      </c>
      <c r="C3502" s="6" t="s">
        <v>4279</v>
      </c>
      <c r="D3502" s="7">
        <v>54</v>
      </c>
      <c r="E3502" s="6" t="s">
        <v>7081</v>
      </c>
      <c r="F3502" s="6" t="s">
        <v>5631</v>
      </c>
      <c r="G3502" s="6" t="s">
        <v>5632</v>
      </c>
      <c r="H3502" s="8"/>
      <c r="I3502" s="8">
        <v>57154</v>
      </c>
      <c r="J3502" s="6"/>
      <c r="K3502" s="6" t="s">
        <v>2398</v>
      </c>
      <c r="L3502" s="6"/>
      <c r="M3502" s="6"/>
      <c r="N3502" s="6" t="s">
        <v>2398</v>
      </c>
      <c r="O3502" s="29">
        <f t="shared" si="84"/>
        <v>57154</v>
      </c>
      <c r="Q3502" s="30" t="s">
        <v>2398</v>
      </c>
      <c r="R3502" s="31">
        <v>57154</v>
      </c>
    </row>
    <row r="3503" s="1" customFormat="1" ht="16.35" hidden="1" customHeight="1" spans="1:18">
      <c r="A3503" s="6"/>
      <c r="B3503" s="6" t="s">
        <v>4271</v>
      </c>
      <c r="C3503" s="6" t="s">
        <v>4279</v>
      </c>
      <c r="D3503" s="7">
        <v>8</v>
      </c>
      <c r="E3503" s="6" t="s">
        <v>7044</v>
      </c>
      <c r="F3503" s="6" t="s">
        <v>5631</v>
      </c>
      <c r="G3503" s="6" t="s">
        <v>5632</v>
      </c>
      <c r="H3503" s="8"/>
      <c r="I3503" s="8">
        <v>-10000</v>
      </c>
      <c r="J3503" s="6"/>
      <c r="K3503" s="6" t="s">
        <v>2432</v>
      </c>
      <c r="L3503" s="6"/>
      <c r="M3503" s="6"/>
      <c r="N3503" s="6" t="s">
        <v>2432</v>
      </c>
      <c r="O3503" s="29">
        <f t="shared" si="84"/>
        <v>-10000</v>
      </c>
      <c r="Q3503" s="30" t="s">
        <v>2432</v>
      </c>
      <c r="R3503" s="31">
        <v>-10000</v>
      </c>
    </row>
    <row r="3504" s="1" customFormat="1" ht="16.35" hidden="1" customHeight="1" spans="1:18">
      <c r="A3504" s="6"/>
      <c r="B3504" s="6" t="s">
        <v>4271</v>
      </c>
      <c r="C3504" s="6" t="s">
        <v>4279</v>
      </c>
      <c r="D3504" s="7">
        <v>8</v>
      </c>
      <c r="E3504" s="6" t="s">
        <v>7044</v>
      </c>
      <c r="F3504" s="6" t="s">
        <v>5631</v>
      </c>
      <c r="G3504" s="6" t="s">
        <v>5632</v>
      </c>
      <c r="H3504" s="8"/>
      <c r="I3504" s="8">
        <v>-3000</v>
      </c>
      <c r="J3504" s="6"/>
      <c r="K3504" s="6" t="s">
        <v>2432</v>
      </c>
      <c r="L3504" s="6"/>
      <c r="M3504" s="6"/>
      <c r="N3504" s="6" t="s">
        <v>2432</v>
      </c>
      <c r="O3504" s="29">
        <f t="shared" si="84"/>
        <v>-3000</v>
      </c>
      <c r="Q3504" s="30" t="s">
        <v>2432</v>
      </c>
      <c r="R3504" s="31">
        <v>-3000</v>
      </c>
    </row>
    <row r="3505" s="1" customFormat="1" ht="16.35" hidden="1" customHeight="1" spans="1:18">
      <c r="A3505" s="6"/>
      <c r="B3505" s="6" t="s">
        <v>4271</v>
      </c>
      <c r="C3505" s="6" t="s">
        <v>4279</v>
      </c>
      <c r="D3505" s="7">
        <v>8</v>
      </c>
      <c r="E3505" s="6" t="s">
        <v>7045</v>
      </c>
      <c r="F3505" s="6" t="s">
        <v>5631</v>
      </c>
      <c r="G3505" s="6" t="s">
        <v>5632</v>
      </c>
      <c r="H3505" s="8"/>
      <c r="I3505" s="8">
        <v>-10000</v>
      </c>
      <c r="J3505" s="6"/>
      <c r="K3505" s="6" t="s">
        <v>2482</v>
      </c>
      <c r="L3505" s="6"/>
      <c r="M3505" s="6"/>
      <c r="N3505" s="6" t="s">
        <v>2482</v>
      </c>
      <c r="O3505" s="29">
        <f t="shared" si="84"/>
        <v>-10000</v>
      </c>
      <c r="Q3505" s="30" t="s">
        <v>2482</v>
      </c>
      <c r="R3505" s="31">
        <v>-10000</v>
      </c>
    </row>
    <row r="3506" s="1" customFormat="1" ht="16.35" hidden="1" customHeight="1" spans="1:18">
      <c r="A3506" s="6"/>
      <c r="B3506" s="6" t="s">
        <v>4271</v>
      </c>
      <c r="C3506" s="6" t="s">
        <v>4279</v>
      </c>
      <c r="D3506" s="7">
        <v>43</v>
      </c>
      <c r="E3506" s="6" t="s">
        <v>7082</v>
      </c>
      <c r="F3506" s="6" t="s">
        <v>5631</v>
      </c>
      <c r="G3506" s="6" t="s">
        <v>5632</v>
      </c>
      <c r="H3506" s="8"/>
      <c r="I3506" s="8">
        <v>5000</v>
      </c>
      <c r="J3506" s="6"/>
      <c r="K3506" s="6" t="s">
        <v>2468</v>
      </c>
      <c r="L3506" s="6"/>
      <c r="M3506" s="6"/>
      <c r="N3506" s="6" t="s">
        <v>2468</v>
      </c>
      <c r="O3506" s="29">
        <f t="shared" si="84"/>
        <v>5000</v>
      </c>
      <c r="Q3506" s="30" t="s">
        <v>2468</v>
      </c>
      <c r="R3506" s="31">
        <v>5000</v>
      </c>
    </row>
    <row r="3507" s="1" customFormat="1" ht="16.35" hidden="1" customHeight="1" spans="1:18">
      <c r="A3507" s="6"/>
      <c r="B3507" s="6" t="s">
        <v>4271</v>
      </c>
      <c r="C3507" s="6" t="s">
        <v>4279</v>
      </c>
      <c r="D3507" s="7">
        <v>44</v>
      </c>
      <c r="E3507" s="6" t="s">
        <v>7082</v>
      </c>
      <c r="F3507" s="6" t="s">
        <v>5631</v>
      </c>
      <c r="G3507" s="6" t="s">
        <v>5632</v>
      </c>
      <c r="H3507" s="8"/>
      <c r="I3507" s="8">
        <v>66160</v>
      </c>
      <c r="J3507" s="6"/>
      <c r="K3507" s="6" t="s">
        <v>2468</v>
      </c>
      <c r="L3507" s="6"/>
      <c r="M3507" s="6"/>
      <c r="N3507" s="6" t="s">
        <v>2468</v>
      </c>
      <c r="O3507" s="29">
        <f t="shared" si="84"/>
        <v>66160</v>
      </c>
      <c r="Q3507" s="30" t="s">
        <v>2468</v>
      </c>
      <c r="R3507" s="31">
        <v>66160</v>
      </c>
    </row>
    <row r="3508" s="1" customFormat="1" ht="16.35" hidden="1" customHeight="1" spans="1:18">
      <c r="A3508" s="6"/>
      <c r="B3508" s="6" t="s">
        <v>4271</v>
      </c>
      <c r="C3508" s="6" t="s">
        <v>4279</v>
      </c>
      <c r="D3508" s="7">
        <v>47</v>
      </c>
      <c r="E3508" s="6" t="s">
        <v>7083</v>
      </c>
      <c r="F3508" s="6" t="s">
        <v>5631</v>
      </c>
      <c r="G3508" s="6" t="s">
        <v>5632</v>
      </c>
      <c r="H3508" s="8"/>
      <c r="I3508" s="8">
        <v>10000</v>
      </c>
      <c r="J3508" s="6"/>
      <c r="K3508" s="6" t="s">
        <v>2450</v>
      </c>
      <c r="L3508" s="6"/>
      <c r="M3508" s="6"/>
      <c r="N3508" s="6" t="s">
        <v>2450</v>
      </c>
      <c r="O3508" s="29">
        <f t="shared" si="84"/>
        <v>10000</v>
      </c>
      <c r="Q3508" s="30" t="s">
        <v>2450</v>
      </c>
      <c r="R3508" s="31">
        <v>10000</v>
      </c>
    </row>
    <row r="3509" s="1" customFormat="1" ht="16.35" hidden="1" customHeight="1" spans="1:18">
      <c r="A3509" s="6"/>
      <c r="B3509" s="6" t="s">
        <v>4271</v>
      </c>
      <c r="C3509" s="6" t="s">
        <v>4279</v>
      </c>
      <c r="D3509" s="7">
        <v>22</v>
      </c>
      <c r="E3509" s="6" t="s">
        <v>7084</v>
      </c>
      <c r="F3509" s="6" t="s">
        <v>5631</v>
      </c>
      <c r="G3509" s="6" t="s">
        <v>5632</v>
      </c>
      <c r="H3509" s="8"/>
      <c r="I3509" s="8">
        <v>132000</v>
      </c>
      <c r="J3509" s="6"/>
      <c r="K3509" s="6" t="s">
        <v>2590</v>
      </c>
      <c r="L3509" s="6"/>
      <c r="M3509" s="6"/>
      <c r="N3509" s="6" t="s">
        <v>2590</v>
      </c>
      <c r="O3509" s="29">
        <f t="shared" si="84"/>
        <v>132000</v>
      </c>
      <c r="Q3509" s="30" t="s">
        <v>2590</v>
      </c>
      <c r="R3509" s="31">
        <v>132000</v>
      </c>
    </row>
    <row r="3510" s="1" customFormat="1" ht="16.35" hidden="1" customHeight="1" spans="1:18">
      <c r="A3510" s="6"/>
      <c r="B3510" s="6" t="s">
        <v>4271</v>
      </c>
      <c r="C3510" s="6" t="s">
        <v>4279</v>
      </c>
      <c r="D3510" s="7">
        <v>23</v>
      </c>
      <c r="E3510" s="6" t="s">
        <v>7085</v>
      </c>
      <c r="F3510" s="6" t="s">
        <v>5631</v>
      </c>
      <c r="G3510" s="6" t="s">
        <v>5632</v>
      </c>
      <c r="H3510" s="8"/>
      <c r="I3510" s="8">
        <v>140000</v>
      </c>
      <c r="J3510" s="6"/>
      <c r="K3510" s="6" t="s">
        <v>2582</v>
      </c>
      <c r="L3510" s="6"/>
      <c r="M3510" s="6"/>
      <c r="N3510" s="6" t="s">
        <v>2582</v>
      </c>
      <c r="O3510" s="29">
        <f t="shared" si="84"/>
        <v>140000</v>
      </c>
      <c r="Q3510" s="30" t="s">
        <v>2582</v>
      </c>
      <c r="R3510" s="31">
        <v>140000</v>
      </c>
    </row>
    <row r="3511" s="1" customFormat="1" ht="16.35" hidden="1" customHeight="1" spans="1:18">
      <c r="A3511" s="6"/>
      <c r="B3511" s="6" t="s">
        <v>4271</v>
      </c>
      <c r="C3511" s="6" t="s">
        <v>4279</v>
      </c>
      <c r="D3511" s="7">
        <v>2</v>
      </c>
      <c r="E3511" s="6" t="s">
        <v>7086</v>
      </c>
      <c r="F3511" s="6" t="s">
        <v>5631</v>
      </c>
      <c r="G3511" s="6" t="s">
        <v>5632</v>
      </c>
      <c r="H3511" s="8"/>
      <c r="I3511" s="8">
        <v>-9000</v>
      </c>
      <c r="J3511" s="6"/>
      <c r="K3511" s="6" t="s">
        <v>2525</v>
      </c>
      <c r="L3511" s="6"/>
      <c r="M3511" s="6"/>
      <c r="N3511" s="6" t="s">
        <v>2525</v>
      </c>
      <c r="O3511" s="29">
        <f t="shared" si="84"/>
        <v>-9000</v>
      </c>
      <c r="Q3511" s="30" t="s">
        <v>2525</v>
      </c>
      <c r="R3511" s="31">
        <v>-9000</v>
      </c>
    </row>
    <row r="3512" s="1" customFormat="1" ht="16.35" hidden="1" customHeight="1" spans="1:18">
      <c r="A3512" s="6"/>
      <c r="B3512" s="6" t="s">
        <v>4271</v>
      </c>
      <c r="C3512" s="6" t="s">
        <v>4279</v>
      </c>
      <c r="D3512" s="7">
        <v>1</v>
      </c>
      <c r="E3512" s="6" t="s">
        <v>7087</v>
      </c>
      <c r="F3512" s="6" t="s">
        <v>5631</v>
      </c>
      <c r="G3512" s="6" t="s">
        <v>5632</v>
      </c>
      <c r="H3512" s="8"/>
      <c r="I3512" s="8">
        <v>10000</v>
      </c>
      <c r="J3512" s="6"/>
      <c r="K3512" s="6" t="s">
        <v>2515</v>
      </c>
      <c r="L3512" s="6"/>
      <c r="M3512" s="6"/>
      <c r="N3512" s="6" t="s">
        <v>2515</v>
      </c>
      <c r="O3512" s="29">
        <f t="shared" si="84"/>
        <v>10000</v>
      </c>
      <c r="Q3512" s="30" t="s">
        <v>2515</v>
      </c>
      <c r="R3512" s="31">
        <v>10000</v>
      </c>
    </row>
    <row r="3513" s="1" customFormat="1" ht="16.35" hidden="1" customHeight="1" spans="1:18">
      <c r="A3513" s="6"/>
      <c r="B3513" s="6" t="s">
        <v>4271</v>
      </c>
      <c r="C3513" s="6" t="s">
        <v>4279</v>
      </c>
      <c r="D3513" s="7">
        <v>2</v>
      </c>
      <c r="E3513" s="6" t="s">
        <v>7086</v>
      </c>
      <c r="F3513" s="6" t="s">
        <v>5631</v>
      </c>
      <c r="G3513" s="6" t="s">
        <v>5632</v>
      </c>
      <c r="H3513" s="8"/>
      <c r="I3513" s="8">
        <v>9000</v>
      </c>
      <c r="J3513" s="6"/>
      <c r="K3513" s="6" t="s">
        <v>2515</v>
      </c>
      <c r="L3513" s="6"/>
      <c r="M3513" s="6"/>
      <c r="N3513" s="6" t="s">
        <v>2515</v>
      </c>
      <c r="O3513" s="29">
        <f t="shared" si="84"/>
        <v>9000</v>
      </c>
      <c r="Q3513" s="30" t="s">
        <v>2515</v>
      </c>
      <c r="R3513" s="31">
        <v>9000</v>
      </c>
    </row>
    <row r="3514" s="1" customFormat="1" ht="16.35" hidden="1" customHeight="1" spans="1:18">
      <c r="A3514" s="6"/>
      <c r="B3514" s="6" t="s">
        <v>4271</v>
      </c>
      <c r="C3514" s="6" t="s">
        <v>4279</v>
      </c>
      <c r="D3514" s="7">
        <v>10</v>
      </c>
      <c r="E3514" s="6" t="s">
        <v>7069</v>
      </c>
      <c r="F3514" s="6" t="s">
        <v>5631</v>
      </c>
      <c r="G3514" s="6" t="s">
        <v>5632</v>
      </c>
      <c r="H3514" s="8"/>
      <c r="I3514" s="8">
        <v>5000</v>
      </c>
      <c r="J3514" s="6"/>
      <c r="K3514" s="6" t="s">
        <v>2515</v>
      </c>
      <c r="L3514" s="6"/>
      <c r="M3514" s="6"/>
      <c r="N3514" s="6" t="s">
        <v>2515</v>
      </c>
      <c r="O3514" s="29">
        <f t="shared" si="84"/>
        <v>5000</v>
      </c>
      <c r="Q3514" s="30" t="s">
        <v>2515</v>
      </c>
      <c r="R3514" s="31">
        <v>5000</v>
      </c>
    </row>
    <row r="3515" s="1" customFormat="1" ht="16.35" hidden="1" customHeight="1" spans="1:18">
      <c r="A3515" s="6"/>
      <c r="B3515" s="6" t="s">
        <v>4271</v>
      </c>
      <c r="C3515" s="6" t="s">
        <v>4279</v>
      </c>
      <c r="D3515" s="7">
        <v>47</v>
      </c>
      <c r="E3515" s="6" t="s">
        <v>7088</v>
      </c>
      <c r="F3515" s="6" t="s">
        <v>5631</v>
      </c>
      <c r="G3515" s="6" t="s">
        <v>5632</v>
      </c>
      <c r="H3515" s="8"/>
      <c r="I3515" s="8">
        <v>194016</v>
      </c>
      <c r="J3515" s="6"/>
      <c r="K3515" s="6" t="s">
        <v>2515</v>
      </c>
      <c r="L3515" s="6"/>
      <c r="M3515" s="6"/>
      <c r="N3515" s="6" t="s">
        <v>2515</v>
      </c>
      <c r="O3515" s="29">
        <f t="shared" si="84"/>
        <v>194016</v>
      </c>
      <c r="Q3515" s="30" t="s">
        <v>2515</v>
      </c>
      <c r="R3515" s="31">
        <v>194016</v>
      </c>
    </row>
    <row r="3516" s="1" customFormat="1" ht="16.35" hidden="1" customHeight="1" spans="1:18">
      <c r="A3516" s="6"/>
      <c r="B3516" s="6" t="s">
        <v>4271</v>
      </c>
      <c r="C3516" s="6" t="s">
        <v>4279</v>
      </c>
      <c r="D3516" s="7">
        <v>1</v>
      </c>
      <c r="E3516" s="6" t="s">
        <v>7087</v>
      </c>
      <c r="F3516" s="6" t="s">
        <v>5631</v>
      </c>
      <c r="G3516" s="6" t="s">
        <v>5632</v>
      </c>
      <c r="H3516" s="8"/>
      <c r="I3516" s="8">
        <v>-10000</v>
      </c>
      <c r="J3516" s="6"/>
      <c r="K3516" s="6" t="s">
        <v>2541</v>
      </c>
      <c r="L3516" s="6"/>
      <c r="M3516" s="6"/>
      <c r="N3516" s="6" t="s">
        <v>2541</v>
      </c>
      <c r="O3516" s="29">
        <f t="shared" si="84"/>
        <v>-10000</v>
      </c>
      <c r="Q3516" s="30" t="s">
        <v>2541</v>
      </c>
      <c r="R3516" s="31">
        <v>-10000</v>
      </c>
    </row>
    <row r="3517" s="1" customFormat="1" ht="16.35" hidden="1" customHeight="1" spans="1:18">
      <c r="A3517" s="6"/>
      <c r="B3517" s="6" t="s">
        <v>4271</v>
      </c>
      <c r="C3517" s="6" t="s">
        <v>4279</v>
      </c>
      <c r="D3517" s="7">
        <v>46</v>
      </c>
      <c r="E3517" s="6" t="s">
        <v>7089</v>
      </c>
      <c r="F3517" s="6" t="s">
        <v>5631</v>
      </c>
      <c r="G3517" s="6" t="s">
        <v>5632</v>
      </c>
      <c r="H3517" s="8"/>
      <c r="I3517" s="8">
        <v>102735</v>
      </c>
      <c r="J3517" s="6"/>
      <c r="K3517" s="6" t="s">
        <v>2652</v>
      </c>
      <c r="L3517" s="6"/>
      <c r="M3517" s="6"/>
      <c r="N3517" s="6" t="s">
        <v>2652</v>
      </c>
      <c r="O3517" s="29">
        <f t="shared" si="84"/>
        <v>102735</v>
      </c>
      <c r="Q3517" s="30" t="s">
        <v>2652</v>
      </c>
      <c r="R3517" s="31">
        <v>102735</v>
      </c>
    </row>
    <row r="3518" s="1" customFormat="1" ht="16.35" hidden="1" customHeight="1" spans="1:18">
      <c r="A3518" s="6"/>
      <c r="B3518" s="6" t="s">
        <v>4271</v>
      </c>
      <c r="C3518" s="6" t="s">
        <v>4279</v>
      </c>
      <c r="D3518" s="7">
        <v>44</v>
      </c>
      <c r="E3518" s="6" t="s">
        <v>6848</v>
      </c>
      <c r="F3518" s="6" t="s">
        <v>5631</v>
      </c>
      <c r="G3518" s="6" t="s">
        <v>5632</v>
      </c>
      <c r="H3518" s="8"/>
      <c r="I3518" s="8">
        <v>13735</v>
      </c>
      <c r="J3518" s="6"/>
      <c r="K3518" s="6" t="s">
        <v>2606</v>
      </c>
      <c r="L3518" s="6"/>
      <c r="M3518" s="6"/>
      <c r="N3518" s="6" t="s">
        <v>2606</v>
      </c>
      <c r="O3518" s="29">
        <f t="shared" si="84"/>
        <v>13735</v>
      </c>
      <c r="Q3518" s="30" t="s">
        <v>2606</v>
      </c>
      <c r="R3518" s="31">
        <v>13735</v>
      </c>
    </row>
    <row r="3519" s="1" customFormat="1" ht="16.35" hidden="1" customHeight="1" spans="1:18">
      <c r="A3519" s="6"/>
      <c r="B3519" s="6" t="s">
        <v>4271</v>
      </c>
      <c r="C3519" s="6" t="s">
        <v>4279</v>
      </c>
      <c r="D3519" s="7">
        <v>19</v>
      </c>
      <c r="E3519" s="6" t="s">
        <v>7090</v>
      </c>
      <c r="F3519" s="6" t="s">
        <v>5631</v>
      </c>
      <c r="G3519" s="6" t="s">
        <v>5632</v>
      </c>
      <c r="H3519" s="8"/>
      <c r="I3519" s="8">
        <v>100000</v>
      </c>
      <c r="J3519" s="6"/>
      <c r="K3519" s="6" t="s">
        <v>2594</v>
      </c>
      <c r="L3519" s="6"/>
      <c r="M3519" s="6"/>
      <c r="N3519" s="6" t="s">
        <v>2594</v>
      </c>
      <c r="O3519" s="29">
        <f t="shared" si="84"/>
        <v>100000</v>
      </c>
      <c r="Q3519" s="30" t="s">
        <v>2594</v>
      </c>
      <c r="R3519" s="31">
        <v>100000</v>
      </c>
    </row>
    <row r="3520" s="1" customFormat="1" ht="16.35" hidden="1" customHeight="1" spans="1:18">
      <c r="A3520" s="6"/>
      <c r="B3520" s="6" t="s">
        <v>4271</v>
      </c>
      <c r="C3520" s="6" t="s">
        <v>4279</v>
      </c>
      <c r="D3520" s="7">
        <v>54</v>
      </c>
      <c r="E3520" s="6" t="s">
        <v>7091</v>
      </c>
      <c r="F3520" s="6" t="s">
        <v>5631</v>
      </c>
      <c r="G3520" s="6" t="s">
        <v>5632</v>
      </c>
      <c r="H3520" s="8"/>
      <c r="I3520" s="8">
        <v>85996</v>
      </c>
      <c r="J3520" s="6"/>
      <c r="K3520" s="6" t="s">
        <v>2704</v>
      </c>
      <c r="L3520" s="6"/>
      <c r="M3520" s="6"/>
      <c r="N3520" s="6" t="s">
        <v>2704</v>
      </c>
      <c r="O3520" s="29">
        <f t="shared" si="84"/>
        <v>85996</v>
      </c>
      <c r="Q3520" s="30" t="s">
        <v>2704</v>
      </c>
      <c r="R3520" s="31">
        <v>85996</v>
      </c>
    </row>
    <row r="3521" s="1" customFormat="1" ht="16.35" hidden="1" customHeight="1" spans="1:18">
      <c r="A3521" s="6"/>
      <c r="B3521" s="6" t="s">
        <v>4271</v>
      </c>
      <c r="C3521" s="6" t="s">
        <v>4279</v>
      </c>
      <c r="D3521" s="7">
        <v>41</v>
      </c>
      <c r="E3521" s="6" t="s">
        <v>7092</v>
      </c>
      <c r="F3521" s="6" t="s">
        <v>5631</v>
      </c>
      <c r="G3521" s="6" t="s">
        <v>5632</v>
      </c>
      <c r="H3521" s="8"/>
      <c r="I3521" s="8">
        <v>250763</v>
      </c>
      <c r="J3521" s="6"/>
      <c r="K3521" s="6" t="s">
        <v>2716</v>
      </c>
      <c r="L3521" s="6"/>
      <c r="M3521" s="6"/>
      <c r="N3521" s="6" t="s">
        <v>2716</v>
      </c>
      <c r="O3521" s="29">
        <f t="shared" si="84"/>
        <v>250763</v>
      </c>
      <c r="Q3521" s="30" t="s">
        <v>2716</v>
      </c>
      <c r="R3521" s="31">
        <v>250763</v>
      </c>
    </row>
    <row r="3522" s="1" customFormat="1" ht="16.35" hidden="1" customHeight="1" spans="1:18">
      <c r="A3522" s="6"/>
      <c r="B3522" s="6" t="s">
        <v>4271</v>
      </c>
      <c r="C3522" s="6" t="s">
        <v>4279</v>
      </c>
      <c r="D3522" s="7">
        <v>49</v>
      </c>
      <c r="E3522" s="6" t="s">
        <v>7093</v>
      </c>
      <c r="F3522" s="6" t="s">
        <v>5631</v>
      </c>
      <c r="G3522" s="6" t="s">
        <v>5632</v>
      </c>
      <c r="H3522" s="8"/>
      <c r="I3522" s="8">
        <v>56680</v>
      </c>
      <c r="J3522" s="6"/>
      <c r="K3522" s="6" t="s">
        <v>2533</v>
      </c>
      <c r="L3522" s="6"/>
      <c r="M3522" s="6"/>
      <c r="N3522" s="6" t="s">
        <v>2533</v>
      </c>
      <c r="O3522" s="29">
        <f t="shared" si="84"/>
        <v>56680</v>
      </c>
      <c r="Q3522" s="30" t="s">
        <v>2533</v>
      </c>
      <c r="R3522" s="31">
        <v>56680</v>
      </c>
    </row>
    <row r="3523" s="1" customFormat="1" ht="16.35" hidden="1" customHeight="1" spans="1:18">
      <c r="A3523" s="6"/>
      <c r="B3523" s="6" t="s">
        <v>4271</v>
      </c>
      <c r="C3523" s="6" t="s">
        <v>4279</v>
      </c>
      <c r="D3523" s="7">
        <v>15</v>
      </c>
      <c r="E3523" s="6" t="s">
        <v>7094</v>
      </c>
      <c r="F3523" s="6" t="s">
        <v>5631</v>
      </c>
      <c r="G3523" s="6" t="s">
        <v>5632</v>
      </c>
      <c r="H3523" s="8"/>
      <c r="I3523" s="8">
        <v>17000</v>
      </c>
      <c r="J3523" s="6"/>
      <c r="K3523" s="6" t="s">
        <v>2502</v>
      </c>
      <c r="L3523" s="6"/>
      <c r="M3523" s="6"/>
      <c r="N3523" s="6" t="s">
        <v>2502</v>
      </c>
      <c r="O3523" s="29">
        <f t="shared" si="84"/>
        <v>17000</v>
      </c>
      <c r="Q3523" s="30" t="s">
        <v>2502</v>
      </c>
      <c r="R3523" s="31">
        <v>17000</v>
      </c>
    </row>
    <row r="3524" s="1" customFormat="1" ht="16.35" hidden="1" customHeight="1" spans="1:18">
      <c r="A3524" s="6"/>
      <c r="B3524" s="6" t="s">
        <v>4271</v>
      </c>
      <c r="C3524" s="6" t="s">
        <v>4279</v>
      </c>
      <c r="D3524" s="7">
        <v>6</v>
      </c>
      <c r="E3524" s="6" t="s">
        <v>7095</v>
      </c>
      <c r="F3524" s="6" t="s">
        <v>5631</v>
      </c>
      <c r="G3524" s="6" t="s">
        <v>5632</v>
      </c>
      <c r="H3524" s="8"/>
      <c r="I3524" s="8">
        <v>-10000</v>
      </c>
      <c r="J3524" s="6"/>
      <c r="K3524" s="6" t="s">
        <v>2646</v>
      </c>
      <c r="L3524" s="6"/>
      <c r="M3524" s="6"/>
      <c r="N3524" s="6" t="s">
        <v>2646</v>
      </c>
      <c r="O3524" s="29">
        <f t="shared" si="84"/>
        <v>-10000</v>
      </c>
      <c r="Q3524" s="30" t="s">
        <v>2646</v>
      </c>
      <c r="R3524" s="31">
        <v>-10000</v>
      </c>
    </row>
    <row r="3525" s="1" customFormat="1" ht="16.35" hidden="1" customHeight="1" spans="1:18">
      <c r="A3525" s="6"/>
      <c r="B3525" s="6" t="s">
        <v>4271</v>
      </c>
      <c r="C3525" s="6" t="s">
        <v>4279</v>
      </c>
      <c r="D3525" s="7">
        <v>6</v>
      </c>
      <c r="E3525" s="6" t="s">
        <v>7095</v>
      </c>
      <c r="F3525" s="6" t="s">
        <v>5631</v>
      </c>
      <c r="G3525" s="6" t="s">
        <v>5632</v>
      </c>
      <c r="H3525" s="8"/>
      <c r="I3525" s="8">
        <v>10000</v>
      </c>
      <c r="J3525" s="6"/>
      <c r="K3525" s="6" t="s">
        <v>2646</v>
      </c>
      <c r="L3525" s="6"/>
      <c r="M3525" s="6"/>
      <c r="N3525" s="6" t="s">
        <v>2646</v>
      </c>
      <c r="O3525" s="29">
        <f t="shared" si="84"/>
        <v>10000</v>
      </c>
      <c r="Q3525" s="30" t="s">
        <v>2646</v>
      </c>
      <c r="R3525" s="31">
        <v>10000</v>
      </c>
    </row>
    <row r="3526" s="1" customFormat="1" ht="16.35" hidden="1" customHeight="1" spans="1:18">
      <c r="A3526" s="6"/>
      <c r="B3526" s="6" t="s">
        <v>4271</v>
      </c>
      <c r="C3526" s="6" t="s">
        <v>4279</v>
      </c>
      <c r="D3526" s="7">
        <v>11</v>
      </c>
      <c r="E3526" s="6" t="s">
        <v>7096</v>
      </c>
      <c r="F3526" s="6" t="s">
        <v>5631</v>
      </c>
      <c r="G3526" s="6" t="s">
        <v>5632</v>
      </c>
      <c r="H3526" s="8"/>
      <c r="I3526" s="8">
        <v>5000</v>
      </c>
      <c r="J3526" s="6"/>
      <c r="K3526" s="6" t="s">
        <v>2660</v>
      </c>
      <c r="L3526" s="6"/>
      <c r="M3526" s="6"/>
      <c r="N3526" s="6" t="s">
        <v>2660</v>
      </c>
      <c r="O3526" s="29">
        <f t="shared" si="84"/>
        <v>5000</v>
      </c>
      <c r="Q3526" s="30" t="s">
        <v>2660</v>
      </c>
      <c r="R3526" s="31">
        <v>5000</v>
      </c>
    </row>
    <row r="3527" s="1" customFormat="1" ht="16.35" hidden="1" customHeight="1" spans="1:18">
      <c r="A3527" s="6"/>
      <c r="B3527" s="6" t="s">
        <v>4271</v>
      </c>
      <c r="C3527" s="6" t="s">
        <v>4279</v>
      </c>
      <c r="D3527" s="7">
        <v>39</v>
      </c>
      <c r="E3527" s="6" t="s">
        <v>7097</v>
      </c>
      <c r="F3527" s="6" t="s">
        <v>5631</v>
      </c>
      <c r="G3527" s="6" t="s">
        <v>5632</v>
      </c>
      <c r="H3527" s="8"/>
      <c r="I3527" s="8">
        <v>157570</v>
      </c>
      <c r="J3527" s="6"/>
      <c r="K3527" s="6" t="s">
        <v>2660</v>
      </c>
      <c r="L3527" s="6"/>
      <c r="M3527" s="6"/>
      <c r="N3527" s="6" t="s">
        <v>2660</v>
      </c>
      <c r="O3527" s="29">
        <f t="shared" si="84"/>
        <v>157570</v>
      </c>
      <c r="Q3527" s="30" t="s">
        <v>2660</v>
      </c>
      <c r="R3527" s="31">
        <v>157570</v>
      </c>
    </row>
    <row r="3528" s="1" customFormat="1" ht="16.35" hidden="1" customHeight="1" spans="1:18">
      <c r="A3528" s="6"/>
      <c r="B3528" s="6" t="s">
        <v>4271</v>
      </c>
      <c r="C3528" s="6" t="s">
        <v>4279</v>
      </c>
      <c r="D3528" s="7">
        <v>55</v>
      </c>
      <c r="E3528" s="6" t="s">
        <v>7098</v>
      </c>
      <c r="F3528" s="6" t="s">
        <v>5631</v>
      </c>
      <c r="G3528" s="6" t="s">
        <v>5632</v>
      </c>
      <c r="H3528" s="8"/>
      <c r="I3528" s="8">
        <v>15165</v>
      </c>
      <c r="J3528" s="6"/>
      <c r="K3528" s="6" t="s">
        <v>2660</v>
      </c>
      <c r="L3528" s="6"/>
      <c r="M3528" s="6"/>
      <c r="N3528" s="6" t="s">
        <v>2660</v>
      </c>
      <c r="O3528" s="29">
        <f t="shared" si="84"/>
        <v>15165</v>
      </c>
      <c r="Q3528" s="30" t="s">
        <v>2660</v>
      </c>
      <c r="R3528" s="31">
        <v>15165</v>
      </c>
    </row>
    <row r="3529" s="1" customFormat="1" ht="16.35" hidden="1" customHeight="1" spans="1:18">
      <c r="A3529" s="6"/>
      <c r="B3529" s="6" t="s">
        <v>4271</v>
      </c>
      <c r="C3529" s="6" t="s">
        <v>4279</v>
      </c>
      <c r="D3529" s="7">
        <v>55</v>
      </c>
      <c r="E3529" s="6" t="s">
        <v>7099</v>
      </c>
      <c r="F3529" s="6" t="s">
        <v>5631</v>
      </c>
      <c r="G3529" s="6" t="s">
        <v>5632</v>
      </c>
      <c r="H3529" s="8"/>
      <c r="I3529" s="8">
        <v>100000</v>
      </c>
      <c r="J3529" s="6"/>
      <c r="K3529" s="6" t="s">
        <v>2604</v>
      </c>
      <c r="L3529" s="6"/>
      <c r="M3529" s="6"/>
      <c r="N3529" s="6" t="s">
        <v>2604</v>
      </c>
      <c r="O3529" s="29">
        <f t="shared" si="84"/>
        <v>100000</v>
      </c>
      <c r="Q3529" s="30" t="s">
        <v>2604</v>
      </c>
      <c r="R3529" s="31">
        <v>100000</v>
      </c>
    </row>
    <row r="3530" s="1" customFormat="1" ht="16.35" hidden="1" customHeight="1" spans="1:18">
      <c r="A3530" s="6"/>
      <c r="B3530" s="6" t="s">
        <v>4271</v>
      </c>
      <c r="C3530" s="6" t="s">
        <v>4279</v>
      </c>
      <c r="D3530" s="7">
        <v>57</v>
      </c>
      <c r="E3530" s="6" t="s">
        <v>7100</v>
      </c>
      <c r="F3530" s="6" t="s">
        <v>5631</v>
      </c>
      <c r="G3530" s="6" t="s">
        <v>5632</v>
      </c>
      <c r="H3530" s="8"/>
      <c r="I3530" s="8">
        <v>100000</v>
      </c>
      <c r="J3530" s="6"/>
      <c r="K3530" s="6" t="s">
        <v>2666</v>
      </c>
      <c r="L3530" s="6"/>
      <c r="M3530" s="6"/>
      <c r="N3530" s="6" t="s">
        <v>2666</v>
      </c>
      <c r="O3530" s="29">
        <f t="shared" si="84"/>
        <v>100000</v>
      </c>
      <c r="Q3530" s="30" t="s">
        <v>2666</v>
      </c>
      <c r="R3530" s="31">
        <v>100000</v>
      </c>
    </row>
    <row r="3531" s="1" customFormat="1" ht="16.35" hidden="1" customHeight="1" spans="1:18">
      <c r="A3531" s="6"/>
      <c r="B3531" s="6" t="s">
        <v>4271</v>
      </c>
      <c r="C3531" s="6" t="s">
        <v>4279</v>
      </c>
      <c r="D3531" s="7">
        <v>18</v>
      </c>
      <c r="E3531" s="6" t="s">
        <v>7101</v>
      </c>
      <c r="F3531" s="6" t="s">
        <v>5631</v>
      </c>
      <c r="G3531" s="6" t="s">
        <v>5632</v>
      </c>
      <c r="H3531" s="8"/>
      <c r="I3531" s="8">
        <v>10000</v>
      </c>
      <c r="J3531" s="6"/>
      <c r="K3531" s="6" t="s">
        <v>2658</v>
      </c>
      <c r="L3531" s="6"/>
      <c r="M3531" s="6"/>
      <c r="N3531" s="6" t="s">
        <v>2658</v>
      </c>
      <c r="O3531" s="29">
        <f t="shared" si="84"/>
        <v>10000</v>
      </c>
      <c r="Q3531" s="30" t="s">
        <v>2658</v>
      </c>
      <c r="R3531" s="31">
        <v>10000</v>
      </c>
    </row>
    <row r="3532" s="1" customFormat="1" ht="16.35" hidden="1" customHeight="1" spans="1:18">
      <c r="A3532" s="6"/>
      <c r="B3532" s="6" t="s">
        <v>4271</v>
      </c>
      <c r="C3532" s="6" t="s">
        <v>4279</v>
      </c>
      <c r="D3532" s="7">
        <v>48</v>
      </c>
      <c r="E3532" s="6" t="s">
        <v>7102</v>
      </c>
      <c r="F3532" s="6" t="s">
        <v>5631</v>
      </c>
      <c r="G3532" s="6" t="s">
        <v>5632</v>
      </c>
      <c r="H3532" s="8"/>
      <c r="I3532" s="8">
        <v>10000</v>
      </c>
      <c r="J3532" s="6"/>
      <c r="K3532" s="6" t="s">
        <v>2596</v>
      </c>
      <c r="L3532" s="6"/>
      <c r="M3532" s="6"/>
      <c r="N3532" s="6" t="s">
        <v>2596</v>
      </c>
      <c r="O3532" s="29">
        <f t="shared" si="84"/>
        <v>10000</v>
      </c>
      <c r="Q3532" s="30" t="s">
        <v>2596</v>
      </c>
      <c r="R3532" s="31">
        <v>10000</v>
      </c>
    </row>
    <row r="3533" s="1" customFormat="1" ht="16.35" hidden="1" customHeight="1" spans="1:18">
      <c r="A3533" s="6"/>
      <c r="B3533" s="6" t="s">
        <v>4271</v>
      </c>
      <c r="C3533" s="6" t="s">
        <v>4279</v>
      </c>
      <c r="D3533" s="7">
        <v>58</v>
      </c>
      <c r="E3533" s="6" t="s">
        <v>7103</v>
      </c>
      <c r="F3533" s="6" t="s">
        <v>5631</v>
      </c>
      <c r="G3533" s="6" t="s">
        <v>5632</v>
      </c>
      <c r="H3533" s="8"/>
      <c r="I3533" s="8">
        <v>159000</v>
      </c>
      <c r="J3533" s="6"/>
      <c r="K3533" s="6" t="s">
        <v>2736</v>
      </c>
      <c r="L3533" s="6"/>
      <c r="M3533" s="6"/>
      <c r="N3533" s="6" t="s">
        <v>2736</v>
      </c>
      <c r="O3533" s="29">
        <f t="shared" si="84"/>
        <v>159000</v>
      </c>
      <c r="Q3533" s="30" t="s">
        <v>2736</v>
      </c>
      <c r="R3533" s="31">
        <v>159000</v>
      </c>
    </row>
    <row r="3534" s="1" customFormat="1" ht="16.35" hidden="1" customHeight="1" spans="1:18">
      <c r="A3534" s="6"/>
      <c r="B3534" s="6" t="s">
        <v>4271</v>
      </c>
      <c r="C3534" s="6" t="s">
        <v>4130</v>
      </c>
      <c r="D3534" s="7">
        <v>36</v>
      </c>
      <c r="E3534" s="6" t="s">
        <v>7104</v>
      </c>
      <c r="F3534" s="6" t="s">
        <v>5631</v>
      </c>
      <c r="G3534" s="6" t="s">
        <v>5632</v>
      </c>
      <c r="H3534" s="8"/>
      <c r="I3534" s="8">
        <v>265000</v>
      </c>
      <c r="J3534" s="6"/>
      <c r="K3534" s="6" t="s">
        <v>2021</v>
      </c>
      <c r="L3534" s="6"/>
      <c r="M3534" s="6"/>
      <c r="N3534" s="6" t="s">
        <v>2021</v>
      </c>
      <c r="O3534" s="29">
        <f t="shared" si="84"/>
        <v>265000</v>
      </c>
      <c r="Q3534" s="30" t="s">
        <v>2021</v>
      </c>
      <c r="R3534" s="31">
        <v>265000</v>
      </c>
    </row>
    <row r="3535" s="1" customFormat="1" ht="16.35" hidden="1" customHeight="1" spans="1:18">
      <c r="A3535" s="6"/>
      <c r="B3535" s="6" t="s">
        <v>4271</v>
      </c>
      <c r="C3535" s="6" t="s">
        <v>4130</v>
      </c>
      <c r="D3535" s="7">
        <v>106</v>
      </c>
      <c r="E3535" s="6" t="s">
        <v>7105</v>
      </c>
      <c r="F3535" s="6" t="s">
        <v>5631</v>
      </c>
      <c r="G3535" s="6" t="s">
        <v>5632</v>
      </c>
      <c r="H3535" s="8">
        <v>265000</v>
      </c>
      <c r="I3535" s="8"/>
      <c r="J3535" s="6"/>
      <c r="K3535" s="6" t="s">
        <v>2021</v>
      </c>
      <c r="L3535" s="6"/>
      <c r="M3535" s="6"/>
      <c r="N3535" s="6" t="s">
        <v>2021</v>
      </c>
      <c r="O3535" s="29">
        <f t="shared" si="84"/>
        <v>0</v>
      </c>
      <c r="Q3535" s="30" t="s">
        <v>2021</v>
      </c>
      <c r="R3535" s="31">
        <v>0</v>
      </c>
    </row>
    <row r="3536" s="1" customFormat="1" ht="16.35" hidden="1" customHeight="1" spans="1:18">
      <c r="A3536" s="6"/>
      <c r="B3536" s="6" t="s">
        <v>4271</v>
      </c>
      <c r="C3536" s="6" t="s">
        <v>4130</v>
      </c>
      <c r="D3536" s="7">
        <v>14</v>
      </c>
      <c r="E3536" s="6" t="s">
        <v>7106</v>
      </c>
      <c r="F3536" s="6" t="s">
        <v>5631</v>
      </c>
      <c r="G3536" s="6" t="s">
        <v>5632</v>
      </c>
      <c r="H3536" s="8"/>
      <c r="I3536" s="8">
        <v>50000</v>
      </c>
      <c r="J3536" s="6"/>
      <c r="K3536" s="6" t="s">
        <v>2099</v>
      </c>
      <c r="L3536" s="6"/>
      <c r="M3536" s="6"/>
      <c r="N3536" s="6" t="s">
        <v>2099</v>
      </c>
      <c r="O3536" s="29">
        <f t="shared" si="84"/>
        <v>50000</v>
      </c>
      <c r="Q3536" s="30" t="s">
        <v>2099</v>
      </c>
      <c r="R3536" s="31">
        <v>50000</v>
      </c>
    </row>
    <row r="3537" s="1" customFormat="1" ht="16.35" hidden="1" customHeight="1" spans="1:18">
      <c r="A3537" s="6"/>
      <c r="B3537" s="6" t="s">
        <v>4271</v>
      </c>
      <c r="C3537" s="6" t="s">
        <v>4130</v>
      </c>
      <c r="D3537" s="7">
        <v>26</v>
      </c>
      <c r="E3537" s="6" t="s">
        <v>7107</v>
      </c>
      <c r="F3537" s="6" t="s">
        <v>5631</v>
      </c>
      <c r="G3537" s="6" t="s">
        <v>5632</v>
      </c>
      <c r="H3537" s="8"/>
      <c r="I3537" s="8">
        <v>277000</v>
      </c>
      <c r="J3537" s="6"/>
      <c r="K3537" s="6" t="s">
        <v>2841</v>
      </c>
      <c r="L3537" s="6"/>
      <c r="M3537" s="6"/>
      <c r="N3537" s="6" t="s">
        <v>2841</v>
      </c>
      <c r="O3537" s="29">
        <f t="shared" si="84"/>
        <v>277000</v>
      </c>
      <c r="Q3537" s="30" t="s">
        <v>2841</v>
      </c>
      <c r="R3537" s="31">
        <v>277000</v>
      </c>
    </row>
    <row r="3538" s="1" customFormat="1" ht="16.35" hidden="1" customHeight="1" spans="1:18">
      <c r="A3538" s="6"/>
      <c r="B3538" s="6" t="s">
        <v>4271</v>
      </c>
      <c r="C3538" s="6" t="s">
        <v>4130</v>
      </c>
      <c r="D3538" s="7">
        <v>37</v>
      </c>
      <c r="E3538" s="6" t="s">
        <v>7108</v>
      </c>
      <c r="F3538" s="6" t="s">
        <v>5631</v>
      </c>
      <c r="G3538" s="6" t="s">
        <v>5632</v>
      </c>
      <c r="H3538" s="8"/>
      <c r="I3538" s="8">
        <v>69853</v>
      </c>
      <c r="J3538" s="6"/>
      <c r="K3538" s="6" t="s">
        <v>2331</v>
      </c>
      <c r="L3538" s="6"/>
      <c r="M3538" s="6"/>
      <c r="N3538" s="6" t="s">
        <v>2331</v>
      </c>
      <c r="O3538" s="29">
        <f t="shared" si="84"/>
        <v>69853</v>
      </c>
      <c r="Q3538" s="30" t="s">
        <v>2331</v>
      </c>
      <c r="R3538" s="31">
        <v>69853</v>
      </c>
    </row>
    <row r="3539" s="1" customFormat="1" ht="16.35" hidden="1" customHeight="1" spans="1:18">
      <c r="A3539" s="6"/>
      <c r="B3539" s="6" t="s">
        <v>4271</v>
      </c>
      <c r="C3539" s="6" t="s">
        <v>4130</v>
      </c>
      <c r="D3539" s="7">
        <v>111</v>
      </c>
      <c r="E3539" s="6" t="s">
        <v>7109</v>
      </c>
      <c r="F3539" s="6" t="s">
        <v>5631</v>
      </c>
      <c r="G3539" s="6" t="s">
        <v>5632</v>
      </c>
      <c r="H3539" s="8"/>
      <c r="I3539" s="8">
        <v>21000</v>
      </c>
      <c r="J3539" s="6"/>
      <c r="K3539" s="6" t="s">
        <v>2402</v>
      </c>
      <c r="L3539" s="6"/>
      <c r="M3539" s="6"/>
      <c r="N3539" s="6" t="s">
        <v>2402</v>
      </c>
      <c r="O3539" s="29">
        <f t="shared" si="84"/>
        <v>21000</v>
      </c>
      <c r="Q3539" s="30" t="s">
        <v>2402</v>
      </c>
      <c r="R3539" s="31">
        <v>21000</v>
      </c>
    </row>
    <row r="3540" s="1" customFormat="1" ht="16.35" hidden="1" customHeight="1" spans="1:18">
      <c r="A3540" s="6"/>
      <c r="B3540" s="6" t="s">
        <v>4271</v>
      </c>
      <c r="C3540" s="6" t="s">
        <v>4130</v>
      </c>
      <c r="D3540" s="7">
        <v>66</v>
      </c>
      <c r="E3540" s="6" t="s">
        <v>7110</v>
      </c>
      <c r="F3540" s="6" t="s">
        <v>5631</v>
      </c>
      <c r="G3540" s="6" t="s">
        <v>5632</v>
      </c>
      <c r="H3540" s="8"/>
      <c r="I3540" s="8">
        <v>157000</v>
      </c>
      <c r="J3540" s="6"/>
      <c r="K3540" s="6" t="s">
        <v>2416</v>
      </c>
      <c r="L3540" s="6"/>
      <c r="M3540" s="6"/>
      <c r="N3540" s="6" t="s">
        <v>2416</v>
      </c>
      <c r="O3540" s="29">
        <f t="shared" si="84"/>
        <v>157000</v>
      </c>
      <c r="Q3540" s="30" t="s">
        <v>2416</v>
      </c>
      <c r="R3540" s="31">
        <v>157000</v>
      </c>
    </row>
    <row r="3541" s="1" customFormat="1" ht="16.35" hidden="1" customHeight="1" spans="1:18">
      <c r="A3541" s="6"/>
      <c r="B3541" s="6" t="s">
        <v>4271</v>
      </c>
      <c r="C3541" s="6" t="s">
        <v>4130</v>
      </c>
      <c r="D3541" s="7">
        <v>10</v>
      </c>
      <c r="E3541" s="6" t="s">
        <v>7111</v>
      </c>
      <c r="F3541" s="6" t="s">
        <v>5631</v>
      </c>
      <c r="G3541" s="6" t="s">
        <v>5632</v>
      </c>
      <c r="H3541" s="8"/>
      <c r="I3541" s="8">
        <v>61160</v>
      </c>
      <c r="J3541" s="6"/>
      <c r="K3541" s="6" t="s">
        <v>2470</v>
      </c>
      <c r="L3541" s="6"/>
      <c r="M3541" s="6"/>
      <c r="N3541" s="6" t="s">
        <v>2470</v>
      </c>
      <c r="O3541" s="29">
        <f t="shared" si="84"/>
        <v>61160</v>
      </c>
      <c r="Q3541" s="30" t="s">
        <v>2470</v>
      </c>
      <c r="R3541" s="31">
        <v>61160</v>
      </c>
    </row>
    <row r="3542" s="1" customFormat="1" ht="16.35" hidden="1" customHeight="1" spans="1:18">
      <c r="A3542" s="6"/>
      <c r="B3542" s="6" t="s">
        <v>4271</v>
      </c>
      <c r="C3542" s="6" t="s">
        <v>4130</v>
      </c>
      <c r="D3542" s="7">
        <v>44</v>
      </c>
      <c r="E3542" s="6" t="s">
        <v>7112</v>
      </c>
      <c r="F3542" s="6" t="s">
        <v>5631</v>
      </c>
      <c r="G3542" s="6" t="s">
        <v>5632</v>
      </c>
      <c r="H3542" s="8"/>
      <c r="I3542" s="8">
        <v>5000</v>
      </c>
      <c r="J3542" s="6"/>
      <c r="K3542" s="6" t="s">
        <v>2494</v>
      </c>
      <c r="L3542" s="6"/>
      <c r="M3542" s="6"/>
      <c r="N3542" s="6" t="s">
        <v>2494</v>
      </c>
      <c r="O3542" s="29">
        <f t="shared" si="84"/>
        <v>5000</v>
      </c>
      <c r="Q3542" s="30" t="s">
        <v>2494</v>
      </c>
      <c r="R3542" s="31">
        <v>5000</v>
      </c>
    </row>
    <row r="3543" s="1" customFormat="1" ht="16.35" hidden="1" customHeight="1" spans="1:18">
      <c r="A3543" s="6"/>
      <c r="B3543" s="6" t="s">
        <v>4271</v>
      </c>
      <c r="C3543" s="6" t="s">
        <v>4130</v>
      </c>
      <c r="D3543" s="7">
        <v>26</v>
      </c>
      <c r="E3543" s="6" t="s">
        <v>7113</v>
      </c>
      <c r="F3543" s="6" t="s">
        <v>5631</v>
      </c>
      <c r="G3543" s="6" t="s">
        <v>5632</v>
      </c>
      <c r="H3543" s="8"/>
      <c r="I3543" s="8">
        <v>20000</v>
      </c>
      <c r="J3543" s="6"/>
      <c r="K3543" s="6" t="s">
        <v>2586</v>
      </c>
      <c r="L3543" s="6"/>
      <c r="M3543" s="6"/>
      <c r="N3543" s="6" t="s">
        <v>2586</v>
      </c>
      <c r="O3543" s="29">
        <f t="shared" si="84"/>
        <v>20000</v>
      </c>
      <c r="Q3543" s="30" t="s">
        <v>2586</v>
      </c>
      <c r="R3543" s="31">
        <v>20000</v>
      </c>
    </row>
    <row r="3544" s="1" customFormat="1" ht="16.35" hidden="1" customHeight="1" spans="1:18">
      <c r="A3544" s="6"/>
      <c r="B3544" s="6" t="s">
        <v>4271</v>
      </c>
      <c r="C3544" s="6" t="s">
        <v>4130</v>
      </c>
      <c r="D3544" s="7">
        <v>13</v>
      </c>
      <c r="E3544" s="6" t="s">
        <v>7113</v>
      </c>
      <c r="F3544" s="6" t="s">
        <v>5631</v>
      </c>
      <c r="G3544" s="6" t="s">
        <v>5632</v>
      </c>
      <c r="H3544" s="8"/>
      <c r="I3544" s="8">
        <v>31142</v>
      </c>
      <c r="J3544" s="6"/>
      <c r="K3544" s="6" t="s">
        <v>2586</v>
      </c>
      <c r="L3544" s="6"/>
      <c r="M3544" s="6"/>
      <c r="N3544" s="6" t="s">
        <v>2586</v>
      </c>
      <c r="O3544" s="29">
        <f t="shared" si="84"/>
        <v>31142</v>
      </c>
      <c r="Q3544" s="30" t="s">
        <v>2586</v>
      </c>
      <c r="R3544" s="31">
        <v>31142</v>
      </c>
    </row>
    <row r="3545" s="1" customFormat="1" ht="16.35" hidden="1" customHeight="1" spans="1:18">
      <c r="A3545" s="6"/>
      <c r="B3545" s="6" t="s">
        <v>4271</v>
      </c>
      <c r="C3545" s="6" t="s">
        <v>4130</v>
      </c>
      <c r="D3545" s="7">
        <v>42</v>
      </c>
      <c r="E3545" s="6" t="s">
        <v>7114</v>
      </c>
      <c r="F3545" s="6" t="s">
        <v>5631</v>
      </c>
      <c r="G3545" s="6" t="s">
        <v>5632</v>
      </c>
      <c r="H3545" s="8"/>
      <c r="I3545" s="8">
        <v>100000</v>
      </c>
      <c r="J3545" s="6"/>
      <c r="K3545" s="6" t="s">
        <v>2566</v>
      </c>
      <c r="L3545" s="6"/>
      <c r="M3545" s="6"/>
      <c r="N3545" s="6" t="s">
        <v>2566</v>
      </c>
      <c r="O3545" s="29">
        <f t="shared" si="84"/>
        <v>100000</v>
      </c>
      <c r="Q3545" s="30" t="s">
        <v>2566</v>
      </c>
      <c r="R3545" s="31">
        <v>100000</v>
      </c>
    </row>
    <row r="3546" s="1" customFormat="1" ht="16.35" hidden="1" customHeight="1" spans="1:18">
      <c r="A3546" s="6"/>
      <c r="B3546" s="6" t="s">
        <v>4271</v>
      </c>
      <c r="C3546" s="6" t="s">
        <v>4130</v>
      </c>
      <c r="D3546" s="7">
        <v>36</v>
      </c>
      <c r="E3546" s="6" t="s">
        <v>7115</v>
      </c>
      <c r="F3546" s="6" t="s">
        <v>5631</v>
      </c>
      <c r="G3546" s="6" t="s">
        <v>5632</v>
      </c>
      <c r="H3546" s="8"/>
      <c r="I3546" s="8">
        <v>54084</v>
      </c>
      <c r="J3546" s="6"/>
      <c r="K3546" s="6" t="s">
        <v>2543</v>
      </c>
      <c r="L3546" s="6"/>
      <c r="M3546" s="6"/>
      <c r="N3546" s="6" t="s">
        <v>2543</v>
      </c>
      <c r="O3546" s="29">
        <f t="shared" si="84"/>
        <v>54084</v>
      </c>
      <c r="Q3546" s="30" t="s">
        <v>2543</v>
      </c>
      <c r="R3546" s="31">
        <v>54084</v>
      </c>
    </row>
    <row r="3547" s="1" customFormat="1" ht="16.35" hidden="1" customHeight="1" spans="1:18">
      <c r="A3547" s="6"/>
      <c r="B3547" s="6" t="s">
        <v>4271</v>
      </c>
      <c r="C3547" s="6" t="s">
        <v>4130</v>
      </c>
      <c r="D3547" s="7">
        <v>17</v>
      </c>
      <c r="E3547" s="6" t="s">
        <v>7116</v>
      </c>
      <c r="F3547" s="6" t="s">
        <v>5631</v>
      </c>
      <c r="G3547" s="6" t="s">
        <v>5632</v>
      </c>
      <c r="H3547" s="8"/>
      <c r="I3547" s="8">
        <v>7000</v>
      </c>
      <c r="J3547" s="6"/>
      <c r="K3547" s="6" t="s">
        <v>2642</v>
      </c>
      <c r="L3547" s="6"/>
      <c r="M3547" s="6"/>
      <c r="N3547" s="6" t="s">
        <v>2642</v>
      </c>
      <c r="O3547" s="29">
        <f t="shared" si="84"/>
        <v>7000</v>
      </c>
      <c r="Q3547" s="30" t="s">
        <v>2642</v>
      </c>
      <c r="R3547" s="31">
        <v>7000</v>
      </c>
    </row>
    <row r="3548" s="1" customFormat="1" ht="16.35" hidden="1" customHeight="1" spans="1:18">
      <c r="A3548" s="6"/>
      <c r="B3548" s="6" t="s">
        <v>4271</v>
      </c>
      <c r="C3548" s="6" t="s">
        <v>4130</v>
      </c>
      <c r="D3548" s="7">
        <v>37</v>
      </c>
      <c r="E3548" s="6" t="s">
        <v>7117</v>
      </c>
      <c r="F3548" s="6" t="s">
        <v>5631</v>
      </c>
      <c r="G3548" s="6" t="s">
        <v>5632</v>
      </c>
      <c r="H3548" s="8"/>
      <c r="I3548" s="8">
        <v>110000</v>
      </c>
      <c r="J3548" s="6"/>
      <c r="K3548" s="6" t="s">
        <v>2664</v>
      </c>
      <c r="L3548" s="6"/>
      <c r="M3548" s="6"/>
      <c r="N3548" s="6" t="s">
        <v>2664</v>
      </c>
      <c r="O3548" s="29">
        <f t="shared" si="84"/>
        <v>110000</v>
      </c>
      <c r="Q3548" s="30" t="s">
        <v>2664</v>
      </c>
      <c r="R3548" s="31">
        <v>110000</v>
      </c>
    </row>
    <row r="3549" s="1" customFormat="1" ht="16.35" hidden="1" customHeight="1" spans="1:18">
      <c r="A3549" s="6"/>
      <c r="B3549" s="6" t="s">
        <v>4271</v>
      </c>
      <c r="C3549" s="6" t="s">
        <v>4130</v>
      </c>
      <c r="D3549" s="7">
        <v>38</v>
      </c>
      <c r="E3549" s="6" t="s">
        <v>7118</v>
      </c>
      <c r="F3549" s="6" t="s">
        <v>5631</v>
      </c>
      <c r="G3549" s="6" t="s">
        <v>5632</v>
      </c>
      <c r="H3549" s="8"/>
      <c r="I3549" s="8">
        <v>5000</v>
      </c>
      <c r="J3549" s="6"/>
      <c r="K3549" s="6" t="s">
        <v>2617</v>
      </c>
      <c r="L3549" s="6"/>
      <c r="M3549" s="6"/>
      <c r="N3549" s="6" t="s">
        <v>2617</v>
      </c>
      <c r="O3549" s="29">
        <f t="shared" si="84"/>
        <v>5000</v>
      </c>
      <c r="Q3549" s="30" t="s">
        <v>2617</v>
      </c>
      <c r="R3549" s="31">
        <v>5000</v>
      </c>
    </row>
    <row r="3550" s="1" customFormat="1" ht="16.35" hidden="1" customHeight="1" spans="1:18">
      <c r="A3550" s="6"/>
      <c r="B3550" s="6" t="s">
        <v>4271</v>
      </c>
      <c r="C3550" s="6" t="s">
        <v>4130</v>
      </c>
      <c r="D3550" s="7">
        <v>21</v>
      </c>
      <c r="E3550" s="6" t="s">
        <v>7119</v>
      </c>
      <c r="F3550" s="6" t="s">
        <v>5631</v>
      </c>
      <c r="G3550" s="6" t="s">
        <v>5632</v>
      </c>
      <c r="H3550" s="8"/>
      <c r="I3550" s="8">
        <v>30257</v>
      </c>
      <c r="J3550" s="6"/>
      <c r="K3550" s="6" t="s">
        <v>2600</v>
      </c>
      <c r="L3550" s="6"/>
      <c r="M3550" s="6"/>
      <c r="N3550" s="6" t="s">
        <v>2600</v>
      </c>
      <c r="O3550" s="29">
        <f t="shared" ref="O3550:O3613" si="85">I3550</f>
        <v>30257</v>
      </c>
      <c r="Q3550" s="30" t="s">
        <v>2600</v>
      </c>
      <c r="R3550" s="31">
        <v>30257</v>
      </c>
    </row>
    <row r="3551" s="1" customFormat="1" ht="16.35" hidden="1" customHeight="1" spans="1:18">
      <c r="A3551" s="6"/>
      <c r="B3551" s="6" t="s">
        <v>4271</v>
      </c>
      <c r="C3551" s="6" t="s">
        <v>4130</v>
      </c>
      <c r="D3551" s="7">
        <v>49</v>
      </c>
      <c r="E3551" s="6" t="s">
        <v>7120</v>
      </c>
      <c r="F3551" s="6" t="s">
        <v>5631</v>
      </c>
      <c r="G3551" s="6" t="s">
        <v>5632</v>
      </c>
      <c r="H3551" s="8"/>
      <c r="I3551" s="8">
        <v>190000</v>
      </c>
      <c r="J3551" s="6"/>
      <c r="K3551" s="6" t="s">
        <v>2718</v>
      </c>
      <c r="L3551" s="6"/>
      <c r="M3551" s="6"/>
      <c r="N3551" s="6" t="s">
        <v>2718</v>
      </c>
      <c r="O3551" s="29">
        <f t="shared" si="85"/>
        <v>190000</v>
      </c>
      <c r="Q3551" s="30" t="s">
        <v>2718</v>
      </c>
      <c r="R3551" s="31">
        <v>190000</v>
      </c>
    </row>
    <row r="3552" s="1" customFormat="1" ht="16.35" hidden="1" customHeight="1" spans="1:18">
      <c r="A3552" s="6"/>
      <c r="B3552" s="6" t="s">
        <v>4271</v>
      </c>
      <c r="C3552" s="6" t="s">
        <v>4130</v>
      </c>
      <c r="D3552" s="7">
        <v>3</v>
      </c>
      <c r="E3552" s="6" t="s">
        <v>7121</v>
      </c>
      <c r="F3552" s="6" t="s">
        <v>5631</v>
      </c>
      <c r="G3552" s="6" t="s">
        <v>5632</v>
      </c>
      <c r="H3552" s="8"/>
      <c r="I3552" s="8">
        <v>21042</v>
      </c>
      <c r="J3552" s="6"/>
      <c r="K3552" s="6" t="s">
        <v>2734</v>
      </c>
      <c r="L3552" s="6"/>
      <c r="M3552" s="6"/>
      <c r="N3552" s="6" t="s">
        <v>2734</v>
      </c>
      <c r="O3552" s="29">
        <f t="shared" si="85"/>
        <v>21042</v>
      </c>
      <c r="Q3552" s="30" t="s">
        <v>2734</v>
      </c>
      <c r="R3552" s="31">
        <v>21042</v>
      </c>
    </row>
    <row r="3553" s="1" customFormat="1" ht="16.35" hidden="1" customHeight="1" spans="1:18">
      <c r="A3553" s="6"/>
      <c r="B3553" s="6" t="s">
        <v>4271</v>
      </c>
      <c r="C3553" s="6" t="s">
        <v>4130</v>
      </c>
      <c r="D3553" s="7">
        <v>9</v>
      </c>
      <c r="E3553" s="6" t="s">
        <v>7121</v>
      </c>
      <c r="F3553" s="6" t="s">
        <v>5631</v>
      </c>
      <c r="G3553" s="6" t="s">
        <v>5632</v>
      </c>
      <c r="H3553" s="8"/>
      <c r="I3553" s="8">
        <v>50000</v>
      </c>
      <c r="J3553" s="6"/>
      <c r="K3553" s="6" t="s">
        <v>2734</v>
      </c>
      <c r="L3553" s="6"/>
      <c r="M3553" s="6"/>
      <c r="N3553" s="6" t="s">
        <v>2734</v>
      </c>
      <c r="O3553" s="29">
        <f t="shared" si="85"/>
        <v>50000</v>
      </c>
      <c r="Q3553" s="30" t="s">
        <v>2734</v>
      </c>
      <c r="R3553" s="31">
        <v>50000</v>
      </c>
    </row>
    <row r="3554" s="1" customFormat="1" ht="16.35" hidden="1" customHeight="1" spans="1:18">
      <c r="A3554" s="6"/>
      <c r="B3554" s="6" t="s">
        <v>4271</v>
      </c>
      <c r="C3554" s="6" t="s">
        <v>4130</v>
      </c>
      <c r="D3554" s="7">
        <v>3</v>
      </c>
      <c r="E3554" s="6" t="s">
        <v>7122</v>
      </c>
      <c r="F3554" s="6" t="s">
        <v>5631</v>
      </c>
      <c r="G3554" s="6" t="s">
        <v>5632</v>
      </c>
      <c r="H3554" s="8"/>
      <c r="I3554" s="8">
        <v>70466</v>
      </c>
      <c r="J3554" s="6"/>
      <c r="K3554" s="6" t="s">
        <v>2730</v>
      </c>
      <c r="L3554" s="6"/>
      <c r="M3554" s="6"/>
      <c r="N3554" s="6" t="s">
        <v>2730</v>
      </c>
      <c r="O3554" s="29">
        <f t="shared" si="85"/>
        <v>70466</v>
      </c>
      <c r="Q3554" s="30" t="s">
        <v>2730</v>
      </c>
      <c r="R3554" s="31">
        <v>70466</v>
      </c>
    </row>
    <row r="3555" s="1" customFormat="1" ht="16.35" hidden="1" customHeight="1" spans="1:18">
      <c r="A3555" s="6"/>
      <c r="B3555" s="6" t="s">
        <v>4271</v>
      </c>
      <c r="C3555" s="6" t="s">
        <v>4130</v>
      </c>
      <c r="D3555" s="7">
        <v>6</v>
      </c>
      <c r="E3555" s="6" t="s">
        <v>7123</v>
      </c>
      <c r="F3555" s="6" t="s">
        <v>5631</v>
      </c>
      <c r="G3555" s="6" t="s">
        <v>5632</v>
      </c>
      <c r="H3555" s="8"/>
      <c r="I3555" s="8">
        <v>50000</v>
      </c>
      <c r="J3555" s="6"/>
      <c r="K3555" s="6" t="s">
        <v>2730</v>
      </c>
      <c r="L3555" s="6"/>
      <c r="M3555" s="6"/>
      <c r="N3555" s="6" t="s">
        <v>2730</v>
      </c>
      <c r="O3555" s="29">
        <f t="shared" si="85"/>
        <v>50000</v>
      </c>
      <c r="Q3555" s="30" t="s">
        <v>2730</v>
      </c>
      <c r="R3555" s="31">
        <v>50000</v>
      </c>
    </row>
    <row r="3556" s="1" customFormat="1" ht="16.35" hidden="1" customHeight="1" spans="1:18">
      <c r="A3556" s="6"/>
      <c r="B3556" s="6" t="s">
        <v>4271</v>
      </c>
      <c r="C3556" s="6" t="s">
        <v>4130</v>
      </c>
      <c r="D3556" s="7">
        <v>37</v>
      </c>
      <c r="E3556" s="6" t="s">
        <v>7124</v>
      </c>
      <c r="F3556" s="6" t="s">
        <v>5631</v>
      </c>
      <c r="G3556" s="6" t="s">
        <v>5632</v>
      </c>
      <c r="H3556" s="8"/>
      <c r="I3556" s="8">
        <v>62150</v>
      </c>
      <c r="J3556" s="6"/>
      <c r="K3556" s="6" t="s">
        <v>2706</v>
      </c>
      <c r="L3556" s="6"/>
      <c r="M3556" s="6"/>
      <c r="N3556" s="6" t="s">
        <v>2706</v>
      </c>
      <c r="O3556" s="29">
        <f t="shared" si="85"/>
        <v>62150</v>
      </c>
      <c r="Q3556" s="30" t="s">
        <v>2706</v>
      </c>
      <c r="R3556" s="31">
        <v>62150</v>
      </c>
    </row>
    <row r="3557" s="1" customFormat="1" ht="16.35" hidden="1" customHeight="1" spans="1:18">
      <c r="A3557" s="6"/>
      <c r="B3557" s="6" t="s">
        <v>4271</v>
      </c>
      <c r="C3557" s="6" t="s">
        <v>4130</v>
      </c>
      <c r="D3557" s="7">
        <v>11</v>
      </c>
      <c r="E3557" s="6" t="s">
        <v>7125</v>
      </c>
      <c r="F3557" s="6" t="s">
        <v>5631</v>
      </c>
      <c r="G3557" s="6" t="s">
        <v>5632</v>
      </c>
      <c r="H3557" s="8"/>
      <c r="I3557" s="8">
        <v>73060</v>
      </c>
      <c r="J3557" s="6"/>
      <c r="K3557" s="6" t="s">
        <v>2221</v>
      </c>
      <c r="L3557" s="6"/>
      <c r="M3557" s="6"/>
      <c r="N3557" s="6" t="s">
        <v>2221</v>
      </c>
      <c r="O3557" s="29">
        <f t="shared" si="85"/>
        <v>73060</v>
      </c>
      <c r="Q3557" s="30" t="s">
        <v>2221</v>
      </c>
      <c r="R3557" s="31">
        <v>73060</v>
      </c>
    </row>
    <row r="3558" s="1" customFormat="1" ht="16.35" hidden="1" customHeight="1" spans="1:18">
      <c r="A3558" s="6"/>
      <c r="B3558" s="6" t="s">
        <v>4271</v>
      </c>
      <c r="C3558" s="6" t="s">
        <v>4130</v>
      </c>
      <c r="D3558" s="7">
        <v>28</v>
      </c>
      <c r="E3558" s="6" t="s">
        <v>7126</v>
      </c>
      <c r="F3558" s="6" t="s">
        <v>5631</v>
      </c>
      <c r="G3558" s="6" t="s">
        <v>5632</v>
      </c>
      <c r="H3558" s="8"/>
      <c r="I3558" s="8">
        <v>92208</v>
      </c>
      <c r="J3558" s="6"/>
      <c r="K3558" s="6" t="s">
        <v>2400</v>
      </c>
      <c r="L3558" s="6"/>
      <c r="M3558" s="6"/>
      <c r="N3558" s="6" t="s">
        <v>2400</v>
      </c>
      <c r="O3558" s="29">
        <f t="shared" si="85"/>
        <v>92208</v>
      </c>
      <c r="Q3558" s="30" t="s">
        <v>2400</v>
      </c>
      <c r="R3558" s="31">
        <v>92208</v>
      </c>
    </row>
    <row r="3559" s="1" customFormat="1" ht="16.35" hidden="1" customHeight="1" spans="1:18">
      <c r="A3559" s="6"/>
      <c r="B3559" s="6" t="s">
        <v>4271</v>
      </c>
      <c r="C3559" s="6" t="s">
        <v>4130</v>
      </c>
      <c r="D3559" s="7">
        <v>4</v>
      </c>
      <c r="E3559" s="6" t="s">
        <v>7127</v>
      </c>
      <c r="F3559" s="6" t="s">
        <v>5631</v>
      </c>
      <c r="G3559" s="6" t="s">
        <v>5632</v>
      </c>
      <c r="H3559" s="8"/>
      <c r="I3559" s="8">
        <v>76168</v>
      </c>
      <c r="J3559" s="6"/>
      <c r="K3559" s="6" t="s">
        <v>2418</v>
      </c>
      <c r="L3559" s="6"/>
      <c r="M3559" s="6"/>
      <c r="N3559" s="6" t="s">
        <v>2418</v>
      </c>
      <c r="O3559" s="29">
        <f t="shared" si="85"/>
        <v>76168</v>
      </c>
      <c r="Q3559" s="30" t="s">
        <v>2418</v>
      </c>
      <c r="R3559" s="31">
        <v>76168</v>
      </c>
    </row>
    <row r="3560" s="1" customFormat="1" ht="16.35" hidden="1" customHeight="1" spans="1:18">
      <c r="A3560" s="6"/>
      <c r="B3560" s="6" t="s">
        <v>4271</v>
      </c>
      <c r="C3560" s="6" t="s">
        <v>4130</v>
      </c>
      <c r="D3560" s="7">
        <v>50</v>
      </c>
      <c r="E3560" s="6" t="s">
        <v>7128</v>
      </c>
      <c r="F3560" s="6" t="s">
        <v>5631</v>
      </c>
      <c r="G3560" s="6" t="s">
        <v>5632</v>
      </c>
      <c r="H3560" s="8"/>
      <c r="I3560" s="8">
        <v>47000</v>
      </c>
      <c r="J3560" s="6"/>
      <c r="K3560" s="6" t="s">
        <v>2378</v>
      </c>
      <c r="L3560" s="6"/>
      <c r="M3560" s="6"/>
      <c r="N3560" s="6" t="s">
        <v>2378</v>
      </c>
      <c r="O3560" s="29">
        <f t="shared" si="85"/>
        <v>47000</v>
      </c>
      <c r="Q3560" s="30" t="s">
        <v>2378</v>
      </c>
      <c r="R3560" s="31">
        <v>47000</v>
      </c>
    </row>
    <row r="3561" s="1" customFormat="1" ht="16.35" hidden="1" customHeight="1" spans="1:18">
      <c r="A3561" s="6"/>
      <c r="B3561" s="6" t="s">
        <v>4271</v>
      </c>
      <c r="C3561" s="6" t="s">
        <v>4130</v>
      </c>
      <c r="D3561" s="7">
        <v>1</v>
      </c>
      <c r="E3561" s="6" t="s">
        <v>7129</v>
      </c>
      <c r="F3561" s="6" t="s">
        <v>5631</v>
      </c>
      <c r="G3561" s="6" t="s">
        <v>5632</v>
      </c>
      <c r="H3561" s="8"/>
      <c r="I3561" s="8">
        <v>-20000</v>
      </c>
      <c r="J3561" s="6"/>
      <c r="K3561" s="6" t="s">
        <v>2420</v>
      </c>
      <c r="L3561" s="6"/>
      <c r="M3561" s="6"/>
      <c r="N3561" s="6" t="s">
        <v>2420</v>
      </c>
      <c r="O3561" s="29">
        <f t="shared" si="85"/>
        <v>-20000</v>
      </c>
      <c r="Q3561" s="30" t="s">
        <v>2420</v>
      </c>
      <c r="R3561" s="31">
        <v>-20000</v>
      </c>
    </row>
    <row r="3562" s="1" customFormat="1" ht="16.35" hidden="1" customHeight="1" spans="1:18">
      <c r="A3562" s="6"/>
      <c r="B3562" s="6" t="s">
        <v>4271</v>
      </c>
      <c r="C3562" s="6" t="s">
        <v>4130</v>
      </c>
      <c r="D3562" s="7">
        <v>1</v>
      </c>
      <c r="E3562" s="6" t="s">
        <v>7129</v>
      </c>
      <c r="F3562" s="6" t="s">
        <v>5631</v>
      </c>
      <c r="G3562" s="6" t="s">
        <v>5632</v>
      </c>
      <c r="H3562" s="8"/>
      <c r="I3562" s="8">
        <v>20000</v>
      </c>
      <c r="J3562" s="6"/>
      <c r="K3562" s="6" t="s">
        <v>2420</v>
      </c>
      <c r="L3562" s="6"/>
      <c r="M3562" s="6"/>
      <c r="N3562" s="6" t="s">
        <v>2420</v>
      </c>
      <c r="O3562" s="29">
        <f t="shared" si="85"/>
        <v>20000</v>
      </c>
      <c r="Q3562" s="30" t="s">
        <v>2420</v>
      </c>
      <c r="R3562" s="31">
        <v>20000</v>
      </c>
    </row>
    <row r="3563" s="1" customFormat="1" ht="16.35" hidden="1" customHeight="1" spans="1:18">
      <c r="A3563" s="6"/>
      <c r="B3563" s="6" t="s">
        <v>4271</v>
      </c>
      <c r="C3563" s="6" t="s">
        <v>4130</v>
      </c>
      <c r="D3563" s="7">
        <v>51</v>
      </c>
      <c r="E3563" s="6" t="s">
        <v>7130</v>
      </c>
      <c r="F3563" s="6" t="s">
        <v>5631</v>
      </c>
      <c r="G3563" s="6" t="s">
        <v>5632</v>
      </c>
      <c r="H3563" s="8"/>
      <c r="I3563" s="8">
        <v>22000</v>
      </c>
      <c r="J3563" s="6"/>
      <c r="K3563" s="6" t="s">
        <v>2390</v>
      </c>
      <c r="L3563" s="6"/>
      <c r="M3563" s="6"/>
      <c r="N3563" s="6" t="s">
        <v>2390</v>
      </c>
      <c r="O3563" s="29">
        <f t="shared" si="85"/>
        <v>22000</v>
      </c>
      <c r="Q3563" s="30" t="s">
        <v>2390</v>
      </c>
      <c r="R3563" s="31">
        <v>22000</v>
      </c>
    </row>
    <row r="3564" s="1" customFormat="1" ht="16.35" hidden="1" customHeight="1" spans="1:18">
      <c r="A3564" s="6"/>
      <c r="B3564" s="6" t="s">
        <v>4271</v>
      </c>
      <c r="C3564" s="6" t="s">
        <v>4130</v>
      </c>
      <c r="D3564" s="7">
        <v>53</v>
      </c>
      <c r="E3564" s="6" t="s">
        <v>7131</v>
      </c>
      <c r="F3564" s="6" t="s">
        <v>5631</v>
      </c>
      <c r="G3564" s="6" t="s">
        <v>5632</v>
      </c>
      <c r="H3564" s="8"/>
      <c r="I3564" s="8">
        <v>170000</v>
      </c>
      <c r="J3564" s="6"/>
      <c r="K3564" s="6" t="s">
        <v>2384</v>
      </c>
      <c r="L3564" s="6"/>
      <c r="M3564" s="6"/>
      <c r="N3564" s="6" t="s">
        <v>2384</v>
      </c>
      <c r="O3564" s="29">
        <f t="shared" si="85"/>
        <v>170000</v>
      </c>
      <c r="Q3564" s="30" t="s">
        <v>2384</v>
      </c>
      <c r="R3564" s="31">
        <v>170000</v>
      </c>
    </row>
    <row r="3565" s="1" customFormat="1" ht="16.35" hidden="1" customHeight="1" spans="1:18">
      <c r="A3565" s="6"/>
      <c r="B3565" s="6" t="s">
        <v>4271</v>
      </c>
      <c r="C3565" s="6" t="s">
        <v>4130</v>
      </c>
      <c r="D3565" s="7">
        <v>36</v>
      </c>
      <c r="E3565" s="6" t="s">
        <v>7132</v>
      </c>
      <c r="F3565" s="6" t="s">
        <v>5631</v>
      </c>
      <c r="G3565" s="6" t="s">
        <v>5632</v>
      </c>
      <c r="H3565" s="8"/>
      <c r="I3565" s="8">
        <v>108613</v>
      </c>
      <c r="J3565" s="6"/>
      <c r="K3565" s="6" t="s">
        <v>2474</v>
      </c>
      <c r="L3565" s="6"/>
      <c r="M3565" s="6"/>
      <c r="N3565" s="6" t="s">
        <v>2474</v>
      </c>
      <c r="O3565" s="29">
        <f t="shared" si="85"/>
        <v>108613</v>
      </c>
      <c r="Q3565" s="30" t="s">
        <v>2474</v>
      </c>
      <c r="R3565" s="31">
        <v>108613</v>
      </c>
    </row>
    <row r="3566" s="1" customFormat="1" ht="16.35" hidden="1" customHeight="1" spans="1:18">
      <c r="A3566" s="6"/>
      <c r="B3566" s="6" t="s">
        <v>4271</v>
      </c>
      <c r="C3566" s="6" t="s">
        <v>4130</v>
      </c>
      <c r="D3566" s="7">
        <v>38</v>
      </c>
      <c r="E3566" s="6" t="s">
        <v>7133</v>
      </c>
      <c r="F3566" s="6" t="s">
        <v>5631</v>
      </c>
      <c r="G3566" s="6" t="s">
        <v>5632</v>
      </c>
      <c r="H3566" s="8"/>
      <c r="I3566" s="8">
        <v>10000</v>
      </c>
      <c r="J3566" s="6"/>
      <c r="K3566" s="6" t="s">
        <v>2486</v>
      </c>
      <c r="L3566" s="6"/>
      <c r="M3566" s="6"/>
      <c r="N3566" s="6" t="s">
        <v>2486</v>
      </c>
      <c r="O3566" s="29">
        <f t="shared" si="85"/>
        <v>10000</v>
      </c>
      <c r="Q3566" s="30" t="s">
        <v>2486</v>
      </c>
      <c r="R3566" s="31">
        <v>10000</v>
      </c>
    </row>
    <row r="3567" s="1" customFormat="1" ht="16.35" hidden="1" customHeight="1" spans="1:18">
      <c r="A3567" s="6"/>
      <c r="B3567" s="6" t="s">
        <v>4271</v>
      </c>
      <c r="C3567" s="6" t="s">
        <v>4130</v>
      </c>
      <c r="D3567" s="7">
        <v>5</v>
      </c>
      <c r="E3567" s="6" t="s">
        <v>7134</v>
      </c>
      <c r="F3567" s="6" t="s">
        <v>5631</v>
      </c>
      <c r="G3567" s="6" t="s">
        <v>5632</v>
      </c>
      <c r="H3567" s="8"/>
      <c r="I3567" s="8">
        <v>22000</v>
      </c>
      <c r="J3567" s="6"/>
      <c r="K3567" s="6" t="s">
        <v>2545</v>
      </c>
      <c r="L3567" s="6"/>
      <c r="M3567" s="6"/>
      <c r="N3567" s="6" t="s">
        <v>2545</v>
      </c>
      <c r="O3567" s="29">
        <f t="shared" si="85"/>
        <v>22000</v>
      </c>
      <c r="Q3567" s="30" t="s">
        <v>2545</v>
      </c>
      <c r="R3567" s="31">
        <v>22000</v>
      </c>
    </row>
    <row r="3568" s="1" customFormat="1" ht="16.35" hidden="1" customHeight="1" spans="1:18">
      <c r="A3568" s="6"/>
      <c r="B3568" s="6" t="s">
        <v>4271</v>
      </c>
      <c r="C3568" s="6" t="s">
        <v>4130</v>
      </c>
      <c r="D3568" s="7">
        <v>20</v>
      </c>
      <c r="E3568" s="6" t="s">
        <v>7135</v>
      </c>
      <c r="F3568" s="6" t="s">
        <v>5631</v>
      </c>
      <c r="G3568" s="6" t="s">
        <v>5632</v>
      </c>
      <c r="H3568" s="8"/>
      <c r="I3568" s="8">
        <v>829</v>
      </c>
      <c r="J3568" s="6"/>
      <c r="K3568" s="6" t="s">
        <v>2523</v>
      </c>
      <c r="L3568" s="6"/>
      <c r="M3568" s="6"/>
      <c r="N3568" s="6" t="s">
        <v>2523</v>
      </c>
      <c r="O3568" s="29">
        <f t="shared" si="85"/>
        <v>829</v>
      </c>
      <c r="Q3568" s="30" t="s">
        <v>2523</v>
      </c>
      <c r="R3568" s="31">
        <v>829</v>
      </c>
    </row>
    <row r="3569" s="1" customFormat="1" ht="16.35" hidden="1" customHeight="1" spans="1:18">
      <c r="A3569" s="6"/>
      <c r="B3569" s="6" t="s">
        <v>4271</v>
      </c>
      <c r="C3569" s="6" t="s">
        <v>4130</v>
      </c>
      <c r="D3569" s="7">
        <v>54</v>
      </c>
      <c r="E3569" s="6" t="s">
        <v>7136</v>
      </c>
      <c r="F3569" s="6" t="s">
        <v>5631</v>
      </c>
      <c r="G3569" s="6" t="s">
        <v>5632</v>
      </c>
      <c r="H3569" s="8"/>
      <c r="I3569" s="8">
        <v>70000</v>
      </c>
      <c r="J3569" s="6"/>
      <c r="K3569" s="6" t="s">
        <v>2644</v>
      </c>
      <c r="L3569" s="6"/>
      <c r="M3569" s="6"/>
      <c r="N3569" s="6" t="s">
        <v>2644</v>
      </c>
      <c r="O3569" s="29">
        <f t="shared" si="85"/>
        <v>70000</v>
      </c>
      <c r="Q3569" s="30" t="s">
        <v>2644</v>
      </c>
      <c r="R3569" s="31">
        <v>70000</v>
      </c>
    </row>
    <row r="3570" s="1" customFormat="1" ht="16.35" hidden="1" customHeight="1" spans="1:18">
      <c r="A3570" s="6"/>
      <c r="B3570" s="6" t="s">
        <v>4271</v>
      </c>
      <c r="C3570" s="6" t="s">
        <v>4130</v>
      </c>
      <c r="D3570" s="7">
        <v>111</v>
      </c>
      <c r="E3570" s="6" t="s">
        <v>7109</v>
      </c>
      <c r="F3570" s="6" t="s">
        <v>5631</v>
      </c>
      <c r="G3570" s="6" t="s">
        <v>5632</v>
      </c>
      <c r="H3570" s="8"/>
      <c r="I3570" s="8">
        <v>-21000</v>
      </c>
      <c r="J3570" s="6"/>
      <c r="K3570" s="6" t="s">
        <v>2644</v>
      </c>
      <c r="L3570" s="6"/>
      <c r="M3570" s="6"/>
      <c r="N3570" s="6" t="s">
        <v>2644</v>
      </c>
      <c r="O3570" s="29">
        <f t="shared" si="85"/>
        <v>-21000</v>
      </c>
      <c r="Q3570" s="30" t="s">
        <v>2644</v>
      </c>
      <c r="R3570" s="31">
        <v>-21000</v>
      </c>
    </row>
    <row r="3571" s="1" customFormat="1" ht="16.35" hidden="1" customHeight="1" spans="1:18">
      <c r="A3571" s="6"/>
      <c r="B3571" s="6" t="s">
        <v>4271</v>
      </c>
      <c r="C3571" s="6" t="s">
        <v>4130</v>
      </c>
      <c r="D3571" s="7">
        <v>47</v>
      </c>
      <c r="E3571" s="6" t="s">
        <v>7137</v>
      </c>
      <c r="F3571" s="6" t="s">
        <v>5631</v>
      </c>
      <c r="G3571" s="6" t="s">
        <v>5632</v>
      </c>
      <c r="H3571" s="8"/>
      <c r="I3571" s="8">
        <v>160000</v>
      </c>
      <c r="J3571" s="6"/>
      <c r="K3571" s="6" t="s">
        <v>2628</v>
      </c>
      <c r="L3571" s="6"/>
      <c r="M3571" s="6"/>
      <c r="N3571" s="6" t="s">
        <v>2628</v>
      </c>
      <c r="O3571" s="29">
        <f t="shared" si="85"/>
        <v>160000</v>
      </c>
      <c r="Q3571" s="30" t="s">
        <v>2628</v>
      </c>
      <c r="R3571" s="31">
        <v>160000</v>
      </c>
    </row>
    <row r="3572" s="1" customFormat="1" ht="16.35" hidden="1" customHeight="1" spans="1:18">
      <c r="A3572" s="6"/>
      <c r="B3572" s="6" t="s">
        <v>4271</v>
      </c>
      <c r="C3572" s="6" t="s">
        <v>4130</v>
      </c>
      <c r="D3572" s="7">
        <v>65</v>
      </c>
      <c r="E3572" s="6" t="s">
        <v>7138</v>
      </c>
      <c r="F3572" s="6" t="s">
        <v>5631</v>
      </c>
      <c r="G3572" s="6" t="s">
        <v>5632</v>
      </c>
      <c r="H3572" s="8"/>
      <c r="I3572" s="8">
        <v>176000</v>
      </c>
      <c r="J3572" s="6"/>
      <c r="K3572" s="6" t="s">
        <v>2662</v>
      </c>
      <c r="L3572" s="6"/>
      <c r="M3572" s="6"/>
      <c r="N3572" s="6" t="s">
        <v>2662</v>
      </c>
      <c r="O3572" s="29">
        <f t="shared" si="85"/>
        <v>176000</v>
      </c>
      <c r="Q3572" s="30" t="s">
        <v>2662</v>
      </c>
      <c r="R3572" s="31">
        <v>176000</v>
      </c>
    </row>
    <row r="3573" s="1" customFormat="1" ht="16.35" hidden="1" customHeight="1" spans="1:18">
      <c r="A3573" s="6"/>
      <c r="B3573" s="6" t="s">
        <v>4271</v>
      </c>
      <c r="C3573" s="6" t="s">
        <v>4130</v>
      </c>
      <c r="D3573" s="7">
        <v>68</v>
      </c>
      <c r="E3573" s="6" t="s">
        <v>7139</v>
      </c>
      <c r="F3573" s="6" t="s">
        <v>5631</v>
      </c>
      <c r="G3573" s="6" t="s">
        <v>5632</v>
      </c>
      <c r="H3573" s="8"/>
      <c r="I3573" s="8">
        <v>159000</v>
      </c>
      <c r="J3573" s="6"/>
      <c r="K3573" s="6" t="s">
        <v>2610</v>
      </c>
      <c r="L3573" s="6"/>
      <c r="M3573" s="6"/>
      <c r="N3573" s="6" t="s">
        <v>2610</v>
      </c>
      <c r="O3573" s="29">
        <f t="shared" si="85"/>
        <v>159000</v>
      </c>
      <c r="Q3573" s="30" t="s">
        <v>2610</v>
      </c>
      <c r="R3573" s="31">
        <v>159000</v>
      </c>
    </row>
    <row r="3574" s="1" customFormat="1" ht="16.35" hidden="1" customHeight="1" spans="1:18">
      <c r="A3574" s="6"/>
      <c r="B3574" s="6" t="s">
        <v>4271</v>
      </c>
      <c r="C3574" s="6" t="s">
        <v>4130</v>
      </c>
      <c r="D3574" s="7">
        <v>70</v>
      </c>
      <c r="E3574" s="6" t="s">
        <v>7140</v>
      </c>
      <c r="F3574" s="6" t="s">
        <v>5631</v>
      </c>
      <c r="G3574" s="6" t="s">
        <v>5632</v>
      </c>
      <c r="H3574" s="8"/>
      <c r="I3574" s="8">
        <v>148000</v>
      </c>
      <c r="J3574" s="6"/>
      <c r="K3574" s="6" t="s">
        <v>2680</v>
      </c>
      <c r="L3574" s="6"/>
      <c r="M3574" s="6"/>
      <c r="N3574" s="6" t="s">
        <v>2680</v>
      </c>
      <c r="O3574" s="29">
        <f t="shared" si="85"/>
        <v>148000</v>
      </c>
      <c r="Q3574" s="30" t="s">
        <v>2680</v>
      </c>
      <c r="R3574" s="31">
        <v>148000</v>
      </c>
    </row>
    <row r="3575" s="1" customFormat="1" ht="16.35" hidden="1" customHeight="1" spans="1:18">
      <c r="A3575" s="6"/>
      <c r="B3575" s="6" t="s">
        <v>4271</v>
      </c>
      <c r="C3575" s="6" t="s">
        <v>4130</v>
      </c>
      <c r="D3575" s="7">
        <v>19</v>
      </c>
      <c r="E3575" s="6" t="s">
        <v>6715</v>
      </c>
      <c r="F3575" s="6" t="s">
        <v>5631</v>
      </c>
      <c r="G3575" s="6" t="s">
        <v>5632</v>
      </c>
      <c r="H3575" s="8"/>
      <c r="I3575" s="8">
        <v>5000</v>
      </c>
      <c r="J3575" s="6"/>
      <c r="K3575" s="6" t="s">
        <v>2624</v>
      </c>
      <c r="L3575" s="6"/>
      <c r="M3575" s="6"/>
      <c r="N3575" s="6" t="s">
        <v>2624</v>
      </c>
      <c r="O3575" s="29">
        <f t="shared" si="85"/>
        <v>5000</v>
      </c>
      <c r="Q3575" s="30" t="s">
        <v>2624</v>
      </c>
      <c r="R3575" s="31">
        <v>5000</v>
      </c>
    </row>
    <row r="3576" s="1" customFormat="1" ht="16.35" hidden="1" customHeight="1" spans="1:18">
      <c r="A3576" s="6"/>
      <c r="B3576" s="6" t="s">
        <v>4271</v>
      </c>
      <c r="C3576" s="6" t="s">
        <v>4130</v>
      </c>
      <c r="D3576" s="7">
        <v>23</v>
      </c>
      <c r="E3576" s="6" t="s">
        <v>7141</v>
      </c>
      <c r="F3576" s="6" t="s">
        <v>5631</v>
      </c>
      <c r="G3576" s="6" t="s">
        <v>5632</v>
      </c>
      <c r="H3576" s="8"/>
      <c r="I3576" s="8">
        <v>5000</v>
      </c>
      <c r="J3576" s="6"/>
      <c r="K3576" s="6" t="s">
        <v>2097</v>
      </c>
      <c r="L3576" s="6"/>
      <c r="M3576" s="6"/>
      <c r="N3576" s="6" t="s">
        <v>2097</v>
      </c>
      <c r="O3576" s="29">
        <f t="shared" si="85"/>
        <v>5000</v>
      </c>
      <c r="Q3576" s="30" t="s">
        <v>2097</v>
      </c>
      <c r="R3576" s="31">
        <v>5000</v>
      </c>
    </row>
    <row r="3577" s="1" customFormat="1" ht="16.35" hidden="1" customHeight="1" spans="1:18">
      <c r="A3577" s="6"/>
      <c r="B3577" s="6" t="s">
        <v>4271</v>
      </c>
      <c r="C3577" s="6" t="s">
        <v>4130</v>
      </c>
      <c r="D3577" s="7">
        <v>12</v>
      </c>
      <c r="E3577" s="6" t="s">
        <v>7142</v>
      </c>
      <c r="F3577" s="6" t="s">
        <v>5631</v>
      </c>
      <c r="G3577" s="6" t="s">
        <v>5632</v>
      </c>
      <c r="H3577" s="8"/>
      <c r="I3577" s="8">
        <v>60000</v>
      </c>
      <c r="J3577" s="6"/>
      <c r="K3577" s="6" t="s">
        <v>2147</v>
      </c>
      <c r="L3577" s="6"/>
      <c r="M3577" s="6"/>
      <c r="N3577" s="6" t="s">
        <v>2147</v>
      </c>
      <c r="O3577" s="29">
        <f t="shared" si="85"/>
        <v>60000</v>
      </c>
      <c r="Q3577" s="30" t="s">
        <v>2147</v>
      </c>
      <c r="R3577" s="31">
        <v>60000</v>
      </c>
    </row>
    <row r="3578" s="1" customFormat="1" ht="16.35" hidden="1" customHeight="1" spans="1:18">
      <c r="A3578" s="6"/>
      <c r="B3578" s="6" t="s">
        <v>4271</v>
      </c>
      <c r="C3578" s="6" t="s">
        <v>4130</v>
      </c>
      <c r="D3578" s="7">
        <v>106</v>
      </c>
      <c r="E3578" s="6" t="s">
        <v>7143</v>
      </c>
      <c r="F3578" s="6" t="s">
        <v>5631</v>
      </c>
      <c r="G3578" s="6" t="s">
        <v>5632</v>
      </c>
      <c r="H3578" s="8">
        <v>249312</v>
      </c>
      <c r="I3578" s="8"/>
      <c r="J3578" s="6"/>
      <c r="K3578" s="6" t="s">
        <v>2860</v>
      </c>
      <c r="L3578" s="6"/>
      <c r="M3578" s="6"/>
      <c r="N3578" s="6" t="s">
        <v>2860</v>
      </c>
      <c r="O3578" s="29">
        <f t="shared" si="85"/>
        <v>0</v>
      </c>
      <c r="Q3578" s="30" t="s">
        <v>2860</v>
      </c>
      <c r="R3578" s="31">
        <v>0</v>
      </c>
    </row>
    <row r="3579" s="1" customFormat="1" ht="16.35" hidden="1" customHeight="1" spans="1:18">
      <c r="A3579" s="6"/>
      <c r="B3579" s="6" t="s">
        <v>4271</v>
      </c>
      <c r="C3579" s="6" t="s">
        <v>4130</v>
      </c>
      <c r="D3579" s="7">
        <v>106</v>
      </c>
      <c r="E3579" s="6" t="s">
        <v>7144</v>
      </c>
      <c r="F3579" s="6" t="s">
        <v>5631</v>
      </c>
      <c r="G3579" s="6" t="s">
        <v>5632</v>
      </c>
      <c r="H3579" s="8">
        <v>237580</v>
      </c>
      <c r="I3579" s="8"/>
      <c r="J3579" s="6"/>
      <c r="K3579" s="6" t="s">
        <v>2368</v>
      </c>
      <c r="L3579" s="6"/>
      <c r="M3579" s="6"/>
      <c r="N3579" s="6" t="s">
        <v>2368</v>
      </c>
      <c r="O3579" s="29">
        <f t="shared" si="85"/>
        <v>0</v>
      </c>
      <c r="Q3579" s="30" t="s">
        <v>2368</v>
      </c>
      <c r="R3579" s="31">
        <v>0</v>
      </c>
    </row>
    <row r="3580" s="1" customFormat="1" ht="16.35" hidden="1" customHeight="1" spans="1:18">
      <c r="A3580" s="6"/>
      <c r="B3580" s="6" t="s">
        <v>4271</v>
      </c>
      <c r="C3580" s="6" t="s">
        <v>4130</v>
      </c>
      <c r="D3580" s="7">
        <v>39</v>
      </c>
      <c r="E3580" s="6" t="s">
        <v>7145</v>
      </c>
      <c r="F3580" s="6" t="s">
        <v>5631</v>
      </c>
      <c r="G3580" s="6" t="s">
        <v>5632</v>
      </c>
      <c r="H3580" s="8"/>
      <c r="I3580" s="8">
        <v>50580</v>
      </c>
      <c r="J3580" s="6"/>
      <c r="K3580" s="6" t="s">
        <v>2422</v>
      </c>
      <c r="L3580" s="6"/>
      <c r="M3580" s="6"/>
      <c r="N3580" s="6" t="s">
        <v>2422</v>
      </c>
      <c r="O3580" s="29">
        <f t="shared" si="85"/>
        <v>50580</v>
      </c>
      <c r="Q3580" s="30" t="s">
        <v>2422</v>
      </c>
      <c r="R3580" s="31">
        <v>50580</v>
      </c>
    </row>
    <row r="3581" s="1" customFormat="1" ht="16.35" hidden="1" customHeight="1" spans="1:18">
      <c r="A3581" s="6"/>
      <c r="B3581" s="6" t="s">
        <v>4271</v>
      </c>
      <c r="C3581" s="6" t="s">
        <v>4130</v>
      </c>
      <c r="D3581" s="7">
        <v>8</v>
      </c>
      <c r="E3581" s="6" t="s">
        <v>7146</v>
      </c>
      <c r="F3581" s="6" t="s">
        <v>5631</v>
      </c>
      <c r="G3581" s="6" t="s">
        <v>5632</v>
      </c>
      <c r="H3581" s="8"/>
      <c r="I3581" s="8">
        <v>112010</v>
      </c>
      <c r="J3581" s="6"/>
      <c r="K3581" s="6" t="s">
        <v>2432</v>
      </c>
      <c r="L3581" s="6"/>
      <c r="M3581" s="6"/>
      <c r="N3581" s="6" t="s">
        <v>2432</v>
      </c>
      <c r="O3581" s="29">
        <f t="shared" si="85"/>
        <v>112010</v>
      </c>
      <c r="Q3581" s="30" t="s">
        <v>2432</v>
      </c>
      <c r="R3581" s="31">
        <v>112010</v>
      </c>
    </row>
    <row r="3582" s="1" customFormat="1" ht="16.35" hidden="1" customHeight="1" spans="1:18">
      <c r="A3582" s="6"/>
      <c r="B3582" s="6" t="s">
        <v>4271</v>
      </c>
      <c r="C3582" s="6" t="s">
        <v>4130</v>
      </c>
      <c r="D3582" s="7">
        <v>7</v>
      </c>
      <c r="E3582" s="6" t="s">
        <v>7147</v>
      </c>
      <c r="F3582" s="6" t="s">
        <v>5631</v>
      </c>
      <c r="G3582" s="6" t="s">
        <v>5632</v>
      </c>
      <c r="H3582" s="8"/>
      <c r="I3582" s="8">
        <v>59024</v>
      </c>
      <c r="J3582" s="6"/>
      <c r="K3582" s="6" t="s">
        <v>2488</v>
      </c>
      <c r="L3582" s="6"/>
      <c r="M3582" s="6"/>
      <c r="N3582" s="6" t="s">
        <v>2488</v>
      </c>
      <c r="O3582" s="29">
        <f t="shared" si="85"/>
        <v>59024</v>
      </c>
      <c r="Q3582" s="30" t="s">
        <v>2488</v>
      </c>
      <c r="R3582" s="31">
        <v>59024</v>
      </c>
    </row>
    <row r="3583" s="1" customFormat="1" ht="16.35" hidden="1" customHeight="1" spans="1:18">
      <c r="A3583" s="6"/>
      <c r="B3583" s="6" t="s">
        <v>4271</v>
      </c>
      <c r="C3583" s="6" t="s">
        <v>4130</v>
      </c>
      <c r="D3583" s="7">
        <v>48</v>
      </c>
      <c r="E3583" s="6" t="s">
        <v>7148</v>
      </c>
      <c r="F3583" s="6" t="s">
        <v>5631</v>
      </c>
      <c r="G3583" s="6" t="s">
        <v>5632</v>
      </c>
      <c r="H3583" s="8"/>
      <c r="I3583" s="8">
        <v>145000</v>
      </c>
      <c r="J3583" s="6"/>
      <c r="K3583" s="6" t="s">
        <v>2446</v>
      </c>
      <c r="L3583" s="6"/>
      <c r="M3583" s="6"/>
      <c r="N3583" s="6" t="s">
        <v>2446</v>
      </c>
      <c r="O3583" s="29">
        <f t="shared" si="85"/>
        <v>145000</v>
      </c>
      <c r="Q3583" s="30" t="s">
        <v>2446</v>
      </c>
      <c r="R3583" s="31">
        <v>145000</v>
      </c>
    </row>
    <row r="3584" s="1" customFormat="1" ht="16.35" hidden="1" customHeight="1" spans="1:18">
      <c r="A3584" s="6"/>
      <c r="B3584" s="6" t="s">
        <v>4271</v>
      </c>
      <c r="C3584" s="6" t="s">
        <v>4130</v>
      </c>
      <c r="D3584" s="7">
        <v>67</v>
      </c>
      <c r="E3584" s="6" t="s">
        <v>7149</v>
      </c>
      <c r="F3584" s="6" t="s">
        <v>5631</v>
      </c>
      <c r="G3584" s="6" t="s">
        <v>5632</v>
      </c>
      <c r="H3584" s="8"/>
      <c r="I3584" s="8">
        <v>150000</v>
      </c>
      <c r="J3584" s="6"/>
      <c r="K3584" s="6" t="s">
        <v>2468</v>
      </c>
      <c r="L3584" s="6"/>
      <c r="M3584" s="6"/>
      <c r="N3584" s="6" t="s">
        <v>2468</v>
      </c>
      <c r="O3584" s="29">
        <f t="shared" si="85"/>
        <v>150000</v>
      </c>
      <c r="Q3584" s="30" t="s">
        <v>2468</v>
      </c>
      <c r="R3584" s="31">
        <v>150000</v>
      </c>
    </row>
    <row r="3585" s="1" customFormat="1" ht="16.35" hidden="1" customHeight="1" spans="1:18">
      <c r="A3585" s="6"/>
      <c r="B3585" s="6" t="s">
        <v>4271</v>
      </c>
      <c r="C3585" s="6" t="s">
        <v>4130</v>
      </c>
      <c r="D3585" s="7">
        <v>43</v>
      </c>
      <c r="E3585" s="6" t="s">
        <v>7150</v>
      </c>
      <c r="F3585" s="6" t="s">
        <v>5631</v>
      </c>
      <c r="G3585" s="6" t="s">
        <v>5632</v>
      </c>
      <c r="H3585" s="8"/>
      <c r="I3585" s="8">
        <v>170000</v>
      </c>
      <c r="J3585" s="6"/>
      <c r="K3585" s="6" t="s">
        <v>2547</v>
      </c>
      <c r="L3585" s="6"/>
      <c r="M3585" s="6"/>
      <c r="N3585" s="6" t="s">
        <v>2547</v>
      </c>
      <c r="O3585" s="29">
        <f t="shared" si="85"/>
        <v>170000</v>
      </c>
      <c r="Q3585" s="30" t="s">
        <v>2547</v>
      </c>
      <c r="R3585" s="31">
        <v>170000</v>
      </c>
    </row>
    <row r="3586" s="1" customFormat="1" ht="16.35" hidden="1" customHeight="1" spans="1:18">
      <c r="A3586" s="6"/>
      <c r="B3586" s="6" t="s">
        <v>4271</v>
      </c>
      <c r="C3586" s="6" t="s">
        <v>4130</v>
      </c>
      <c r="D3586" s="7">
        <v>29</v>
      </c>
      <c r="E3586" s="6" t="s">
        <v>7151</v>
      </c>
      <c r="F3586" s="6" t="s">
        <v>5631</v>
      </c>
      <c r="G3586" s="6" t="s">
        <v>5632</v>
      </c>
      <c r="H3586" s="8"/>
      <c r="I3586" s="8">
        <v>40000</v>
      </c>
      <c r="J3586" s="6"/>
      <c r="K3586" s="6" t="s">
        <v>2549</v>
      </c>
      <c r="L3586" s="6"/>
      <c r="M3586" s="6"/>
      <c r="N3586" s="6" t="s">
        <v>2549</v>
      </c>
      <c r="O3586" s="29">
        <f t="shared" si="85"/>
        <v>40000</v>
      </c>
      <c r="Q3586" s="30" t="s">
        <v>2549</v>
      </c>
      <c r="R3586" s="31">
        <v>40000</v>
      </c>
    </row>
    <row r="3587" s="1" customFormat="1" ht="16.35" hidden="1" customHeight="1" spans="1:18">
      <c r="A3587" s="6"/>
      <c r="B3587" s="6" t="s">
        <v>4271</v>
      </c>
      <c r="C3587" s="6" t="s">
        <v>4130</v>
      </c>
      <c r="D3587" s="7">
        <v>29</v>
      </c>
      <c r="E3587" s="6" t="s">
        <v>7151</v>
      </c>
      <c r="F3587" s="6" t="s">
        <v>5631</v>
      </c>
      <c r="G3587" s="6" t="s">
        <v>5632</v>
      </c>
      <c r="H3587" s="8"/>
      <c r="I3587" s="8">
        <v>60000</v>
      </c>
      <c r="J3587" s="6"/>
      <c r="K3587" s="6" t="s">
        <v>2549</v>
      </c>
      <c r="L3587" s="6"/>
      <c r="M3587" s="6"/>
      <c r="N3587" s="6" t="s">
        <v>2549</v>
      </c>
      <c r="O3587" s="29">
        <f t="shared" si="85"/>
        <v>60000</v>
      </c>
      <c r="Q3587" s="30" t="s">
        <v>2549</v>
      </c>
      <c r="R3587" s="31">
        <v>60000</v>
      </c>
    </row>
    <row r="3588" s="1" customFormat="1" ht="16.35" hidden="1" customHeight="1" spans="1:18">
      <c r="A3588" s="6"/>
      <c r="B3588" s="6" t="s">
        <v>4271</v>
      </c>
      <c r="C3588" s="6" t="s">
        <v>4130</v>
      </c>
      <c r="D3588" s="7">
        <v>69</v>
      </c>
      <c r="E3588" s="6" t="s">
        <v>7152</v>
      </c>
      <c r="F3588" s="6" t="s">
        <v>5631</v>
      </c>
      <c r="G3588" s="6" t="s">
        <v>5632</v>
      </c>
      <c r="H3588" s="8"/>
      <c r="I3588" s="8">
        <v>80000</v>
      </c>
      <c r="J3588" s="6"/>
      <c r="K3588" s="6" t="s">
        <v>2652</v>
      </c>
      <c r="L3588" s="6"/>
      <c r="M3588" s="6"/>
      <c r="N3588" s="6" t="s">
        <v>2652</v>
      </c>
      <c r="O3588" s="29">
        <f t="shared" si="85"/>
        <v>80000</v>
      </c>
      <c r="Q3588" s="30" t="s">
        <v>2652</v>
      </c>
      <c r="R3588" s="31">
        <v>80000</v>
      </c>
    </row>
    <row r="3589" s="1" customFormat="1" ht="16.35" hidden="1" customHeight="1" spans="1:18">
      <c r="A3589" s="6"/>
      <c r="B3589" s="6" t="s">
        <v>4271</v>
      </c>
      <c r="C3589" s="6" t="s">
        <v>4130</v>
      </c>
      <c r="D3589" s="7">
        <v>6</v>
      </c>
      <c r="E3589" s="6" t="s">
        <v>7153</v>
      </c>
      <c r="F3589" s="6" t="s">
        <v>5631</v>
      </c>
      <c r="G3589" s="6" t="s">
        <v>5632</v>
      </c>
      <c r="H3589" s="8"/>
      <c r="I3589" s="8">
        <v>35042</v>
      </c>
      <c r="J3589" s="6"/>
      <c r="K3589" s="6" t="s">
        <v>2712</v>
      </c>
      <c r="L3589" s="6"/>
      <c r="M3589" s="6"/>
      <c r="N3589" s="6" t="s">
        <v>2712</v>
      </c>
      <c r="O3589" s="29">
        <f t="shared" si="85"/>
        <v>35042</v>
      </c>
      <c r="Q3589" s="30" t="s">
        <v>2712</v>
      </c>
      <c r="R3589" s="31">
        <v>35042</v>
      </c>
    </row>
    <row r="3590" s="1" customFormat="1" ht="16.35" hidden="1" customHeight="1" spans="1:18">
      <c r="A3590" s="6"/>
      <c r="B3590" s="6" t="s">
        <v>4271</v>
      </c>
      <c r="C3590" s="6" t="s">
        <v>4130</v>
      </c>
      <c r="D3590" s="7">
        <v>8</v>
      </c>
      <c r="E3590" s="6" t="s">
        <v>7153</v>
      </c>
      <c r="F3590" s="6" t="s">
        <v>5631</v>
      </c>
      <c r="G3590" s="6" t="s">
        <v>5632</v>
      </c>
      <c r="H3590" s="8"/>
      <c r="I3590" s="8">
        <v>36000</v>
      </c>
      <c r="J3590" s="6"/>
      <c r="K3590" s="6" t="s">
        <v>2712</v>
      </c>
      <c r="L3590" s="6"/>
      <c r="M3590" s="6"/>
      <c r="N3590" s="6" t="s">
        <v>2712</v>
      </c>
      <c r="O3590" s="29">
        <f t="shared" si="85"/>
        <v>36000</v>
      </c>
      <c r="Q3590" s="30" t="s">
        <v>2712</v>
      </c>
      <c r="R3590" s="31">
        <v>36000</v>
      </c>
    </row>
    <row r="3591" s="1" customFormat="1" ht="16.35" hidden="1" customHeight="1" spans="1:18">
      <c r="A3591" s="6"/>
      <c r="B3591" s="6" t="s">
        <v>4271</v>
      </c>
      <c r="C3591" s="6" t="s">
        <v>4130</v>
      </c>
      <c r="D3591" s="7">
        <v>106</v>
      </c>
      <c r="E3591" s="6" t="s">
        <v>7154</v>
      </c>
      <c r="F3591" s="6" t="s">
        <v>5631</v>
      </c>
      <c r="G3591" s="6" t="s">
        <v>5632</v>
      </c>
      <c r="H3591" s="8">
        <v>241614</v>
      </c>
      <c r="I3591" s="8"/>
      <c r="J3591" s="6"/>
      <c r="K3591" s="6" t="s">
        <v>2192</v>
      </c>
      <c r="L3591" s="6"/>
      <c r="M3591" s="6"/>
      <c r="N3591" s="6" t="s">
        <v>2192</v>
      </c>
      <c r="O3591" s="29">
        <f t="shared" si="85"/>
        <v>0</v>
      </c>
      <c r="Q3591" s="30" t="s">
        <v>2192</v>
      </c>
      <c r="R3591" s="31">
        <v>0</v>
      </c>
    </row>
    <row r="3592" s="1" customFormat="1" ht="16.35" hidden="1" customHeight="1" spans="1:18">
      <c r="A3592" s="6"/>
      <c r="B3592" s="6" t="s">
        <v>4271</v>
      </c>
      <c r="C3592" s="6" t="s">
        <v>4130</v>
      </c>
      <c r="D3592" s="7">
        <v>106</v>
      </c>
      <c r="E3592" s="6" t="s">
        <v>7155</v>
      </c>
      <c r="F3592" s="6" t="s">
        <v>5631</v>
      </c>
      <c r="G3592" s="6" t="s">
        <v>5632</v>
      </c>
      <c r="H3592" s="8">
        <v>586105</v>
      </c>
      <c r="I3592" s="8"/>
      <c r="J3592" s="6"/>
      <c r="K3592" s="6" t="s">
        <v>2766</v>
      </c>
      <c r="L3592" s="6"/>
      <c r="M3592" s="6"/>
      <c r="N3592" s="6" t="s">
        <v>2766</v>
      </c>
      <c r="O3592" s="29">
        <f t="shared" si="85"/>
        <v>0</v>
      </c>
      <c r="Q3592" s="30" t="s">
        <v>2766</v>
      </c>
      <c r="R3592" s="31">
        <v>0</v>
      </c>
    </row>
    <row r="3593" s="1" customFormat="1" ht="16.35" hidden="1" customHeight="1" spans="1:18">
      <c r="A3593" s="6"/>
      <c r="B3593" s="6" t="s">
        <v>4271</v>
      </c>
      <c r="C3593" s="6" t="s">
        <v>4130</v>
      </c>
      <c r="D3593" s="7">
        <v>106</v>
      </c>
      <c r="E3593" s="6" t="s">
        <v>7156</v>
      </c>
      <c r="F3593" s="6" t="s">
        <v>5631</v>
      </c>
      <c r="G3593" s="6" t="s">
        <v>5632</v>
      </c>
      <c r="H3593" s="8">
        <v>264460</v>
      </c>
      <c r="I3593" s="8"/>
      <c r="J3593" s="6"/>
      <c r="K3593" s="6" t="s">
        <v>2081</v>
      </c>
      <c r="L3593" s="6"/>
      <c r="M3593" s="6"/>
      <c r="N3593" s="6" t="s">
        <v>2081</v>
      </c>
      <c r="O3593" s="29">
        <f t="shared" si="85"/>
        <v>0</v>
      </c>
      <c r="Q3593" s="30" t="s">
        <v>2081</v>
      </c>
      <c r="R3593" s="31">
        <v>0</v>
      </c>
    </row>
    <row r="3594" s="1" customFormat="1" ht="16.35" hidden="1" customHeight="1" spans="1:18">
      <c r="A3594" s="6"/>
      <c r="B3594" s="6" t="s">
        <v>4271</v>
      </c>
      <c r="C3594" s="6" t="s">
        <v>4130</v>
      </c>
      <c r="D3594" s="7">
        <v>40</v>
      </c>
      <c r="E3594" s="6" t="s">
        <v>7157</v>
      </c>
      <c r="F3594" s="6" t="s">
        <v>5631</v>
      </c>
      <c r="G3594" s="6" t="s">
        <v>5632</v>
      </c>
      <c r="H3594" s="8"/>
      <c r="I3594" s="8">
        <v>195000</v>
      </c>
      <c r="J3594" s="6"/>
      <c r="K3594" s="6" t="s">
        <v>2111</v>
      </c>
      <c r="L3594" s="6"/>
      <c r="M3594" s="6"/>
      <c r="N3594" s="6" t="s">
        <v>2111</v>
      </c>
      <c r="O3594" s="29">
        <f t="shared" si="85"/>
        <v>195000</v>
      </c>
      <c r="Q3594" s="30" t="s">
        <v>2111</v>
      </c>
      <c r="R3594" s="31">
        <v>195000</v>
      </c>
    </row>
    <row r="3595" s="1" customFormat="1" ht="16.35" hidden="1" customHeight="1" spans="1:18">
      <c r="A3595" s="6"/>
      <c r="B3595" s="6" t="s">
        <v>4271</v>
      </c>
      <c r="C3595" s="6" t="s">
        <v>4130</v>
      </c>
      <c r="D3595" s="7">
        <v>45</v>
      </c>
      <c r="E3595" s="6" t="s">
        <v>7158</v>
      </c>
      <c r="F3595" s="6" t="s">
        <v>5631</v>
      </c>
      <c r="G3595" s="6" t="s">
        <v>5632</v>
      </c>
      <c r="H3595" s="8"/>
      <c r="I3595" s="8">
        <v>10000</v>
      </c>
      <c r="J3595" s="6"/>
      <c r="K3595" s="6" t="s">
        <v>2388</v>
      </c>
      <c r="L3595" s="6"/>
      <c r="M3595" s="6"/>
      <c r="N3595" s="6" t="s">
        <v>2388</v>
      </c>
      <c r="O3595" s="29">
        <f t="shared" si="85"/>
        <v>10000</v>
      </c>
      <c r="Q3595" s="30" t="s">
        <v>2388</v>
      </c>
      <c r="R3595" s="31">
        <v>10000</v>
      </c>
    </row>
    <row r="3596" s="1" customFormat="1" ht="16.35" hidden="1" customHeight="1" spans="1:18">
      <c r="A3596" s="6"/>
      <c r="B3596" s="6" t="s">
        <v>4271</v>
      </c>
      <c r="C3596" s="6" t="s">
        <v>4130</v>
      </c>
      <c r="D3596" s="7">
        <v>18</v>
      </c>
      <c r="E3596" s="6" t="s">
        <v>7159</v>
      </c>
      <c r="F3596" s="6" t="s">
        <v>5631</v>
      </c>
      <c r="G3596" s="6" t="s">
        <v>5632</v>
      </c>
      <c r="H3596" s="8"/>
      <c r="I3596" s="8">
        <v>110000</v>
      </c>
      <c r="J3596" s="6"/>
      <c r="K3596" s="6" t="s">
        <v>2498</v>
      </c>
      <c r="L3596" s="6"/>
      <c r="M3596" s="6"/>
      <c r="N3596" s="6" t="s">
        <v>2498</v>
      </c>
      <c r="O3596" s="29">
        <f t="shared" si="85"/>
        <v>110000</v>
      </c>
      <c r="Q3596" s="30" t="s">
        <v>2498</v>
      </c>
      <c r="R3596" s="31">
        <v>110000</v>
      </c>
    </row>
    <row r="3597" s="1" customFormat="1" ht="16.35" hidden="1" customHeight="1" spans="1:18">
      <c r="A3597" s="6"/>
      <c r="B3597" s="6" t="s">
        <v>4271</v>
      </c>
      <c r="C3597" s="6" t="s">
        <v>4130</v>
      </c>
      <c r="D3597" s="7">
        <v>11</v>
      </c>
      <c r="E3597" s="6" t="s">
        <v>7160</v>
      </c>
      <c r="F3597" s="6" t="s">
        <v>5631</v>
      </c>
      <c r="G3597" s="6" t="s">
        <v>5632</v>
      </c>
      <c r="H3597" s="8"/>
      <c r="I3597" s="8">
        <v>10000</v>
      </c>
      <c r="J3597" s="6"/>
      <c r="K3597" s="6" t="s">
        <v>2535</v>
      </c>
      <c r="L3597" s="6"/>
      <c r="M3597" s="6"/>
      <c r="N3597" s="6" t="s">
        <v>2535</v>
      </c>
      <c r="O3597" s="29">
        <f t="shared" si="85"/>
        <v>10000</v>
      </c>
      <c r="Q3597" s="30" t="s">
        <v>2535</v>
      </c>
      <c r="R3597" s="31">
        <v>10000</v>
      </c>
    </row>
    <row r="3598" s="1" customFormat="1" ht="16.35" hidden="1" customHeight="1" spans="1:18">
      <c r="A3598" s="6"/>
      <c r="B3598" s="6" t="s">
        <v>4271</v>
      </c>
      <c r="C3598" s="6" t="s">
        <v>4130</v>
      </c>
      <c r="D3598" s="7">
        <v>52</v>
      </c>
      <c r="E3598" s="6" t="s">
        <v>7161</v>
      </c>
      <c r="F3598" s="6" t="s">
        <v>5631</v>
      </c>
      <c r="G3598" s="6" t="s">
        <v>5632</v>
      </c>
      <c r="H3598" s="8"/>
      <c r="I3598" s="8">
        <v>150000</v>
      </c>
      <c r="J3598" s="6"/>
      <c r="K3598" s="6" t="s">
        <v>2626</v>
      </c>
      <c r="L3598" s="6"/>
      <c r="M3598" s="6"/>
      <c r="N3598" s="6" t="s">
        <v>2626</v>
      </c>
      <c r="O3598" s="29">
        <f t="shared" si="85"/>
        <v>150000</v>
      </c>
      <c r="Q3598" s="30" t="s">
        <v>2626</v>
      </c>
      <c r="R3598" s="31">
        <v>150000</v>
      </c>
    </row>
    <row r="3599" s="1" customFormat="1" ht="16.35" hidden="1" customHeight="1" spans="1:18">
      <c r="A3599" s="6"/>
      <c r="B3599" s="6" t="s">
        <v>4271</v>
      </c>
      <c r="C3599" s="6" t="s">
        <v>4130</v>
      </c>
      <c r="D3599" s="7">
        <v>25</v>
      </c>
      <c r="E3599" s="6" t="s">
        <v>7162</v>
      </c>
      <c r="F3599" s="6" t="s">
        <v>5631</v>
      </c>
      <c r="G3599" s="6" t="s">
        <v>5632</v>
      </c>
      <c r="H3599" s="8"/>
      <c r="I3599" s="8">
        <v>136108</v>
      </c>
      <c r="J3599" s="6"/>
      <c r="K3599" s="6" t="s">
        <v>2604</v>
      </c>
      <c r="L3599" s="6"/>
      <c r="M3599" s="6"/>
      <c r="N3599" s="6" t="s">
        <v>2604</v>
      </c>
      <c r="O3599" s="29">
        <f t="shared" si="85"/>
        <v>136108</v>
      </c>
      <c r="Q3599" s="30" t="s">
        <v>2604</v>
      </c>
      <c r="R3599" s="31">
        <v>136108</v>
      </c>
    </row>
    <row r="3600" s="1" customFormat="1" ht="16.35" hidden="1" customHeight="1" spans="1:18">
      <c r="A3600" s="6"/>
      <c r="B3600" s="6" t="s">
        <v>4271</v>
      </c>
      <c r="C3600" s="6" t="s">
        <v>4130</v>
      </c>
      <c r="D3600" s="7">
        <v>15</v>
      </c>
      <c r="E3600" s="6" t="s">
        <v>7163</v>
      </c>
      <c r="F3600" s="6" t="s">
        <v>5631</v>
      </c>
      <c r="G3600" s="6" t="s">
        <v>5632</v>
      </c>
      <c r="H3600" s="8"/>
      <c r="I3600" s="8">
        <v>71000</v>
      </c>
      <c r="J3600" s="6"/>
      <c r="K3600" s="6" t="s">
        <v>2608</v>
      </c>
      <c r="L3600" s="6"/>
      <c r="M3600" s="6"/>
      <c r="N3600" s="6" t="s">
        <v>2608</v>
      </c>
      <c r="O3600" s="29">
        <f t="shared" si="85"/>
        <v>71000</v>
      </c>
      <c r="Q3600" s="30" t="s">
        <v>2608</v>
      </c>
      <c r="R3600" s="31">
        <v>71000</v>
      </c>
    </row>
    <row r="3601" s="1" customFormat="1" ht="16.35" hidden="1" customHeight="1" spans="1:18">
      <c r="A3601" s="6"/>
      <c r="B3601" s="6" t="s">
        <v>4271</v>
      </c>
      <c r="C3601" s="6" t="s">
        <v>4130</v>
      </c>
      <c r="D3601" s="7">
        <v>29</v>
      </c>
      <c r="E3601" s="6" t="s">
        <v>7164</v>
      </c>
      <c r="F3601" s="6" t="s">
        <v>5631</v>
      </c>
      <c r="G3601" s="6" t="s">
        <v>5632</v>
      </c>
      <c r="H3601" s="8"/>
      <c r="I3601" s="8">
        <v>89000</v>
      </c>
      <c r="J3601" s="6"/>
      <c r="K3601" s="6" t="s">
        <v>2608</v>
      </c>
      <c r="L3601" s="6"/>
      <c r="M3601" s="6"/>
      <c r="N3601" s="6" t="s">
        <v>2608</v>
      </c>
      <c r="O3601" s="29">
        <f t="shared" si="85"/>
        <v>89000</v>
      </c>
      <c r="Q3601" s="30" t="s">
        <v>2608</v>
      </c>
      <c r="R3601" s="31">
        <v>89000</v>
      </c>
    </row>
    <row r="3602" s="1" customFormat="1" ht="16.35" hidden="1" customHeight="1" spans="1:18">
      <c r="A3602" s="6"/>
      <c r="B3602" s="6" t="s">
        <v>4271</v>
      </c>
      <c r="C3602" s="6" t="s">
        <v>4130</v>
      </c>
      <c r="D3602" s="7">
        <v>16</v>
      </c>
      <c r="E3602" s="6" t="s">
        <v>7163</v>
      </c>
      <c r="F3602" s="6" t="s">
        <v>5631</v>
      </c>
      <c r="G3602" s="6" t="s">
        <v>5632</v>
      </c>
      <c r="H3602" s="8"/>
      <c r="I3602" s="8">
        <v>5000</v>
      </c>
      <c r="J3602" s="6"/>
      <c r="K3602" s="6" t="s">
        <v>2608</v>
      </c>
      <c r="L3602" s="6"/>
      <c r="M3602" s="6"/>
      <c r="N3602" s="6" t="s">
        <v>2608</v>
      </c>
      <c r="O3602" s="29">
        <f t="shared" si="85"/>
        <v>5000</v>
      </c>
      <c r="Q3602" s="30" t="s">
        <v>2608</v>
      </c>
      <c r="R3602" s="31">
        <v>5000</v>
      </c>
    </row>
    <row r="3603" s="1" customFormat="1" ht="16.35" hidden="1" customHeight="1" spans="1:18">
      <c r="A3603" s="6"/>
      <c r="B3603" s="6" t="s">
        <v>4271</v>
      </c>
      <c r="C3603" s="6" t="s">
        <v>4130</v>
      </c>
      <c r="D3603" s="7">
        <v>46</v>
      </c>
      <c r="E3603" s="6" t="s">
        <v>7165</v>
      </c>
      <c r="F3603" s="6" t="s">
        <v>5631</v>
      </c>
      <c r="G3603" s="6" t="s">
        <v>5632</v>
      </c>
      <c r="H3603" s="8"/>
      <c r="I3603" s="8">
        <v>50000</v>
      </c>
      <c r="J3603" s="6"/>
      <c r="K3603" s="6" t="s">
        <v>2636</v>
      </c>
      <c r="L3603" s="6"/>
      <c r="M3603" s="6"/>
      <c r="N3603" s="6" t="s">
        <v>2636</v>
      </c>
      <c r="O3603" s="29">
        <f t="shared" si="85"/>
        <v>50000</v>
      </c>
      <c r="Q3603" s="30" t="s">
        <v>2636</v>
      </c>
      <c r="R3603" s="31">
        <v>50000</v>
      </c>
    </row>
    <row r="3604" s="1" customFormat="1" ht="16.35" hidden="1" customHeight="1" spans="1:18">
      <c r="A3604" s="6"/>
      <c r="B3604" s="6" t="s">
        <v>4271</v>
      </c>
      <c r="C3604" s="6" t="s">
        <v>4130</v>
      </c>
      <c r="D3604" s="7">
        <v>27</v>
      </c>
      <c r="E3604" s="6" t="s">
        <v>7166</v>
      </c>
      <c r="F3604" s="6" t="s">
        <v>5631</v>
      </c>
      <c r="G3604" s="6" t="s">
        <v>5632</v>
      </c>
      <c r="H3604" s="8"/>
      <c r="I3604" s="8">
        <v>98000</v>
      </c>
      <c r="J3604" s="6"/>
      <c r="K3604" s="6" t="s">
        <v>2658</v>
      </c>
      <c r="L3604" s="6"/>
      <c r="M3604" s="6"/>
      <c r="N3604" s="6" t="s">
        <v>2658</v>
      </c>
      <c r="O3604" s="29">
        <f t="shared" si="85"/>
        <v>98000</v>
      </c>
      <c r="Q3604" s="30" t="s">
        <v>2658</v>
      </c>
      <c r="R3604" s="31">
        <v>98000</v>
      </c>
    </row>
    <row r="3605" s="1" customFormat="1" ht="16.35" hidden="1" customHeight="1" spans="1:18">
      <c r="A3605" s="6"/>
      <c r="B3605" s="6" t="s">
        <v>4271</v>
      </c>
      <c r="C3605" s="6" t="s">
        <v>4130</v>
      </c>
      <c r="D3605" s="7">
        <v>41</v>
      </c>
      <c r="E3605" s="6" t="s">
        <v>7167</v>
      </c>
      <c r="F3605" s="6" t="s">
        <v>5631</v>
      </c>
      <c r="G3605" s="6" t="s">
        <v>5632</v>
      </c>
      <c r="H3605" s="8"/>
      <c r="I3605" s="8">
        <v>62148</v>
      </c>
      <c r="J3605" s="6"/>
      <c r="K3605" s="6" t="s">
        <v>2658</v>
      </c>
      <c r="L3605" s="6"/>
      <c r="M3605" s="6"/>
      <c r="N3605" s="6" t="s">
        <v>2658</v>
      </c>
      <c r="O3605" s="29">
        <f t="shared" si="85"/>
        <v>62148</v>
      </c>
      <c r="Q3605" s="30" t="s">
        <v>2658</v>
      </c>
      <c r="R3605" s="31">
        <v>62148</v>
      </c>
    </row>
    <row r="3606" s="1" customFormat="1" ht="16.35" hidden="1" customHeight="1" spans="1:18">
      <c r="A3606" s="6"/>
      <c r="B3606" s="6" t="s">
        <v>4271</v>
      </c>
      <c r="C3606" s="6" t="s">
        <v>4130</v>
      </c>
      <c r="D3606" s="7">
        <v>37</v>
      </c>
      <c r="E3606" s="6" t="s">
        <v>7168</v>
      </c>
      <c r="F3606" s="6" t="s">
        <v>5631</v>
      </c>
      <c r="G3606" s="6" t="s">
        <v>5632</v>
      </c>
      <c r="H3606" s="8"/>
      <c r="I3606" s="8">
        <v>145102</v>
      </c>
      <c r="J3606" s="6"/>
      <c r="K3606" s="6" t="s">
        <v>2726</v>
      </c>
      <c r="L3606" s="6"/>
      <c r="M3606" s="6"/>
      <c r="N3606" s="6" t="s">
        <v>2726</v>
      </c>
      <c r="O3606" s="29">
        <f t="shared" si="85"/>
        <v>145102</v>
      </c>
      <c r="Q3606" s="30" t="s">
        <v>2726</v>
      </c>
      <c r="R3606" s="31">
        <v>145102</v>
      </c>
    </row>
    <row r="3607" s="1" customFormat="1" ht="16.35" hidden="1" customHeight="1" spans="1:18">
      <c r="A3607" s="6"/>
      <c r="B3607" s="6" t="s">
        <v>4271</v>
      </c>
      <c r="C3607" s="6" t="s">
        <v>4150</v>
      </c>
      <c r="D3607" s="7">
        <v>37</v>
      </c>
      <c r="E3607" s="6" t="s">
        <v>7169</v>
      </c>
      <c r="F3607" s="6" t="s">
        <v>5631</v>
      </c>
      <c r="G3607" s="6" t="s">
        <v>5632</v>
      </c>
      <c r="H3607" s="8"/>
      <c r="I3607" s="8">
        <v>171000</v>
      </c>
      <c r="J3607" s="6"/>
      <c r="K3607" s="6" t="s">
        <v>2099</v>
      </c>
      <c r="L3607" s="6"/>
      <c r="M3607" s="6"/>
      <c r="N3607" s="6" t="s">
        <v>2099</v>
      </c>
      <c r="O3607" s="29">
        <f t="shared" si="85"/>
        <v>171000</v>
      </c>
      <c r="Q3607" s="30" t="s">
        <v>2099</v>
      </c>
      <c r="R3607" s="31">
        <v>171000</v>
      </c>
    </row>
    <row r="3608" s="1" customFormat="1" ht="16.35" hidden="1" customHeight="1" spans="1:18">
      <c r="A3608" s="6"/>
      <c r="B3608" s="6" t="s">
        <v>4271</v>
      </c>
      <c r="C3608" s="6" t="s">
        <v>4150</v>
      </c>
      <c r="D3608" s="7">
        <v>38</v>
      </c>
      <c r="E3608" s="6" t="s">
        <v>7170</v>
      </c>
      <c r="F3608" s="6" t="s">
        <v>5631</v>
      </c>
      <c r="G3608" s="6" t="s">
        <v>5632</v>
      </c>
      <c r="H3608" s="8"/>
      <c r="I3608" s="8">
        <v>1354</v>
      </c>
      <c r="J3608" s="6"/>
      <c r="K3608" s="6" t="s">
        <v>2099</v>
      </c>
      <c r="L3608" s="6"/>
      <c r="M3608" s="6"/>
      <c r="N3608" s="6" t="s">
        <v>2099</v>
      </c>
      <c r="O3608" s="29">
        <f t="shared" si="85"/>
        <v>1354</v>
      </c>
      <c r="Q3608" s="30" t="s">
        <v>2099</v>
      </c>
      <c r="R3608" s="31">
        <v>1354</v>
      </c>
    </row>
    <row r="3609" s="1" customFormat="1" ht="16.35" hidden="1" customHeight="1" spans="1:18">
      <c r="A3609" s="6"/>
      <c r="B3609" s="6" t="s">
        <v>4271</v>
      </c>
      <c r="C3609" s="6" t="s">
        <v>4150</v>
      </c>
      <c r="D3609" s="7">
        <v>51</v>
      </c>
      <c r="E3609" s="6" t="s">
        <v>7171</v>
      </c>
      <c r="F3609" s="6" t="s">
        <v>5631</v>
      </c>
      <c r="G3609" s="6" t="s">
        <v>5632</v>
      </c>
      <c r="H3609" s="8"/>
      <c r="I3609" s="8">
        <v>150000</v>
      </c>
      <c r="J3609" s="6"/>
      <c r="K3609" s="6" t="s">
        <v>2325</v>
      </c>
      <c r="L3609" s="6"/>
      <c r="M3609" s="6"/>
      <c r="N3609" s="6" t="s">
        <v>2325</v>
      </c>
      <c r="O3609" s="29">
        <f t="shared" si="85"/>
        <v>150000</v>
      </c>
      <c r="Q3609" s="30" t="s">
        <v>2325</v>
      </c>
      <c r="R3609" s="31">
        <v>150000</v>
      </c>
    </row>
    <row r="3610" s="1" customFormat="1" ht="16.35" hidden="1" customHeight="1" spans="1:18">
      <c r="A3610" s="6"/>
      <c r="B3610" s="6" t="s">
        <v>4271</v>
      </c>
      <c r="C3610" s="6" t="s">
        <v>4150</v>
      </c>
      <c r="D3610" s="7">
        <v>8</v>
      </c>
      <c r="E3610" s="6" t="s">
        <v>7172</v>
      </c>
      <c r="F3610" s="6" t="s">
        <v>5631</v>
      </c>
      <c r="G3610" s="6" t="s">
        <v>5632</v>
      </c>
      <c r="H3610" s="8"/>
      <c r="I3610" s="8">
        <v>240000</v>
      </c>
      <c r="J3610" s="6"/>
      <c r="K3610" s="6" t="s">
        <v>2376</v>
      </c>
      <c r="L3610" s="6"/>
      <c r="M3610" s="6"/>
      <c r="N3610" s="6" t="s">
        <v>2376</v>
      </c>
      <c r="O3610" s="29">
        <f t="shared" si="85"/>
        <v>240000</v>
      </c>
      <c r="Q3610" s="30" t="s">
        <v>2376</v>
      </c>
      <c r="R3610" s="31">
        <v>240000</v>
      </c>
    </row>
    <row r="3611" s="1" customFormat="1" ht="16.35" hidden="1" customHeight="1" spans="1:18">
      <c r="A3611" s="6"/>
      <c r="B3611" s="6" t="s">
        <v>4271</v>
      </c>
      <c r="C3611" s="6" t="s">
        <v>4150</v>
      </c>
      <c r="D3611" s="7">
        <v>57</v>
      </c>
      <c r="E3611" s="6" t="s">
        <v>7173</v>
      </c>
      <c r="F3611" s="6" t="s">
        <v>5631</v>
      </c>
      <c r="G3611" s="6" t="s">
        <v>5632</v>
      </c>
      <c r="H3611" s="8"/>
      <c r="I3611" s="8">
        <v>150000</v>
      </c>
      <c r="J3611" s="6"/>
      <c r="K3611" s="6" t="s">
        <v>2470</v>
      </c>
      <c r="L3611" s="6"/>
      <c r="M3611" s="6"/>
      <c r="N3611" s="6" t="s">
        <v>2470</v>
      </c>
      <c r="O3611" s="29">
        <f t="shared" si="85"/>
        <v>150000</v>
      </c>
      <c r="Q3611" s="30" t="s">
        <v>2470</v>
      </c>
      <c r="R3611" s="31">
        <v>150000</v>
      </c>
    </row>
    <row r="3612" s="1" customFormat="1" ht="16.35" hidden="1" customHeight="1" spans="1:18">
      <c r="A3612" s="6"/>
      <c r="B3612" s="6" t="s">
        <v>4271</v>
      </c>
      <c r="C3612" s="6" t="s">
        <v>4150</v>
      </c>
      <c r="D3612" s="7">
        <v>12</v>
      </c>
      <c r="E3612" s="6" t="s">
        <v>7174</v>
      </c>
      <c r="F3612" s="6" t="s">
        <v>5631</v>
      </c>
      <c r="G3612" s="6" t="s">
        <v>5632</v>
      </c>
      <c r="H3612" s="8"/>
      <c r="I3612" s="8">
        <v>70553</v>
      </c>
      <c r="J3612" s="6"/>
      <c r="K3612" s="6" t="s">
        <v>2494</v>
      </c>
      <c r="L3612" s="6"/>
      <c r="M3612" s="6"/>
      <c r="N3612" s="6" t="s">
        <v>2494</v>
      </c>
      <c r="O3612" s="29">
        <f t="shared" si="85"/>
        <v>70553</v>
      </c>
      <c r="Q3612" s="30" t="s">
        <v>2494</v>
      </c>
      <c r="R3612" s="31">
        <v>70553</v>
      </c>
    </row>
    <row r="3613" s="1" customFormat="1" ht="16.35" hidden="1" customHeight="1" spans="1:18">
      <c r="A3613" s="6"/>
      <c r="B3613" s="6" t="s">
        <v>4271</v>
      </c>
      <c r="C3613" s="6" t="s">
        <v>4150</v>
      </c>
      <c r="D3613" s="7">
        <v>54</v>
      </c>
      <c r="E3613" s="6" t="s">
        <v>7175</v>
      </c>
      <c r="F3613" s="6" t="s">
        <v>5631</v>
      </c>
      <c r="G3613" s="6" t="s">
        <v>5632</v>
      </c>
      <c r="H3613" s="8"/>
      <c r="I3613" s="8">
        <v>160000</v>
      </c>
      <c r="J3613" s="6"/>
      <c r="K3613" s="6" t="s">
        <v>2494</v>
      </c>
      <c r="L3613" s="6"/>
      <c r="M3613" s="6"/>
      <c r="N3613" s="6" t="s">
        <v>2494</v>
      </c>
      <c r="O3613" s="29">
        <f t="shared" si="85"/>
        <v>160000</v>
      </c>
      <c r="Q3613" s="30" t="s">
        <v>2494</v>
      </c>
      <c r="R3613" s="31">
        <v>160000</v>
      </c>
    </row>
    <row r="3614" s="1" customFormat="1" ht="16.35" hidden="1" customHeight="1" spans="1:18">
      <c r="A3614" s="6"/>
      <c r="B3614" s="6" t="s">
        <v>4271</v>
      </c>
      <c r="C3614" s="6" t="s">
        <v>4150</v>
      </c>
      <c r="D3614" s="7">
        <v>53</v>
      </c>
      <c r="E3614" s="6" t="s">
        <v>7176</v>
      </c>
      <c r="F3614" s="6" t="s">
        <v>5631</v>
      </c>
      <c r="G3614" s="6" t="s">
        <v>5632</v>
      </c>
      <c r="H3614" s="8"/>
      <c r="I3614" s="8">
        <v>117000</v>
      </c>
      <c r="J3614" s="6"/>
      <c r="K3614" s="6" t="s">
        <v>2586</v>
      </c>
      <c r="L3614" s="6"/>
      <c r="M3614" s="6"/>
      <c r="N3614" s="6" t="s">
        <v>2586</v>
      </c>
      <c r="O3614" s="29">
        <f t="shared" ref="O3614:O3671" si="86">I3614</f>
        <v>117000</v>
      </c>
      <c r="Q3614" s="30" t="s">
        <v>2586</v>
      </c>
      <c r="R3614" s="31">
        <v>117000</v>
      </c>
    </row>
    <row r="3615" s="1" customFormat="1" ht="16.35" hidden="1" customHeight="1" spans="1:18">
      <c r="A3615" s="6"/>
      <c r="B3615" s="6" t="s">
        <v>4271</v>
      </c>
      <c r="C3615" s="6" t="s">
        <v>4150</v>
      </c>
      <c r="D3615" s="7">
        <v>49</v>
      </c>
      <c r="E3615" s="6" t="s">
        <v>7177</v>
      </c>
      <c r="F3615" s="6" t="s">
        <v>5631</v>
      </c>
      <c r="G3615" s="6" t="s">
        <v>5632</v>
      </c>
      <c r="H3615" s="8"/>
      <c r="I3615" s="8">
        <v>125000</v>
      </c>
      <c r="J3615" s="6"/>
      <c r="K3615" s="6" t="s">
        <v>2580</v>
      </c>
      <c r="L3615" s="6"/>
      <c r="M3615" s="6"/>
      <c r="N3615" s="6" t="s">
        <v>2580</v>
      </c>
      <c r="O3615" s="29">
        <f t="shared" si="86"/>
        <v>125000</v>
      </c>
      <c r="Q3615" s="30" t="s">
        <v>2580</v>
      </c>
      <c r="R3615" s="31">
        <v>125000</v>
      </c>
    </row>
    <row r="3616" s="1" customFormat="1" ht="16.35" hidden="1" customHeight="1" spans="1:18">
      <c r="A3616" s="6"/>
      <c r="B3616" s="6" t="s">
        <v>4271</v>
      </c>
      <c r="C3616" s="6" t="s">
        <v>4150</v>
      </c>
      <c r="D3616" s="7">
        <v>11</v>
      </c>
      <c r="E3616" s="6" t="s">
        <v>7118</v>
      </c>
      <c r="F3616" s="6" t="s">
        <v>5631</v>
      </c>
      <c r="G3616" s="6" t="s">
        <v>5632</v>
      </c>
      <c r="H3616" s="8"/>
      <c r="I3616" s="8">
        <v>50000</v>
      </c>
      <c r="J3616" s="6"/>
      <c r="K3616" s="6" t="s">
        <v>2617</v>
      </c>
      <c r="L3616" s="6"/>
      <c r="M3616" s="6"/>
      <c r="N3616" s="6" t="s">
        <v>2617</v>
      </c>
      <c r="O3616" s="29">
        <f t="shared" si="86"/>
        <v>50000</v>
      </c>
      <c r="Q3616" s="30" t="s">
        <v>2617</v>
      </c>
      <c r="R3616" s="31">
        <v>50000</v>
      </c>
    </row>
    <row r="3617" s="1" customFormat="1" ht="16.35" hidden="1" customHeight="1" spans="1:18">
      <c r="A3617" s="6"/>
      <c r="B3617" s="6" t="s">
        <v>4271</v>
      </c>
      <c r="C3617" s="6" t="s">
        <v>4150</v>
      </c>
      <c r="D3617" s="7">
        <v>7</v>
      </c>
      <c r="E3617" s="6" t="s">
        <v>7178</v>
      </c>
      <c r="F3617" s="6" t="s">
        <v>5631</v>
      </c>
      <c r="G3617" s="6" t="s">
        <v>5632</v>
      </c>
      <c r="H3617" s="8"/>
      <c r="I3617" s="8">
        <v>115148</v>
      </c>
      <c r="J3617" s="6"/>
      <c r="K3617" s="6" t="s">
        <v>2617</v>
      </c>
      <c r="L3617" s="6"/>
      <c r="M3617" s="6"/>
      <c r="N3617" s="6" t="s">
        <v>2617</v>
      </c>
      <c r="O3617" s="29">
        <f t="shared" si="86"/>
        <v>115148</v>
      </c>
      <c r="Q3617" s="30" t="s">
        <v>2617</v>
      </c>
      <c r="R3617" s="31">
        <v>115148</v>
      </c>
    </row>
    <row r="3618" s="1" customFormat="1" ht="16.35" hidden="1" customHeight="1" spans="1:18">
      <c r="A3618" s="6"/>
      <c r="B3618" s="6" t="s">
        <v>4271</v>
      </c>
      <c r="C3618" s="6" t="s">
        <v>4150</v>
      </c>
      <c r="D3618" s="7">
        <v>50</v>
      </c>
      <c r="E3618" s="6" t="s">
        <v>7179</v>
      </c>
      <c r="F3618" s="6" t="s">
        <v>5631</v>
      </c>
      <c r="G3618" s="6" t="s">
        <v>5632</v>
      </c>
      <c r="H3618" s="8"/>
      <c r="I3618" s="8">
        <v>160000</v>
      </c>
      <c r="J3618" s="6"/>
      <c r="K3618" s="6" t="s">
        <v>2678</v>
      </c>
      <c r="L3618" s="6"/>
      <c r="M3618" s="6"/>
      <c r="N3618" s="6" t="s">
        <v>2678</v>
      </c>
      <c r="O3618" s="29">
        <f t="shared" si="86"/>
        <v>160000</v>
      </c>
      <c r="Q3618" s="30" t="s">
        <v>2678</v>
      </c>
      <c r="R3618" s="31">
        <v>160000</v>
      </c>
    </row>
    <row r="3619" s="1" customFormat="1" ht="16.35" hidden="1" customHeight="1" spans="1:18">
      <c r="A3619" s="6"/>
      <c r="B3619" s="6" t="s">
        <v>4271</v>
      </c>
      <c r="C3619" s="6" t="s">
        <v>4150</v>
      </c>
      <c r="D3619" s="7">
        <v>44</v>
      </c>
      <c r="E3619" s="6" t="s">
        <v>7180</v>
      </c>
      <c r="F3619" s="6" t="s">
        <v>5631</v>
      </c>
      <c r="G3619" s="6" t="s">
        <v>5632</v>
      </c>
      <c r="H3619" s="8"/>
      <c r="I3619" s="8">
        <v>197000</v>
      </c>
      <c r="J3619" s="6"/>
      <c r="K3619" s="6" t="s">
        <v>2688</v>
      </c>
      <c r="L3619" s="6"/>
      <c r="M3619" s="6"/>
      <c r="N3619" s="6" t="s">
        <v>2688</v>
      </c>
      <c r="O3619" s="29">
        <f t="shared" si="86"/>
        <v>197000</v>
      </c>
      <c r="Q3619" s="30" t="s">
        <v>2688</v>
      </c>
      <c r="R3619" s="31">
        <v>197000</v>
      </c>
    </row>
    <row r="3620" s="1" customFormat="1" ht="16.35" hidden="1" customHeight="1" spans="1:18">
      <c r="A3620" s="6"/>
      <c r="B3620" s="6" t="s">
        <v>4271</v>
      </c>
      <c r="C3620" s="6" t="s">
        <v>4150</v>
      </c>
      <c r="D3620" s="7">
        <v>43</v>
      </c>
      <c r="E3620" s="6" t="s">
        <v>7181</v>
      </c>
      <c r="F3620" s="6" t="s">
        <v>5631</v>
      </c>
      <c r="G3620" s="6" t="s">
        <v>5632</v>
      </c>
      <c r="H3620" s="8"/>
      <c r="I3620" s="8">
        <v>103000</v>
      </c>
      <c r="J3620" s="6"/>
      <c r="K3620" s="6" t="s">
        <v>2692</v>
      </c>
      <c r="L3620" s="6"/>
      <c r="M3620" s="6"/>
      <c r="N3620" s="6" t="s">
        <v>2692</v>
      </c>
      <c r="O3620" s="29">
        <f t="shared" si="86"/>
        <v>103000</v>
      </c>
      <c r="Q3620" s="30" t="s">
        <v>2692</v>
      </c>
      <c r="R3620" s="31">
        <v>103000</v>
      </c>
    </row>
    <row r="3621" s="1" customFormat="1" ht="16.35" hidden="1" customHeight="1" spans="1:18">
      <c r="A3621" s="6"/>
      <c r="B3621" s="6" t="s">
        <v>4271</v>
      </c>
      <c r="C3621" s="6" t="s">
        <v>4150</v>
      </c>
      <c r="D3621" s="7">
        <v>41</v>
      </c>
      <c r="E3621" s="6" t="s">
        <v>7182</v>
      </c>
      <c r="F3621" s="6" t="s">
        <v>5631</v>
      </c>
      <c r="G3621" s="6" t="s">
        <v>5632</v>
      </c>
      <c r="H3621" s="8"/>
      <c r="I3621" s="8">
        <v>82784</v>
      </c>
      <c r="J3621" s="6"/>
      <c r="K3621" s="6" t="s">
        <v>2714</v>
      </c>
      <c r="L3621" s="6"/>
      <c r="M3621" s="6"/>
      <c r="N3621" s="6" t="s">
        <v>2714</v>
      </c>
      <c r="O3621" s="29">
        <f t="shared" si="86"/>
        <v>82784</v>
      </c>
      <c r="Q3621" s="30" t="s">
        <v>2714</v>
      </c>
      <c r="R3621" s="31">
        <v>82784</v>
      </c>
    </row>
    <row r="3622" s="1" customFormat="1" ht="16.35" hidden="1" customHeight="1" spans="1:18">
      <c r="A3622" s="6"/>
      <c r="B3622" s="6" t="s">
        <v>4271</v>
      </c>
      <c r="C3622" s="6" t="s">
        <v>4150</v>
      </c>
      <c r="D3622" s="7">
        <v>55</v>
      </c>
      <c r="E3622" s="6" t="s">
        <v>7183</v>
      </c>
      <c r="F3622" s="6" t="s">
        <v>5631</v>
      </c>
      <c r="G3622" s="6" t="s">
        <v>5632</v>
      </c>
      <c r="H3622" s="8"/>
      <c r="I3622" s="8">
        <v>163000</v>
      </c>
      <c r="J3622" s="6"/>
      <c r="K3622" s="6" t="s">
        <v>2734</v>
      </c>
      <c r="L3622" s="6"/>
      <c r="M3622" s="6"/>
      <c r="N3622" s="6" t="s">
        <v>2734</v>
      </c>
      <c r="O3622" s="29">
        <f t="shared" si="86"/>
        <v>163000</v>
      </c>
      <c r="Q3622" s="30" t="s">
        <v>2734</v>
      </c>
      <c r="R3622" s="31">
        <v>163000</v>
      </c>
    </row>
    <row r="3623" s="1" customFormat="1" ht="16.35" hidden="1" customHeight="1" spans="1:18">
      <c r="A3623" s="6"/>
      <c r="B3623" s="6" t="s">
        <v>4271</v>
      </c>
      <c r="C3623" s="6" t="s">
        <v>4150</v>
      </c>
      <c r="D3623" s="7">
        <v>58</v>
      </c>
      <c r="E3623" s="6" t="s">
        <v>7184</v>
      </c>
      <c r="F3623" s="6" t="s">
        <v>5631</v>
      </c>
      <c r="G3623" s="6" t="s">
        <v>5632</v>
      </c>
      <c r="H3623" s="8"/>
      <c r="I3623" s="8">
        <v>175000</v>
      </c>
      <c r="J3623" s="6"/>
      <c r="K3623" s="6" t="s">
        <v>2730</v>
      </c>
      <c r="L3623" s="6"/>
      <c r="M3623" s="6"/>
      <c r="N3623" s="6" t="s">
        <v>2730</v>
      </c>
      <c r="O3623" s="29">
        <f t="shared" si="86"/>
        <v>175000</v>
      </c>
      <c r="Q3623" s="30" t="s">
        <v>2730</v>
      </c>
      <c r="R3623" s="31">
        <v>175000</v>
      </c>
    </row>
    <row r="3624" s="1" customFormat="1" ht="16.35" hidden="1" customHeight="1" spans="1:18">
      <c r="A3624" s="6"/>
      <c r="B3624" s="6" t="s">
        <v>4271</v>
      </c>
      <c r="C3624" s="6" t="s">
        <v>4150</v>
      </c>
      <c r="D3624" s="7">
        <v>48</v>
      </c>
      <c r="E3624" s="6" t="s">
        <v>7185</v>
      </c>
      <c r="F3624" s="6" t="s">
        <v>5631</v>
      </c>
      <c r="G3624" s="6" t="s">
        <v>5632</v>
      </c>
      <c r="H3624" s="8"/>
      <c r="I3624" s="8">
        <v>168000</v>
      </c>
      <c r="J3624" s="6"/>
      <c r="K3624" s="6" t="s">
        <v>2706</v>
      </c>
      <c r="L3624" s="6"/>
      <c r="M3624" s="6"/>
      <c r="N3624" s="6" t="s">
        <v>2706</v>
      </c>
      <c r="O3624" s="29">
        <f t="shared" si="86"/>
        <v>168000</v>
      </c>
      <c r="Q3624" s="30" t="s">
        <v>2706</v>
      </c>
      <c r="R3624" s="31">
        <v>168000</v>
      </c>
    </row>
    <row r="3625" s="1" customFormat="1" ht="16.35" hidden="1" customHeight="1" spans="1:18">
      <c r="A3625" s="6"/>
      <c r="B3625" s="6" t="s">
        <v>4271</v>
      </c>
      <c r="C3625" s="6" t="s">
        <v>4150</v>
      </c>
      <c r="D3625" s="7">
        <v>8</v>
      </c>
      <c r="E3625" s="6" t="s">
        <v>7186</v>
      </c>
      <c r="F3625" s="6" t="s">
        <v>5631</v>
      </c>
      <c r="G3625" s="6" t="s">
        <v>5632</v>
      </c>
      <c r="H3625" s="8"/>
      <c r="I3625" s="8">
        <v>101792</v>
      </c>
      <c r="J3625" s="6"/>
      <c r="K3625" s="6" t="s">
        <v>2117</v>
      </c>
      <c r="L3625" s="6"/>
      <c r="M3625" s="6"/>
      <c r="N3625" s="6" t="s">
        <v>2117</v>
      </c>
      <c r="O3625" s="29">
        <f t="shared" si="86"/>
        <v>101792</v>
      </c>
      <c r="Q3625" s="30" t="s">
        <v>2117</v>
      </c>
      <c r="R3625" s="31">
        <v>101792</v>
      </c>
    </row>
    <row r="3626" s="1" customFormat="1" ht="16.35" hidden="1" customHeight="1" spans="1:18">
      <c r="A3626" s="6"/>
      <c r="B3626" s="6" t="s">
        <v>4271</v>
      </c>
      <c r="C3626" s="6" t="s">
        <v>4150</v>
      </c>
      <c r="D3626" s="7">
        <v>13</v>
      </c>
      <c r="E3626" s="6" t="s">
        <v>7187</v>
      </c>
      <c r="F3626" s="6" t="s">
        <v>5631</v>
      </c>
      <c r="G3626" s="6" t="s">
        <v>5632</v>
      </c>
      <c r="H3626" s="8"/>
      <c r="I3626" s="8">
        <v>220610</v>
      </c>
      <c r="J3626" s="6"/>
      <c r="K3626" s="6" t="s">
        <v>2372</v>
      </c>
      <c r="L3626" s="6"/>
      <c r="M3626" s="6"/>
      <c r="N3626" s="6" t="s">
        <v>2372</v>
      </c>
      <c r="O3626" s="29">
        <f t="shared" si="86"/>
        <v>220610</v>
      </c>
      <c r="Q3626" s="30" t="s">
        <v>2372</v>
      </c>
      <c r="R3626" s="31">
        <v>220610</v>
      </c>
    </row>
    <row r="3627" s="1" customFormat="1" ht="16.35" hidden="1" customHeight="1" spans="1:18">
      <c r="A3627" s="6"/>
      <c r="B3627" s="6" t="s">
        <v>4271</v>
      </c>
      <c r="C3627" s="6" t="s">
        <v>4150</v>
      </c>
      <c r="D3627" s="7">
        <v>36</v>
      </c>
      <c r="E3627" s="6" t="s">
        <v>7188</v>
      </c>
      <c r="F3627" s="6" t="s">
        <v>5631</v>
      </c>
      <c r="G3627" s="6" t="s">
        <v>5632</v>
      </c>
      <c r="H3627" s="8"/>
      <c r="I3627" s="8">
        <v>145000</v>
      </c>
      <c r="J3627" s="6"/>
      <c r="K3627" s="6" t="s">
        <v>2420</v>
      </c>
      <c r="L3627" s="6"/>
      <c r="M3627" s="6"/>
      <c r="N3627" s="6" t="s">
        <v>2420</v>
      </c>
      <c r="O3627" s="29">
        <f t="shared" si="86"/>
        <v>145000</v>
      </c>
      <c r="Q3627" s="30" t="s">
        <v>2420</v>
      </c>
      <c r="R3627" s="31">
        <v>145000</v>
      </c>
    </row>
    <row r="3628" s="1" customFormat="1" ht="16.35" hidden="1" customHeight="1" spans="1:18">
      <c r="A3628" s="6"/>
      <c r="B3628" s="6" t="s">
        <v>4271</v>
      </c>
      <c r="C3628" s="6" t="s">
        <v>4150</v>
      </c>
      <c r="D3628" s="7">
        <v>39</v>
      </c>
      <c r="E3628" s="6" t="s">
        <v>7189</v>
      </c>
      <c r="F3628" s="6" t="s">
        <v>5631</v>
      </c>
      <c r="G3628" s="6" t="s">
        <v>5632</v>
      </c>
      <c r="H3628" s="8"/>
      <c r="I3628" s="8">
        <v>85873</v>
      </c>
      <c r="J3628" s="6"/>
      <c r="K3628" s="6" t="s">
        <v>2406</v>
      </c>
      <c r="L3628" s="6"/>
      <c r="M3628" s="6"/>
      <c r="N3628" s="6" t="s">
        <v>2406</v>
      </c>
      <c r="O3628" s="29">
        <f t="shared" si="86"/>
        <v>85873</v>
      </c>
      <c r="Q3628" s="30" t="s">
        <v>2406</v>
      </c>
      <c r="R3628" s="31">
        <v>85873</v>
      </c>
    </row>
    <row r="3629" s="1" customFormat="1" ht="16.35" hidden="1" customHeight="1" spans="1:18">
      <c r="A3629" s="6"/>
      <c r="B3629" s="6" t="s">
        <v>4271</v>
      </c>
      <c r="C3629" s="6" t="s">
        <v>4150</v>
      </c>
      <c r="D3629" s="7">
        <v>4</v>
      </c>
      <c r="E3629" s="6" t="s">
        <v>7190</v>
      </c>
      <c r="F3629" s="6" t="s">
        <v>5631</v>
      </c>
      <c r="G3629" s="6" t="s">
        <v>5632</v>
      </c>
      <c r="H3629" s="8"/>
      <c r="I3629" s="8">
        <v>108000</v>
      </c>
      <c r="J3629" s="6"/>
      <c r="K3629" s="6" t="s">
        <v>2410</v>
      </c>
      <c r="L3629" s="6"/>
      <c r="M3629" s="6"/>
      <c r="N3629" s="6" t="s">
        <v>2410</v>
      </c>
      <c r="O3629" s="29">
        <f t="shared" si="86"/>
        <v>108000</v>
      </c>
      <c r="Q3629" s="30" t="s">
        <v>2410</v>
      </c>
      <c r="R3629" s="31">
        <v>108000</v>
      </c>
    </row>
    <row r="3630" s="1" customFormat="1" ht="16.35" hidden="1" customHeight="1" spans="1:18">
      <c r="A3630" s="6"/>
      <c r="B3630" s="6" t="s">
        <v>4271</v>
      </c>
      <c r="C3630" s="6" t="s">
        <v>4150</v>
      </c>
      <c r="D3630" s="7">
        <v>47</v>
      </c>
      <c r="E3630" s="6" t="s">
        <v>7191</v>
      </c>
      <c r="F3630" s="6" t="s">
        <v>5631</v>
      </c>
      <c r="G3630" s="6" t="s">
        <v>5632</v>
      </c>
      <c r="H3630" s="8"/>
      <c r="I3630" s="8">
        <v>120000</v>
      </c>
      <c r="J3630" s="6"/>
      <c r="K3630" s="6" t="s">
        <v>2380</v>
      </c>
      <c r="L3630" s="6"/>
      <c r="M3630" s="6"/>
      <c r="N3630" s="6" t="s">
        <v>2380</v>
      </c>
      <c r="O3630" s="29">
        <f t="shared" si="86"/>
        <v>120000</v>
      </c>
      <c r="Q3630" s="30" t="s">
        <v>2380</v>
      </c>
      <c r="R3630" s="31">
        <v>120000</v>
      </c>
    </row>
    <row r="3631" s="1" customFormat="1" ht="16.35" hidden="1" customHeight="1" spans="1:18">
      <c r="A3631" s="6"/>
      <c r="B3631" s="6" t="s">
        <v>4271</v>
      </c>
      <c r="C3631" s="6" t="s">
        <v>4150</v>
      </c>
      <c r="D3631" s="7">
        <v>59</v>
      </c>
      <c r="E3631" s="6" t="s">
        <v>7192</v>
      </c>
      <c r="F3631" s="6" t="s">
        <v>5631</v>
      </c>
      <c r="G3631" s="6" t="s">
        <v>5632</v>
      </c>
      <c r="H3631" s="8"/>
      <c r="I3631" s="8">
        <v>177000</v>
      </c>
      <c r="J3631" s="6"/>
      <c r="K3631" s="6" t="s">
        <v>2484</v>
      </c>
      <c r="L3631" s="6"/>
      <c r="M3631" s="6"/>
      <c r="N3631" s="6" t="s">
        <v>2484</v>
      </c>
      <c r="O3631" s="29">
        <f t="shared" si="86"/>
        <v>177000</v>
      </c>
      <c r="Q3631" s="30" t="s">
        <v>2484</v>
      </c>
      <c r="R3631" s="31">
        <v>177000</v>
      </c>
    </row>
    <row r="3632" s="1" customFormat="1" ht="16.35" hidden="1" customHeight="1" spans="1:18">
      <c r="A3632" s="6"/>
      <c r="B3632" s="6" t="s">
        <v>4271</v>
      </c>
      <c r="C3632" s="6" t="s">
        <v>4150</v>
      </c>
      <c r="D3632" s="7">
        <v>39</v>
      </c>
      <c r="E3632" s="6" t="s">
        <v>7193</v>
      </c>
      <c r="F3632" s="6" t="s">
        <v>5631</v>
      </c>
      <c r="G3632" s="6" t="s">
        <v>5632</v>
      </c>
      <c r="H3632" s="8"/>
      <c r="I3632" s="8">
        <v>51838</v>
      </c>
      <c r="J3632" s="6"/>
      <c r="K3632" s="6" t="s">
        <v>2551</v>
      </c>
      <c r="L3632" s="6"/>
      <c r="M3632" s="6"/>
      <c r="N3632" s="6" t="s">
        <v>2551</v>
      </c>
      <c r="O3632" s="29">
        <f t="shared" si="86"/>
        <v>51838</v>
      </c>
      <c r="Q3632" s="30" t="s">
        <v>2551</v>
      </c>
      <c r="R3632" s="31">
        <v>51838</v>
      </c>
    </row>
    <row r="3633" s="1" customFormat="1" ht="16.35" hidden="1" customHeight="1" spans="1:18">
      <c r="A3633" s="6"/>
      <c r="B3633" s="6" t="s">
        <v>4271</v>
      </c>
      <c r="C3633" s="6" t="s">
        <v>4150</v>
      </c>
      <c r="D3633" s="7">
        <v>1</v>
      </c>
      <c r="E3633" s="6" t="s">
        <v>7194</v>
      </c>
      <c r="F3633" s="6" t="s">
        <v>5631</v>
      </c>
      <c r="G3633" s="6" t="s">
        <v>5632</v>
      </c>
      <c r="H3633" s="8"/>
      <c r="I3633" s="8">
        <v>57000</v>
      </c>
      <c r="J3633" s="6"/>
      <c r="K3633" s="6" t="s">
        <v>2523</v>
      </c>
      <c r="L3633" s="6"/>
      <c r="M3633" s="6"/>
      <c r="N3633" s="6" t="s">
        <v>2523</v>
      </c>
      <c r="O3633" s="29">
        <f t="shared" si="86"/>
        <v>57000</v>
      </c>
      <c r="Q3633" s="30" t="s">
        <v>2523</v>
      </c>
      <c r="R3633" s="31">
        <v>57000</v>
      </c>
    </row>
    <row r="3634" s="1" customFormat="1" ht="16.35" hidden="1" customHeight="1" spans="1:18">
      <c r="A3634" s="6"/>
      <c r="B3634" s="6" t="s">
        <v>4271</v>
      </c>
      <c r="C3634" s="6" t="s">
        <v>4150</v>
      </c>
      <c r="D3634" s="7">
        <v>46</v>
      </c>
      <c r="E3634" s="6" t="s">
        <v>7195</v>
      </c>
      <c r="F3634" s="6" t="s">
        <v>5631</v>
      </c>
      <c r="G3634" s="6" t="s">
        <v>5632</v>
      </c>
      <c r="H3634" s="8"/>
      <c r="I3634" s="8">
        <v>89000</v>
      </c>
      <c r="J3634" s="6"/>
      <c r="K3634" s="6" t="s">
        <v>2640</v>
      </c>
      <c r="L3634" s="6"/>
      <c r="M3634" s="6"/>
      <c r="N3634" s="6" t="s">
        <v>2640</v>
      </c>
      <c r="O3634" s="29">
        <f t="shared" si="86"/>
        <v>89000</v>
      </c>
      <c r="Q3634" s="30" t="s">
        <v>2640</v>
      </c>
      <c r="R3634" s="31">
        <v>89000</v>
      </c>
    </row>
    <row r="3635" s="1" customFormat="1" ht="16.35" hidden="1" customHeight="1" spans="1:18">
      <c r="A3635" s="6"/>
      <c r="B3635" s="6" t="s">
        <v>4271</v>
      </c>
      <c r="C3635" s="6" t="s">
        <v>4150</v>
      </c>
      <c r="D3635" s="7">
        <v>5</v>
      </c>
      <c r="E3635" s="6" t="s">
        <v>7196</v>
      </c>
      <c r="F3635" s="6" t="s">
        <v>5631</v>
      </c>
      <c r="G3635" s="6" t="s">
        <v>5632</v>
      </c>
      <c r="H3635" s="8"/>
      <c r="I3635" s="8">
        <v>4000</v>
      </c>
      <c r="J3635" s="6"/>
      <c r="K3635" s="6" t="s">
        <v>2656</v>
      </c>
      <c r="L3635" s="6"/>
      <c r="M3635" s="6"/>
      <c r="N3635" s="6" t="s">
        <v>2656</v>
      </c>
      <c r="O3635" s="29">
        <f t="shared" si="86"/>
        <v>4000</v>
      </c>
      <c r="Q3635" s="30" t="s">
        <v>2656</v>
      </c>
      <c r="R3635" s="31">
        <v>4000</v>
      </c>
    </row>
    <row r="3636" s="1" customFormat="1" ht="16.35" hidden="1" customHeight="1" spans="1:18">
      <c r="A3636" s="6"/>
      <c r="B3636" s="6" t="s">
        <v>4271</v>
      </c>
      <c r="C3636" s="6" t="s">
        <v>4150</v>
      </c>
      <c r="D3636" s="7">
        <v>9</v>
      </c>
      <c r="E3636" s="6" t="s">
        <v>7197</v>
      </c>
      <c r="F3636" s="6" t="s">
        <v>5631</v>
      </c>
      <c r="G3636" s="6" t="s">
        <v>5632</v>
      </c>
      <c r="H3636" s="8"/>
      <c r="I3636" s="8">
        <v>60000</v>
      </c>
      <c r="J3636" s="6"/>
      <c r="K3636" s="6" t="s">
        <v>2624</v>
      </c>
      <c r="L3636" s="6"/>
      <c r="M3636" s="6"/>
      <c r="N3636" s="6" t="s">
        <v>2624</v>
      </c>
      <c r="O3636" s="29">
        <f t="shared" si="86"/>
        <v>60000</v>
      </c>
      <c r="Q3636" s="30" t="s">
        <v>2624</v>
      </c>
      <c r="R3636" s="31">
        <v>60000</v>
      </c>
    </row>
    <row r="3637" s="1" customFormat="1" ht="16.35" hidden="1" customHeight="1" spans="1:18">
      <c r="A3637" s="6"/>
      <c r="B3637" s="6" t="s">
        <v>4271</v>
      </c>
      <c r="C3637" s="6" t="s">
        <v>4150</v>
      </c>
      <c r="D3637" s="7">
        <v>9</v>
      </c>
      <c r="E3637" s="6" t="s">
        <v>7198</v>
      </c>
      <c r="F3637" s="6" t="s">
        <v>5631</v>
      </c>
      <c r="G3637" s="6" t="s">
        <v>5632</v>
      </c>
      <c r="H3637" s="8"/>
      <c r="I3637" s="8">
        <v>81996</v>
      </c>
      <c r="J3637" s="6"/>
      <c r="K3637" s="6" t="s">
        <v>2722</v>
      </c>
      <c r="L3637" s="6"/>
      <c r="M3637" s="6"/>
      <c r="N3637" s="6" t="s">
        <v>2722</v>
      </c>
      <c r="O3637" s="29">
        <f t="shared" si="86"/>
        <v>81996</v>
      </c>
      <c r="Q3637" s="30" t="s">
        <v>2722</v>
      </c>
      <c r="R3637" s="31">
        <v>81996</v>
      </c>
    </row>
    <row r="3638" s="1" customFormat="1" ht="16.35" hidden="1" customHeight="1" spans="1:18">
      <c r="A3638" s="6"/>
      <c r="B3638" s="6" t="s">
        <v>4271</v>
      </c>
      <c r="C3638" s="6" t="s">
        <v>4150</v>
      </c>
      <c r="D3638" s="7">
        <v>6</v>
      </c>
      <c r="E3638" s="6" t="s">
        <v>7199</v>
      </c>
      <c r="F3638" s="6" t="s">
        <v>5631</v>
      </c>
      <c r="G3638" s="6" t="s">
        <v>5632</v>
      </c>
      <c r="H3638" s="8"/>
      <c r="I3638" s="8">
        <v>10000</v>
      </c>
      <c r="J3638" s="6"/>
      <c r="K3638" s="6" t="s">
        <v>2728</v>
      </c>
      <c r="L3638" s="6"/>
      <c r="M3638" s="6"/>
      <c r="N3638" s="6" t="s">
        <v>2728</v>
      </c>
      <c r="O3638" s="29">
        <f t="shared" si="86"/>
        <v>10000</v>
      </c>
      <c r="Q3638" s="30" t="s">
        <v>2728</v>
      </c>
      <c r="R3638" s="31">
        <v>10000</v>
      </c>
    </row>
    <row r="3639" s="1" customFormat="1" ht="16.35" hidden="1" customHeight="1" spans="1:18">
      <c r="A3639" s="6"/>
      <c r="B3639" s="6" t="s">
        <v>4271</v>
      </c>
      <c r="C3639" s="6" t="s">
        <v>4150</v>
      </c>
      <c r="D3639" s="7">
        <v>14</v>
      </c>
      <c r="E3639" s="6" t="s">
        <v>7200</v>
      </c>
      <c r="F3639" s="6" t="s">
        <v>5631</v>
      </c>
      <c r="G3639" s="6" t="s">
        <v>5632</v>
      </c>
      <c r="H3639" s="8"/>
      <c r="I3639" s="8">
        <v>174000</v>
      </c>
      <c r="J3639" s="6"/>
      <c r="K3639" s="6" t="s">
        <v>2728</v>
      </c>
      <c r="L3639" s="6"/>
      <c r="M3639" s="6"/>
      <c r="N3639" s="6" t="s">
        <v>2728</v>
      </c>
      <c r="O3639" s="29">
        <f t="shared" si="86"/>
        <v>174000</v>
      </c>
      <c r="Q3639" s="30" t="s">
        <v>2728</v>
      </c>
      <c r="R3639" s="31">
        <v>174000</v>
      </c>
    </row>
    <row r="3640" s="1" customFormat="1" ht="16.35" hidden="1" customHeight="1" spans="1:18">
      <c r="A3640" s="6"/>
      <c r="B3640" s="6" t="s">
        <v>4271</v>
      </c>
      <c r="C3640" s="6" t="s">
        <v>4150</v>
      </c>
      <c r="D3640" s="7">
        <v>9</v>
      </c>
      <c r="E3640" s="6" t="s">
        <v>7201</v>
      </c>
      <c r="F3640" s="6" t="s">
        <v>5631</v>
      </c>
      <c r="G3640" s="6" t="s">
        <v>5632</v>
      </c>
      <c r="H3640" s="8"/>
      <c r="I3640" s="8">
        <v>154165</v>
      </c>
      <c r="J3640" s="6"/>
      <c r="K3640" s="6" t="s">
        <v>2702</v>
      </c>
      <c r="L3640" s="6"/>
      <c r="M3640" s="6"/>
      <c r="N3640" s="6" t="s">
        <v>2702</v>
      </c>
      <c r="O3640" s="29">
        <f t="shared" si="86"/>
        <v>154165</v>
      </c>
      <c r="Q3640" s="30" t="s">
        <v>2702</v>
      </c>
      <c r="R3640" s="31">
        <v>154165</v>
      </c>
    </row>
    <row r="3641" s="1" customFormat="1" ht="16.35" hidden="1" customHeight="1" spans="1:18">
      <c r="A3641" s="6"/>
      <c r="B3641" s="6" t="s">
        <v>4271</v>
      </c>
      <c r="C3641" s="6" t="s">
        <v>4150</v>
      </c>
      <c r="D3641" s="7">
        <v>2</v>
      </c>
      <c r="E3641" s="6" t="s">
        <v>7202</v>
      </c>
      <c r="F3641" s="6" t="s">
        <v>5631</v>
      </c>
      <c r="G3641" s="6" t="s">
        <v>5632</v>
      </c>
      <c r="H3641" s="8"/>
      <c r="I3641" s="8">
        <v>80000</v>
      </c>
      <c r="J3641" s="6"/>
      <c r="K3641" s="6" t="s">
        <v>2147</v>
      </c>
      <c r="L3641" s="6"/>
      <c r="M3641" s="6"/>
      <c r="N3641" s="6" t="s">
        <v>2147</v>
      </c>
      <c r="O3641" s="29">
        <f t="shared" si="86"/>
        <v>80000</v>
      </c>
      <c r="Q3641" s="30" t="s">
        <v>2147</v>
      </c>
      <c r="R3641" s="31">
        <v>80000</v>
      </c>
    </row>
    <row r="3642" s="1" customFormat="1" ht="16.35" hidden="1" customHeight="1" spans="1:18">
      <c r="A3642" s="6"/>
      <c r="B3642" s="6" t="s">
        <v>4271</v>
      </c>
      <c r="C3642" s="6" t="s">
        <v>4150</v>
      </c>
      <c r="D3642" s="7">
        <v>13</v>
      </c>
      <c r="E3642" s="6" t="s">
        <v>7203</v>
      </c>
      <c r="F3642" s="6" t="s">
        <v>5631</v>
      </c>
      <c r="G3642" s="6" t="s">
        <v>5632</v>
      </c>
      <c r="H3642" s="8"/>
      <c r="I3642" s="8">
        <v>115652</v>
      </c>
      <c r="J3642" s="6"/>
      <c r="K3642" s="6" t="s">
        <v>2412</v>
      </c>
      <c r="L3642" s="6"/>
      <c r="M3642" s="6"/>
      <c r="N3642" s="6" t="s">
        <v>2412</v>
      </c>
      <c r="O3642" s="29">
        <f t="shared" si="86"/>
        <v>115652</v>
      </c>
      <c r="Q3642" s="30" t="s">
        <v>2412</v>
      </c>
      <c r="R3642" s="31">
        <v>115652</v>
      </c>
    </row>
    <row r="3643" s="1" customFormat="1" ht="16.35" hidden="1" customHeight="1" spans="1:18">
      <c r="A3643" s="6"/>
      <c r="B3643" s="6" t="s">
        <v>4271</v>
      </c>
      <c r="C3643" s="6" t="s">
        <v>4150</v>
      </c>
      <c r="D3643" s="7">
        <v>56</v>
      </c>
      <c r="E3643" s="6" t="s">
        <v>7204</v>
      </c>
      <c r="F3643" s="6" t="s">
        <v>5631</v>
      </c>
      <c r="G3643" s="6" t="s">
        <v>5632</v>
      </c>
      <c r="H3643" s="8"/>
      <c r="I3643" s="8">
        <v>169000</v>
      </c>
      <c r="J3643" s="6"/>
      <c r="K3643" s="6" t="s">
        <v>2432</v>
      </c>
      <c r="L3643" s="6"/>
      <c r="M3643" s="6"/>
      <c r="N3643" s="6" t="s">
        <v>2432</v>
      </c>
      <c r="O3643" s="29">
        <f t="shared" si="86"/>
        <v>169000</v>
      </c>
      <c r="Q3643" s="30" t="s">
        <v>2432</v>
      </c>
      <c r="R3643" s="31">
        <v>169000</v>
      </c>
    </row>
    <row r="3644" s="1" customFormat="1" ht="16.35" customHeight="1" spans="1:18">
      <c r="A3644" s="6"/>
      <c r="B3644" s="6" t="s">
        <v>4271</v>
      </c>
      <c r="C3644" s="6" t="s">
        <v>4150</v>
      </c>
      <c r="D3644" s="7">
        <v>60</v>
      </c>
      <c r="E3644" s="6" t="s">
        <v>7205</v>
      </c>
      <c r="F3644" s="6" t="s">
        <v>5631</v>
      </c>
      <c r="G3644" s="6" t="s">
        <v>5632</v>
      </c>
      <c r="H3644" s="8"/>
      <c r="I3644" s="8">
        <v>200000</v>
      </c>
      <c r="J3644" s="6"/>
      <c r="K3644" s="6" t="s">
        <v>2456</v>
      </c>
      <c r="L3644" s="6"/>
      <c r="M3644" s="6"/>
      <c r="N3644" s="6" t="s">
        <v>2456</v>
      </c>
      <c r="O3644" s="29">
        <f t="shared" si="86"/>
        <v>200000</v>
      </c>
      <c r="Q3644" s="30" t="s">
        <v>2456</v>
      </c>
      <c r="R3644" s="31">
        <v>200000</v>
      </c>
    </row>
    <row r="3645" s="1" customFormat="1" ht="16.35" hidden="1" customHeight="1" spans="1:18">
      <c r="A3645" s="6"/>
      <c r="B3645" s="6" t="s">
        <v>4271</v>
      </c>
      <c r="C3645" s="6" t="s">
        <v>4150</v>
      </c>
      <c r="D3645" s="7">
        <v>42</v>
      </c>
      <c r="E3645" s="6" t="s">
        <v>7206</v>
      </c>
      <c r="F3645" s="6" t="s">
        <v>5631</v>
      </c>
      <c r="G3645" s="6" t="s">
        <v>5632</v>
      </c>
      <c r="H3645" s="8"/>
      <c r="I3645" s="8">
        <v>89544</v>
      </c>
      <c r="J3645" s="6"/>
      <c r="K3645" s="6" t="s">
        <v>2450</v>
      </c>
      <c r="L3645" s="6"/>
      <c r="M3645" s="6"/>
      <c r="N3645" s="6" t="s">
        <v>2450</v>
      </c>
      <c r="O3645" s="29">
        <f t="shared" si="86"/>
        <v>89544</v>
      </c>
      <c r="Q3645" s="30" t="s">
        <v>2450</v>
      </c>
      <c r="R3645" s="31">
        <v>89544</v>
      </c>
    </row>
    <row r="3646" s="1" customFormat="1" ht="16.35" hidden="1" customHeight="1" spans="1:18">
      <c r="A3646" s="6"/>
      <c r="B3646" s="6" t="s">
        <v>4271</v>
      </c>
      <c r="C3646" s="6" t="s">
        <v>4150</v>
      </c>
      <c r="D3646" s="7">
        <v>33</v>
      </c>
      <c r="E3646" s="6" t="s">
        <v>7207</v>
      </c>
      <c r="F3646" s="6" t="s">
        <v>5631</v>
      </c>
      <c r="G3646" s="6" t="s">
        <v>5632</v>
      </c>
      <c r="H3646" s="8"/>
      <c r="I3646" s="8">
        <v>55000</v>
      </c>
      <c r="J3646" s="6"/>
      <c r="K3646" s="6" t="s">
        <v>2529</v>
      </c>
      <c r="L3646" s="6"/>
      <c r="M3646" s="6"/>
      <c r="N3646" s="6" t="s">
        <v>2529</v>
      </c>
      <c r="O3646" s="29">
        <f t="shared" si="86"/>
        <v>55000</v>
      </c>
      <c r="Q3646" s="30" t="s">
        <v>2529</v>
      </c>
      <c r="R3646" s="31">
        <v>55000</v>
      </c>
    </row>
    <row r="3647" s="1" customFormat="1" ht="16.35" hidden="1" customHeight="1" spans="1:18">
      <c r="A3647" s="6"/>
      <c r="B3647" s="6" t="s">
        <v>4271</v>
      </c>
      <c r="C3647" s="6" t="s">
        <v>4150</v>
      </c>
      <c r="D3647" s="7">
        <v>15</v>
      </c>
      <c r="E3647" s="6" t="s">
        <v>7150</v>
      </c>
      <c r="F3647" s="6" t="s">
        <v>5631</v>
      </c>
      <c r="G3647" s="6" t="s">
        <v>5632</v>
      </c>
      <c r="H3647" s="8"/>
      <c r="I3647" s="8">
        <v>23792</v>
      </c>
      <c r="J3647" s="6"/>
      <c r="K3647" s="6" t="s">
        <v>2547</v>
      </c>
      <c r="L3647" s="6"/>
      <c r="M3647" s="6"/>
      <c r="N3647" s="6" t="s">
        <v>2547</v>
      </c>
      <c r="O3647" s="29">
        <f t="shared" si="86"/>
        <v>23792</v>
      </c>
      <c r="Q3647" s="30" t="s">
        <v>2547</v>
      </c>
      <c r="R3647" s="31">
        <v>23792</v>
      </c>
    </row>
    <row r="3648" s="1" customFormat="1" ht="16.35" hidden="1" customHeight="1" spans="1:18">
      <c r="A3648" s="6"/>
      <c r="B3648" s="6" t="s">
        <v>4271</v>
      </c>
      <c r="C3648" s="6" t="s">
        <v>4150</v>
      </c>
      <c r="D3648" s="7">
        <v>34</v>
      </c>
      <c r="E3648" s="6" t="s">
        <v>7208</v>
      </c>
      <c r="F3648" s="6" t="s">
        <v>5631</v>
      </c>
      <c r="G3648" s="6" t="s">
        <v>5632</v>
      </c>
      <c r="H3648" s="8"/>
      <c r="I3648" s="8">
        <v>153000</v>
      </c>
      <c r="J3648" s="6"/>
      <c r="K3648" s="6" t="s">
        <v>2618</v>
      </c>
      <c r="L3648" s="6"/>
      <c r="M3648" s="6"/>
      <c r="N3648" s="6" t="s">
        <v>2618</v>
      </c>
      <c r="O3648" s="29">
        <f t="shared" si="86"/>
        <v>153000</v>
      </c>
      <c r="Q3648" s="30" t="s">
        <v>2618</v>
      </c>
      <c r="R3648" s="31">
        <v>153000</v>
      </c>
    </row>
    <row r="3649" s="1" customFormat="1" ht="16.35" hidden="1" customHeight="1" spans="1:18">
      <c r="A3649" s="6"/>
      <c r="B3649" s="6" t="s">
        <v>4271</v>
      </c>
      <c r="C3649" s="6" t="s">
        <v>4150</v>
      </c>
      <c r="D3649" s="7">
        <v>12</v>
      </c>
      <c r="E3649" s="6" t="s">
        <v>7209</v>
      </c>
      <c r="F3649" s="6" t="s">
        <v>5631</v>
      </c>
      <c r="G3649" s="6" t="s">
        <v>5632</v>
      </c>
      <c r="H3649" s="8"/>
      <c r="I3649" s="8">
        <v>89899</v>
      </c>
      <c r="J3649" s="6"/>
      <c r="K3649" s="6" t="s">
        <v>2638</v>
      </c>
      <c r="L3649" s="6"/>
      <c r="M3649" s="6"/>
      <c r="N3649" s="6" t="s">
        <v>2638</v>
      </c>
      <c r="O3649" s="29">
        <f t="shared" si="86"/>
        <v>89899</v>
      </c>
      <c r="Q3649" s="30" t="s">
        <v>2638</v>
      </c>
      <c r="R3649" s="31">
        <v>89899</v>
      </c>
    </row>
    <row r="3650" s="1" customFormat="1" ht="16.35" hidden="1" customHeight="1" spans="1:18">
      <c r="A3650" s="6"/>
      <c r="B3650" s="6" t="s">
        <v>4271</v>
      </c>
      <c r="C3650" s="6" t="s">
        <v>4150</v>
      </c>
      <c r="D3650" s="7">
        <v>13</v>
      </c>
      <c r="E3650" s="6" t="s">
        <v>7210</v>
      </c>
      <c r="F3650" s="6" t="s">
        <v>5631</v>
      </c>
      <c r="G3650" s="6" t="s">
        <v>5632</v>
      </c>
      <c r="H3650" s="8"/>
      <c r="I3650" s="8">
        <v>38873</v>
      </c>
      <c r="J3650" s="6"/>
      <c r="K3650" s="6" t="s">
        <v>2388</v>
      </c>
      <c r="L3650" s="6"/>
      <c r="M3650" s="6"/>
      <c r="N3650" s="6" t="s">
        <v>2388</v>
      </c>
      <c r="O3650" s="29">
        <f t="shared" si="86"/>
        <v>38873</v>
      </c>
      <c r="Q3650" s="30" t="s">
        <v>2388</v>
      </c>
      <c r="R3650" s="31">
        <v>38873</v>
      </c>
    </row>
    <row r="3651" s="1" customFormat="1" ht="16.35" hidden="1" customHeight="1" spans="1:18">
      <c r="A3651" s="6"/>
      <c r="B3651" s="6" t="s">
        <v>4271</v>
      </c>
      <c r="C3651" s="6" t="s">
        <v>4150</v>
      </c>
      <c r="D3651" s="7">
        <v>61</v>
      </c>
      <c r="E3651" s="6" t="s">
        <v>7211</v>
      </c>
      <c r="F3651" s="6" t="s">
        <v>5631</v>
      </c>
      <c r="G3651" s="6" t="s">
        <v>5632</v>
      </c>
      <c r="H3651" s="8"/>
      <c r="I3651" s="8">
        <v>7000</v>
      </c>
      <c r="J3651" s="6"/>
      <c r="K3651" s="6" t="s">
        <v>2388</v>
      </c>
      <c r="L3651" s="6"/>
      <c r="M3651" s="6"/>
      <c r="N3651" s="6" t="s">
        <v>2388</v>
      </c>
      <c r="O3651" s="29">
        <f t="shared" si="86"/>
        <v>7000</v>
      </c>
      <c r="Q3651" s="30" t="s">
        <v>2388</v>
      </c>
      <c r="R3651" s="31">
        <v>7000</v>
      </c>
    </row>
    <row r="3652" s="1" customFormat="1" ht="16.35" hidden="1" customHeight="1" spans="1:18">
      <c r="A3652" s="6"/>
      <c r="B3652" s="6" t="s">
        <v>4271</v>
      </c>
      <c r="C3652" s="6" t="s">
        <v>4150</v>
      </c>
      <c r="D3652" s="7">
        <v>40</v>
      </c>
      <c r="E3652" s="6" t="s">
        <v>7212</v>
      </c>
      <c r="F3652" s="6" t="s">
        <v>5631</v>
      </c>
      <c r="G3652" s="6" t="s">
        <v>5632</v>
      </c>
      <c r="H3652" s="8"/>
      <c r="I3652" s="8">
        <v>64025</v>
      </c>
      <c r="J3652" s="6"/>
      <c r="K3652" s="6" t="s">
        <v>2448</v>
      </c>
      <c r="L3652" s="6"/>
      <c r="M3652" s="6"/>
      <c r="N3652" s="6" t="s">
        <v>2448</v>
      </c>
      <c r="O3652" s="29">
        <f t="shared" si="86"/>
        <v>64025</v>
      </c>
      <c r="Q3652" s="30" t="s">
        <v>2448</v>
      </c>
      <c r="R3652" s="31">
        <v>64025</v>
      </c>
    </row>
    <row r="3653" s="1" customFormat="1" ht="16.35" hidden="1" customHeight="1" spans="1:18">
      <c r="A3653" s="6"/>
      <c r="B3653" s="6" t="s">
        <v>4271</v>
      </c>
      <c r="C3653" s="6" t="s">
        <v>4150</v>
      </c>
      <c r="D3653" s="7">
        <v>52</v>
      </c>
      <c r="E3653" s="6" t="s">
        <v>7213</v>
      </c>
      <c r="F3653" s="6" t="s">
        <v>5631</v>
      </c>
      <c r="G3653" s="6" t="s">
        <v>5632</v>
      </c>
      <c r="H3653" s="8"/>
      <c r="I3653" s="8">
        <v>170000</v>
      </c>
      <c r="J3653" s="6"/>
      <c r="K3653" s="6" t="s">
        <v>2440</v>
      </c>
      <c r="L3653" s="6"/>
      <c r="M3653" s="6"/>
      <c r="N3653" s="6" t="s">
        <v>2440</v>
      </c>
      <c r="O3653" s="29">
        <f t="shared" si="86"/>
        <v>170000</v>
      </c>
      <c r="Q3653" s="30" t="s">
        <v>2440</v>
      </c>
      <c r="R3653" s="31">
        <v>170000</v>
      </c>
    </row>
    <row r="3654" s="1" customFormat="1" ht="16.35" hidden="1" customHeight="1" spans="1:18">
      <c r="A3654" s="6"/>
      <c r="B3654" s="6" t="s">
        <v>4271</v>
      </c>
      <c r="C3654" s="6" t="s">
        <v>4150</v>
      </c>
      <c r="D3654" s="7">
        <v>35</v>
      </c>
      <c r="E3654" s="6" t="s">
        <v>7214</v>
      </c>
      <c r="F3654" s="6" t="s">
        <v>5631</v>
      </c>
      <c r="G3654" s="6" t="s">
        <v>5632</v>
      </c>
      <c r="H3654" s="8"/>
      <c r="I3654" s="8">
        <v>160000</v>
      </c>
      <c r="J3654" s="6"/>
      <c r="K3654" s="6" t="s">
        <v>2466</v>
      </c>
      <c r="L3654" s="6"/>
      <c r="M3654" s="6"/>
      <c r="N3654" s="6" t="s">
        <v>2466</v>
      </c>
      <c r="O3654" s="29">
        <f t="shared" si="86"/>
        <v>160000</v>
      </c>
      <c r="Q3654" s="30" t="s">
        <v>2466</v>
      </c>
      <c r="R3654" s="31">
        <v>160000</v>
      </c>
    </row>
    <row r="3655" s="1" customFormat="1" ht="16.35" hidden="1" customHeight="1" spans="1:18">
      <c r="A3655" s="6"/>
      <c r="B3655" s="6" t="s">
        <v>4271</v>
      </c>
      <c r="C3655" s="6" t="s">
        <v>4150</v>
      </c>
      <c r="D3655" s="7">
        <v>10</v>
      </c>
      <c r="E3655" s="6" t="s">
        <v>7160</v>
      </c>
      <c r="F3655" s="6" t="s">
        <v>5631</v>
      </c>
      <c r="G3655" s="6" t="s">
        <v>5632</v>
      </c>
      <c r="H3655" s="8"/>
      <c r="I3655" s="8">
        <v>62738</v>
      </c>
      <c r="J3655" s="6"/>
      <c r="K3655" s="6" t="s">
        <v>2535</v>
      </c>
      <c r="L3655" s="6"/>
      <c r="M3655" s="6"/>
      <c r="N3655" s="6" t="s">
        <v>2535</v>
      </c>
      <c r="O3655" s="29">
        <f t="shared" si="86"/>
        <v>62738</v>
      </c>
      <c r="Q3655" s="30" t="s">
        <v>2535</v>
      </c>
      <c r="R3655" s="31">
        <v>62738</v>
      </c>
    </row>
    <row r="3656" s="1" customFormat="1" ht="16.35" hidden="1" customHeight="1" spans="1:18">
      <c r="A3656" s="6"/>
      <c r="B3656" s="6" t="s">
        <v>4271</v>
      </c>
      <c r="C3656" s="6" t="s">
        <v>4150</v>
      </c>
      <c r="D3656" s="7">
        <v>3</v>
      </c>
      <c r="E3656" s="6" t="s">
        <v>7215</v>
      </c>
      <c r="F3656" s="6" t="s">
        <v>5631</v>
      </c>
      <c r="G3656" s="6" t="s">
        <v>5632</v>
      </c>
      <c r="H3656" s="8"/>
      <c r="I3656" s="8">
        <v>110000</v>
      </c>
      <c r="J3656" s="6"/>
      <c r="K3656" s="6" t="s">
        <v>2533</v>
      </c>
      <c r="L3656" s="6"/>
      <c r="M3656" s="6"/>
      <c r="N3656" s="6" t="s">
        <v>2533</v>
      </c>
      <c r="O3656" s="29">
        <f t="shared" si="86"/>
        <v>110000</v>
      </c>
      <c r="Q3656" s="30" t="s">
        <v>2533</v>
      </c>
      <c r="R3656" s="31">
        <v>110000</v>
      </c>
    </row>
    <row r="3657" s="1" customFormat="1" ht="16.35" hidden="1" customHeight="1" spans="1:18">
      <c r="A3657" s="6"/>
      <c r="B3657" s="6" t="s">
        <v>4271</v>
      </c>
      <c r="C3657" s="6" t="s">
        <v>4171</v>
      </c>
      <c r="D3657" s="7">
        <v>38</v>
      </c>
      <c r="E3657" s="6" t="s">
        <v>7216</v>
      </c>
      <c r="F3657" s="6" t="s">
        <v>5631</v>
      </c>
      <c r="G3657" s="6" t="s">
        <v>5632</v>
      </c>
      <c r="H3657" s="8"/>
      <c r="I3657" s="8">
        <v>10000</v>
      </c>
      <c r="J3657" s="6"/>
      <c r="K3657" s="6" t="s">
        <v>2099</v>
      </c>
      <c r="L3657" s="6"/>
      <c r="M3657" s="6"/>
      <c r="N3657" s="6" t="s">
        <v>2099</v>
      </c>
      <c r="O3657" s="29">
        <f t="shared" si="86"/>
        <v>10000</v>
      </c>
      <c r="Q3657" s="30" t="s">
        <v>2099</v>
      </c>
      <c r="R3657" s="31">
        <v>10000</v>
      </c>
    </row>
    <row r="3658" s="1" customFormat="1" ht="16.35" hidden="1" customHeight="1" spans="1:18">
      <c r="A3658" s="6"/>
      <c r="B3658" s="6" t="s">
        <v>4271</v>
      </c>
      <c r="C3658" s="6" t="s">
        <v>4171</v>
      </c>
      <c r="D3658" s="7">
        <v>38</v>
      </c>
      <c r="E3658" s="6" t="s">
        <v>7217</v>
      </c>
      <c r="F3658" s="6" t="s">
        <v>5631</v>
      </c>
      <c r="G3658" s="6" t="s">
        <v>5632</v>
      </c>
      <c r="H3658" s="8"/>
      <c r="I3658" s="8">
        <v>10000</v>
      </c>
      <c r="J3658" s="6"/>
      <c r="K3658" s="6" t="s">
        <v>2099</v>
      </c>
      <c r="L3658" s="6"/>
      <c r="M3658" s="6"/>
      <c r="N3658" s="6" t="s">
        <v>2099</v>
      </c>
      <c r="O3658" s="29">
        <f t="shared" si="86"/>
        <v>10000</v>
      </c>
      <c r="Q3658" s="30" t="s">
        <v>2099</v>
      </c>
      <c r="R3658" s="31">
        <v>10000</v>
      </c>
    </row>
    <row r="3659" s="1" customFormat="1" ht="16.35" hidden="1" customHeight="1" spans="1:18">
      <c r="A3659" s="6"/>
      <c r="B3659" s="6" t="s">
        <v>4271</v>
      </c>
      <c r="C3659" s="6" t="s">
        <v>4171</v>
      </c>
      <c r="D3659" s="7">
        <v>38</v>
      </c>
      <c r="E3659" s="6" t="s">
        <v>7218</v>
      </c>
      <c r="F3659" s="6" t="s">
        <v>5631</v>
      </c>
      <c r="G3659" s="6" t="s">
        <v>5632</v>
      </c>
      <c r="H3659" s="8"/>
      <c r="I3659" s="8">
        <v>50000</v>
      </c>
      <c r="J3659" s="6"/>
      <c r="K3659" s="6" t="s">
        <v>2099</v>
      </c>
      <c r="L3659" s="6"/>
      <c r="M3659" s="6"/>
      <c r="N3659" s="6" t="s">
        <v>2099</v>
      </c>
      <c r="O3659" s="29">
        <f t="shared" si="86"/>
        <v>50000</v>
      </c>
      <c r="Q3659" s="30" t="s">
        <v>2099</v>
      </c>
      <c r="R3659" s="31">
        <v>50000</v>
      </c>
    </row>
    <row r="3660" s="1" customFormat="1" ht="16.35" hidden="1" customHeight="1" spans="1:18">
      <c r="A3660" s="6"/>
      <c r="B3660" s="6" t="s">
        <v>4271</v>
      </c>
      <c r="C3660" s="6" t="s">
        <v>4171</v>
      </c>
      <c r="D3660" s="7">
        <v>9</v>
      </c>
      <c r="E3660" s="6" t="s">
        <v>7219</v>
      </c>
      <c r="F3660" s="6" t="s">
        <v>5631</v>
      </c>
      <c r="G3660" s="6" t="s">
        <v>5632</v>
      </c>
      <c r="H3660" s="8"/>
      <c r="I3660" s="8">
        <v>118917</v>
      </c>
      <c r="J3660" s="6"/>
      <c r="K3660" s="6" t="s">
        <v>2566</v>
      </c>
      <c r="L3660" s="6"/>
      <c r="M3660" s="6"/>
      <c r="N3660" s="6" t="s">
        <v>2566</v>
      </c>
      <c r="O3660" s="29">
        <f t="shared" si="86"/>
        <v>118917</v>
      </c>
      <c r="Q3660" s="30" t="s">
        <v>2566</v>
      </c>
      <c r="R3660" s="31">
        <v>118917</v>
      </c>
    </row>
    <row r="3661" s="1" customFormat="1" ht="16.35" hidden="1" customHeight="1" spans="1:18">
      <c r="A3661" s="6"/>
      <c r="B3661" s="6" t="s">
        <v>4271</v>
      </c>
      <c r="C3661" s="6" t="s">
        <v>4171</v>
      </c>
      <c r="D3661" s="7">
        <v>7</v>
      </c>
      <c r="E3661" s="6" t="s">
        <v>7220</v>
      </c>
      <c r="F3661" s="6" t="s">
        <v>5631</v>
      </c>
      <c r="G3661" s="6" t="s">
        <v>5632</v>
      </c>
      <c r="H3661" s="8"/>
      <c r="I3661" s="8">
        <v>15500</v>
      </c>
      <c r="J3661" s="6"/>
      <c r="K3661" s="6" t="s">
        <v>2642</v>
      </c>
      <c r="L3661" s="6"/>
      <c r="M3661" s="6"/>
      <c r="N3661" s="6" t="s">
        <v>2642</v>
      </c>
      <c r="O3661" s="29">
        <f t="shared" si="86"/>
        <v>15500</v>
      </c>
      <c r="Q3661" s="30" t="s">
        <v>2642</v>
      </c>
      <c r="R3661" s="31">
        <v>15500</v>
      </c>
    </row>
    <row r="3662" s="1" customFormat="1" ht="16.35" hidden="1" customHeight="1" spans="1:18">
      <c r="A3662" s="6"/>
      <c r="B3662" s="6" t="s">
        <v>4271</v>
      </c>
      <c r="C3662" s="6" t="s">
        <v>4171</v>
      </c>
      <c r="D3662" s="7">
        <v>6</v>
      </c>
      <c r="E3662" s="6" t="s">
        <v>7221</v>
      </c>
      <c r="F3662" s="6" t="s">
        <v>5631</v>
      </c>
      <c r="G3662" s="6" t="s">
        <v>5632</v>
      </c>
      <c r="H3662" s="8"/>
      <c r="I3662" s="8">
        <v>89000</v>
      </c>
      <c r="J3662" s="6"/>
      <c r="K3662" s="6" t="s">
        <v>2692</v>
      </c>
      <c r="L3662" s="6"/>
      <c r="M3662" s="6"/>
      <c r="N3662" s="6" t="s">
        <v>2692</v>
      </c>
      <c r="O3662" s="29">
        <f t="shared" si="86"/>
        <v>89000</v>
      </c>
      <c r="Q3662" s="30" t="s">
        <v>2692</v>
      </c>
      <c r="R3662" s="31">
        <v>89000</v>
      </c>
    </row>
    <row r="3663" s="1" customFormat="1" ht="16.35" hidden="1" customHeight="1" spans="1:18">
      <c r="A3663" s="6"/>
      <c r="B3663" s="6" t="s">
        <v>4271</v>
      </c>
      <c r="C3663" s="6" t="s">
        <v>4171</v>
      </c>
      <c r="D3663" s="7">
        <v>14</v>
      </c>
      <c r="E3663" s="6" t="s">
        <v>7222</v>
      </c>
      <c r="F3663" s="6" t="s">
        <v>5631</v>
      </c>
      <c r="G3663" s="6" t="s">
        <v>5632</v>
      </c>
      <c r="H3663" s="8"/>
      <c r="I3663" s="8">
        <v>5000</v>
      </c>
      <c r="J3663" s="6"/>
      <c r="K3663" s="6" t="s">
        <v>2692</v>
      </c>
      <c r="L3663" s="6"/>
      <c r="M3663" s="6"/>
      <c r="N3663" s="6" t="s">
        <v>2692</v>
      </c>
      <c r="O3663" s="29">
        <f t="shared" si="86"/>
        <v>5000</v>
      </c>
      <c r="Q3663" s="30" t="s">
        <v>2692</v>
      </c>
      <c r="R3663" s="31">
        <v>5000</v>
      </c>
    </row>
    <row r="3664" s="1" customFormat="1" ht="16.35" hidden="1" customHeight="1" spans="1:18">
      <c r="A3664" s="6"/>
      <c r="B3664" s="6" t="s">
        <v>4271</v>
      </c>
      <c r="C3664" s="6" t="s">
        <v>4171</v>
      </c>
      <c r="D3664" s="7">
        <v>43</v>
      </c>
      <c r="E3664" s="6" t="s">
        <v>7223</v>
      </c>
      <c r="F3664" s="6" t="s">
        <v>5631</v>
      </c>
      <c r="G3664" s="6" t="s">
        <v>5632</v>
      </c>
      <c r="H3664" s="8"/>
      <c r="I3664" s="8">
        <v>66000</v>
      </c>
      <c r="J3664" s="6"/>
      <c r="K3664" s="6" t="s">
        <v>2692</v>
      </c>
      <c r="L3664" s="6"/>
      <c r="M3664" s="6"/>
      <c r="N3664" s="6" t="s">
        <v>2692</v>
      </c>
      <c r="O3664" s="29">
        <f t="shared" si="86"/>
        <v>66000</v>
      </c>
      <c r="Q3664" s="30" t="s">
        <v>2692</v>
      </c>
      <c r="R3664" s="31">
        <v>66000</v>
      </c>
    </row>
    <row r="3665" s="1" customFormat="1" ht="16.35" hidden="1" customHeight="1" spans="1:18">
      <c r="A3665" s="6"/>
      <c r="B3665" s="6" t="s">
        <v>4271</v>
      </c>
      <c r="C3665" s="6" t="s">
        <v>4171</v>
      </c>
      <c r="D3665" s="7">
        <v>36</v>
      </c>
      <c r="E3665" s="6" t="s">
        <v>7224</v>
      </c>
      <c r="F3665" s="6" t="s">
        <v>5631</v>
      </c>
      <c r="G3665" s="6" t="s">
        <v>5632</v>
      </c>
      <c r="H3665" s="8"/>
      <c r="I3665" s="8">
        <v>-8000</v>
      </c>
      <c r="J3665" s="6"/>
      <c r="K3665" s="6" t="s">
        <v>2694</v>
      </c>
      <c r="L3665" s="6"/>
      <c r="M3665" s="6"/>
      <c r="N3665" s="6" t="s">
        <v>2694</v>
      </c>
      <c r="O3665" s="29">
        <f t="shared" si="86"/>
        <v>-8000</v>
      </c>
      <c r="Q3665" s="30" t="s">
        <v>2694</v>
      </c>
      <c r="R3665" s="31">
        <v>-8000</v>
      </c>
    </row>
    <row r="3666" s="1" customFormat="1" ht="16.35" hidden="1" customHeight="1" spans="1:18">
      <c r="A3666" s="6"/>
      <c r="B3666" s="6" t="s">
        <v>4271</v>
      </c>
      <c r="C3666" s="6" t="s">
        <v>4171</v>
      </c>
      <c r="D3666" s="7">
        <v>36</v>
      </c>
      <c r="E3666" s="6" t="s">
        <v>7225</v>
      </c>
      <c r="F3666" s="6" t="s">
        <v>5631</v>
      </c>
      <c r="G3666" s="6" t="s">
        <v>5632</v>
      </c>
      <c r="H3666" s="8"/>
      <c r="I3666" s="8">
        <v>-2000</v>
      </c>
      <c r="J3666" s="6"/>
      <c r="K3666" s="6" t="s">
        <v>2694</v>
      </c>
      <c r="L3666" s="6"/>
      <c r="M3666" s="6"/>
      <c r="N3666" s="6" t="s">
        <v>2694</v>
      </c>
      <c r="O3666" s="29">
        <f t="shared" si="86"/>
        <v>-2000</v>
      </c>
      <c r="Q3666" s="30" t="s">
        <v>2694</v>
      </c>
      <c r="R3666" s="31">
        <v>-2000</v>
      </c>
    </row>
    <row r="3667" s="1" customFormat="1" ht="16.35" hidden="1" customHeight="1" spans="1:18">
      <c r="A3667" s="6"/>
      <c r="B3667" s="6" t="s">
        <v>4271</v>
      </c>
      <c r="C3667" s="6" t="s">
        <v>4171</v>
      </c>
      <c r="D3667" s="7">
        <v>36</v>
      </c>
      <c r="E3667" s="6" t="s">
        <v>7226</v>
      </c>
      <c r="F3667" s="6" t="s">
        <v>5631</v>
      </c>
      <c r="G3667" s="6" t="s">
        <v>5632</v>
      </c>
      <c r="H3667" s="8"/>
      <c r="I3667" s="8">
        <v>10000</v>
      </c>
      <c r="J3667" s="6"/>
      <c r="K3667" s="6" t="s">
        <v>2706</v>
      </c>
      <c r="L3667" s="6"/>
      <c r="M3667" s="6"/>
      <c r="N3667" s="6" t="s">
        <v>2706</v>
      </c>
      <c r="O3667" s="29">
        <f t="shared" si="86"/>
        <v>10000</v>
      </c>
      <c r="Q3667" s="30" t="s">
        <v>2706</v>
      </c>
      <c r="R3667" s="31">
        <v>10000</v>
      </c>
    </row>
    <row r="3668" s="1" customFormat="1" ht="16.35" hidden="1" customHeight="1" spans="1:18">
      <c r="A3668" s="6"/>
      <c r="B3668" s="6" t="s">
        <v>4271</v>
      </c>
      <c r="C3668" s="6" t="s">
        <v>4171</v>
      </c>
      <c r="D3668" s="7">
        <v>83</v>
      </c>
      <c r="E3668" s="6" t="s">
        <v>7227</v>
      </c>
      <c r="F3668" s="6" t="s">
        <v>5631</v>
      </c>
      <c r="G3668" s="6" t="s">
        <v>5632</v>
      </c>
      <c r="H3668" s="8"/>
      <c r="I3668" s="8">
        <v>-5000</v>
      </c>
      <c r="J3668" s="6"/>
      <c r="K3668" s="6" t="s">
        <v>1942</v>
      </c>
      <c r="L3668" s="6"/>
      <c r="M3668" s="6"/>
      <c r="N3668" s="6" t="s">
        <v>1942</v>
      </c>
      <c r="O3668" s="29">
        <f t="shared" si="86"/>
        <v>-5000</v>
      </c>
      <c r="Q3668" s="30" t="s">
        <v>1942</v>
      </c>
      <c r="R3668" s="31">
        <v>-5000</v>
      </c>
    </row>
    <row r="3669" s="1" customFormat="1" ht="16.35" hidden="1" customHeight="1" spans="1:18">
      <c r="A3669" s="6"/>
      <c r="B3669" s="6" t="s">
        <v>4271</v>
      </c>
      <c r="C3669" s="6" t="s">
        <v>4171</v>
      </c>
      <c r="D3669" s="7">
        <v>86</v>
      </c>
      <c r="E3669" s="6" t="s">
        <v>7228</v>
      </c>
      <c r="F3669" s="6" t="s">
        <v>5631</v>
      </c>
      <c r="G3669" s="6" t="s">
        <v>5632</v>
      </c>
      <c r="H3669" s="8"/>
      <c r="I3669" s="8">
        <v>5000</v>
      </c>
      <c r="J3669" s="6"/>
      <c r="K3669" s="6" t="s">
        <v>1942</v>
      </c>
      <c r="L3669" s="6"/>
      <c r="M3669" s="6"/>
      <c r="N3669" s="6" t="s">
        <v>1942</v>
      </c>
      <c r="O3669" s="29">
        <f t="shared" si="86"/>
        <v>5000</v>
      </c>
      <c r="Q3669" s="30" t="s">
        <v>1942</v>
      </c>
      <c r="R3669" s="31">
        <v>5000</v>
      </c>
    </row>
    <row r="3670" s="1" customFormat="1" ht="16.35" hidden="1" customHeight="1" spans="1:18">
      <c r="A3670" s="6"/>
      <c r="B3670" s="6" t="s">
        <v>4271</v>
      </c>
      <c r="C3670" s="6" t="s">
        <v>4171</v>
      </c>
      <c r="D3670" s="7">
        <v>15</v>
      </c>
      <c r="E3670" s="6" t="s">
        <v>7229</v>
      </c>
      <c r="F3670" s="6" t="s">
        <v>5631</v>
      </c>
      <c r="G3670" s="6" t="s">
        <v>5632</v>
      </c>
      <c r="H3670" s="8"/>
      <c r="I3670" s="8">
        <v>257142.86</v>
      </c>
      <c r="J3670" s="6"/>
      <c r="K3670" s="6" t="s">
        <v>285</v>
      </c>
      <c r="L3670" s="6"/>
      <c r="M3670" s="6"/>
      <c r="N3670" s="6" t="s">
        <v>285</v>
      </c>
      <c r="O3670" s="29">
        <f t="shared" si="86"/>
        <v>257142.86</v>
      </c>
      <c r="Q3670" s="30" t="s">
        <v>285</v>
      </c>
      <c r="R3670" s="31">
        <v>257142.86</v>
      </c>
    </row>
    <row r="3671" s="1" customFormat="1" ht="16.35" hidden="1" customHeight="1" spans="1:18">
      <c r="A3671" s="6"/>
      <c r="B3671" s="6" t="s">
        <v>4271</v>
      </c>
      <c r="C3671" s="6" t="s">
        <v>4171</v>
      </c>
      <c r="D3671" s="7">
        <v>15</v>
      </c>
      <c r="E3671" s="6" t="s">
        <v>7229</v>
      </c>
      <c r="F3671" s="6" t="s">
        <v>5631</v>
      </c>
      <c r="G3671" s="6" t="s">
        <v>5632</v>
      </c>
      <c r="H3671" s="8">
        <v>257142.86</v>
      </c>
      <c r="I3671" s="8"/>
      <c r="J3671" s="6"/>
      <c r="K3671" s="6" t="s">
        <v>285</v>
      </c>
      <c r="L3671" s="6"/>
      <c r="M3671" s="6"/>
      <c r="N3671" s="6" t="s">
        <v>285</v>
      </c>
      <c r="O3671" s="29">
        <f t="shared" si="86"/>
        <v>0</v>
      </c>
      <c r="Q3671" s="30" t="s">
        <v>285</v>
      </c>
      <c r="R3671" s="31">
        <v>0</v>
      </c>
    </row>
    <row r="3672" s="1" customFormat="1" ht="16.35" hidden="1" customHeight="1" spans="1:18">
      <c r="A3672" s="6"/>
      <c r="B3672" s="6" t="s">
        <v>4271</v>
      </c>
      <c r="C3672" s="6" t="s">
        <v>4171</v>
      </c>
      <c r="D3672" s="7">
        <v>17</v>
      </c>
      <c r="E3672" s="6" t="s">
        <v>7230</v>
      </c>
      <c r="F3672" s="6" t="s">
        <v>5631</v>
      </c>
      <c r="G3672" s="6" t="s">
        <v>5632</v>
      </c>
      <c r="H3672" s="8"/>
      <c r="I3672" s="8">
        <v>30000</v>
      </c>
      <c r="J3672" s="6"/>
      <c r="K3672" s="6" t="s">
        <v>2386</v>
      </c>
      <c r="L3672" s="6"/>
      <c r="M3672" s="6"/>
      <c r="N3672" s="6" t="s">
        <v>2386</v>
      </c>
      <c r="O3672" s="29">
        <f t="shared" ref="O3672:O3735" si="87">I3672</f>
        <v>30000</v>
      </c>
      <c r="Q3672" s="30" t="s">
        <v>2386</v>
      </c>
      <c r="R3672" s="31">
        <v>30000</v>
      </c>
    </row>
    <row r="3673" s="1" customFormat="1" ht="16.35" hidden="1" customHeight="1" spans="1:18">
      <c r="A3673" s="6"/>
      <c r="B3673" s="6" t="s">
        <v>4271</v>
      </c>
      <c r="C3673" s="6" t="s">
        <v>4171</v>
      </c>
      <c r="D3673" s="7">
        <v>37</v>
      </c>
      <c r="E3673" s="6" t="s">
        <v>7231</v>
      </c>
      <c r="F3673" s="6" t="s">
        <v>5631</v>
      </c>
      <c r="G3673" s="6" t="s">
        <v>5632</v>
      </c>
      <c r="H3673" s="8"/>
      <c r="I3673" s="8">
        <v>-1000</v>
      </c>
      <c r="J3673" s="6"/>
      <c r="K3673" s="6" t="s">
        <v>2400</v>
      </c>
      <c r="L3673" s="6"/>
      <c r="M3673" s="6"/>
      <c r="N3673" s="6" t="s">
        <v>2400</v>
      </c>
      <c r="O3673" s="29">
        <f t="shared" si="87"/>
        <v>-1000</v>
      </c>
      <c r="Q3673" s="30" t="s">
        <v>2400</v>
      </c>
      <c r="R3673" s="31">
        <v>-1000</v>
      </c>
    </row>
    <row r="3674" s="1" customFormat="1" ht="16.35" hidden="1" customHeight="1" spans="1:18">
      <c r="A3674" s="6"/>
      <c r="B3674" s="6" t="s">
        <v>4271</v>
      </c>
      <c r="C3674" s="6" t="s">
        <v>4171</v>
      </c>
      <c r="D3674" s="7">
        <v>37</v>
      </c>
      <c r="E3674" s="6" t="s">
        <v>7232</v>
      </c>
      <c r="F3674" s="6" t="s">
        <v>5631</v>
      </c>
      <c r="G3674" s="6" t="s">
        <v>5632</v>
      </c>
      <c r="H3674" s="8"/>
      <c r="I3674" s="8">
        <v>-94975</v>
      </c>
      <c r="J3674" s="6"/>
      <c r="K3674" s="6" t="s">
        <v>2400</v>
      </c>
      <c r="L3674" s="6"/>
      <c r="M3674" s="6"/>
      <c r="N3674" s="6" t="s">
        <v>2400</v>
      </c>
      <c r="O3674" s="29">
        <f t="shared" si="87"/>
        <v>-94975</v>
      </c>
      <c r="Q3674" s="30" t="s">
        <v>2400</v>
      </c>
      <c r="R3674" s="31">
        <v>-94975</v>
      </c>
    </row>
    <row r="3675" s="1" customFormat="1" ht="16.35" hidden="1" customHeight="1" spans="1:18">
      <c r="A3675" s="6"/>
      <c r="B3675" s="6" t="s">
        <v>4271</v>
      </c>
      <c r="C3675" s="6" t="s">
        <v>4171</v>
      </c>
      <c r="D3675" s="7">
        <v>23</v>
      </c>
      <c r="E3675" s="6" t="s">
        <v>7233</v>
      </c>
      <c r="F3675" s="6" t="s">
        <v>5631</v>
      </c>
      <c r="G3675" s="6" t="s">
        <v>5632</v>
      </c>
      <c r="H3675" s="8"/>
      <c r="I3675" s="8">
        <v>188000</v>
      </c>
      <c r="J3675" s="6"/>
      <c r="K3675" s="6" t="s">
        <v>2378</v>
      </c>
      <c r="L3675" s="6"/>
      <c r="M3675" s="6"/>
      <c r="N3675" s="6" t="s">
        <v>2378</v>
      </c>
      <c r="O3675" s="29">
        <f t="shared" si="87"/>
        <v>188000</v>
      </c>
      <c r="Q3675" s="30" t="s">
        <v>2378</v>
      </c>
      <c r="R3675" s="31">
        <v>188000</v>
      </c>
    </row>
    <row r="3676" s="1" customFormat="1" ht="16.35" hidden="1" customHeight="1" spans="1:18">
      <c r="A3676" s="6"/>
      <c r="B3676" s="6" t="s">
        <v>4271</v>
      </c>
      <c r="C3676" s="6" t="s">
        <v>4171</v>
      </c>
      <c r="D3676" s="7">
        <v>22</v>
      </c>
      <c r="E3676" s="6" t="s">
        <v>7234</v>
      </c>
      <c r="F3676" s="6" t="s">
        <v>5631</v>
      </c>
      <c r="G3676" s="6" t="s">
        <v>5632</v>
      </c>
      <c r="H3676" s="8"/>
      <c r="I3676" s="8">
        <v>115000</v>
      </c>
      <c r="J3676" s="6"/>
      <c r="K3676" s="6" t="s">
        <v>2390</v>
      </c>
      <c r="L3676" s="6"/>
      <c r="M3676" s="6"/>
      <c r="N3676" s="6" t="s">
        <v>2390</v>
      </c>
      <c r="O3676" s="29">
        <f t="shared" si="87"/>
        <v>115000</v>
      </c>
      <c r="Q3676" s="30" t="s">
        <v>2390</v>
      </c>
      <c r="R3676" s="31">
        <v>115000</v>
      </c>
    </row>
    <row r="3677" s="1" customFormat="1" ht="16.35" hidden="1" customHeight="1" spans="1:18">
      <c r="A3677" s="6"/>
      <c r="B3677" s="6" t="s">
        <v>4271</v>
      </c>
      <c r="C3677" s="6" t="s">
        <v>4171</v>
      </c>
      <c r="D3677" s="7">
        <v>23</v>
      </c>
      <c r="E3677" s="6" t="s">
        <v>7235</v>
      </c>
      <c r="F3677" s="6" t="s">
        <v>5631</v>
      </c>
      <c r="G3677" s="6" t="s">
        <v>5632</v>
      </c>
      <c r="H3677" s="8"/>
      <c r="I3677" s="8">
        <v>10050</v>
      </c>
      <c r="J3677" s="6"/>
      <c r="K3677" s="6" t="s">
        <v>2392</v>
      </c>
      <c r="L3677" s="6"/>
      <c r="M3677" s="6"/>
      <c r="N3677" s="6" t="s">
        <v>2392</v>
      </c>
      <c r="O3677" s="29">
        <f t="shared" si="87"/>
        <v>10050</v>
      </c>
      <c r="Q3677" s="30" t="s">
        <v>2392</v>
      </c>
      <c r="R3677" s="31">
        <v>10050</v>
      </c>
    </row>
    <row r="3678" s="1" customFormat="1" ht="16.35" hidden="1" customHeight="1" spans="1:18">
      <c r="A3678" s="6"/>
      <c r="B3678" s="6" t="s">
        <v>4271</v>
      </c>
      <c r="C3678" s="6" t="s">
        <v>4171</v>
      </c>
      <c r="D3678" s="7">
        <v>42</v>
      </c>
      <c r="E3678" s="6" t="s">
        <v>7236</v>
      </c>
      <c r="F3678" s="6" t="s">
        <v>5631</v>
      </c>
      <c r="G3678" s="6" t="s">
        <v>5632</v>
      </c>
      <c r="H3678" s="8"/>
      <c r="I3678" s="8">
        <v>449</v>
      </c>
      <c r="J3678" s="6"/>
      <c r="K3678" s="6" t="s">
        <v>2436</v>
      </c>
      <c r="L3678" s="6"/>
      <c r="M3678" s="6"/>
      <c r="N3678" s="6" t="s">
        <v>2436</v>
      </c>
      <c r="O3678" s="29">
        <f t="shared" si="87"/>
        <v>449</v>
      </c>
      <c r="Q3678" s="30" t="s">
        <v>2436</v>
      </c>
      <c r="R3678" s="31">
        <v>449</v>
      </c>
    </row>
    <row r="3679" s="1" customFormat="1" ht="16.35" hidden="1" customHeight="1" spans="1:18">
      <c r="A3679" s="6"/>
      <c r="B3679" s="6" t="s">
        <v>4271</v>
      </c>
      <c r="C3679" s="6" t="s">
        <v>4171</v>
      </c>
      <c r="D3679" s="7">
        <v>6</v>
      </c>
      <c r="E3679" s="6" t="s">
        <v>7133</v>
      </c>
      <c r="F3679" s="6" t="s">
        <v>5631</v>
      </c>
      <c r="G3679" s="6" t="s">
        <v>5632</v>
      </c>
      <c r="H3679" s="8"/>
      <c r="I3679" s="8">
        <v>106878</v>
      </c>
      <c r="J3679" s="6"/>
      <c r="K3679" s="6" t="s">
        <v>2486</v>
      </c>
      <c r="L3679" s="6"/>
      <c r="M3679" s="6"/>
      <c r="N3679" s="6" t="s">
        <v>2486</v>
      </c>
      <c r="O3679" s="29">
        <f t="shared" si="87"/>
        <v>106878</v>
      </c>
      <c r="Q3679" s="30" t="s">
        <v>2486</v>
      </c>
      <c r="R3679" s="31">
        <v>106878</v>
      </c>
    </row>
    <row r="3680" s="1" customFormat="1" ht="16.35" hidden="1" customHeight="1" spans="1:18">
      <c r="A3680" s="6"/>
      <c r="B3680" s="6" t="s">
        <v>4271</v>
      </c>
      <c r="C3680" s="6" t="s">
        <v>4171</v>
      </c>
      <c r="D3680" s="7">
        <v>13</v>
      </c>
      <c r="E3680" s="6" t="s">
        <v>7237</v>
      </c>
      <c r="F3680" s="6" t="s">
        <v>5631</v>
      </c>
      <c r="G3680" s="6" t="s">
        <v>5632</v>
      </c>
      <c r="H3680" s="8"/>
      <c r="I3680" s="8">
        <v>18000</v>
      </c>
      <c r="J3680" s="6"/>
      <c r="K3680" s="6" t="s">
        <v>2557</v>
      </c>
      <c r="L3680" s="6"/>
      <c r="M3680" s="6"/>
      <c r="N3680" s="6" t="s">
        <v>2557</v>
      </c>
      <c r="O3680" s="29">
        <f t="shared" si="87"/>
        <v>18000</v>
      </c>
      <c r="Q3680" s="30" t="s">
        <v>2557</v>
      </c>
      <c r="R3680" s="31">
        <v>18000</v>
      </c>
    </row>
    <row r="3681" s="1" customFormat="1" ht="16.35" hidden="1" customHeight="1" spans="1:18">
      <c r="A3681" s="6"/>
      <c r="B3681" s="6" t="s">
        <v>4271</v>
      </c>
      <c r="C3681" s="6" t="s">
        <v>4171</v>
      </c>
      <c r="D3681" s="7">
        <v>43</v>
      </c>
      <c r="E3681" s="6" t="s">
        <v>7238</v>
      </c>
      <c r="F3681" s="6" t="s">
        <v>5631</v>
      </c>
      <c r="G3681" s="6" t="s">
        <v>5632</v>
      </c>
      <c r="H3681" s="8"/>
      <c r="I3681" s="8">
        <v>137730</v>
      </c>
      <c r="J3681" s="6"/>
      <c r="K3681" s="6" t="s">
        <v>2557</v>
      </c>
      <c r="L3681" s="6"/>
      <c r="M3681" s="6"/>
      <c r="N3681" s="6" t="s">
        <v>2557</v>
      </c>
      <c r="O3681" s="29">
        <f t="shared" si="87"/>
        <v>137730</v>
      </c>
      <c r="Q3681" s="30" t="s">
        <v>2557</v>
      </c>
      <c r="R3681" s="31">
        <v>137730</v>
      </c>
    </row>
    <row r="3682" s="1" customFormat="1" ht="16.35" hidden="1" customHeight="1" spans="1:18">
      <c r="A3682" s="6"/>
      <c r="B3682" s="6" t="s">
        <v>4271</v>
      </c>
      <c r="C3682" s="6" t="s">
        <v>4171</v>
      </c>
      <c r="D3682" s="7">
        <v>39</v>
      </c>
      <c r="E3682" s="6" t="s">
        <v>7239</v>
      </c>
      <c r="F3682" s="6" t="s">
        <v>5631</v>
      </c>
      <c r="G3682" s="6" t="s">
        <v>5632</v>
      </c>
      <c r="H3682" s="8"/>
      <c r="I3682" s="8">
        <v>-5000</v>
      </c>
      <c r="J3682" s="6"/>
      <c r="K3682" s="6" t="s">
        <v>2496</v>
      </c>
      <c r="L3682" s="6"/>
      <c r="M3682" s="6"/>
      <c r="N3682" s="6" t="s">
        <v>2496</v>
      </c>
      <c r="O3682" s="29">
        <f t="shared" si="87"/>
        <v>-5000</v>
      </c>
      <c r="Q3682" s="30" t="s">
        <v>2496</v>
      </c>
      <c r="R3682" s="31">
        <v>-5000</v>
      </c>
    </row>
    <row r="3683" s="1" customFormat="1" ht="16.35" hidden="1" customHeight="1" spans="1:18">
      <c r="A3683" s="6"/>
      <c r="B3683" s="6" t="s">
        <v>4271</v>
      </c>
      <c r="C3683" s="6" t="s">
        <v>4171</v>
      </c>
      <c r="D3683" s="7">
        <v>39</v>
      </c>
      <c r="E3683" s="6" t="s">
        <v>7239</v>
      </c>
      <c r="F3683" s="6" t="s">
        <v>5631</v>
      </c>
      <c r="G3683" s="6" t="s">
        <v>5632</v>
      </c>
      <c r="H3683" s="8"/>
      <c r="I3683" s="8">
        <v>5000</v>
      </c>
      <c r="J3683" s="6"/>
      <c r="K3683" s="6" t="s">
        <v>2551</v>
      </c>
      <c r="L3683" s="6"/>
      <c r="M3683" s="6"/>
      <c r="N3683" s="6" t="s">
        <v>2551</v>
      </c>
      <c r="O3683" s="29">
        <f t="shared" si="87"/>
        <v>5000</v>
      </c>
      <c r="Q3683" s="30" t="s">
        <v>2551</v>
      </c>
      <c r="R3683" s="31">
        <v>5000</v>
      </c>
    </row>
    <row r="3684" s="1" customFormat="1" ht="16.35" hidden="1" customHeight="1" spans="1:18">
      <c r="A3684" s="6"/>
      <c r="B3684" s="6" t="s">
        <v>4271</v>
      </c>
      <c r="C3684" s="6" t="s">
        <v>4171</v>
      </c>
      <c r="D3684" s="7">
        <v>19</v>
      </c>
      <c r="E3684" s="6" t="s">
        <v>7240</v>
      </c>
      <c r="F3684" s="6" t="s">
        <v>5631</v>
      </c>
      <c r="G3684" s="6" t="s">
        <v>5632</v>
      </c>
      <c r="H3684" s="8"/>
      <c r="I3684" s="8">
        <v>70000</v>
      </c>
      <c r="J3684" s="6"/>
      <c r="K3684" s="6" t="s">
        <v>2551</v>
      </c>
      <c r="L3684" s="6"/>
      <c r="M3684" s="6"/>
      <c r="N3684" s="6" t="s">
        <v>2551</v>
      </c>
      <c r="O3684" s="29">
        <f t="shared" si="87"/>
        <v>70000</v>
      </c>
      <c r="Q3684" s="30" t="s">
        <v>2551</v>
      </c>
      <c r="R3684" s="31">
        <v>70000</v>
      </c>
    </row>
    <row r="3685" s="1" customFormat="1" ht="16.35" hidden="1" customHeight="1" spans="1:18">
      <c r="A3685" s="6"/>
      <c r="B3685" s="6" t="s">
        <v>4271</v>
      </c>
      <c r="C3685" s="6" t="s">
        <v>4171</v>
      </c>
      <c r="D3685" s="7">
        <v>11</v>
      </c>
      <c r="E3685" s="6" t="s">
        <v>7241</v>
      </c>
      <c r="F3685" s="6" t="s">
        <v>5631</v>
      </c>
      <c r="G3685" s="6" t="s">
        <v>5632</v>
      </c>
      <c r="H3685" s="8"/>
      <c r="I3685" s="8">
        <v>10000</v>
      </c>
      <c r="J3685" s="6"/>
      <c r="K3685" s="6" t="s">
        <v>2555</v>
      </c>
      <c r="L3685" s="6"/>
      <c r="M3685" s="6"/>
      <c r="N3685" s="6" t="s">
        <v>2555</v>
      </c>
      <c r="O3685" s="29">
        <f t="shared" si="87"/>
        <v>10000</v>
      </c>
      <c r="Q3685" s="30" t="s">
        <v>2555</v>
      </c>
      <c r="R3685" s="31">
        <v>10000</v>
      </c>
    </row>
    <row r="3686" s="1" customFormat="1" ht="16.35" hidden="1" customHeight="1" spans="1:18">
      <c r="A3686" s="6"/>
      <c r="B3686" s="6" t="s">
        <v>4271</v>
      </c>
      <c r="C3686" s="6" t="s">
        <v>4171</v>
      </c>
      <c r="D3686" s="7">
        <v>18</v>
      </c>
      <c r="E3686" s="6" t="s">
        <v>7242</v>
      </c>
      <c r="F3686" s="6" t="s">
        <v>5631</v>
      </c>
      <c r="G3686" s="6" t="s">
        <v>5632</v>
      </c>
      <c r="H3686" s="8"/>
      <c r="I3686" s="8">
        <v>198932</v>
      </c>
      <c r="J3686" s="6"/>
      <c r="K3686" s="6" t="s">
        <v>2555</v>
      </c>
      <c r="L3686" s="6"/>
      <c r="M3686" s="6"/>
      <c r="N3686" s="6" t="s">
        <v>2555</v>
      </c>
      <c r="O3686" s="29">
        <f t="shared" si="87"/>
        <v>198932</v>
      </c>
      <c r="Q3686" s="30" t="s">
        <v>2555</v>
      </c>
      <c r="R3686" s="31">
        <v>198932</v>
      </c>
    </row>
    <row r="3687" s="1" customFormat="1" ht="16.35" hidden="1" customHeight="1" spans="1:18">
      <c r="A3687" s="6"/>
      <c r="B3687" s="6" t="s">
        <v>4271</v>
      </c>
      <c r="C3687" s="6" t="s">
        <v>4171</v>
      </c>
      <c r="D3687" s="7">
        <v>17</v>
      </c>
      <c r="E3687" s="6" t="s">
        <v>7243</v>
      </c>
      <c r="F3687" s="6" t="s">
        <v>5631</v>
      </c>
      <c r="G3687" s="6" t="s">
        <v>5632</v>
      </c>
      <c r="H3687" s="8"/>
      <c r="I3687" s="8">
        <v>64233</v>
      </c>
      <c r="J3687" s="6"/>
      <c r="K3687" s="6" t="s">
        <v>2527</v>
      </c>
      <c r="L3687" s="6"/>
      <c r="M3687" s="6"/>
      <c r="N3687" s="6" t="s">
        <v>2527</v>
      </c>
      <c r="O3687" s="29">
        <f t="shared" si="87"/>
        <v>64233</v>
      </c>
      <c r="Q3687" s="30" t="s">
        <v>2527</v>
      </c>
      <c r="R3687" s="31">
        <v>64233</v>
      </c>
    </row>
    <row r="3688" s="1" customFormat="1" ht="16.35" hidden="1" customHeight="1" spans="1:18">
      <c r="A3688" s="6"/>
      <c r="B3688" s="6" t="s">
        <v>4271</v>
      </c>
      <c r="C3688" s="6" t="s">
        <v>4171</v>
      </c>
      <c r="D3688" s="7">
        <v>5</v>
      </c>
      <c r="E3688" s="6" t="s">
        <v>7244</v>
      </c>
      <c r="F3688" s="6" t="s">
        <v>5631</v>
      </c>
      <c r="G3688" s="6" t="s">
        <v>5632</v>
      </c>
      <c r="H3688" s="8"/>
      <c r="I3688" s="8">
        <v>182735</v>
      </c>
      <c r="J3688" s="6"/>
      <c r="K3688" s="6" t="s">
        <v>2615</v>
      </c>
      <c r="L3688" s="6"/>
      <c r="M3688" s="6"/>
      <c r="N3688" s="6" t="s">
        <v>2615</v>
      </c>
      <c r="O3688" s="29">
        <f t="shared" si="87"/>
        <v>182735</v>
      </c>
      <c r="Q3688" s="30" t="s">
        <v>2615</v>
      </c>
      <c r="R3688" s="31">
        <v>182735</v>
      </c>
    </row>
    <row r="3689" s="1" customFormat="1" ht="16.35" hidden="1" customHeight="1" spans="1:18">
      <c r="A3689" s="6"/>
      <c r="B3689" s="6" t="s">
        <v>4271</v>
      </c>
      <c r="C3689" s="6" t="s">
        <v>4171</v>
      </c>
      <c r="D3689" s="7">
        <v>38</v>
      </c>
      <c r="E3689" s="6" t="s">
        <v>7216</v>
      </c>
      <c r="F3689" s="6" t="s">
        <v>5631</v>
      </c>
      <c r="G3689" s="6" t="s">
        <v>5632</v>
      </c>
      <c r="H3689" s="8"/>
      <c r="I3689" s="8">
        <v>-10000</v>
      </c>
      <c r="J3689" s="6"/>
      <c r="K3689" s="6" t="s">
        <v>2722</v>
      </c>
      <c r="L3689" s="6"/>
      <c r="M3689" s="6"/>
      <c r="N3689" s="6" t="s">
        <v>2722</v>
      </c>
      <c r="O3689" s="29">
        <f t="shared" si="87"/>
        <v>-10000</v>
      </c>
      <c r="Q3689" s="30" t="s">
        <v>2722</v>
      </c>
      <c r="R3689" s="31">
        <v>-10000</v>
      </c>
    </row>
    <row r="3690" s="1" customFormat="1" ht="16.35" hidden="1" customHeight="1" spans="1:18">
      <c r="A3690" s="6"/>
      <c r="B3690" s="6" t="s">
        <v>4271</v>
      </c>
      <c r="C3690" s="6" t="s">
        <v>4171</v>
      </c>
      <c r="D3690" s="7">
        <v>38</v>
      </c>
      <c r="E3690" s="6" t="s">
        <v>7217</v>
      </c>
      <c r="F3690" s="6" t="s">
        <v>5631</v>
      </c>
      <c r="G3690" s="6" t="s">
        <v>5632</v>
      </c>
      <c r="H3690" s="8"/>
      <c r="I3690" s="8">
        <v>-10000</v>
      </c>
      <c r="J3690" s="6"/>
      <c r="K3690" s="6" t="s">
        <v>2722</v>
      </c>
      <c r="L3690" s="6"/>
      <c r="M3690" s="6"/>
      <c r="N3690" s="6" t="s">
        <v>2722</v>
      </c>
      <c r="O3690" s="29">
        <f t="shared" si="87"/>
        <v>-10000</v>
      </c>
      <c r="Q3690" s="30" t="s">
        <v>2722</v>
      </c>
      <c r="R3690" s="31">
        <v>-10000</v>
      </c>
    </row>
    <row r="3691" s="1" customFormat="1" ht="16.35" hidden="1" customHeight="1" spans="1:18">
      <c r="A3691" s="6"/>
      <c r="B3691" s="6" t="s">
        <v>4271</v>
      </c>
      <c r="C3691" s="6" t="s">
        <v>4171</v>
      </c>
      <c r="D3691" s="7">
        <v>38</v>
      </c>
      <c r="E3691" s="6" t="s">
        <v>7218</v>
      </c>
      <c r="F3691" s="6" t="s">
        <v>5631</v>
      </c>
      <c r="G3691" s="6" t="s">
        <v>5632</v>
      </c>
      <c r="H3691" s="8"/>
      <c r="I3691" s="8">
        <v>-50000</v>
      </c>
      <c r="J3691" s="6"/>
      <c r="K3691" s="6" t="s">
        <v>2722</v>
      </c>
      <c r="L3691" s="6"/>
      <c r="M3691" s="6"/>
      <c r="N3691" s="6" t="s">
        <v>2722</v>
      </c>
      <c r="O3691" s="29">
        <f t="shared" si="87"/>
        <v>-50000</v>
      </c>
      <c r="Q3691" s="30" t="s">
        <v>2722</v>
      </c>
      <c r="R3691" s="31">
        <v>-50000</v>
      </c>
    </row>
    <row r="3692" s="1" customFormat="1" ht="16.35" hidden="1" customHeight="1" spans="1:18">
      <c r="A3692" s="6"/>
      <c r="B3692" s="6" t="s">
        <v>4271</v>
      </c>
      <c r="C3692" s="6" t="s">
        <v>4171</v>
      </c>
      <c r="D3692" s="7">
        <v>84</v>
      </c>
      <c r="E3692" s="6" t="s">
        <v>4358</v>
      </c>
      <c r="F3692" s="6" t="s">
        <v>5631</v>
      </c>
      <c r="G3692" s="6" t="s">
        <v>5632</v>
      </c>
      <c r="H3692" s="8"/>
      <c r="I3692" s="8">
        <v>-5000</v>
      </c>
      <c r="J3692" s="6"/>
      <c r="K3692" s="6" t="s">
        <v>2807</v>
      </c>
      <c r="L3692" s="6"/>
      <c r="M3692" s="6"/>
      <c r="N3692" s="6" t="s">
        <v>2807</v>
      </c>
      <c r="O3692" s="29">
        <f t="shared" si="87"/>
        <v>-5000</v>
      </c>
      <c r="Q3692" s="30" t="s">
        <v>2807</v>
      </c>
      <c r="R3692" s="31">
        <v>-5000</v>
      </c>
    </row>
    <row r="3693" s="1" customFormat="1" ht="16.35" hidden="1" customHeight="1" spans="1:18">
      <c r="A3693" s="6"/>
      <c r="B3693" s="6" t="s">
        <v>4271</v>
      </c>
      <c r="C3693" s="6" t="s">
        <v>4171</v>
      </c>
      <c r="D3693" s="7">
        <v>4</v>
      </c>
      <c r="E3693" s="6" t="s">
        <v>7245</v>
      </c>
      <c r="F3693" s="6" t="s">
        <v>5631</v>
      </c>
      <c r="G3693" s="6" t="s">
        <v>5632</v>
      </c>
      <c r="H3693" s="8"/>
      <c r="I3693" s="8">
        <v>110000</v>
      </c>
      <c r="J3693" s="6"/>
      <c r="K3693" s="6" t="s">
        <v>2147</v>
      </c>
      <c r="L3693" s="6"/>
      <c r="M3693" s="6"/>
      <c r="N3693" s="6" t="s">
        <v>2147</v>
      </c>
      <c r="O3693" s="29">
        <f t="shared" si="87"/>
        <v>110000</v>
      </c>
      <c r="Q3693" s="30" t="s">
        <v>2147</v>
      </c>
      <c r="R3693" s="31">
        <v>110000</v>
      </c>
    </row>
    <row r="3694" s="1" customFormat="1" ht="16.35" hidden="1" customHeight="1" spans="1:18">
      <c r="A3694" s="6"/>
      <c r="B3694" s="6" t="s">
        <v>4271</v>
      </c>
      <c r="C3694" s="6" t="s">
        <v>4171</v>
      </c>
      <c r="D3694" s="7">
        <v>8</v>
      </c>
      <c r="E3694" s="6" t="s">
        <v>7246</v>
      </c>
      <c r="F3694" s="6" t="s">
        <v>5631</v>
      </c>
      <c r="G3694" s="6" t="s">
        <v>5632</v>
      </c>
      <c r="H3694" s="8"/>
      <c r="I3694" s="8">
        <v>85518</v>
      </c>
      <c r="J3694" s="6"/>
      <c r="K3694" s="6" t="s">
        <v>2149</v>
      </c>
      <c r="L3694" s="6"/>
      <c r="M3694" s="6"/>
      <c r="N3694" s="6" t="s">
        <v>2149</v>
      </c>
      <c r="O3694" s="29">
        <f t="shared" si="87"/>
        <v>85518</v>
      </c>
      <c r="Q3694" s="30" t="s">
        <v>2149</v>
      </c>
      <c r="R3694" s="31">
        <v>85518</v>
      </c>
    </row>
    <row r="3695" s="1" customFormat="1" ht="16.35" hidden="1" customHeight="1" spans="1:18">
      <c r="A3695" s="6"/>
      <c r="B3695" s="6" t="s">
        <v>4271</v>
      </c>
      <c r="C3695" s="6" t="s">
        <v>4171</v>
      </c>
      <c r="D3695" s="7">
        <v>10</v>
      </c>
      <c r="E3695" s="6" t="s">
        <v>7247</v>
      </c>
      <c r="F3695" s="6" t="s">
        <v>5631</v>
      </c>
      <c r="G3695" s="6" t="s">
        <v>5632</v>
      </c>
      <c r="H3695" s="8"/>
      <c r="I3695" s="8">
        <v>321813</v>
      </c>
      <c r="J3695" s="6"/>
      <c r="K3695" s="6" t="s">
        <v>2811</v>
      </c>
      <c r="L3695" s="6"/>
      <c r="M3695" s="6"/>
      <c r="N3695" s="6" t="s">
        <v>2811</v>
      </c>
      <c r="O3695" s="29">
        <f t="shared" si="87"/>
        <v>321813</v>
      </c>
      <c r="Q3695" s="30" t="s">
        <v>2811</v>
      </c>
      <c r="R3695" s="31">
        <v>321813</v>
      </c>
    </row>
    <row r="3696" s="1" customFormat="1" ht="16.35" hidden="1" customHeight="1" spans="1:18">
      <c r="A3696" s="6"/>
      <c r="B3696" s="6" t="s">
        <v>4271</v>
      </c>
      <c r="C3696" s="6" t="s">
        <v>4171</v>
      </c>
      <c r="D3696" s="7">
        <v>52</v>
      </c>
      <c r="E3696" s="6" t="s">
        <v>7248</v>
      </c>
      <c r="F3696" s="6" t="s">
        <v>5631</v>
      </c>
      <c r="G3696" s="6" t="s">
        <v>5632</v>
      </c>
      <c r="H3696" s="8"/>
      <c r="I3696" s="8">
        <v>5000</v>
      </c>
      <c r="J3696" s="6"/>
      <c r="K3696" s="6" t="s">
        <v>2811</v>
      </c>
      <c r="L3696" s="6"/>
      <c r="M3696" s="6"/>
      <c r="N3696" s="6" t="s">
        <v>2811</v>
      </c>
      <c r="O3696" s="29">
        <f t="shared" si="87"/>
        <v>5000</v>
      </c>
      <c r="Q3696" s="30" t="s">
        <v>2811</v>
      </c>
      <c r="R3696" s="31">
        <v>5000</v>
      </c>
    </row>
    <row r="3697" s="1" customFormat="1" ht="16.35" hidden="1" customHeight="1" spans="1:18">
      <c r="A3697" s="6"/>
      <c r="B3697" s="6" t="s">
        <v>4271</v>
      </c>
      <c r="C3697" s="6" t="s">
        <v>4171</v>
      </c>
      <c r="D3697" s="7">
        <v>3</v>
      </c>
      <c r="E3697" s="6" t="s">
        <v>7249</v>
      </c>
      <c r="F3697" s="6" t="s">
        <v>5631</v>
      </c>
      <c r="G3697" s="6" t="s">
        <v>5632</v>
      </c>
      <c r="H3697" s="8"/>
      <c r="I3697" s="8">
        <v>5000</v>
      </c>
      <c r="J3697" s="6"/>
      <c r="K3697" s="6" t="s">
        <v>2374</v>
      </c>
      <c r="L3697" s="6"/>
      <c r="M3697" s="6"/>
      <c r="N3697" s="6" t="s">
        <v>2374</v>
      </c>
      <c r="O3697" s="29">
        <f t="shared" si="87"/>
        <v>5000</v>
      </c>
      <c r="Q3697" s="30" t="s">
        <v>2374</v>
      </c>
      <c r="R3697" s="31">
        <v>5000</v>
      </c>
    </row>
    <row r="3698" s="1" customFormat="1" ht="16.35" hidden="1" customHeight="1" spans="1:18">
      <c r="A3698" s="6"/>
      <c r="B3698" s="6" t="s">
        <v>4271</v>
      </c>
      <c r="C3698" s="6" t="s">
        <v>4171</v>
      </c>
      <c r="D3698" s="7">
        <v>45</v>
      </c>
      <c r="E3698" s="6" t="s">
        <v>7250</v>
      </c>
      <c r="F3698" s="6" t="s">
        <v>5631</v>
      </c>
      <c r="G3698" s="6" t="s">
        <v>5632</v>
      </c>
      <c r="H3698" s="8"/>
      <c r="I3698" s="8">
        <v>76988</v>
      </c>
      <c r="J3698" s="6"/>
      <c r="K3698" s="6" t="s">
        <v>2374</v>
      </c>
      <c r="L3698" s="6"/>
      <c r="M3698" s="6"/>
      <c r="N3698" s="6" t="s">
        <v>2374</v>
      </c>
      <c r="O3698" s="29">
        <f t="shared" si="87"/>
        <v>76988</v>
      </c>
      <c r="Q3698" s="30" t="s">
        <v>2374</v>
      </c>
      <c r="R3698" s="31">
        <v>76988</v>
      </c>
    </row>
    <row r="3699" s="1" customFormat="1" ht="16.35" hidden="1" customHeight="1" spans="1:18">
      <c r="A3699" s="6"/>
      <c r="B3699" s="6" t="s">
        <v>4271</v>
      </c>
      <c r="C3699" s="6" t="s">
        <v>4171</v>
      </c>
      <c r="D3699" s="7">
        <v>9</v>
      </c>
      <c r="E3699" s="6" t="s">
        <v>7251</v>
      </c>
      <c r="F3699" s="6" t="s">
        <v>5631</v>
      </c>
      <c r="G3699" s="6" t="s">
        <v>5632</v>
      </c>
      <c r="H3699" s="8"/>
      <c r="I3699" s="8">
        <v>10000</v>
      </c>
      <c r="J3699" s="6"/>
      <c r="K3699" s="6" t="s">
        <v>2414</v>
      </c>
      <c r="L3699" s="6"/>
      <c r="M3699" s="6"/>
      <c r="N3699" s="6" t="s">
        <v>2414</v>
      </c>
      <c r="O3699" s="29">
        <f t="shared" si="87"/>
        <v>10000</v>
      </c>
      <c r="Q3699" s="30" t="s">
        <v>2414</v>
      </c>
      <c r="R3699" s="31">
        <v>10000</v>
      </c>
    </row>
    <row r="3700" s="1" customFormat="1" ht="16.35" hidden="1" customHeight="1" spans="1:18">
      <c r="A3700" s="6"/>
      <c r="B3700" s="6" t="s">
        <v>4271</v>
      </c>
      <c r="C3700" s="6" t="s">
        <v>4171</v>
      </c>
      <c r="D3700" s="7">
        <v>44</v>
      </c>
      <c r="E3700" s="6" t="s">
        <v>7251</v>
      </c>
      <c r="F3700" s="6" t="s">
        <v>5631</v>
      </c>
      <c r="G3700" s="6" t="s">
        <v>5632</v>
      </c>
      <c r="H3700" s="8"/>
      <c r="I3700" s="8">
        <v>71755</v>
      </c>
      <c r="J3700" s="6"/>
      <c r="K3700" s="6" t="s">
        <v>2414</v>
      </c>
      <c r="L3700" s="6"/>
      <c r="M3700" s="6"/>
      <c r="N3700" s="6" t="s">
        <v>2414</v>
      </c>
      <c r="O3700" s="29">
        <f t="shared" si="87"/>
        <v>71755</v>
      </c>
      <c r="Q3700" s="30" t="s">
        <v>2414</v>
      </c>
      <c r="R3700" s="31">
        <v>71755</v>
      </c>
    </row>
    <row r="3701" s="1" customFormat="1" ht="16.35" hidden="1" customHeight="1" spans="1:18">
      <c r="A3701" s="6"/>
      <c r="B3701" s="6" t="s">
        <v>4271</v>
      </c>
      <c r="C3701" s="6" t="s">
        <v>4171</v>
      </c>
      <c r="D3701" s="7">
        <v>40</v>
      </c>
      <c r="E3701" s="6" t="s">
        <v>7252</v>
      </c>
      <c r="F3701" s="6" t="s">
        <v>5631</v>
      </c>
      <c r="G3701" s="6" t="s">
        <v>5632</v>
      </c>
      <c r="H3701" s="8"/>
      <c r="I3701" s="8">
        <v>36000</v>
      </c>
      <c r="J3701" s="6"/>
      <c r="K3701" s="6" t="s">
        <v>2460</v>
      </c>
      <c r="L3701" s="6"/>
      <c r="M3701" s="6"/>
      <c r="N3701" s="6" t="s">
        <v>2460</v>
      </c>
      <c r="O3701" s="29">
        <f t="shared" si="87"/>
        <v>36000</v>
      </c>
      <c r="Q3701" s="30" t="s">
        <v>2460</v>
      </c>
      <c r="R3701" s="31">
        <v>36000</v>
      </c>
    </row>
    <row r="3702" s="1" customFormat="1" ht="16.35" hidden="1" customHeight="1" spans="1:18">
      <c r="A3702" s="6"/>
      <c r="B3702" s="6" t="s">
        <v>4271</v>
      </c>
      <c r="C3702" s="6" t="s">
        <v>4171</v>
      </c>
      <c r="D3702" s="7">
        <v>41</v>
      </c>
      <c r="E3702" s="6" t="s">
        <v>7253</v>
      </c>
      <c r="F3702" s="6" t="s">
        <v>5631</v>
      </c>
      <c r="G3702" s="6" t="s">
        <v>5632</v>
      </c>
      <c r="H3702" s="8"/>
      <c r="I3702" s="8">
        <v>80</v>
      </c>
      <c r="J3702" s="6"/>
      <c r="K3702" s="6" t="s">
        <v>2460</v>
      </c>
      <c r="L3702" s="6"/>
      <c r="M3702" s="6"/>
      <c r="N3702" s="6" t="s">
        <v>2460</v>
      </c>
      <c r="O3702" s="29">
        <f t="shared" si="87"/>
        <v>80</v>
      </c>
      <c r="Q3702" s="30" t="s">
        <v>2460</v>
      </c>
      <c r="R3702" s="31">
        <v>80</v>
      </c>
    </row>
    <row r="3703" s="1" customFormat="1" ht="16.35" hidden="1" customHeight="1" spans="1:18">
      <c r="A3703" s="6"/>
      <c r="B3703" s="6" t="s">
        <v>4271</v>
      </c>
      <c r="C3703" s="6" t="s">
        <v>4171</v>
      </c>
      <c r="D3703" s="7">
        <v>10</v>
      </c>
      <c r="E3703" s="6" t="s">
        <v>7254</v>
      </c>
      <c r="F3703" s="6" t="s">
        <v>5631</v>
      </c>
      <c r="G3703" s="6" t="s">
        <v>5632</v>
      </c>
      <c r="H3703" s="8"/>
      <c r="I3703" s="8">
        <v>60000</v>
      </c>
      <c r="J3703" s="6"/>
      <c r="K3703" s="6" t="s">
        <v>2513</v>
      </c>
      <c r="L3703" s="6"/>
      <c r="M3703" s="6"/>
      <c r="N3703" s="6" t="s">
        <v>2513</v>
      </c>
      <c r="O3703" s="29">
        <f t="shared" si="87"/>
        <v>60000</v>
      </c>
      <c r="Q3703" s="30" t="s">
        <v>2513</v>
      </c>
      <c r="R3703" s="31">
        <v>60000</v>
      </c>
    </row>
    <row r="3704" s="1" customFormat="1" ht="16.35" hidden="1" customHeight="1" spans="1:18">
      <c r="A3704" s="6"/>
      <c r="B3704" s="6" t="s">
        <v>4271</v>
      </c>
      <c r="C3704" s="6" t="s">
        <v>4171</v>
      </c>
      <c r="D3704" s="7">
        <v>12</v>
      </c>
      <c r="E3704" s="6" t="s">
        <v>7255</v>
      </c>
      <c r="F3704" s="6" t="s">
        <v>5631</v>
      </c>
      <c r="G3704" s="6" t="s">
        <v>5632</v>
      </c>
      <c r="H3704" s="8"/>
      <c r="I3704" s="8">
        <v>61904</v>
      </c>
      <c r="J3704" s="6"/>
      <c r="K3704" s="6" t="s">
        <v>2525</v>
      </c>
      <c r="L3704" s="6"/>
      <c r="M3704" s="6"/>
      <c r="N3704" s="6" t="s">
        <v>2525</v>
      </c>
      <c r="O3704" s="29">
        <f t="shared" si="87"/>
        <v>61904</v>
      </c>
      <c r="Q3704" s="30" t="s">
        <v>2525</v>
      </c>
      <c r="R3704" s="31">
        <v>61904</v>
      </c>
    </row>
    <row r="3705" s="1" customFormat="1" ht="16.35" hidden="1" customHeight="1" spans="1:18">
      <c r="A3705" s="6"/>
      <c r="B3705" s="6" t="s">
        <v>4271</v>
      </c>
      <c r="C3705" s="6" t="s">
        <v>4171</v>
      </c>
      <c r="D3705" s="7">
        <v>36</v>
      </c>
      <c r="E3705" s="6" t="s">
        <v>7256</v>
      </c>
      <c r="F3705" s="6" t="s">
        <v>5631</v>
      </c>
      <c r="G3705" s="6" t="s">
        <v>5632</v>
      </c>
      <c r="H3705" s="8"/>
      <c r="I3705" s="8">
        <v>-5000</v>
      </c>
      <c r="J3705" s="6"/>
      <c r="K3705" s="6" t="s">
        <v>2561</v>
      </c>
      <c r="L3705" s="6"/>
      <c r="M3705" s="6"/>
      <c r="N3705" s="6" t="s">
        <v>2561</v>
      </c>
      <c r="O3705" s="29">
        <f t="shared" si="87"/>
        <v>-5000</v>
      </c>
      <c r="Q3705" s="30" t="s">
        <v>2561</v>
      </c>
      <c r="R3705" s="31">
        <v>-5000</v>
      </c>
    </row>
    <row r="3706" s="1" customFormat="1" ht="16.35" hidden="1" customHeight="1" spans="1:18">
      <c r="A3706" s="6"/>
      <c r="B3706" s="6" t="s">
        <v>4271</v>
      </c>
      <c r="C3706" s="6" t="s">
        <v>4171</v>
      </c>
      <c r="D3706" s="7">
        <v>24</v>
      </c>
      <c r="E3706" s="6" t="s">
        <v>7257</v>
      </c>
      <c r="F3706" s="6" t="s">
        <v>5631</v>
      </c>
      <c r="G3706" s="6" t="s">
        <v>5632</v>
      </c>
      <c r="H3706" s="8"/>
      <c r="I3706" s="8">
        <v>5000</v>
      </c>
      <c r="J3706" s="6"/>
      <c r="K3706" s="6" t="s">
        <v>2541</v>
      </c>
      <c r="L3706" s="6"/>
      <c r="M3706" s="6"/>
      <c r="N3706" s="6" t="s">
        <v>2541</v>
      </c>
      <c r="O3706" s="29">
        <f t="shared" si="87"/>
        <v>5000</v>
      </c>
      <c r="Q3706" s="30" t="s">
        <v>2541</v>
      </c>
      <c r="R3706" s="31">
        <v>5000</v>
      </c>
    </row>
    <row r="3707" s="1" customFormat="1" ht="16.35" hidden="1" customHeight="1" spans="1:18">
      <c r="A3707" s="6"/>
      <c r="B3707" s="6" t="s">
        <v>4271</v>
      </c>
      <c r="C3707" s="6" t="s">
        <v>4171</v>
      </c>
      <c r="D3707" s="7">
        <v>51</v>
      </c>
      <c r="E3707" s="6" t="s">
        <v>7257</v>
      </c>
      <c r="F3707" s="6" t="s">
        <v>5631</v>
      </c>
      <c r="G3707" s="6" t="s">
        <v>5632</v>
      </c>
      <c r="H3707" s="8"/>
      <c r="I3707" s="8">
        <v>167596</v>
      </c>
      <c r="J3707" s="6"/>
      <c r="K3707" s="6" t="s">
        <v>2541</v>
      </c>
      <c r="L3707" s="6"/>
      <c r="M3707" s="6"/>
      <c r="N3707" s="6" t="s">
        <v>2541</v>
      </c>
      <c r="O3707" s="29">
        <f t="shared" si="87"/>
        <v>167596</v>
      </c>
      <c r="Q3707" s="30" t="s">
        <v>2541</v>
      </c>
      <c r="R3707" s="31">
        <v>167596</v>
      </c>
    </row>
    <row r="3708" s="1" customFormat="1" ht="16.35" hidden="1" customHeight="1" spans="1:18">
      <c r="A3708" s="6"/>
      <c r="B3708" s="6" t="s">
        <v>4271</v>
      </c>
      <c r="C3708" s="6" t="s">
        <v>4171</v>
      </c>
      <c r="D3708" s="7">
        <v>81</v>
      </c>
      <c r="E3708" s="6" t="s">
        <v>7258</v>
      </c>
      <c r="F3708" s="6" t="s">
        <v>5631</v>
      </c>
      <c r="G3708" s="6" t="s">
        <v>5632</v>
      </c>
      <c r="H3708" s="8"/>
      <c r="I3708" s="8">
        <v>-5000</v>
      </c>
      <c r="J3708" s="6"/>
      <c r="K3708" s="6" t="s">
        <v>2009</v>
      </c>
      <c r="L3708" s="6"/>
      <c r="M3708" s="6"/>
      <c r="N3708" s="6" t="s">
        <v>2009</v>
      </c>
      <c r="O3708" s="29">
        <f t="shared" si="87"/>
        <v>-5000</v>
      </c>
      <c r="Q3708" s="30" t="s">
        <v>2009</v>
      </c>
      <c r="R3708" s="31">
        <v>-5000</v>
      </c>
    </row>
    <row r="3709" s="1" customFormat="1" ht="16.35" hidden="1" customHeight="1" spans="1:18">
      <c r="A3709" s="6"/>
      <c r="B3709" s="6" t="s">
        <v>4271</v>
      </c>
      <c r="C3709" s="6" t="s">
        <v>4171</v>
      </c>
      <c r="D3709" s="7">
        <v>16</v>
      </c>
      <c r="E3709" s="6" t="s">
        <v>7259</v>
      </c>
      <c r="F3709" s="6" t="s">
        <v>5631</v>
      </c>
      <c r="G3709" s="6" t="s">
        <v>5632</v>
      </c>
      <c r="H3709" s="8"/>
      <c r="I3709" s="8">
        <v>45000</v>
      </c>
      <c r="J3709" s="6"/>
      <c r="K3709" s="6" t="s">
        <v>2111</v>
      </c>
      <c r="L3709" s="6"/>
      <c r="M3709" s="6"/>
      <c r="N3709" s="6" t="s">
        <v>2111</v>
      </c>
      <c r="O3709" s="29">
        <f t="shared" si="87"/>
        <v>45000</v>
      </c>
      <c r="Q3709" s="30" t="s">
        <v>2111</v>
      </c>
      <c r="R3709" s="31">
        <v>45000</v>
      </c>
    </row>
    <row r="3710" s="1" customFormat="1" ht="16.35" hidden="1" customHeight="1" spans="1:18">
      <c r="A3710" s="6"/>
      <c r="B3710" s="6" t="s">
        <v>4271</v>
      </c>
      <c r="C3710" s="6" t="s">
        <v>4171</v>
      </c>
      <c r="D3710" s="7">
        <v>20</v>
      </c>
      <c r="E3710" s="6" t="s">
        <v>7260</v>
      </c>
      <c r="F3710" s="6" t="s">
        <v>5631</v>
      </c>
      <c r="G3710" s="6" t="s">
        <v>5632</v>
      </c>
      <c r="H3710" s="8"/>
      <c r="I3710" s="8">
        <v>75518</v>
      </c>
      <c r="J3710" s="6"/>
      <c r="K3710" s="6" t="s">
        <v>2179</v>
      </c>
      <c r="L3710" s="6"/>
      <c r="M3710" s="6"/>
      <c r="N3710" s="6" t="s">
        <v>2179</v>
      </c>
      <c r="O3710" s="29">
        <f t="shared" si="87"/>
        <v>75518</v>
      </c>
      <c r="Q3710" s="30" t="s">
        <v>2179</v>
      </c>
      <c r="R3710" s="31">
        <v>75518</v>
      </c>
    </row>
    <row r="3711" s="1" customFormat="1" ht="16.35" hidden="1" customHeight="1" spans="1:18">
      <c r="A3711" s="6"/>
      <c r="B3711" s="6" t="s">
        <v>4271</v>
      </c>
      <c r="C3711" s="6" t="s">
        <v>4171</v>
      </c>
      <c r="D3711" s="7">
        <v>52</v>
      </c>
      <c r="E3711" s="6" t="s">
        <v>7248</v>
      </c>
      <c r="F3711" s="6" t="s">
        <v>5631</v>
      </c>
      <c r="G3711" s="6" t="s">
        <v>5632</v>
      </c>
      <c r="H3711" s="8"/>
      <c r="I3711" s="8">
        <v>-5000</v>
      </c>
      <c r="J3711" s="6"/>
      <c r="K3711" s="6" t="s">
        <v>2827</v>
      </c>
      <c r="L3711" s="6"/>
      <c r="M3711" s="6"/>
      <c r="N3711" s="6" t="s">
        <v>2827</v>
      </c>
      <c r="O3711" s="29">
        <f t="shared" si="87"/>
        <v>-5000</v>
      </c>
      <c r="Q3711" s="30" t="s">
        <v>2827</v>
      </c>
      <c r="R3711" s="31">
        <v>-5000</v>
      </c>
    </row>
    <row r="3712" s="1" customFormat="1" ht="16.35" hidden="1" customHeight="1" spans="1:18">
      <c r="A3712" s="6"/>
      <c r="B3712" s="6" t="s">
        <v>4271</v>
      </c>
      <c r="C3712" s="6" t="s">
        <v>4171</v>
      </c>
      <c r="D3712" s="7">
        <v>86</v>
      </c>
      <c r="E3712" s="6" t="s">
        <v>7228</v>
      </c>
      <c r="F3712" s="6" t="s">
        <v>5631</v>
      </c>
      <c r="G3712" s="6" t="s">
        <v>5632</v>
      </c>
      <c r="H3712" s="8"/>
      <c r="I3712" s="8">
        <v>-5000</v>
      </c>
      <c r="J3712" s="6"/>
      <c r="K3712" s="6" t="s">
        <v>2287</v>
      </c>
      <c r="L3712" s="6"/>
      <c r="M3712" s="6"/>
      <c r="N3712" s="6" t="s">
        <v>2287</v>
      </c>
      <c r="O3712" s="29">
        <f t="shared" si="87"/>
        <v>-5000</v>
      </c>
      <c r="Q3712" s="30" t="s">
        <v>2287</v>
      </c>
      <c r="R3712" s="31">
        <v>-5000</v>
      </c>
    </row>
    <row r="3713" s="1" customFormat="1" ht="16.35" hidden="1" customHeight="1" spans="1:18">
      <c r="A3713" s="6"/>
      <c r="B3713" s="6" t="s">
        <v>4271</v>
      </c>
      <c r="C3713" s="6" t="s">
        <v>4171</v>
      </c>
      <c r="D3713" s="7">
        <v>10</v>
      </c>
      <c r="E3713" s="6" t="s">
        <v>7261</v>
      </c>
      <c r="F3713" s="6" t="s">
        <v>5631</v>
      </c>
      <c r="G3713" s="6" t="s">
        <v>5632</v>
      </c>
      <c r="H3713" s="8"/>
      <c r="I3713" s="8">
        <v>79761</v>
      </c>
      <c r="J3713" s="6"/>
      <c r="K3713" s="6" t="s">
        <v>2476</v>
      </c>
      <c r="L3713" s="6"/>
      <c r="M3713" s="6"/>
      <c r="N3713" s="6" t="s">
        <v>2476</v>
      </c>
      <c r="O3713" s="29">
        <f t="shared" si="87"/>
        <v>79761</v>
      </c>
      <c r="Q3713" s="30" t="s">
        <v>2476</v>
      </c>
      <c r="R3713" s="31">
        <v>79761</v>
      </c>
    </row>
    <row r="3714" s="1" customFormat="1" ht="16.35" hidden="1" customHeight="1" spans="1:18">
      <c r="A3714" s="6"/>
      <c r="B3714" s="6" t="s">
        <v>4271</v>
      </c>
      <c r="C3714" s="6" t="s">
        <v>4171</v>
      </c>
      <c r="D3714" s="7">
        <v>85</v>
      </c>
      <c r="E3714" s="6" t="s">
        <v>4353</v>
      </c>
      <c r="F3714" s="6" t="s">
        <v>5631</v>
      </c>
      <c r="G3714" s="6" t="s">
        <v>5632</v>
      </c>
      <c r="H3714" s="8"/>
      <c r="I3714" s="8">
        <v>10000</v>
      </c>
      <c r="J3714" s="6"/>
      <c r="K3714" s="6" t="s">
        <v>2448</v>
      </c>
      <c r="L3714" s="6"/>
      <c r="M3714" s="6"/>
      <c r="N3714" s="6" t="s">
        <v>2448</v>
      </c>
      <c r="O3714" s="29">
        <f t="shared" si="87"/>
        <v>10000</v>
      </c>
      <c r="Q3714" s="30" t="s">
        <v>2448</v>
      </c>
      <c r="R3714" s="31">
        <v>10000</v>
      </c>
    </row>
    <row r="3715" s="1" customFormat="1" ht="16.35" hidden="1" customHeight="1" spans="1:18">
      <c r="A3715" s="6"/>
      <c r="B3715" s="6" t="s">
        <v>4271</v>
      </c>
      <c r="C3715" s="6" t="s">
        <v>4171</v>
      </c>
      <c r="D3715" s="7">
        <v>37</v>
      </c>
      <c r="E3715" s="6" t="s">
        <v>7231</v>
      </c>
      <c r="F3715" s="6" t="s">
        <v>5631</v>
      </c>
      <c r="G3715" s="6" t="s">
        <v>5632</v>
      </c>
      <c r="H3715" s="8"/>
      <c r="I3715" s="8">
        <v>1000</v>
      </c>
      <c r="J3715" s="6"/>
      <c r="K3715" s="6" t="s">
        <v>2448</v>
      </c>
      <c r="L3715" s="6"/>
      <c r="M3715" s="6"/>
      <c r="N3715" s="6" t="s">
        <v>2448</v>
      </c>
      <c r="O3715" s="29">
        <f t="shared" si="87"/>
        <v>1000</v>
      </c>
      <c r="Q3715" s="30" t="s">
        <v>2448</v>
      </c>
      <c r="R3715" s="31">
        <v>1000</v>
      </c>
    </row>
    <row r="3716" s="1" customFormat="1" ht="16.35" hidden="1" customHeight="1" spans="1:18">
      <c r="A3716" s="6"/>
      <c r="B3716" s="6" t="s">
        <v>4271</v>
      </c>
      <c r="C3716" s="6" t="s">
        <v>4171</v>
      </c>
      <c r="D3716" s="7">
        <v>37</v>
      </c>
      <c r="E3716" s="6" t="s">
        <v>7232</v>
      </c>
      <c r="F3716" s="6" t="s">
        <v>5631</v>
      </c>
      <c r="G3716" s="6" t="s">
        <v>5632</v>
      </c>
      <c r="H3716" s="8"/>
      <c r="I3716" s="8">
        <v>94975</v>
      </c>
      <c r="J3716" s="6"/>
      <c r="K3716" s="6" t="s">
        <v>2448</v>
      </c>
      <c r="L3716" s="6"/>
      <c r="M3716" s="6"/>
      <c r="N3716" s="6" t="s">
        <v>2448</v>
      </c>
      <c r="O3716" s="29">
        <f t="shared" si="87"/>
        <v>94975</v>
      </c>
      <c r="Q3716" s="30" t="s">
        <v>2448</v>
      </c>
      <c r="R3716" s="31">
        <v>94975</v>
      </c>
    </row>
    <row r="3717" s="1" customFormat="1" ht="16.35" hidden="1" customHeight="1" spans="1:18">
      <c r="A3717" s="6"/>
      <c r="B3717" s="6" t="s">
        <v>4271</v>
      </c>
      <c r="C3717" s="6" t="s">
        <v>4171</v>
      </c>
      <c r="D3717" s="7">
        <v>36</v>
      </c>
      <c r="E3717" s="6" t="s">
        <v>7226</v>
      </c>
      <c r="F3717" s="6" t="s">
        <v>5631</v>
      </c>
      <c r="G3717" s="6" t="s">
        <v>5632</v>
      </c>
      <c r="H3717" s="8"/>
      <c r="I3717" s="8">
        <v>-10000</v>
      </c>
      <c r="J3717" s="6"/>
      <c r="K3717" s="6" t="s">
        <v>2440</v>
      </c>
      <c r="L3717" s="6"/>
      <c r="M3717" s="6"/>
      <c r="N3717" s="6" t="s">
        <v>2440</v>
      </c>
      <c r="O3717" s="29">
        <f t="shared" si="87"/>
        <v>-10000</v>
      </c>
      <c r="Q3717" s="30" t="s">
        <v>2440</v>
      </c>
      <c r="R3717" s="31">
        <v>-10000</v>
      </c>
    </row>
    <row r="3718" s="1" customFormat="1" ht="16.35" hidden="1" customHeight="1" spans="1:18">
      <c r="A3718" s="6"/>
      <c r="B3718" s="6" t="s">
        <v>4271</v>
      </c>
      <c r="C3718" s="6" t="s">
        <v>4171</v>
      </c>
      <c r="D3718" s="7">
        <v>36</v>
      </c>
      <c r="E3718" s="6" t="s">
        <v>7256</v>
      </c>
      <c r="F3718" s="6" t="s">
        <v>5631</v>
      </c>
      <c r="G3718" s="6" t="s">
        <v>5632</v>
      </c>
      <c r="H3718" s="8"/>
      <c r="I3718" s="8">
        <v>5000</v>
      </c>
      <c r="J3718" s="6"/>
      <c r="K3718" s="6" t="s">
        <v>2498</v>
      </c>
      <c r="L3718" s="6"/>
      <c r="M3718" s="6"/>
      <c r="N3718" s="6" t="s">
        <v>2498</v>
      </c>
      <c r="O3718" s="29">
        <f t="shared" si="87"/>
        <v>5000</v>
      </c>
      <c r="Q3718" s="30" t="s">
        <v>2498</v>
      </c>
      <c r="R3718" s="31">
        <v>5000</v>
      </c>
    </row>
    <row r="3719" s="1" customFormat="1" ht="16.35" hidden="1" customHeight="1" spans="1:18">
      <c r="A3719" s="6"/>
      <c r="B3719" s="6" t="s">
        <v>4271</v>
      </c>
      <c r="C3719" s="6" t="s">
        <v>4171</v>
      </c>
      <c r="D3719" s="7">
        <v>36</v>
      </c>
      <c r="E3719" s="6" t="s">
        <v>7262</v>
      </c>
      <c r="F3719" s="6" t="s">
        <v>5631</v>
      </c>
      <c r="G3719" s="6" t="s">
        <v>5632</v>
      </c>
      <c r="H3719" s="8"/>
      <c r="I3719" s="8">
        <v>-8000</v>
      </c>
      <c r="J3719" s="6"/>
      <c r="K3719" s="6" t="s">
        <v>2602</v>
      </c>
      <c r="L3719" s="6"/>
      <c r="M3719" s="6"/>
      <c r="N3719" s="6" t="s">
        <v>2602</v>
      </c>
      <c r="O3719" s="29">
        <f t="shared" si="87"/>
        <v>-8000</v>
      </c>
      <c r="Q3719" s="30" t="s">
        <v>2602</v>
      </c>
      <c r="R3719" s="31">
        <v>-8000</v>
      </c>
    </row>
    <row r="3720" s="1" customFormat="1" ht="16.35" hidden="1" customHeight="1" spans="1:18">
      <c r="A3720" s="6"/>
      <c r="B3720" s="6" t="s">
        <v>4271</v>
      </c>
      <c r="C3720" s="6" t="s">
        <v>4171</v>
      </c>
      <c r="D3720" s="7">
        <v>36</v>
      </c>
      <c r="E3720" s="6" t="s">
        <v>7263</v>
      </c>
      <c r="F3720" s="6" t="s">
        <v>5631</v>
      </c>
      <c r="G3720" s="6" t="s">
        <v>5632</v>
      </c>
      <c r="H3720" s="8"/>
      <c r="I3720" s="8">
        <v>-2000</v>
      </c>
      <c r="J3720" s="6"/>
      <c r="K3720" s="6" t="s">
        <v>2602</v>
      </c>
      <c r="L3720" s="6"/>
      <c r="M3720" s="6"/>
      <c r="N3720" s="6" t="s">
        <v>2602</v>
      </c>
      <c r="O3720" s="29">
        <f t="shared" si="87"/>
        <v>-2000</v>
      </c>
      <c r="Q3720" s="30" t="s">
        <v>2602</v>
      </c>
      <c r="R3720" s="31">
        <v>-2000</v>
      </c>
    </row>
    <row r="3721" s="1" customFormat="1" ht="16.35" hidden="1" customHeight="1" spans="1:18">
      <c r="A3721" s="6"/>
      <c r="B3721" s="6" t="s">
        <v>4271</v>
      </c>
      <c r="C3721" s="6" t="s">
        <v>4171</v>
      </c>
      <c r="D3721" s="7">
        <v>36</v>
      </c>
      <c r="E3721" s="6" t="s">
        <v>7262</v>
      </c>
      <c r="F3721" s="6" t="s">
        <v>5631</v>
      </c>
      <c r="G3721" s="6" t="s">
        <v>5632</v>
      </c>
      <c r="H3721" s="8"/>
      <c r="I3721" s="8">
        <v>8000</v>
      </c>
      <c r="J3721" s="6"/>
      <c r="K3721" s="6" t="s">
        <v>2604</v>
      </c>
      <c r="L3721" s="6"/>
      <c r="M3721" s="6"/>
      <c r="N3721" s="6" t="s">
        <v>2604</v>
      </c>
      <c r="O3721" s="29">
        <f t="shared" si="87"/>
        <v>8000</v>
      </c>
      <c r="Q3721" s="30" t="s">
        <v>2604</v>
      </c>
      <c r="R3721" s="31">
        <v>8000</v>
      </c>
    </row>
    <row r="3722" s="1" customFormat="1" ht="16.35" hidden="1" customHeight="1" spans="1:18">
      <c r="A3722" s="6"/>
      <c r="B3722" s="6" t="s">
        <v>4271</v>
      </c>
      <c r="C3722" s="6" t="s">
        <v>4171</v>
      </c>
      <c r="D3722" s="7">
        <v>36</v>
      </c>
      <c r="E3722" s="6" t="s">
        <v>7224</v>
      </c>
      <c r="F3722" s="6" t="s">
        <v>5631</v>
      </c>
      <c r="G3722" s="6" t="s">
        <v>5632</v>
      </c>
      <c r="H3722" s="8"/>
      <c r="I3722" s="8">
        <v>8000</v>
      </c>
      <c r="J3722" s="6"/>
      <c r="K3722" s="6" t="s">
        <v>2604</v>
      </c>
      <c r="L3722" s="6"/>
      <c r="M3722" s="6"/>
      <c r="N3722" s="6" t="s">
        <v>2604</v>
      </c>
      <c r="O3722" s="29">
        <f t="shared" si="87"/>
        <v>8000</v>
      </c>
      <c r="Q3722" s="30" t="s">
        <v>2604</v>
      </c>
      <c r="R3722" s="31">
        <v>8000</v>
      </c>
    </row>
    <row r="3723" s="1" customFormat="1" ht="16.35" hidden="1" customHeight="1" spans="1:18">
      <c r="A3723" s="6"/>
      <c r="B3723" s="6" t="s">
        <v>4271</v>
      </c>
      <c r="C3723" s="6" t="s">
        <v>4171</v>
      </c>
      <c r="D3723" s="7">
        <v>36</v>
      </c>
      <c r="E3723" s="6" t="s">
        <v>7225</v>
      </c>
      <c r="F3723" s="6" t="s">
        <v>5631</v>
      </c>
      <c r="G3723" s="6" t="s">
        <v>5632</v>
      </c>
      <c r="H3723" s="8"/>
      <c r="I3723" s="8">
        <v>2000</v>
      </c>
      <c r="J3723" s="6"/>
      <c r="K3723" s="6" t="s">
        <v>2604</v>
      </c>
      <c r="L3723" s="6"/>
      <c r="M3723" s="6"/>
      <c r="N3723" s="6" t="s">
        <v>2604</v>
      </c>
      <c r="O3723" s="29">
        <f t="shared" si="87"/>
        <v>2000</v>
      </c>
      <c r="Q3723" s="30" t="s">
        <v>2604</v>
      </c>
      <c r="R3723" s="31">
        <v>2000</v>
      </c>
    </row>
    <row r="3724" s="1" customFormat="1" ht="16.35" hidden="1" customHeight="1" spans="1:18">
      <c r="A3724" s="6"/>
      <c r="B3724" s="6" t="s">
        <v>4271</v>
      </c>
      <c r="C3724" s="6" t="s">
        <v>4171</v>
      </c>
      <c r="D3724" s="7">
        <v>36</v>
      </c>
      <c r="E3724" s="6" t="s">
        <v>7263</v>
      </c>
      <c r="F3724" s="6" t="s">
        <v>5631</v>
      </c>
      <c r="G3724" s="6" t="s">
        <v>5632</v>
      </c>
      <c r="H3724" s="8"/>
      <c r="I3724" s="8">
        <v>2000</v>
      </c>
      <c r="J3724" s="6"/>
      <c r="K3724" s="6" t="s">
        <v>2604</v>
      </c>
      <c r="L3724" s="6"/>
      <c r="M3724" s="6"/>
      <c r="N3724" s="6" t="s">
        <v>2604</v>
      </c>
      <c r="O3724" s="29">
        <f t="shared" si="87"/>
        <v>2000</v>
      </c>
      <c r="Q3724" s="30" t="s">
        <v>2604</v>
      </c>
      <c r="R3724" s="31">
        <v>2000</v>
      </c>
    </row>
    <row r="3725" s="1" customFormat="1" ht="16.35" hidden="1" customHeight="1" spans="1:18">
      <c r="A3725" s="6"/>
      <c r="B3725" s="6" t="s">
        <v>4271</v>
      </c>
      <c r="C3725" s="6" t="s">
        <v>4186</v>
      </c>
      <c r="D3725" s="7">
        <v>62</v>
      </c>
      <c r="E3725" s="6" t="s">
        <v>7170</v>
      </c>
      <c r="F3725" s="6" t="s">
        <v>5631</v>
      </c>
      <c r="G3725" s="6" t="s">
        <v>5632</v>
      </c>
      <c r="H3725" s="8"/>
      <c r="I3725" s="8">
        <v>61</v>
      </c>
      <c r="J3725" s="6"/>
      <c r="K3725" s="6" t="s">
        <v>2099</v>
      </c>
      <c r="L3725" s="6"/>
      <c r="M3725" s="6"/>
      <c r="N3725" s="6" t="s">
        <v>2099</v>
      </c>
      <c r="O3725" s="29">
        <f t="shared" si="87"/>
        <v>61</v>
      </c>
      <c r="Q3725" s="30" t="s">
        <v>2099</v>
      </c>
      <c r="R3725" s="31">
        <v>61</v>
      </c>
    </row>
    <row r="3726" s="1" customFormat="1" ht="16.35" hidden="1" customHeight="1" spans="1:18">
      <c r="A3726" s="6"/>
      <c r="B3726" s="6" t="s">
        <v>4271</v>
      </c>
      <c r="C3726" s="6" t="s">
        <v>4186</v>
      </c>
      <c r="D3726" s="7">
        <v>29</v>
      </c>
      <c r="E3726" s="6" t="s">
        <v>7264</v>
      </c>
      <c r="F3726" s="6" t="s">
        <v>5631</v>
      </c>
      <c r="G3726" s="6" t="s">
        <v>5632</v>
      </c>
      <c r="H3726" s="8"/>
      <c r="I3726" s="8">
        <v>-73333</v>
      </c>
      <c r="J3726" s="6"/>
      <c r="K3726" s="6" t="s">
        <v>2322</v>
      </c>
      <c r="L3726" s="6"/>
      <c r="M3726" s="6"/>
      <c r="N3726" s="6" t="s">
        <v>2322</v>
      </c>
      <c r="O3726" s="29">
        <f t="shared" si="87"/>
        <v>-73333</v>
      </c>
      <c r="Q3726" s="30" t="s">
        <v>2322</v>
      </c>
      <c r="R3726" s="31">
        <v>-73333</v>
      </c>
    </row>
    <row r="3727" s="1" customFormat="1" ht="16.35" hidden="1" customHeight="1" spans="1:18">
      <c r="A3727" s="6"/>
      <c r="B3727" s="6" t="s">
        <v>4271</v>
      </c>
      <c r="C3727" s="6" t="s">
        <v>4186</v>
      </c>
      <c r="D3727" s="7">
        <v>88</v>
      </c>
      <c r="E3727" s="6" t="s">
        <v>7265</v>
      </c>
      <c r="F3727" s="6" t="s">
        <v>5631</v>
      </c>
      <c r="G3727" s="6" t="s">
        <v>5632</v>
      </c>
      <c r="H3727" s="8">
        <v>237580</v>
      </c>
      <c r="I3727" s="8"/>
      <c r="J3727" s="6"/>
      <c r="K3727" s="6" t="s">
        <v>2325</v>
      </c>
      <c r="L3727" s="6"/>
      <c r="M3727" s="6"/>
      <c r="N3727" s="6" t="s">
        <v>2325</v>
      </c>
      <c r="O3727" s="29">
        <f t="shared" si="87"/>
        <v>0</v>
      </c>
      <c r="Q3727" s="30" t="s">
        <v>2325</v>
      </c>
      <c r="R3727" s="31">
        <v>0</v>
      </c>
    </row>
    <row r="3728" s="1" customFormat="1" ht="16.35" hidden="1" customHeight="1" spans="1:18">
      <c r="A3728" s="6"/>
      <c r="B3728" s="6" t="s">
        <v>4271</v>
      </c>
      <c r="C3728" s="6" t="s">
        <v>4186</v>
      </c>
      <c r="D3728" s="7">
        <v>14</v>
      </c>
      <c r="E3728" s="6" t="s">
        <v>7266</v>
      </c>
      <c r="F3728" s="6" t="s">
        <v>5631</v>
      </c>
      <c r="G3728" s="6" t="s">
        <v>5632</v>
      </c>
      <c r="H3728" s="8"/>
      <c r="I3728" s="8">
        <v>135000</v>
      </c>
      <c r="J3728" s="6"/>
      <c r="K3728" s="6" t="s">
        <v>2331</v>
      </c>
      <c r="L3728" s="6"/>
      <c r="M3728" s="6"/>
      <c r="N3728" s="6" t="s">
        <v>2331</v>
      </c>
      <c r="O3728" s="29">
        <f t="shared" si="87"/>
        <v>135000</v>
      </c>
      <c r="Q3728" s="30" t="s">
        <v>2331</v>
      </c>
      <c r="R3728" s="31">
        <v>135000</v>
      </c>
    </row>
    <row r="3729" s="1" customFormat="1" ht="16.35" hidden="1" customHeight="1" spans="1:18">
      <c r="A3729" s="6"/>
      <c r="B3729" s="6" t="s">
        <v>4271</v>
      </c>
      <c r="C3729" s="6" t="s">
        <v>4186</v>
      </c>
      <c r="D3729" s="7">
        <v>88</v>
      </c>
      <c r="E3729" s="6" t="s">
        <v>7265</v>
      </c>
      <c r="F3729" s="6" t="s">
        <v>5631</v>
      </c>
      <c r="G3729" s="6" t="s">
        <v>5632</v>
      </c>
      <c r="H3729" s="8">
        <v>224853</v>
      </c>
      <c r="I3729" s="8"/>
      <c r="J3729" s="6"/>
      <c r="K3729" s="6" t="s">
        <v>2331</v>
      </c>
      <c r="L3729" s="6"/>
      <c r="M3729" s="6"/>
      <c r="N3729" s="6" t="s">
        <v>2331</v>
      </c>
      <c r="O3729" s="29">
        <f t="shared" si="87"/>
        <v>0</v>
      </c>
      <c r="Q3729" s="30" t="s">
        <v>2331</v>
      </c>
      <c r="R3729" s="31">
        <v>0</v>
      </c>
    </row>
    <row r="3730" s="1" customFormat="1" ht="16.35" hidden="1" customHeight="1" spans="1:18">
      <c r="A3730" s="6"/>
      <c r="B3730" s="6" t="s">
        <v>4271</v>
      </c>
      <c r="C3730" s="6" t="s">
        <v>4186</v>
      </c>
      <c r="D3730" s="7">
        <v>89</v>
      </c>
      <c r="E3730" s="6" t="s">
        <v>7267</v>
      </c>
      <c r="F3730" s="6" t="s">
        <v>5631</v>
      </c>
      <c r="G3730" s="6" t="s">
        <v>5632</v>
      </c>
      <c r="H3730" s="8">
        <v>263520</v>
      </c>
      <c r="I3730" s="8"/>
      <c r="J3730" s="6"/>
      <c r="K3730" s="6" t="s">
        <v>2402</v>
      </c>
      <c r="L3730" s="6"/>
      <c r="M3730" s="6"/>
      <c r="N3730" s="6" t="s">
        <v>2402</v>
      </c>
      <c r="O3730" s="29">
        <f t="shared" si="87"/>
        <v>0</v>
      </c>
      <c r="Q3730" s="30" t="s">
        <v>2402</v>
      </c>
      <c r="R3730" s="31">
        <v>0</v>
      </c>
    </row>
    <row r="3731" s="1" customFormat="1" ht="16.35" hidden="1" customHeight="1" spans="1:18">
      <c r="A3731" s="6"/>
      <c r="B3731" s="6" t="s">
        <v>4271</v>
      </c>
      <c r="C3731" s="6" t="s">
        <v>4186</v>
      </c>
      <c r="D3731" s="7">
        <v>89</v>
      </c>
      <c r="E3731" s="6" t="s">
        <v>7267</v>
      </c>
      <c r="F3731" s="6" t="s">
        <v>5631</v>
      </c>
      <c r="G3731" s="6" t="s">
        <v>5632</v>
      </c>
      <c r="H3731" s="8">
        <v>227042</v>
      </c>
      <c r="I3731" s="8"/>
      <c r="J3731" s="6"/>
      <c r="K3731" s="6" t="s">
        <v>2416</v>
      </c>
      <c r="L3731" s="6"/>
      <c r="M3731" s="6"/>
      <c r="N3731" s="6" t="s">
        <v>2416</v>
      </c>
      <c r="O3731" s="29">
        <f t="shared" si="87"/>
        <v>0</v>
      </c>
      <c r="Q3731" s="30" t="s">
        <v>2416</v>
      </c>
      <c r="R3731" s="31">
        <v>0</v>
      </c>
    </row>
    <row r="3732" s="1" customFormat="1" ht="16.35" hidden="1" customHeight="1" spans="1:18">
      <c r="A3732" s="6"/>
      <c r="B3732" s="6" t="s">
        <v>4271</v>
      </c>
      <c r="C3732" s="6" t="s">
        <v>4186</v>
      </c>
      <c r="D3732" s="7">
        <v>89</v>
      </c>
      <c r="E3732" s="6" t="s">
        <v>7267</v>
      </c>
      <c r="F3732" s="6" t="s">
        <v>5631</v>
      </c>
      <c r="G3732" s="6" t="s">
        <v>5632</v>
      </c>
      <c r="H3732" s="8">
        <v>267000</v>
      </c>
      <c r="I3732" s="8"/>
      <c r="J3732" s="6"/>
      <c r="K3732" s="6" t="s">
        <v>2376</v>
      </c>
      <c r="L3732" s="6"/>
      <c r="M3732" s="6"/>
      <c r="N3732" s="6" t="s">
        <v>2376</v>
      </c>
      <c r="O3732" s="29">
        <f t="shared" si="87"/>
        <v>0</v>
      </c>
      <c r="Q3732" s="30" t="s">
        <v>2376</v>
      </c>
      <c r="R3732" s="31">
        <v>0</v>
      </c>
    </row>
    <row r="3733" s="1" customFormat="1" ht="16.35" hidden="1" customHeight="1" spans="1:18">
      <c r="A3733" s="6"/>
      <c r="B3733" s="6" t="s">
        <v>4271</v>
      </c>
      <c r="C3733" s="6" t="s">
        <v>4186</v>
      </c>
      <c r="D3733" s="7">
        <v>48</v>
      </c>
      <c r="E3733" s="6" t="s">
        <v>7268</v>
      </c>
      <c r="F3733" s="6" t="s">
        <v>5631</v>
      </c>
      <c r="G3733" s="6" t="s">
        <v>5632</v>
      </c>
      <c r="H3733" s="8"/>
      <c r="I3733" s="8">
        <v>73815</v>
      </c>
      <c r="J3733" s="6"/>
      <c r="K3733" s="6" t="s">
        <v>2396</v>
      </c>
      <c r="L3733" s="6"/>
      <c r="M3733" s="6"/>
      <c r="N3733" s="6" t="s">
        <v>2396</v>
      </c>
      <c r="O3733" s="29">
        <f t="shared" si="87"/>
        <v>73815</v>
      </c>
      <c r="Q3733" s="30" t="s">
        <v>2396</v>
      </c>
      <c r="R3733" s="31">
        <v>73815</v>
      </c>
    </row>
    <row r="3734" s="1" customFormat="1" ht="16.35" hidden="1" customHeight="1" spans="1:18">
      <c r="A3734" s="6"/>
      <c r="B3734" s="6" t="s">
        <v>4271</v>
      </c>
      <c r="C3734" s="6" t="s">
        <v>4186</v>
      </c>
      <c r="D3734" s="7">
        <v>89</v>
      </c>
      <c r="E3734" s="6" t="s">
        <v>7267</v>
      </c>
      <c r="F3734" s="6" t="s">
        <v>5631</v>
      </c>
      <c r="G3734" s="6" t="s">
        <v>5632</v>
      </c>
      <c r="H3734" s="8">
        <v>244794</v>
      </c>
      <c r="I3734" s="8"/>
      <c r="J3734" s="6"/>
      <c r="K3734" s="6" t="s">
        <v>2480</v>
      </c>
      <c r="L3734" s="6"/>
      <c r="M3734" s="6"/>
      <c r="N3734" s="6" t="s">
        <v>2480</v>
      </c>
      <c r="O3734" s="29">
        <f t="shared" si="87"/>
        <v>0</v>
      </c>
      <c r="Q3734" s="30" t="s">
        <v>2480</v>
      </c>
      <c r="R3734" s="31">
        <v>0</v>
      </c>
    </row>
    <row r="3735" s="1" customFormat="1" ht="16.35" hidden="1" customHeight="1" spans="1:18">
      <c r="A3735" s="6"/>
      <c r="B3735" s="6" t="s">
        <v>4271</v>
      </c>
      <c r="C3735" s="6" t="s">
        <v>4186</v>
      </c>
      <c r="D3735" s="7">
        <v>89</v>
      </c>
      <c r="E3735" s="6" t="s">
        <v>7267</v>
      </c>
      <c r="F3735" s="6" t="s">
        <v>5631</v>
      </c>
      <c r="G3735" s="6" t="s">
        <v>5632</v>
      </c>
      <c r="H3735" s="8">
        <v>221160</v>
      </c>
      <c r="I3735" s="8"/>
      <c r="J3735" s="6"/>
      <c r="K3735" s="6" t="s">
        <v>2470</v>
      </c>
      <c r="L3735" s="6"/>
      <c r="M3735" s="6"/>
      <c r="N3735" s="6" t="s">
        <v>2470</v>
      </c>
      <c r="O3735" s="29">
        <f t="shared" si="87"/>
        <v>0</v>
      </c>
      <c r="Q3735" s="30" t="s">
        <v>2470</v>
      </c>
      <c r="R3735" s="31">
        <v>0</v>
      </c>
    </row>
    <row r="3736" s="1" customFormat="1" ht="16.35" hidden="1" customHeight="1" spans="1:18">
      <c r="A3736" s="6"/>
      <c r="B3736" s="6" t="s">
        <v>4271</v>
      </c>
      <c r="C3736" s="6" t="s">
        <v>4186</v>
      </c>
      <c r="D3736" s="7">
        <v>89</v>
      </c>
      <c r="E3736" s="6" t="s">
        <v>7267</v>
      </c>
      <c r="F3736" s="6" t="s">
        <v>5631</v>
      </c>
      <c r="G3736" s="6" t="s">
        <v>5632</v>
      </c>
      <c r="H3736" s="8">
        <v>235553</v>
      </c>
      <c r="I3736" s="8"/>
      <c r="J3736" s="6"/>
      <c r="K3736" s="6" t="s">
        <v>2494</v>
      </c>
      <c r="L3736" s="6"/>
      <c r="M3736" s="6"/>
      <c r="N3736" s="6" t="s">
        <v>2494</v>
      </c>
      <c r="O3736" s="29">
        <f t="shared" ref="O3736:O3799" si="88">I3736</f>
        <v>0</v>
      </c>
      <c r="Q3736" s="30" t="s">
        <v>2494</v>
      </c>
      <c r="R3736" s="31">
        <v>0</v>
      </c>
    </row>
    <row r="3737" s="1" customFormat="1" ht="16.35" hidden="1" customHeight="1" spans="1:18">
      <c r="A3737" s="6"/>
      <c r="B3737" s="6" t="s">
        <v>4271</v>
      </c>
      <c r="C3737" s="6" t="s">
        <v>4186</v>
      </c>
      <c r="D3737" s="7">
        <v>32</v>
      </c>
      <c r="E3737" s="6" t="s">
        <v>7269</v>
      </c>
      <c r="F3737" s="6" t="s">
        <v>5631</v>
      </c>
      <c r="G3737" s="6" t="s">
        <v>5632</v>
      </c>
      <c r="H3737" s="8"/>
      <c r="I3737" s="8">
        <v>71420</v>
      </c>
      <c r="J3737" s="6"/>
      <c r="K3737" s="6" t="s">
        <v>2444</v>
      </c>
      <c r="L3737" s="6"/>
      <c r="M3737" s="6"/>
      <c r="N3737" s="6" t="s">
        <v>2444</v>
      </c>
      <c r="O3737" s="29">
        <f t="shared" si="88"/>
        <v>71420</v>
      </c>
      <c r="Q3737" s="30" t="s">
        <v>2444</v>
      </c>
      <c r="R3737" s="31">
        <v>71420</v>
      </c>
    </row>
    <row r="3738" s="1" customFormat="1" ht="16.35" hidden="1" customHeight="1" spans="1:18">
      <c r="A3738" s="6"/>
      <c r="B3738" s="6" t="s">
        <v>4271</v>
      </c>
      <c r="C3738" s="6" t="s">
        <v>4186</v>
      </c>
      <c r="D3738" s="7">
        <v>89</v>
      </c>
      <c r="E3738" s="6" t="s">
        <v>7267</v>
      </c>
      <c r="F3738" s="6" t="s">
        <v>5631</v>
      </c>
      <c r="G3738" s="6" t="s">
        <v>5632</v>
      </c>
      <c r="H3738" s="8">
        <v>228917</v>
      </c>
      <c r="I3738" s="8"/>
      <c r="J3738" s="6"/>
      <c r="K3738" s="6" t="s">
        <v>2566</v>
      </c>
      <c r="L3738" s="6"/>
      <c r="M3738" s="6"/>
      <c r="N3738" s="6" t="s">
        <v>2566</v>
      </c>
      <c r="O3738" s="29">
        <f t="shared" si="88"/>
        <v>0</v>
      </c>
      <c r="Q3738" s="30" t="s">
        <v>2566</v>
      </c>
      <c r="R3738" s="31">
        <v>0</v>
      </c>
    </row>
    <row r="3739" s="1" customFormat="1" ht="16.35" hidden="1" customHeight="1" spans="1:18">
      <c r="A3739" s="6"/>
      <c r="B3739" s="6" t="s">
        <v>4271</v>
      </c>
      <c r="C3739" s="6" t="s">
        <v>4186</v>
      </c>
      <c r="D3739" s="7">
        <v>47</v>
      </c>
      <c r="E3739" s="6" t="s">
        <v>7270</v>
      </c>
      <c r="F3739" s="6" t="s">
        <v>5631</v>
      </c>
      <c r="G3739" s="6" t="s">
        <v>5632</v>
      </c>
      <c r="H3739" s="8"/>
      <c r="I3739" s="8">
        <v>140000</v>
      </c>
      <c r="J3739" s="6"/>
      <c r="K3739" s="6" t="s">
        <v>2654</v>
      </c>
      <c r="L3739" s="6"/>
      <c r="M3739" s="6"/>
      <c r="N3739" s="6" t="s">
        <v>2654</v>
      </c>
      <c r="O3739" s="29">
        <f t="shared" si="88"/>
        <v>140000</v>
      </c>
      <c r="Q3739" s="30" t="s">
        <v>2654</v>
      </c>
      <c r="R3739" s="31">
        <v>140000</v>
      </c>
    </row>
    <row r="3740" s="1" customFormat="1" ht="16.35" hidden="1" customHeight="1" spans="1:18">
      <c r="A3740" s="6"/>
      <c r="B3740" s="6" t="s">
        <v>4271</v>
      </c>
      <c r="C3740" s="6" t="s">
        <v>4186</v>
      </c>
      <c r="D3740" s="7">
        <v>13</v>
      </c>
      <c r="E3740" s="6" t="s">
        <v>7116</v>
      </c>
      <c r="F3740" s="6" t="s">
        <v>5631</v>
      </c>
      <c r="G3740" s="6" t="s">
        <v>5632</v>
      </c>
      <c r="H3740" s="8"/>
      <c r="I3740" s="8">
        <v>21950</v>
      </c>
      <c r="J3740" s="6"/>
      <c r="K3740" s="6" t="s">
        <v>2642</v>
      </c>
      <c r="L3740" s="6"/>
      <c r="M3740" s="6"/>
      <c r="N3740" s="6" t="s">
        <v>2642</v>
      </c>
      <c r="O3740" s="29">
        <f t="shared" si="88"/>
        <v>21950</v>
      </c>
      <c r="Q3740" s="30" t="s">
        <v>2642</v>
      </c>
      <c r="R3740" s="31">
        <v>21950</v>
      </c>
    </row>
    <row r="3741" s="1" customFormat="1" ht="16.35" hidden="1" customHeight="1" spans="1:18">
      <c r="A3741" s="6"/>
      <c r="B3741" s="6" t="s">
        <v>4271</v>
      </c>
      <c r="C3741" s="6" t="s">
        <v>4186</v>
      </c>
      <c r="D3741" s="7">
        <v>89</v>
      </c>
      <c r="E3741" s="6" t="s">
        <v>7267</v>
      </c>
      <c r="F3741" s="6" t="s">
        <v>5631</v>
      </c>
      <c r="G3741" s="6" t="s">
        <v>5632</v>
      </c>
      <c r="H3741" s="8">
        <v>170148</v>
      </c>
      <c r="I3741" s="8"/>
      <c r="J3741" s="6"/>
      <c r="K3741" s="6" t="s">
        <v>2617</v>
      </c>
      <c r="L3741" s="6"/>
      <c r="M3741" s="6"/>
      <c r="N3741" s="6" t="s">
        <v>2617</v>
      </c>
      <c r="O3741" s="29">
        <f t="shared" si="88"/>
        <v>0</v>
      </c>
      <c r="Q3741" s="30" t="s">
        <v>2617</v>
      </c>
      <c r="R3741" s="31">
        <v>0</v>
      </c>
    </row>
    <row r="3742" s="1" customFormat="1" ht="16.35" hidden="1" customHeight="1" spans="1:18">
      <c r="A3742" s="6"/>
      <c r="B3742" s="6" t="s">
        <v>4271</v>
      </c>
      <c r="C3742" s="6" t="s">
        <v>4186</v>
      </c>
      <c r="D3742" s="7">
        <v>89</v>
      </c>
      <c r="E3742" s="6" t="s">
        <v>7267</v>
      </c>
      <c r="F3742" s="6" t="s">
        <v>5631</v>
      </c>
      <c r="G3742" s="6" t="s">
        <v>5632</v>
      </c>
      <c r="H3742" s="8">
        <v>229350</v>
      </c>
      <c r="I3742" s="8"/>
      <c r="J3742" s="6"/>
      <c r="K3742" s="6" t="s">
        <v>2678</v>
      </c>
      <c r="L3742" s="6"/>
      <c r="M3742" s="6"/>
      <c r="N3742" s="6" t="s">
        <v>2678</v>
      </c>
      <c r="O3742" s="29">
        <f t="shared" si="88"/>
        <v>0</v>
      </c>
      <c r="Q3742" s="30" t="s">
        <v>2678</v>
      </c>
      <c r="R3742" s="31">
        <v>0</v>
      </c>
    </row>
    <row r="3743" s="1" customFormat="1" ht="16.35" hidden="1" customHeight="1" spans="1:18">
      <c r="A3743" s="6"/>
      <c r="B3743" s="6" t="s">
        <v>4271</v>
      </c>
      <c r="C3743" s="6" t="s">
        <v>4186</v>
      </c>
      <c r="D3743" s="7">
        <v>34</v>
      </c>
      <c r="E3743" s="6" t="s">
        <v>7271</v>
      </c>
      <c r="F3743" s="6" t="s">
        <v>5631</v>
      </c>
      <c r="G3743" s="6" t="s">
        <v>5632</v>
      </c>
      <c r="H3743" s="8"/>
      <c r="I3743" s="8">
        <v>-62000</v>
      </c>
      <c r="J3743" s="6"/>
      <c r="K3743" s="6" t="s">
        <v>2688</v>
      </c>
      <c r="L3743" s="6"/>
      <c r="M3743" s="6"/>
      <c r="N3743" s="6" t="s">
        <v>2688</v>
      </c>
      <c r="O3743" s="29">
        <f t="shared" si="88"/>
        <v>-62000</v>
      </c>
      <c r="Q3743" s="30" t="s">
        <v>2688</v>
      </c>
      <c r="R3743" s="31">
        <v>-62000</v>
      </c>
    </row>
    <row r="3744" s="1" customFormat="1" ht="16.35" hidden="1" customHeight="1" spans="1:18">
      <c r="A3744" s="6"/>
      <c r="B3744" s="6" t="s">
        <v>4271</v>
      </c>
      <c r="C3744" s="6" t="s">
        <v>4186</v>
      </c>
      <c r="D3744" s="7">
        <v>89</v>
      </c>
      <c r="E3744" s="6" t="s">
        <v>7267</v>
      </c>
      <c r="F3744" s="6" t="s">
        <v>5631</v>
      </c>
      <c r="G3744" s="6" t="s">
        <v>5632</v>
      </c>
      <c r="H3744" s="8">
        <v>197000</v>
      </c>
      <c r="I3744" s="8"/>
      <c r="J3744" s="6"/>
      <c r="K3744" s="6" t="s">
        <v>2688</v>
      </c>
      <c r="L3744" s="6"/>
      <c r="M3744" s="6"/>
      <c r="N3744" s="6" t="s">
        <v>2688</v>
      </c>
      <c r="O3744" s="29">
        <f t="shared" si="88"/>
        <v>0</v>
      </c>
      <c r="Q3744" s="30" t="s">
        <v>2688</v>
      </c>
      <c r="R3744" s="31">
        <v>0</v>
      </c>
    </row>
    <row r="3745" s="1" customFormat="1" ht="16.35" hidden="1" customHeight="1" spans="1:18">
      <c r="A3745" s="6"/>
      <c r="B3745" s="6" t="s">
        <v>4271</v>
      </c>
      <c r="C3745" s="6" t="s">
        <v>4186</v>
      </c>
      <c r="D3745" s="7">
        <v>89</v>
      </c>
      <c r="E3745" s="6" t="s">
        <v>7267</v>
      </c>
      <c r="F3745" s="6" t="s">
        <v>5631</v>
      </c>
      <c r="G3745" s="6" t="s">
        <v>5632</v>
      </c>
      <c r="H3745" s="8">
        <v>237749</v>
      </c>
      <c r="I3745" s="8"/>
      <c r="J3745" s="6"/>
      <c r="K3745" s="6" t="s">
        <v>2732</v>
      </c>
      <c r="L3745" s="6"/>
      <c r="M3745" s="6"/>
      <c r="N3745" s="6" t="s">
        <v>2732</v>
      </c>
      <c r="O3745" s="29">
        <f t="shared" si="88"/>
        <v>0</v>
      </c>
      <c r="Q3745" s="30" t="s">
        <v>2732</v>
      </c>
      <c r="R3745" s="31">
        <v>0</v>
      </c>
    </row>
    <row r="3746" s="1" customFormat="1" ht="16.35" hidden="1" customHeight="1" spans="1:18">
      <c r="A3746" s="6"/>
      <c r="B3746" s="6" t="s">
        <v>4271</v>
      </c>
      <c r="C3746" s="6" t="s">
        <v>4186</v>
      </c>
      <c r="D3746" s="7">
        <v>89</v>
      </c>
      <c r="E3746" s="6" t="s">
        <v>7267</v>
      </c>
      <c r="F3746" s="6" t="s">
        <v>5631</v>
      </c>
      <c r="G3746" s="6" t="s">
        <v>5632</v>
      </c>
      <c r="H3746" s="8">
        <v>275102</v>
      </c>
      <c r="I3746" s="8"/>
      <c r="J3746" s="6"/>
      <c r="K3746" s="6" t="s">
        <v>2718</v>
      </c>
      <c r="L3746" s="6"/>
      <c r="M3746" s="6"/>
      <c r="N3746" s="6" t="s">
        <v>2718</v>
      </c>
      <c r="O3746" s="29">
        <f t="shared" si="88"/>
        <v>0</v>
      </c>
      <c r="Q3746" s="30" t="s">
        <v>2718</v>
      </c>
      <c r="R3746" s="31">
        <v>0</v>
      </c>
    </row>
    <row r="3747" s="1" customFormat="1" ht="16.35" hidden="1" customHeight="1" spans="1:18">
      <c r="A3747" s="6"/>
      <c r="B3747" s="6" t="s">
        <v>4271</v>
      </c>
      <c r="C3747" s="6" t="s">
        <v>4186</v>
      </c>
      <c r="D3747" s="7">
        <v>89</v>
      </c>
      <c r="E3747" s="6" t="s">
        <v>7267</v>
      </c>
      <c r="F3747" s="6" t="s">
        <v>5631</v>
      </c>
      <c r="G3747" s="6" t="s">
        <v>5632</v>
      </c>
      <c r="H3747" s="8">
        <v>234042</v>
      </c>
      <c r="I3747" s="8"/>
      <c r="J3747" s="6"/>
      <c r="K3747" s="6" t="s">
        <v>2734</v>
      </c>
      <c r="L3747" s="6"/>
      <c r="M3747" s="6"/>
      <c r="N3747" s="6" t="s">
        <v>2734</v>
      </c>
      <c r="O3747" s="29">
        <f t="shared" si="88"/>
        <v>0</v>
      </c>
      <c r="Q3747" s="30" t="s">
        <v>2734</v>
      </c>
      <c r="R3747" s="31">
        <v>0</v>
      </c>
    </row>
    <row r="3748" s="1" customFormat="1" ht="16.35" hidden="1" customHeight="1" spans="1:18">
      <c r="A3748" s="6"/>
      <c r="B3748" s="6" t="s">
        <v>4271</v>
      </c>
      <c r="C3748" s="6" t="s">
        <v>4186</v>
      </c>
      <c r="D3748" s="7">
        <v>89</v>
      </c>
      <c r="E3748" s="6" t="s">
        <v>7267</v>
      </c>
      <c r="F3748" s="6" t="s">
        <v>5631</v>
      </c>
      <c r="G3748" s="6" t="s">
        <v>5632</v>
      </c>
      <c r="H3748" s="8">
        <v>250466</v>
      </c>
      <c r="I3748" s="8"/>
      <c r="J3748" s="6"/>
      <c r="K3748" s="6" t="s">
        <v>2730</v>
      </c>
      <c r="L3748" s="6"/>
      <c r="M3748" s="6"/>
      <c r="N3748" s="6" t="s">
        <v>2730</v>
      </c>
      <c r="O3748" s="29">
        <f t="shared" si="88"/>
        <v>0</v>
      </c>
      <c r="Q3748" s="30" t="s">
        <v>2730</v>
      </c>
      <c r="R3748" s="31">
        <v>0</v>
      </c>
    </row>
    <row r="3749" s="1" customFormat="1" ht="16.35" hidden="1" customHeight="1" spans="1:18">
      <c r="A3749" s="6"/>
      <c r="B3749" s="6" t="s">
        <v>4271</v>
      </c>
      <c r="C3749" s="6" t="s">
        <v>4186</v>
      </c>
      <c r="D3749" s="7">
        <v>30</v>
      </c>
      <c r="E3749" s="6" t="s">
        <v>7272</v>
      </c>
      <c r="F3749" s="6" t="s">
        <v>5631</v>
      </c>
      <c r="G3749" s="6" t="s">
        <v>5632</v>
      </c>
      <c r="H3749" s="8"/>
      <c r="I3749" s="8">
        <v>90293</v>
      </c>
      <c r="J3749" s="6"/>
      <c r="K3749" s="6" t="s">
        <v>2087</v>
      </c>
      <c r="L3749" s="6"/>
      <c r="M3749" s="6"/>
      <c r="N3749" s="6" t="s">
        <v>2087</v>
      </c>
      <c r="O3749" s="29">
        <f t="shared" si="88"/>
        <v>90293</v>
      </c>
      <c r="Q3749" s="30" t="s">
        <v>2087</v>
      </c>
      <c r="R3749" s="31">
        <v>90293</v>
      </c>
    </row>
    <row r="3750" s="1" customFormat="1" ht="16.35" hidden="1" customHeight="1" spans="1:18">
      <c r="A3750" s="6"/>
      <c r="B3750" s="6" t="s">
        <v>4271</v>
      </c>
      <c r="C3750" s="6" t="s">
        <v>4186</v>
      </c>
      <c r="D3750" s="7">
        <v>15</v>
      </c>
      <c r="E3750" s="6" t="s">
        <v>7273</v>
      </c>
      <c r="F3750" s="6" t="s">
        <v>5631</v>
      </c>
      <c r="G3750" s="6" t="s">
        <v>5632</v>
      </c>
      <c r="H3750" s="8"/>
      <c r="I3750" s="8">
        <v>145000</v>
      </c>
      <c r="J3750" s="6"/>
      <c r="K3750" s="6" t="s">
        <v>2117</v>
      </c>
      <c r="L3750" s="6"/>
      <c r="M3750" s="6"/>
      <c r="N3750" s="6" t="s">
        <v>2117</v>
      </c>
      <c r="O3750" s="29">
        <f t="shared" si="88"/>
        <v>145000</v>
      </c>
      <c r="Q3750" s="30" t="s">
        <v>2117</v>
      </c>
      <c r="R3750" s="31">
        <v>145000</v>
      </c>
    </row>
    <row r="3751" s="1" customFormat="1" ht="16.35" hidden="1" customHeight="1" spans="1:18">
      <c r="A3751" s="6"/>
      <c r="B3751" s="6" t="s">
        <v>4271</v>
      </c>
      <c r="C3751" s="6" t="s">
        <v>4186</v>
      </c>
      <c r="D3751" s="7">
        <v>88</v>
      </c>
      <c r="E3751" s="6" t="s">
        <v>7265</v>
      </c>
      <c r="F3751" s="6" t="s">
        <v>5631</v>
      </c>
      <c r="G3751" s="6" t="s">
        <v>5632</v>
      </c>
      <c r="H3751" s="8">
        <v>246792</v>
      </c>
      <c r="I3751" s="8"/>
      <c r="J3751" s="6"/>
      <c r="K3751" s="6" t="s">
        <v>2117</v>
      </c>
      <c r="L3751" s="6"/>
      <c r="M3751" s="6"/>
      <c r="N3751" s="6" t="s">
        <v>2117</v>
      </c>
      <c r="O3751" s="29">
        <f t="shared" si="88"/>
        <v>0</v>
      </c>
      <c r="Q3751" s="30" t="s">
        <v>2117</v>
      </c>
      <c r="R3751" s="31">
        <v>0</v>
      </c>
    </row>
    <row r="3752" s="1" customFormat="1" ht="16.35" hidden="1" customHeight="1" spans="1:18">
      <c r="A3752" s="6"/>
      <c r="B3752" s="6" t="s">
        <v>4271</v>
      </c>
      <c r="C3752" s="6" t="s">
        <v>4186</v>
      </c>
      <c r="D3752" s="7">
        <v>16</v>
      </c>
      <c r="E3752" s="6" t="s">
        <v>7274</v>
      </c>
      <c r="F3752" s="6" t="s">
        <v>5631</v>
      </c>
      <c r="G3752" s="6" t="s">
        <v>5632</v>
      </c>
      <c r="H3752" s="8"/>
      <c r="I3752" s="8">
        <v>155000</v>
      </c>
      <c r="J3752" s="6"/>
      <c r="K3752" s="6" t="s">
        <v>2221</v>
      </c>
      <c r="L3752" s="6"/>
      <c r="M3752" s="6"/>
      <c r="N3752" s="6" t="s">
        <v>2221</v>
      </c>
      <c r="O3752" s="29">
        <f t="shared" si="88"/>
        <v>155000</v>
      </c>
      <c r="Q3752" s="30" t="s">
        <v>2221</v>
      </c>
      <c r="R3752" s="31">
        <v>155000</v>
      </c>
    </row>
    <row r="3753" s="1" customFormat="1" ht="16.35" hidden="1" customHeight="1" spans="1:18">
      <c r="A3753" s="6"/>
      <c r="B3753" s="6" t="s">
        <v>4271</v>
      </c>
      <c r="C3753" s="6" t="s">
        <v>4186</v>
      </c>
      <c r="D3753" s="7">
        <v>88</v>
      </c>
      <c r="E3753" s="6" t="s">
        <v>7265</v>
      </c>
      <c r="F3753" s="6" t="s">
        <v>5631</v>
      </c>
      <c r="G3753" s="6" t="s">
        <v>5632</v>
      </c>
      <c r="H3753" s="8">
        <v>228060</v>
      </c>
      <c r="I3753" s="8"/>
      <c r="J3753" s="6"/>
      <c r="K3753" s="6" t="s">
        <v>2221</v>
      </c>
      <c r="L3753" s="6"/>
      <c r="M3753" s="6"/>
      <c r="N3753" s="6" t="s">
        <v>2221</v>
      </c>
      <c r="O3753" s="29">
        <f t="shared" si="88"/>
        <v>0</v>
      </c>
      <c r="Q3753" s="30" t="s">
        <v>2221</v>
      </c>
      <c r="R3753" s="31">
        <v>0</v>
      </c>
    </row>
    <row r="3754" s="1" customFormat="1" ht="16.35" hidden="1" customHeight="1" spans="1:18">
      <c r="A3754" s="6"/>
      <c r="B3754" s="6" t="s">
        <v>4271</v>
      </c>
      <c r="C3754" s="6" t="s">
        <v>4186</v>
      </c>
      <c r="D3754" s="7">
        <v>88</v>
      </c>
      <c r="E3754" s="6" t="s">
        <v>7265</v>
      </c>
      <c r="F3754" s="6" t="s">
        <v>5631</v>
      </c>
      <c r="G3754" s="6" t="s">
        <v>5632</v>
      </c>
      <c r="H3754" s="8">
        <v>260409</v>
      </c>
      <c r="I3754" s="8"/>
      <c r="J3754" s="6"/>
      <c r="K3754" s="6" t="s">
        <v>2362</v>
      </c>
      <c r="L3754" s="6"/>
      <c r="M3754" s="6"/>
      <c r="N3754" s="6" t="s">
        <v>2362</v>
      </c>
      <c r="O3754" s="29">
        <f t="shared" si="88"/>
        <v>0</v>
      </c>
      <c r="Q3754" s="30" t="s">
        <v>2362</v>
      </c>
      <c r="R3754" s="31">
        <v>0</v>
      </c>
    </row>
    <row r="3755" s="1" customFormat="1" ht="16.35" hidden="1" customHeight="1" spans="1:18">
      <c r="A3755" s="6"/>
      <c r="B3755" s="6" t="s">
        <v>4271</v>
      </c>
      <c r="C3755" s="6" t="s">
        <v>4186</v>
      </c>
      <c r="D3755" s="7">
        <v>88</v>
      </c>
      <c r="E3755" s="6" t="s">
        <v>7265</v>
      </c>
      <c r="F3755" s="6" t="s">
        <v>5631</v>
      </c>
      <c r="G3755" s="6" t="s">
        <v>5632</v>
      </c>
      <c r="H3755" s="8">
        <v>220610</v>
      </c>
      <c r="I3755" s="8"/>
      <c r="J3755" s="6"/>
      <c r="K3755" s="6" t="s">
        <v>2372</v>
      </c>
      <c r="L3755" s="6"/>
      <c r="M3755" s="6"/>
      <c r="N3755" s="6" t="s">
        <v>2372</v>
      </c>
      <c r="O3755" s="29">
        <f t="shared" si="88"/>
        <v>0</v>
      </c>
      <c r="Q3755" s="30" t="s">
        <v>2372</v>
      </c>
      <c r="R3755" s="31">
        <v>0</v>
      </c>
    </row>
    <row r="3756" s="1" customFormat="1" ht="16.35" hidden="1" customHeight="1" spans="1:18">
      <c r="A3756" s="6"/>
      <c r="B3756" s="6" t="s">
        <v>4271</v>
      </c>
      <c r="C3756" s="6" t="s">
        <v>4186</v>
      </c>
      <c r="D3756" s="7">
        <v>89</v>
      </c>
      <c r="E3756" s="6" t="s">
        <v>7267</v>
      </c>
      <c r="F3756" s="6" t="s">
        <v>5631</v>
      </c>
      <c r="G3756" s="6" t="s">
        <v>5632</v>
      </c>
      <c r="H3756" s="8">
        <v>222576</v>
      </c>
      <c r="I3756" s="8"/>
      <c r="J3756" s="6"/>
      <c r="K3756" s="6" t="s">
        <v>2394</v>
      </c>
      <c r="L3756" s="6"/>
      <c r="M3756" s="6"/>
      <c r="N3756" s="6" t="s">
        <v>2394</v>
      </c>
      <c r="O3756" s="29">
        <f t="shared" si="88"/>
        <v>0</v>
      </c>
      <c r="Q3756" s="30" t="s">
        <v>2394</v>
      </c>
      <c r="R3756" s="31">
        <v>0</v>
      </c>
    </row>
    <row r="3757" s="1" customFormat="1" ht="16.35" hidden="1" customHeight="1" spans="1:18">
      <c r="A3757" s="6"/>
      <c r="B3757" s="6" t="s">
        <v>4271</v>
      </c>
      <c r="C3757" s="6" t="s">
        <v>4186</v>
      </c>
      <c r="D3757" s="7">
        <v>1</v>
      </c>
      <c r="E3757" s="6" t="s">
        <v>7275</v>
      </c>
      <c r="F3757" s="6" t="s">
        <v>5631</v>
      </c>
      <c r="G3757" s="6" t="s">
        <v>5632</v>
      </c>
      <c r="H3757" s="8"/>
      <c r="I3757" s="8">
        <v>146000</v>
      </c>
      <c r="J3757" s="6"/>
      <c r="K3757" s="6" t="s">
        <v>2400</v>
      </c>
      <c r="L3757" s="6"/>
      <c r="M3757" s="6"/>
      <c r="N3757" s="6" t="s">
        <v>2400</v>
      </c>
      <c r="O3757" s="29">
        <f t="shared" si="88"/>
        <v>146000</v>
      </c>
      <c r="Q3757" s="30" t="s">
        <v>2400</v>
      </c>
      <c r="R3757" s="31">
        <v>146000</v>
      </c>
    </row>
    <row r="3758" s="1" customFormat="1" ht="16.35" hidden="1" customHeight="1" spans="1:18">
      <c r="A3758" s="6"/>
      <c r="B3758" s="6" t="s">
        <v>4271</v>
      </c>
      <c r="C3758" s="6" t="s">
        <v>4186</v>
      </c>
      <c r="D3758" s="7">
        <v>9</v>
      </c>
      <c r="E3758" s="6" t="s">
        <v>7276</v>
      </c>
      <c r="F3758" s="6" t="s">
        <v>5631</v>
      </c>
      <c r="G3758" s="6" t="s">
        <v>5632</v>
      </c>
      <c r="H3758" s="8"/>
      <c r="I3758" s="8">
        <v>175000</v>
      </c>
      <c r="J3758" s="6"/>
      <c r="K3758" s="6" t="s">
        <v>2418</v>
      </c>
      <c r="L3758" s="6"/>
      <c r="M3758" s="6"/>
      <c r="N3758" s="6" t="s">
        <v>2418</v>
      </c>
      <c r="O3758" s="29">
        <f t="shared" si="88"/>
        <v>175000</v>
      </c>
      <c r="Q3758" s="30" t="s">
        <v>2418</v>
      </c>
      <c r="R3758" s="31">
        <v>175000</v>
      </c>
    </row>
    <row r="3759" s="1" customFormat="1" ht="16.35" hidden="1" customHeight="1" spans="1:18">
      <c r="A3759" s="6"/>
      <c r="B3759" s="6" t="s">
        <v>4271</v>
      </c>
      <c r="C3759" s="6" t="s">
        <v>4186</v>
      </c>
      <c r="D3759" s="7">
        <v>89</v>
      </c>
      <c r="E3759" s="6" t="s">
        <v>7267</v>
      </c>
      <c r="F3759" s="6" t="s">
        <v>5631</v>
      </c>
      <c r="G3759" s="6" t="s">
        <v>5632</v>
      </c>
      <c r="H3759" s="8">
        <v>235230</v>
      </c>
      <c r="I3759" s="8"/>
      <c r="J3759" s="6"/>
      <c r="K3759" s="6" t="s">
        <v>2378</v>
      </c>
      <c r="L3759" s="6"/>
      <c r="M3759" s="6"/>
      <c r="N3759" s="6" t="s">
        <v>2378</v>
      </c>
      <c r="O3759" s="29">
        <f t="shared" si="88"/>
        <v>0</v>
      </c>
      <c r="Q3759" s="30" t="s">
        <v>2378</v>
      </c>
      <c r="R3759" s="31">
        <v>0</v>
      </c>
    </row>
    <row r="3760" s="1" customFormat="1" ht="16.35" hidden="1" customHeight="1" spans="1:18">
      <c r="A3760" s="6"/>
      <c r="B3760" s="6" t="s">
        <v>4271</v>
      </c>
      <c r="C3760" s="6" t="s">
        <v>4186</v>
      </c>
      <c r="D3760" s="7">
        <v>89</v>
      </c>
      <c r="E3760" s="6" t="s">
        <v>7267</v>
      </c>
      <c r="F3760" s="6" t="s">
        <v>5631</v>
      </c>
      <c r="G3760" s="6" t="s">
        <v>5632</v>
      </c>
      <c r="H3760" s="8">
        <v>208432</v>
      </c>
      <c r="I3760" s="8"/>
      <c r="J3760" s="6"/>
      <c r="K3760" s="6" t="s">
        <v>2420</v>
      </c>
      <c r="L3760" s="6"/>
      <c r="M3760" s="6"/>
      <c r="N3760" s="6" t="s">
        <v>2420</v>
      </c>
      <c r="O3760" s="29">
        <f t="shared" si="88"/>
        <v>0</v>
      </c>
      <c r="Q3760" s="30" t="s">
        <v>2420</v>
      </c>
      <c r="R3760" s="31">
        <v>0</v>
      </c>
    </row>
    <row r="3761" s="1" customFormat="1" ht="16.35" hidden="1" customHeight="1" spans="1:18">
      <c r="A3761" s="6"/>
      <c r="B3761" s="6" t="s">
        <v>4271</v>
      </c>
      <c r="C3761" s="6" t="s">
        <v>4186</v>
      </c>
      <c r="D3761" s="7">
        <v>89</v>
      </c>
      <c r="E3761" s="6" t="s">
        <v>7267</v>
      </c>
      <c r="F3761" s="6" t="s">
        <v>5631</v>
      </c>
      <c r="G3761" s="6" t="s">
        <v>5632</v>
      </c>
      <c r="H3761" s="8">
        <v>245652</v>
      </c>
      <c r="I3761" s="8"/>
      <c r="J3761" s="6"/>
      <c r="K3761" s="6" t="s">
        <v>2390</v>
      </c>
      <c r="L3761" s="6"/>
      <c r="M3761" s="6"/>
      <c r="N3761" s="6" t="s">
        <v>2390</v>
      </c>
      <c r="O3761" s="29">
        <f t="shared" si="88"/>
        <v>0</v>
      </c>
      <c r="Q3761" s="30" t="s">
        <v>2390</v>
      </c>
      <c r="R3761" s="31">
        <v>0</v>
      </c>
    </row>
    <row r="3762" s="1" customFormat="1" ht="16.35" hidden="1" customHeight="1" spans="1:18">
      <c r="A3762" s="6"/>
      <c r="B3762" s="6" t="s">
        <v>4271</v>
      </c>
      <c r="C3762" s="6" t="s">
        <v>4186</v>
      </c>
      <c r="D3762" s="7">
        <v>12</v>
      </c>
      <c r="E3762" s="6" t="s">
        <v>7277</v>
      </c>
      <c r="F3762" s="6" t="s">
        <v>5631</v>
      </c>
      <c r="G3762" s="6" t="s">
        <v>5632</v>
      </c>
      <c r="H3762" s="8"/>
      <c r="I3762" s="8">
        <v>167000</v>
      </c>
      <c r="J3762" s="6"/>
      <c r="K3762" s="6" t="s">
        <v>2410</v>
      </c>
      <c r="L3762" s="6"/>
      <c r="M3762" s="6"/>
      <c r="N3762" s="6" t="s">
        <v>2410</v>
      </c>
      <c r="O3762" s="29">
        <f t="shared" si="88"/>
        <v>167000</v>
      </c>
      <c r="Q3762" s="30" t="s">
        <v>2410</v>
      </c>
      <c r="R3762" s="31">
        <v>167000</v>
      </c>
    </row>
    <row r="3763" s="1" customFormat="1" ht="16.35" hidden="1" customHeight="1" spans="1:18">
      <c r="A3763" s="6"/>
      <c r="B3763" s="6" t="s">
        <v>4271</v>
      </c>
      <c r="C3763" s="6" t="s">
        <v>4186</v>
      </c>
      <c r="D3763" s="7">
        <v>10</v>
      </c>
      <c r="E3763" s="6" t="s">
        <v>7278</v>
      </c>
      <c r="F3763" s="6" t="s">
        <v>5631</v>
      </c>
      <c r="G3763" s="6" t="s">
        <v>5632</v>
      </c>
      <c r="H3763" s="8"/>
      <c r="I3763" s="8">
        <v>160000</v>
      </c>
      <c r="J3763" s="6"/>
      <c r="K3763" s="6" t="s">
        <v>2474</v>
      </c>
      <c r="L3763" s="6"/>
      <c r="M3763" s="6"/>
      <c r="N3763" s="6" t="s">
        <v>2474</v>
      </c>
      <c r="O3763" s="29">
        <f t="shared" si="88"/>
        <v>160000</v>
      </c>
      <c r="Q3763" s="30" t="s">
        <v>2474</v>
      </c>
      <c r="R3763" s="31">
        <v>160000</v>
      </c>
    </row>
    <row r="3764" s="1" customFormat="1" ht="16.35" hidden="1" customHeight="1" spans="1:18">
      <c r="A3764" s="6"/>
      <c r="B3764" s="6" t="s">
        <v>4271</v>
      </c>
      <c r="C3764" s="6" t="s">
        <v>4186</v>
      </c>
      <c r="D3764" s="7">
        <v>89</v>
      </c>
      <c r="E3764" s="6" t="s">
        <v>7267</v>
      </c>
      <c r="F3764" s="6" t="s">
        <v>5631</v>
      </c>
      <c r="G3764" s="6" t="s">
        <v>5632</v>
      </c>
      <c r="H3764" s="8">
        <v>244794</v>
      </c>
      <c r="I3764" s="8"/>
      <c r="J3764" s="6"/>
      <c r="K3764" s="6" t="s">
        <v>2484</v>
      </c>
      <c r="L3764" s="6"/>
      <c r="M3764" s="6"/>
      <c r="N3764" s="6" t="s">
        <v>2484</v>
      </c>
      <c r="O3764" s="29">
        <f t="shared" si="88"/>
        <v>0</v>
      </c>
      <c r="Q3764" s="30" t="s">
        <v>2484</v>
      </c>
      <c r="R3764" s="31">
        <v>0</v>
      </c>
    </row>
    <row r="3765" s="1" customFormat="1" ht="16.35" hidden="1" customHeight="1" spans="1:18">
      <c r="A3765" s="6"/>
      <c r="B3765" s="6" t="s">
        <v>4271</v>
      </c>
      <c r="C3765" s="6" t="s">
        <v>4186</v>
      </c>
      <c r="D3765" s="7">
        <v>89</v>
      </c>
      <c r="E3765" s="6" t="s">
        <v>7267</v>
      </c>
      <c r="F3765" s="6" t="s">
        <v>5631</v>
      </c>
      <c r="G3765" s="6" t="s">
        <v>5632</v>
      </c>
      <c r="H3765" s="8">
        <v>188000</v>
      </c>
      <c r="I3765" s="8"/>
      <c r="J3765" s="6"/>
      <c r="K3765" s="6" t="s">
        <v>2545</v>
      </c>
      <c r="L3765" s="6"/>
      <c r="M3765" s="6"/>
      <c r="N3765" s="6" t="s">
        <v>2545</v>
      </c>
      <c r="O3765" s="29">
        <f t="shared" si="88"/>
        <v>0</v>
      </c>
      <c r="Q3765" s="30" t="s">
        <v>2545</v>
      </c>
      <c r="R3765" s="31">
        <v>0</v>
      </c>
    </row>
    <row r="3766" s="1" customFormat="1" ht="16.35" hidden="1" customHeight="1" spans="1:18">
      <c r="A3766" s="6"/>
      <c r="B3766" s="6" t="s">
        <v>4271</v>
      </c>
      <c r="C3766" s="6" t="s">
        <v>4186</v>
      </c>
      <c r="D3766" s="7">
        <v>11</v>
      </c>
      <c r="E3766" s="6" t="s">
        <v>7279</v>
      </c>
      <c r="F3766" s="6" t="s">
        <v>5631</v>
      </c>
      <c r="G3766" s="6" t="s">
        <v>5632</v>
      </c>
      <c r="H3766" s="8"/>
      <c r="I3766" s="8">
        <v>157000</v>
      </c>
      <c r="J3766" s="6"/>
      <c r="K3766" s="6" t="s">
        <v>2523</v>
      </c>
      <c r="L3766" s="6"/>
      <c r="M3766" s="6"/>
      <c r="N3766" s="6" t="s">
        <v>2523</v>
      </c>
      <c r="O3766" s="29">
        <f t="shared" si="88"/>
        <v>157000</v>
      </c>
      <c r="Q3766" s="30" t="s">
        <v>2523</v>
      </c>
      <c r="R3766" s="31">
        <v>157000</v>
      </c>
    </row>
    <row r="3767" s="1" customFormat="1" ht="16.35" hidden="1" customHeight="1" spans="1:18">
      <c r="A3767" s="6"/>
      <c r="B3767" s="6" t="s">
        <v>4271</v>
      </c>
      <c r="C3767" s="6" t="s">
        <v>4186</v>
      </c>
      <c r="D3767" s="7">
        <v>89</v>
      </c>
      <c r="E3767" s="6" t="s">
        <v>7267</v>
      </c>
      <c r="F3767" s="6" t="s">
        <v>5631</v>
      </c>
      <c r="G3767" s="6" t="s">
        <v>5632</v>
      </c>
      <c r="H3767" s="8">
        <v>169683</v>
      </c>
      <c r="I3767" s="8"/>
      <c r="J3767" s="6"/>
      <c r="K3767" s="6" t="s">
        <v>2644</v>
      </c>
      <c r="L3767" s="6"/>
      <c r="M3767" s="6"/>
      <c r="N3767" s="6" t="s">
        <v>2644</v>
      </c>
      <c r="O3767" s="29">
        <f t="shared" si="88"/>
        <v>0</v>
      </c>
      <c r="Q3767" s="30" t="s">
        <v>2644</v>
      </c>
      <c r="R3767" s="31">
        <v>0</v>
      </c>
    </row>
    <row r="3768" s="1" customFormat="1" ht="16.35" hidden="1" customHeight="1" spans="1:18">
      <c r="A3768" s="6"/>
      <c r="B3768" s="6" t="s">
        <v>4271</v>
      </c>
      <c r="C3768" s="6" t="s">
        <v>4186</v>
      </c>
      <c r="D3768" s="7">
        <v>89</v>
      </c>
      <c r="E3768" s="6" t="s">
        <v>7267</v>
      </c>
      <c r="F3768" s="6" t="s">
        <v>5631</v>
      </c>
      <c r="G3768" s="6" t="s">
        <v>5632</v>
      </c>
      <c r="H3768" s="8">
        <v>156630</v>
      </c>
      <c r="I3768" s="8"/>
      <c r="J3768" s="6"/>
      <c r="K3768" s="6" t="s">
        <v>2630</v>
      </c>
      <c r="L3768" s="6"/>
      <c r="M3768" s="6"/>
      <c r="N3768" s="6" t="s">
        <v>2630</v>
      </c>
      <c r="O3768" s="29">
        <f t="shared" si="88"/>
        <v>0</v>
      </c>
      <c r="Q3768" s="30" t="s">
        <v>2630</v>
      </c>
      <c r="R3768" s="31">
        <v>0</v>
      </c>
    </row>
    <row r="3769" s="1" customFormat="1" ht="16.35" hidden="1" customHeight="1" spans="1:18">
      <c r="A3769" s="6"/>
      <c r="B3769" s="6" t="s">
        <v>4271</v>
      </c>
      <c r="C3769" s="6" t="s">
        <v>4186</v>
      </c>
      <c r="D3769" s="7">
        <v>89</v>
      </c>
      <c r="E3769" s="6" t="s">
        <v>7267</v>
      </c>
      <c r="F3769" s="6" t="s">
        <v>5631</v>
      </c>
      <c r="G3769" s="6" t="s">
        <v>5632</v>
      </c>
      <c r="H3769" s="8">
        <v>252285</v>
      </c>
      <c r="I3769" s="8"/>
      <c r="J3769" s="6"/>
      <c r="K3769" s="6" t="s">
        <v>2662</v>
      </c>
      <c r="L3769" s="6"/>
      <c r="M3769" s="6"/>
      <c r="N3769" s="6" t="s">
        <v>2662</v>
      </c>
      <c r="O3769" s="29">
        <f t="shared" si="88"/>
        <v>0</v>
      </c>
      <c r="Q3769" s="30" t="s">
        <v>2662</v>
      </c>
      <c r="R3769" s="31">
        <v>0</v>
      </c>
    </row>
    <row r="3770" s="1" customFormat="1" ht="16.35" hidden="1" customHeight="1" spans="1:18">
      <c r="A3770" s="6"/>
      <c r="B3770" s="6" t="s">
        <v>4271</v>
      </c>
      <c r="C3770" s="6" t="s">
        <v>4186</v>
      </c>
      <c r="D3770" s="7">
        <v>89</v>
      </c>
      <c r="E3770" s="6" t="s">
        <v>7267</v>
      </c>
      <c r="F3770" s="6" t="s">
        <v>5631</v>
      </c>
      <c r="G3770" s="6" t="s">
        <v>5632</v>
      </c>
      <c r="H3770" s="8">
        <v>165000</v>
      </c>
      <c r="I3770" s="8"/>
      <c r="J3770" s="6"/>
      <c r="K3770" s="6" t="s">
        <v>2624</v>
      </c>
      <c r="L3770" s="6"/>
      <c r="M3770" s="6"/>
      <c r="N3770" s="6" t="s">
        <v>2624</v>
      </c>
      <c r="O3770" s="29">
        <f t="shared" si="88"/>
        <v>0</v>
      </c>
      <c r="Q3770" s="30" t="s">
        <v>2624</v>
      </c>
      <c r="R3770" s="31">
        <v>0</v>
      </c>
    </row>
    <row r="3771" s="1" customFormat="1" ht="16.35" hidden="1" customHeight="1" spans="1:18">
      <c r="A3771" s="6"/>
      <c r="B3771" s="6" t="s">
        <v>4271</v>
      </c>
      <c r="C3771" s="6" t="s">
        <v>4186</v>
      </c>
      <c r="D3771" s="7">
        <v>89</v>
      </c>
      <c r="E3771" s="6" t="s">
        <v>7267</v>
      </c>
      <c r="F3771" s="6" t="s">
        <v>5631</v>
      </c>
      <c r="G3771" s="6" t="s">
        <v>5632</v>
      </c>
      <c r="H3771" s="8">
        <v>266776</v>
      </c>
      <c r="I3771" s="8"/>
      <c r="J3771" s="6"/>
      <c r="K3771" s="6" t="s">
        <v>2698</v>
      </c>
      <c r="L3771" s="6"/>
      <c r="M3771" s="6"/>
      <c r="N3771" s="6" t="s">
        <v>2698</v>
      </c>
      <c r="O3771" s="29">
        <f t="shared" si="88"/>
        <v>0</v>
      </c>
      <c r="Q3771" s="30" t="s">
        <v>2698</v>
      </c>
      <c r="R3771" s="31">
        <v>0</v>
      </c>
    </row>
    <row r="3772" s="1" customFormat="1" ht="16.35" hidden="1" customHeight="1" spans="1:18">
      <c r="A3772" s="6"/>
      <c r="B3772" s="6" t="s">
        <v>4271</v>
      </c>
      <c r="C3772" s="6" t="s">
        <v>4186</v>
      </c>
      <c r="D3772" s="7">
        <v>45</v>
      </c>
      <c r="E3772" s="6" t="s">
        <v>7280</v>
      </c>
      <c r="F3772" s="6" t="s">
        <v>5631</v>
      </c>
      <c r="G3772" s="6" t="s">
        <v>5632</v>
      </c>
      <c r="H3772" s="8"/>
      <c r="I3772" s="8">
        <v>189000</v>
      </c>
      <c r="J3772" s="6"/>
      <c r="K3772" s="6" t="s">
        <v>2722</v>
      </c>
      <c r="L3772" s="6"/>
      <c r="M3772" s="6"/>
      <c r="N3772" s="6" t="s">
        <v>2722</v>
      </c>
      <c r="O3772" s="29">
        <f t="shared" si="88"/>
        <v>189000</v>
      </c>
      <c r="Q3772" s="30" t="s">
        <v>2722</v>
      </c>
      <c r="R3772" s="31">
        <v>189000</v>
      </c>
    </row>
    <row r="3773" s="1" customFormat="1" ht="16.35" hidden="1" customHeight="1" spans="1:18">
      <c r="A3773" s="6"/>
      <c r="B3773" s="6" t="s">
        <v>4271</v>
      </c>
      <c r="C3773" s="6" t="s">
        <v>4186</v>
      </c>
      <c r="D3773" s="7">
        <v>89</v>
      </c>
      <c r="E3773" s="6" t="s">
        <v>7267</v>
      </c>
      <c r="F3773" s="6" t="s">
        <v>5631</v>
      </c>
      <c r="G3773" s="6" t="s">
        <v>5632</v>
      </c>
      <c r="H3773" s="8">
        <v>264165</v>
      </c>
      <c r="I3773" s="8"/>
      <c r="J3773" s="6"/>
      <c r="K3773" s="6" t="s">
        <v>2728</v>
      </c>
      <c r="L3773" s="6"/>
      <c r="M3773" s="6"/>
      <c r="N3773" s="6" t="s">
        <v>2728</v>
      </c>
      <c r="O3773" s="29">
        <f t="shared" si="88"/>
        <v>0</v>
      </c>
      <c r="Q3773" s="30" t="s">
        <v>2728</v>
      </c>
      <c r="R3773" s="31">
        <v>0</v>
      </c>
    </row>
    <row r="3774" s="1" customFormat="1" ht="16.35" hidden="1" customHeight="1" spans="1:18">
      <c r="A3774" s="6"/>
      <c r="B3774" s="6" t="s">
        <v>4271</v>
      </c>
      <c r="C3774" s="6" t="s">
        <v>4186</v>
      </c>
      <c r="D3774" s="7">
        <v>8</v>
      </c>
      <c r="E3774" s="6" t="s">
        <v>7281</v>
      </c>
      <c r="F3774" s="6" t="s">
        <v>5631</v>
      </c>
      <c r="G3774" s="6" t="s">
        <v>5632</v>
      </c>
      <c r="H3774" s="8"/>
      <c r="I3774" s="8">
        <v>100000</v>
      </c>
      <c r="J3774" s="6"/>
      <c r="K3774" s="6" t="s">
        <v>2702</v>
      </c>
      <c r="L3774" s="6"/>
      <c r="M3774" s="6"/>
      <c r="N3774" s="6" t="s">
        <v>2702</v>
      </c>
      <c r="O3774" s="29">
        <f t="shared" si="88"/>
        <v>100000</v>
      </c>
      <c r="Q3774" s="30" t="s">
        <v>2702</v>
      </c>
      <c r="R3774" s="31">
        <v>100000</v>
      </c>
    </row>
    <row r="3775" s="1" customFormat="1" ht="16.35" hidden="1" customHeight="1" spans="1:18">
      <c r="A3775" s="6"/>
      <c r="B3775" s="6" t="s">
        <v>4271</v>
      </c>
      <c r="C3775" s="6" t="s">
        <v>4186</v>
      </c>
      <c r="D3775" s="7">
        <v>88</v>
      </c>
      <c r="E3775" s="6" t="s">
        <v>7265</v>
      </c>
      <c r="F3775" s="6" t="s">
        <v>5631</v>
      </c>
      <c r="G3775" s="6" t="s">
        <v>5632</v>
      </c>
      <c r="H3775" s="8">
        <v>263000</v>
      </c>
      <c r="I3775" s="8"/>
      <c r="J3775" s="6"/>
      <c r="K3775" s="6" t="s">
        <v>2037</v>
      </c>
      <c r="L3775" s="6"/>
      <c r="M3775" s="6"/>
      <c r="N3775" s="6" t="s">
        <v>2037</v>
      </c>
      <c r="O3775" s="29">
        <f t="shared" si="88"/>
        <v>0</v>
      </c>
      <c r="Q3775" s="30" t="s">
        <v>2037</v>
      </c>
      <c r="R3775" s="31">
        <v>0</v>
      </c>
    </row>
    <row r="3776" s="1" customFormat="1" ht="16.35" hidden="1" customHeight="1" spans="1:18">
      <c r="A3776" s="6"/>
      <c r="B3776" s="6" t="s">
        <v>4271</v>
      </c>
      <c r="C3776" s="6" t="s">
        <v>4186</v>
      </c>
      <c r="D3776" s="7">
        <v>88</v>
      </c>
      <c r="E3776" s="6" t="s">
        <v>7265</v>
      </c>
      <c r="F3776" s="6" t="s">
        <v>5631</v>
      </c>
      <c r="G3776" s="6" t="s">
        <v>5632</v>
      </c>
      <c r="H3776" s="8">
        <v>250000</v>
      </c>
      <c r="I3776" s="8"/>
      <c r="J3776" s="6"/>
      <c r="K3776" s="6" t="s">
        <v>2147</v>
      </c>
      <c r="L3776" s="6"/>
      <c r="M3776" s="6"/>
      <c r="N3776" s="6" t="s">
        <v>2147</v>
      </c>
      <c r="O3776" s="29">
        <f t="shared" si="88"/>
        <v>0</v>
      </c>
      <c r="Q3776" s="30" t="s">
        <v>2147</v>
      </c>
      <c r="R3776" s="31">
        <v>0</v>
      </c>
    </row>
    <row r="3777" s="1" customFormat="1" ht="16.35" hidden="1" customHeight="1" spans="1:18">
      <c r="A3777" s="6"/>
      <c r="B3777" s="6" t="s">
        <v>4271</v>
      </c>
      <c r="C3777" s="6" t="s">
        <v>4186</v>
      </c>
      <c r="D3777" s="7">
        <v>7</v>
      </c>
      <c r="E3777" s="6" t="s">
        <v>7282</v>
      </c>
      <c r="F3777" s="6" t="s">
        <v>5631</v>
      </c>
      <c r="G3777" s="6" t="s">
        <v>5632</v>
      </c>
      <c r="H3777" s="8"/>
      <c r="I3777" s="8">
        <v>120000</v>
      </c>
      <c r="J3777" s="6"/>
      <c r="K3777" s="6" t="s">
        <v>2412</v>
      </c>
      <c r="L3777" s="6"/>
      <c r="M3777" s="6"/>
      <c r="N3777" s="6" t="s">
        <v>2412</v>
      </c>
      <c r="O3777" s="29">
        <f t="shared" si="88"/>
        <v>120000</v>
      </c>
      <c r="Q3777" s="30" t="s">
        <v>2412</v>
      </c>
      <c r="R3777" s="31">
        <v>120000</v>
      </c>
    </row>
    <row r="3778" s="1" customFormat="1" ht="16.35" hidden="1" customHeight="1" spans="1:18">
      <c r="A3778" s="6"/>
      <c r="B3778" s="6" t="s">
        <v>4271</v>
      </c>
      <c r="C3778" s="6" t="s">
        <v>4186</v>
      </c>
      <c r="D3778" s="7">
        <v>2</v>
      </c>
      <c r="E3778" s="6" t="s">
        <v>7283</v>
      </c>
      <c r="F3778" s="6" t="s">
        <v>5631</v>
      </c>
      <c r="G3778" s="6" t="s">
        <v>5632</v>
      </c>
      <c r="H3778" s="8"/>
      <c r="I3778" s="8">
        <v>145000</v>
      </c>
      <c r="J3778" s="6"/>
      <c r="K3778" s="6" t="s">
        <v>2398</v>
      </c>
      <c r="L3778" s="6"/>
      <c r="M3778" s="6"/>
      <c r="N3778" s="6" t="s">
        <v>2398</v>
      </c>
      <c r="O3778" s="29">
        <f t="shared" si="88"/>
        <v>145000</v>
      </c>
      <c r="Q3778" s="30" t="s">
        <v>2398</v>
      </c>
      <c r="R3778" s="31">
        <v>145000</v>
      </c>
    </row>
    <row r="3779" s="1" customFormat="1" ht="16.35" hidden="1" customHeight="1" spans="1:18">
      <c r="A3779" s="6"/>
      <c r="B3779" s="6" t="s">
        <v>4271</v>
      </c>
      <c r="C3779" s="6" t="s">
        <v>4186</v>
      </c>
      <c r="D3779" s="7">
        <v>3</v>
      </c>
      <c r="E3779" s="6" t="s">
        <v>7284</v>
      </c>
      <c r="F3779" s="6" t="s">
        <v>5631</v>
      </c>
      <c r="G3779" s="6" t="s">
        <v>5632</v>
      </c>
      <c r="H3779" s="8"/>
      <c r="I3779" s="8">
        <v>160000</v>
      </c>
      <c r="J3779" s="6"/>
      <c r="K3779" s="6" t="s">
        <v>2422</v>
      </c>
      <c r="L3779" s="6"/>
      <c r="M3779" s="6"/>
      <c r="N3779" s="6" t="s">
        <v>2422</v>
      </c>
      <c r="O3779" s="29">
        <f t="shared" si="88"/>
        <v>160000</v>
      </c>
      <c r="Q3779" s="30" t="s">
        <v>2422</v>
      </c>
      <c r="R3779" s="31">
        <v>160000</v>
      </c>
    </row>
    <row r="3780" s="1" customFormat="1" ht="16.35" hidden="1" customHeight="1" spans="1:18">
      <c r="A3780" s="6"/>
      <c r="B3780" s="6" t="s">
        <v>4271</v>
      </c>
      <c r="C3780" s="6" t="s">
        <v>4186</v>
      </c>
      <c r="D3780" s="7">
        <v>89</v>
      </c>
      <c r="E3780" s="6" t="s">
        <v>7267</v>
      </c>
      <c r="F3780" s="6" t="s">
        <v>5631</v>
      </c>
      <c r="G3780" s="6" t="s">
        <v>5632</v>
      </c>
      <c r="H3780" s="8">
        <v>236000</v>
      </c>
      <c r="I3780" s="8"/>
      <c r="J3780" s="6"/>
      <c r="K3780" s="6" t="s">
        <v>2472</v>
      </c>
      <c r="L3780" s="6"/>
      <c r="M3780" s="6"/>
      <c r="N3780" s="6" t="s">
        <v>2472</v>
      </c>
      <c r="O3780" s="29">
        <f t="shared" si="88"/>
        <v>0</v>
      </c>
      <c r="Q3780" s="30" t="s">
        <v>2472</v>
      </c>
      <c r="R3780" s="31">
        <v>0</v>
      </c>
    </row>
    <row r="3781" s="1" customFormat="1" ht="16.35" hidden="1" customHeight="1" spans="1:18">
      <c r="A3781" s="6"/>
      <c r="B3781" s="6" t="s">
        <v>4271</v>
      </c>
      <c r="C3781" s="6" t="s">
        <v>4186</v>
      </c>
      <c r="D3781" s="7">
        <v>89</v>
      </c>
      <c r="E3781" s="6" t="s">
        <v>7267</v>
      </c>
      <c r="F3781" s="6" t="s">
        <v>5631</v>
      </c>
      <c r="G3781" s="6" t="s">
        <v>5632</v>
      </c>
      <c r="H3781" s="8">
        <v>281010</v>
      </c>
      <c r="I3781" s="8"/>
      <c r="J3781" s="6"/>
      <c r="K3781" s="6" t="s">
        <v>2432</v>
      </c>
      <c r="L3781" s="6"/>
      <c r="M3781" s="6"/>
      <c r="N3781" s="6" t="s">
        <v>2432</v>
      </c>
      <c r="O3781" s="29">
        <f t="shared" si="88"/>
        <v>0</v>
      </c>
      <c r="Q3781" s="30" t="s">
        <v>2432</v>
      </c>
      <c r="R3781" s="31">
        <v>0</v>
      </c>
    </row>
    <row r="3782" s="1" customFormat="1" ht="16.35" hidden="1" customHeight="1" spans="1:18">
      <c r="A3782" s="6"/>
      <c r="B3782" s="6" t="s">
        <v>4271</v>
      </c>
      <c r="C3782" s="6" t="s">
        <v>4186</v>
      </c>
      <c r="D3782" s="7">
        <v>46</v>
      </c>
      <c r="E3782" s="6" t="s">
        <v>7285</v>
      </c>
      <c r="F3782" s="6" t="s">
        <v>5631</v>
      </c>
      <c r="G3782" s="6" t="s">
        <v>5632</v>
      </c>
      <c r="H3782" s="8"/>
      <c r="I3782" s="8">
        <v>155000</v>
      </c>
      <c r="J3782" s="6"/>
      <c r="K3782" s="6" t="s">
        <v>2488</v>
      </c>
      <c r="L3782" s="6"/>
      <c r="M3782" s="6"/>
      <c r="N3782" s="6" t="s">
        <v>2488</v>
      </c>
      <c r="O3782" s="29">
        <f t="shared" si="88"/>
        <v>155000</v>
      </c>
      <c r="Q3782" s="30" t="s">
        <v>2488</v>
      </c>
      <c r="R3782" s="31">
        <v>155000</v>
      </c>
    </row>
    <row r="3783" s="1" customFormat="1" ht="16.35" hidden="1" customHeight="1" spans="1:18">
      <c r="A3783" s="6"/>
      <c r="B3783" s="6" t="s">
        <v>4271</v>
      </c>
      <c r="C3783" s="6" t="s">
        <v>4186</v>
      </c>
      <c r="D3783" s="7">
        <v>89</v>
      </c>
      <c r="E3783" s="6" t="s">
        <v>7267</v>
      </c>
      <c r="F3783" s="6" t="s">
        <v>5631</v>
      </c>
      <c r="G3783" s="6" t="s">
        <v>5632</v>
      </c>
      <c r="H3783" s="8">
        <v>207704</v>
      </c>
      <c r="I3783" s="8"/>
      <c r="J3783" s="6"/>
      <c r="K3783" s="6" t="s">
        <v>2446</v>
      </c>
      <c r="L3783" s="6"/>
      <c r="M3783" s="6"/>
      <c r="N3783" s="6" t="s">
        <v>2446</v>
      </c>
      <c r="O3783" s="29">
        <f t="shared" si="88"/>
        <v>0</v>
      </c>
      <c r="Q3783" s="30" t="s">
        <v>2446</v>
      </c>
      <c r="R3783" s="31">
        <v>0</v>
      </c>
    </row>
    <row r="3784" s="1" customFormat="1" ht="16.35" hidden="1" customHeight="1" spans="1:18">
      <c r="A3784" s="6"/>
      <c r="B3784" s="6" t="s">
        <v>4271</v>
      </c>
      <c r="C3784" s="6" t="s">
        <v>4186</v>
      </c>
      <c r="D3784" s="7">
        <v>4</v>
      </c>
      <c r="E3784" s="6" t="s">
        <v>7286</v>
      </c>
      <c r="F3784" s="6" t="s">
        <v>5631</v>
      </c>
      <c r="G3784" s="6" t="s">
        <v>5632</v>
      </c>
      <c r="H3784" s="8"/>
      <c r="I3784" s="8">
        <v>148000</v>
      </c>
      <c r="J3784" s="6"/>
      <c r="K3784" s="6" t="s">
        <v>2450</v>
      </c>
      <c r="L3784" s="6"/>
      <c r="M3784" s="6"/>
      <c r="N3784" s="6" t="s">
        <v>2450</v>
      </c>
      <c r="O3784" s="29">
        <f t="shared" si="88"/>
        <v>148000</v>
      </c>
      <c r="Q3784" s="30" t="s">
        <v>2450</v>
      </c>
      <c r="R3784" s="31">
        <v>148000</v>
      </c>
    </row>
    <row r="3785" s="1" customFormat="1" ht="16.35" hidden="1" customHeight="1" spans="1:18">
      <c r="A3785" s="6"/>
      <c r="B3785" s="6" t="s">
        <v>4271</v>
      </c>
      <c r="C3785" s="6" t="s">
        <v>4186</v>
      </c>
      <c r="D3785" s="7">
        <v>89</v>
      </c>
      <c r="E3785" s="6" t="s">
        <v>7267</v>
      </c>
      <c r="F3785" s="6" t="s">
        <v>5631</v>
      </c>
      <c r="G3785" s="6" t="s">
        <v>5632</v>
      </c>
      <c r="H3785" s="8">
        <v>148799</v>
      </c>
      <c r="I3785" s="8"/>
      <c r="J3785" s="6"/>
      <c r="K3785" s="6" t="s">
        <v>2638</v>
      </c>
      <c r="L3785" s="6"/>
      <c r="M3785" s="6"/>
      <c r="N3785" s="6" t="s">
        <v>2638</v>
      </c>
      <c r="O3785" s="29">
        <f t="shared" si="88"/>
        <v>0</v>
      </c>
      <c r="Q3785" s="30" t="s">
        <v>2638</v>
      </c>
      <c r="R3785" s="31">
        <v>0</v>
      </c>
    </row>
    <row r="3786" s="1" customFormat="1" ht="16.35" hidden="1" customHeight="1" spans="1:18">
      <c r="A3786" s="6"/>
      <c r="B3786" s="6" t="s">
        <v>4271</v>
      </c>
      <c r="C3786" s="6" t="s">
        <v>4186</v>
      </c>
      <c r="D3786" s="7">
        <v>89</v>
      </c>
      <c r="E3786" s="6" t="s">
        <v>7267</v>
      </c>
      <c r="F3786" s="6" t="s">
        <v>5631</v>
      </c>
      <c r="G3786" s="6" t="s">
        <v>5632</v>
      </c>
      <c r="H3786" s="8">
        <v>182735</v>
      </c>
      <c r="I3786" s="8"/>
      <c r="J3786" s="6"/>
      <c r="K3786" s="6" t="s">
        <v>2652</v>
      </c>
      <c r="L3786" s="6"/>
      <c r="M3786" s="6"/>
      <c r="N3786" s="6" t="s">
        <v>2652</v>
      </c>
      <c r="O3786" s="29">
        <f t="shared" si="88"/>
        <v>0</v>
      </c>
      <c r="Q3786" s="30" t="s">
        <v>2652</v>
      </c>
      <c r="R3786" s="31">
        <v>0</v>
      </c>
    </row>
    <row r="3787" s="1" customFormat="1" ht="16.35" hidden="1" customHeight="1" spans="1:18">
      <c r="A3787" s="6"/>
      <c r="B3787" s="6" t="s">
        <v>4271</v>
      </c>
      <c r="C3787" s="6" t="s">
        <v>4186</v>
      </c>
      <c r="D3787" s="7">
        <v>89</v>
      </c>
      <c r="E3787" s="6" t="s">
        <v>7267</v>
      </c>
      <c r="F3787" s="6" t="s">
        <v>5631</v>
      </c>
      <c r="G3787" s="6" t="s">
        <v>5632</v>
      </c>
      <c r="H3787" s="8">
        <v>219204</v>
      </c>
      <c r="I3787" s="8"/>
      <c r="J3787" s="6"/>
      <c r="K3787" s="6" t="s">
        <v>2594</v>
      </c>
      <c r="L3787" s="6"/>
      <c r="M3787" s="6"/>
      <c r="N3787" s="6" t="s">
        <v>2594</v>
      </c>
      <c r="O3787" s="29">
        <f t="shared" si="88"/>
        <v>0</v>
      </c>
      <c r="Q3787" s="30" t="s">
        <v>2594</v>
      </c>
      <c r="R3787" s="31">
        <v>0</v>
      </c>
    </row>
    <row r="3788" s="1" customFormat="1" ht="16.35" hidden="1" customHeight="1" spans="1:18">
      <c r="A3788" s="6"/>
      <c r="B3788" s="6" t="s">
        <v>4271</v>
      </c>
      <c r="C3788" s="6" t="s">
        <v>4186</v>
      </c>
      <c r="D3788" s="7">
        <v>89</v>
      </c>
      <c r="E3788" s="6" t="s">
        <v>7267</v>
      </c>
      <c r="F3788" s="6" t="s">
        <v>5631</v>
      </c>
      <c r="G3788" s="6" t="s">
        <v>5632</v>
      </c>
      <c r="H3788" s="8">
        <v>276000</v>
      </c>
      <c r="I3788" s="8"/>
      <c r="J3788" s="6"/>
      <c r="K3788" s="6" t="s">
        <v>2696</v>
      </c>
      <c r="L3788" s="6"/>
      <c r="M3788" s="6"/>
      <c r="N3788" s="6" t="s">
        <v>2696</v>
      </c>
      <c r="O3788" s="29">
        <f t="shared" si="88"/>
        <v>0</v>
      </c>
      <c r="Q3788" s="30" t="s">
        <v>2696</v>
      </c>
      <c r="R3788" s="31">
        <v>0</v>
      </c>
    </row>
    <row r="3789" s="1" customFormat="1" ht="16.35" hidden="1" customHeight="1" spans="1:18">
      <c r="A3789" s="6"/>
      <c r="B3789" s="6" t="s">
        <v>4271</v>
      </c>
      <c r="C3789" s="6" t="s">
        <v>4186</v>
      </c>
      <c r="D3789" s="7">
        <v>5</v>
      </c>
      <c r="E3789" s="6" t="s">
        <v>7287</v>
      </c>
      <c r="F3789" s="6" t="s">
        <v>5631</v>
      </c>
      <c r="G3789" s="6" t="s">
        <v>5632</v>
      </c>
      <c r="H3789" s="8"/>
      <c r="I3789" s="8">
        <v>185000</v>
      </c>
      <c r="J3789" s="6"/>
      <c r="K3789" s="6" t="s">
        <v>2704</v>
      </c>
      <c r="L3789" s="6"/>
      <c r="M3789" s="6"/>
      <c r="N3789" s="6" t="s">
        <v>2704</v>
      </c>
      <c r="O3789" s="29">
        <f t="shared" si="88"/>
        <v>185000</v>
      </c>
      <c r="Q3789" s="30" t="s">
        <v>2704</v>
      </c>
      <c r="R3789" s="31">
        <v>185000</v>
      </c>
    </row>
    <row r="3790" s="1" customFormat="1" ht="16.35" hidden="1" customHeight="1" spans="1:18">
      <c r="A3790" s="6"/>
      <c r="B3790" s="6" t="s">
        <v>4271</v>
      </c>
      <c r="C3790" s="6" t="s">
        <v>4186</v>
      </c>
      <c r="D3790" s="7">
        <v>89</v>
      </c>
      <c r="E3790" s="6" t="s">
        <v>7267</v>
      </c>
      <c r="F3790" s="6" t="s">
        <v>5631</v>
      </c>
      <c r="G3790" s="6" t="s">
        <v>5632</v>
      </c>
      <c r="H3790" s="8">
        <v>250763</v>
      </c>
      <c r="I3790" s="8"/>
      <c r="J3790" s="6"/>
      <c r="K3790" s="6" t="s">
        <v>2716</v>
      </c>
      <c r="L3790" s="6"/>
      <c r="M3790" s="6"/>
      <c r="N3790" s="6" t="s">
        <v>2716</v>
      </c>
      <c r="O3790" s="29">
        <f t="shared" si="88"/>
        <v>0</v>
      </c>
      <c r="Q3790" s="30" t="s">
        <v>2716</v>
      </c>
      <c r="R3790" s="31">
        <v>0</v>
      </c>
    </row>
    <row r="3791" s="1" customFormat="1" ht="16.35" hidden="1" customHeight="1" spans="1:18">
      <c r="A3791" s="6"/>
      <c r="B3791" s="6" t="s">
        <v>4271</v>
      </c>
      <c r="C3791" s="6" t="s">
        <v>4186</v>
      </c>
      <c r="D3791" s="7">
        <v>6</v>
      </c>
      <c r="E3791" s="6" t="s">
        <v>7288</v>
      </c>
      <c r="F3791" s="6" t="s">
        <v>5631</v>
      </c>
      <c r="G3791" s="6" t="s">
        <v>5632</v>
      </c>
      <c r="H3791" s="8"/>
      <c r="I3791" s="8">
        <v>163000</v>
      </c>
      <c r="J3791" s="6"/>
      <c r="K3791" s="6" t="s">
        <v>2712</v>
      </c>
      <c r="L3791" s="6"/>
      <c r="M3791" s="6"/>
      <c r="N3791" s="6" t="s">
        <v>2712</v>
      </c>
      <c r="O3791" s="29">
        <f t="shared" si="88"/>
        <v>163000</v>
      </c>
      <c r="Q3791" s="30" t="s">
        <v>2712</v>
      </c>
      <c r="R3791" s="31">
        <v>163000</v>
      </c>
    </row>
    <row r="3792" s="1" customFormat="1" ht="16.35" hidden="1" customHeight="1" spans="1:18">
      <c r="A3792" s="6"/>
      <c r="B3792" s="6" t="s">
        <v>4271</v>
      </c>
      <c r="C3792" s="6" t="s">
        <v>4186</v>
      </c>
      <c r="D3792" s="7">
        <v>88</v>
      </c>
      <c r="E3792" s="6" t="s">
        <v>7265</v>
      </c>
      <c r="F3792" s="6" t="s">
        <v>5631</v>
      </c>
      <c r="G3792" s="6" t="s">
        <v>5632</v>
      </c>
      <c r="H3792" s="8">
        <v>223782</v>
      </c>
      <c r="I3792" s="8"/>
      <c r="J3792" s="6"/>
      <c r="K3792" s="6" t="s">
        <v>2007</v>
      </c>
      <c r="L3792" s="6"/>
      <c r="M3792" s="6"/>
      <c r="N3792" s="6" t="s">
        <v>2007</v>
      </c>
      <c r="O3792" s="29">
        <f t="shared" si="88"/>
        <v>0</v>
      </c>
      <c r="Q3792" s="30" t="s">
        <v>2007</v>
      </c>
      <c r="R3792" s="31">
        <v>0</v>
      </c>
    </row>
    <row r="3793" s="1" customFormat="1" ht="16.35" hidden="1" customHeight="1" spans="1:18">
      <c r="A3793" s="6"/>
      <c r="B3793" s="6" t="s">
        <v>4271</v>
      </c>
      <c r="C3793" s="6" t="s">
        <v>4186</v>
      </c>
      <c r="D3793" s="7">
        <v>88</v>
      </c>
      <c r="E3793" s="6" t="s">
        <v>7265</v>
      </c>
      <c r="F3793" s="6" t="s">
        <v>5631</v>
      </c>
      <c r="G3793" s="6" t="s">
        <v>5632</v>
      </c>
      <c r="H3793" s="8">
        <v>241000</v>
      </c>
      <c r="I3793" s="8"/>
      <c r="J3793" s="6"/>
      <c r="K3793" s="6" t="s">
        <v>2289</v>
      </c>
      <c r="L3793" s="6"/>
      <c r="M3793" s="6"/>
      <c r="N3793" s="6" t="s">
        <v>2289</v>
      </c>
      <c r="O3793" s="29">
        <f t="shared" si="88"/>
        <v>0</v>
      </c>
      <c r="Q3793" s="30" t="s">
        <v>2289</v>
      </c>
      <c r="R3793" s="31">
        <v>0</v>
      </c>
    </row>
    <row r="3794" s="1" customFormat="1" ht="16.35" hidden="1" customHeight="1" spans="1:18">
      <c r="A3794" s="6"/>
      <c r="B3794" s="6" t="s">
        <v>4271</v>
      </c>
      <c r="C3794" s="6" t="s">
        <v>4186</v>
      </c>
      <c r="D3794" s="7">
        <v>31</v>
      </c>
      <c r="E3794" s="6" t="s">
        <v>7157</v>
      </c>
      <c r="F3794" s="6" t="s">
        <v>5631</v>
      </c>
      <c r="G3794" s="6" t="s">
        <v>5632</v>
      </c>
      <c r="H3794" s="8"/>
      <c r="I3794" s="8">
        <v>25776</v>
      </c>
      <c r="J3794" s="6"/>
      <c r="K3794" s="6" t="s">
        <v>2111</v>
      </c>
      <c r="L3794" s="6"/>
      <c r="M3794" s="6"/>
      <c r="N3794" s="6" t="s">
        <v>2111</v>
      </c>
      <c r="O3794" s="29">
        <f t="shared" si="88"/>
        <v>25776</v>
      </c>
      <c r="Q3794" s="30" t="s">
        <v>2111</v>
      </c>
      <c r="R3794" s="31">
        <v>25776</v>
      </c>
    </row>
    <row r="3795" s="1" customFormat="1" ht="16.35" hidden="1" customHeight="1" spans="1:18">
      <c r="A3795" s="6"/>
      <c r="B3795" s="6" t="s">
        <v>4271</v>
      </c>
      <c r="C3795" s="6" t="s">
        <v>4186</v>
      </c>
      <c r="D3795" s="7">
        <v>33</v>
      </c>
      <c r="E3795" s="6" t="s">
        <v>7289</v>
      </c>
      <c r="F3795" s="6" t="s">
        <v>5631</v>
      </c>
      <c r="G3795" s="6" t="s">
        <v>5632</v>
      </c>
      <c r="H3795" s="8"/>
      <c r="I3795" s="8">
        <v>220000</v>
      </c>
      <c r="J3795" s="6"/>
      <c r="K3795" s="6" t="s">
        <v>2388</v>
      </c>
      <c r="L3795" s="6"/>
      <c r="M3795" s="6"/>
      <c r="N3795" s="6" t="s">
        <v>2388</v>
      </c>
      <c r="O3795" s="29">
        <f t="shared" si="88"/>
        <v>220000</v>
      </c>
      <c r="Q3795" s="30" t="s">
        <v>2388</v>
      </c>
      <c r="R3795" s="31">
        <v>220000</v>
      </c>
    </row>
    <row r="3796" s="1" customFormat="1" ht="16.35" hidden="1" customHeight="1" spans="1:18">
      <c r="A3796" s="6"/>
      <c r="B3796" s="6" t="s">
        <v>4271</v>
      </c>
      <c r="C3796" s="6" t="s">
        <v>4186</v>
      </c>
      <c r="D3796" s="7">
        <v>89</v>
      </c>
      <c r="E3796" s="6" t="s">
        <v>7267</v>
      </c>
      <c r="F3796" s="6" t="s">
        <v>5631</v>
      </c>
      <c r="G3796" s="6" t="s">
        <v>5632</v>
      </c>
      <c r="H3796" s="8">
        <v>182735</v>
      </c>
      <c r="I3796" s="8"/>
      <c r="J3796" s="6"/>
      <c r="K3796" s="6" t="s">
        <v>2660</v>
      </c>
      <c r="L3796" s="6"/>
      <c r="M3796" s="6"/>
      <c r="N3796" s="6" t="s">
        <v>2660</v>
      </c>
      <c r="O3796" s="29">
        <f t="shared" si="88"/>
        <v>0</v>
      </c>
      <c r="Q3796" s="30" t="s">
        <v>2660</v>
      </c>
      <c r="R3796" s="31">
        <v>0</v>
      </c>
    </row>
    <row r="3797" s="1" customFormat="1" ht="16.35" hidden="1" customHeight="1" spans="1:18">
      <c r="A3797" s="6"/>
      <c r="B3797" s="6" t="s">
        <v>4271</v>
      </c>
      <c r="C3797" s="6" t="s">
        <v>4186</v>
      </c>
      <c r="D3797" s="7">
        <v>89</v>
      </c>
      <c r="E3797" s="6" t="s">
        <v>7267</v>
      </c>
      <c r="F3797" s="6" t="s">
        <v>5631</v>
      </c>
      <c r="G3797" s="6" t="s">
        <v>5632</v>
      </c>
      <c r="H3797" s="8">
        <v>256108</v>
      </c>
      <c r="I3797" s="8"/>
      <c r="J3797" s="6"/>
      <c r="K3797" s="6" t="s">
        <v>2604</v>
      </c>
      <c r="L3797" s="6"/>
      <c r="M3797" s="6"/>
      <c r="N3797" s="6" t="s">
        <v>2604</v>
      </c>
      <c r="O3797" s="29">
        <f t="shared" si="88"/>
        <v>0</v>
      </c>
      <c r="Q3797" s="30" t="s">
        <v>2604</v>
      </c>
      <c r="R3797" s="31">
        <v>0</v>
      </c>
    </row>
    <row r="3798" s="1" customFormat="1" ht="16.35" hidden="1" customHeight="1" spans="1:18">
      <c r="A3798" s="6"/>
      <c r="B3798" s="6" t="s">
        <v>4271</v>
      </c>
      <c r="C3798" s="6" t="s">
        <v>4186</v>
      </c>
      <c r="D3798" s="7">
        <v>89</v>
      </c>
      <c r="E3798" s="6" t="s">
        <v>7267</v>
      </c>
      <c r="F3798" s="6" t="s">
        <v>5631</v>
      </c>
      <c r="G3798" s="6" t="s">
        <v>5632</v>
      </c>
      <c r="H3798" s="8">
        <v>170000</v>
      </c>
      <c r="I3798" s="8"/>
      <c r="J3798" s="6"/>
      <c r="K3798" s="6" t="s">
        <v>2608</v>
      </c>
      <c r="L3798" s="6"/>
      <c r="M3798" s="6"/>
      <c r="N3798" s="6" t="s">
        <v>2608</v>
      </c>
      <c r="O3798" s="29">
        <f t="shared" si="88"/>
        <v>0</v>
      </c>
      <c r="Q3798" s="30" t="s">
        <v>2608</v>
      </c>
      <c r="R3798" s="31">
        <v>0</v>
      </c>
    </row>
    <row r="3799" s="1" customFormat="1" ht="16.35" hidden="1" customHeight="1" spans="1:18">
      <c r="A3799" s="6"/>
      <c r="B3799" s="6" t="s">
        <v>4271</v>
      </c>
      <c r="C3799" s="6" t="s">
        <v>4186</v>
      </c>
      <c r="D3799" s="7">
        <v>89</v>
      </c>
      <c r="E3799" s="6" t="s">
        <v>7267</v>
      </c>
      <c r="F3799" s="6" t="s">
        <v>5631</v>
      </c>
      <c r="G3799" s="6" t="s">
        <v>5632</v>
      </c>
      <c r="H3799" s="8">
        <v>170148</v>
      </c>
      <c r="I3799" s="8"/>
      <c r="J3799" s="6"/>
      <c r="K3799" s="6" t="s">
        <v>2658</v>
      </c>
      <c r="L3799" s="6"/>
      <c r="M3799" s="6"/>
      <c r="N3799" s="6" t="s">
        <v>2658</v>
      </c>
      <c r="O3799" s="29">
        <f t="shared" si="88"/>
        <v>0</v>
      </c>
      <c r="Q3799" s="30" t="s">
        <v>2658</v>
      </c>
      <c r="R3799" s="31">
        <v>0</v>
      </c>
    </row>
    <row r="3800" s="1" customFormat="1" ht="16.35" hidden="1" customHeight="1" spans="1:18">
      <c r="A3800" s="6"/>
      <c r="B3800" s="6" t="s">
        <v>4271</v>
      </c>
      <c r="C3800" s="6" t="s">
        <v>4186</v>
      </c>
      <c r="D3800" s="7">
        <v>17</v>
      </c>
      <c r="E3800" s="6" t="s">
        <v>7290</v>
      </c>
      <c r="F3800" s="6" t="s">
        <v>5631</v>
      </c>
      <c r="G3800" s="6" t="s">
        <v>5632</v>
      </c>
      <c r="H3800" s="8"/>
      <c r="I3800" s="8">
        <v>68463</v>
      </c>
      <c r="J3800" s="6"/>
      <c r="K3800" s="6" t="s">
        <v>2596</v>
      </c>
      <c r="L3800" s="6"/>
      <c r="M3800" s="6"/>
      <c r="N3800" s="6" t="s">
        <v>2596</v>
      </c>
      <c r="O3800" s="29">
        <f t="shared" ref="O3800:O3863" si="89">I3800</f>
        <v>68463</v>
      </c>
      <c r="Q3800" s="30" t="s">
        <v>2596</v>
      </c>
      <c r="R3800" s="31">
        <v>68463</v>
      </c>
    </row>
    <row r="3801" s="1" customFormat="1" ht="16.35" hidden="1" customHeight="1" spans="1:18">
      <c r="A3801" s="6"/>
      <c r="B3801" s="6" t="s">
        <v>4271</v>
      </c>
      <c r="C3801" s="6" t="s">
        <v>4186</v>
      </c>
      <c r="D3801" s="7">
        <v>89</v>
      </c>
      <c r="E3801" s="6" t="s">
        <v>7267</v>
      </c>
      <c r="F3801" s="6" t="s">
        <v>5631</v>
      </c>
      <c r="G3801" s="6" t="s">
        <v>5632</v>
      </c>
      <c r="H3801" s="8">
        <v>274000</v>
      </c>
      <c r="I3801" s="8"/>
      <c r="J3801" s="6"/>
      <c r="K3801" s="6" t="s">
        <v>2700</v>
      </c>
      <c r="L3801" s="6"/>
      <c r="M3801" s="6"/>
      <c r="N3801" s="6" t="s">
        <v>2700</v>
      </c>
      <c r="O3801" s="29">
        <f t="shared" si="89"/>
        <v>0</v>
      </c>
      <c r="Q3801" s="30" t="s">
        <v>2700</v>
      </c>
      <c r="R3801" s="31">
        <v>0</v>
      </c>
    </row>
    <row r="3802" s="1" customFormat="1" ht="16.35" hidden="1" customHeight="1" spans="1:18">
      <c r="A3802" s="6"/>
      <c r="B3802" s="6" t="s">
        <v>4271</v>
      </c>
      <c r="C3802" s="6" t="s">
        <v>4186</v>
      </c>
      <c r="D3802" s="7">
        <v>89</v>
      </c>
      <c r="E3802" s="6" t="s">
        <v>7267</v>
      </c>
      <c r="F3802" s="6" t="s">
        <v>5631</v>
      </c>
      <c r="G3802" s="6" t="s">
        <v>5632</v>
      </c>
      <c r="H3802" s="8">
        <v>228143</v>
      </c>
      <c r="I3802" s="8"/>
      <c r="J3802" s="6"/>
      <c r="K3802" s="6" t="s">
        <v>2736</v>
      </c>
      <c r="L3802" s="6"/>
      <c r="M3802" s="6"/>
      <c r="N3802" s="6" t="s">
        <v>2736</v>
      </c>
      <c r="O3802" s="29">
        <f t="shared" si="89"/>
        <v>0</v>
      </c>
      <c r="Q3802" s="30" t="s">
        <v>2736</v>
      </c>
      <c r="R3802" s="31">
        <v>0</v>
      </c>
    </row>
    <row r="3803" s="1" customFormat="1" ht="16.35" hidden="1" customHeight="1" spans="1:18">
      <c r="A3803" s="6"/>
      <c r="B3803" s="6" t="s">
        <v>4271</v>
      </c>
      <c r="C3803" s="6" t="s">
        <v>4197</v>
      </c>
      <c r="D3803" s="7">
        <v>28</v>
      </c>
      <c r="E3803" s="6" t="s">
        <v>7291</v>
      </c>
      <c r="F3803" s="6" t="s">
        <v>5631</v>
      </c>
      <c r="G3803" s="6" t="s">
        <v>5632</v>
      </c>
      <c r="H3803" s="8"/>
      <c r="I3803" s="8">
        <v>-79404</v>
      </c>
      <c r="J3803" s="6"/>
      <c r="K3803" s="6" t="s">
        <v>2173</v>
      </c>
      <c r="L3803" s="6"/>
      <c r="M3803" s="6"/>
      <c r="N3803" s="6" t="s">
        <v>2173</v>
      </c>
      <c r="O3803" s="29">
        <f t="shared" si="89"/>
        <v>-79404</v>
      </c>
      <c r="Q3803" s="30" t="s">
        <v>2173</v>
      </c>
      <c r="R3803" s="31">
        <v>-79404</v>
      </c>
    </row>
    <row r="3804" s="1" customFormat="1" ht="16.35" hidden="1" customHeight="1" spans="1:18">
      <c r="A3804" s="6"/>
      <c r="B3804" s="6" t="s">
        <v>4271</v>
      </c>
      <c r="C3804" s="6" t="s">
        <v>4197</v>
      </c>
      <c r="D3804" s="7">
        <v>61</v>
      </c>
      <c r="E3804" s="6" t="s">
        <v>7292</v>
      </c>
      <c r="F3804" s="6" t="s">
        <v>5631</v>
      </c>
      <c r="G3804" s="6" t="s">
        <v>5632</v>
      </c>
      <c r="H3804" s="8"/>
      <c r="I3804" s="8">
        <v>106404</v>
      </c>
      <c r="J3804" s="6"/>
      <c r="K3804" s="6" t="s">
        <v>2173</v>
      </c>
      <c r="L3804" s="6"/>
      <c r="M3804" s="6"/>
      <c r="N3804" s="6" t="s">
        <v>2173</v>
      </c>
      <c r="O3804" s="29">
        <f t="shared" si="89"/>
        <v>106404</v>
      </c>
      <c r="Q3804" s="30" t="s">
        <v>2173</v>
      </c>
      <c r="R3804" s="31">
        <v>106404</v>
      </c>
    </row>
    <row r="3805" s="1" customFormat="1" ht="16.35" hidden="1" customHeight="1" spans="1:18">
      <c r="A3805" s="6"/>
      <c r="B3805" s="6" t="s">
        <v>4271</v>
      </c>
      <c r="C3805" s="6" t="s">
        <v>4197</v>
      </c>
      <c r="D3805" s="7">
        <v>57</v>
      </c>
      <c r="E3805" s="6" t="s">
        <v>7293</v>
      </c>
      <c r="F3805" s="6" t="s">
        <v>5631</v>
      </c>
      <c r="G3805" s="6" t="s">
        <v>5632</v>
      </c>
      <c r="H3805" s="8"/>
      <c r="I3805" s="8">
        <v>78060</v>
      </c>
      <c r="J3805" s="6"/>
      <c r="K3805" s="6" t="s">
        <v>2281</v>
      </c>
      <c r="L3805" s="6"/>
      <c r="M3805" s="6"/>
      <c r="N3805" s="6" t="s">
        <v>2281</v>
      </c>
      <c r="O3805" s="29">
        <f t="shared" si="89"/>
        <v>78060</v>
      </c>
      <c r="Q3805" s="30" t="s">
        <v>2281</v>
      </c>
      <c r="R3805" s="31">
        <v>78060</v>
      </c>
    </row>
    <row r="3806" s="1" customFormat="1" ht="16.35" hidden="1" customHeight="1" spans="1:18">
      <c r="A3806" s="6"/>
      <c r="B3806" s="6" t="s">
        <v>4271</v>
      </c>
      <c r="C3806" s="6" t="s">
        <v>4197</v>
      </c>
      <c r="D3806" s="7">
        <v>72</v>
      </c>
      <c r="E3806" s="6" t="s">
        <v>7294</v>
      </c>
      <c r="F3806" s="6" t="s">
        <v>5631</v>
      </c>
      <c r="G3806" s="6" t="s">
        <v>5632</v>
      </c>
      <c r="H3806" s="8"/>
      <c r="I3806" s="8">
        <v>84064</v>
      </c>
      <c r="J3806" s="6"/>
      <c r="K3806" s="6" t="s">
        <v>2322</v>
      </c>
      <c r="L3806" s="6"/>
      <c r="M3806" s="6"/>
      <c r="N3806" s="6" t="s">
        <v>2322</v>
      </c>
      <c r="O3806" s="29">
        <f t="shared" si="89"/>
        <v>84064</v>
      </c>
      <c r="Q3806" s="30" t="s">
        <v>2322</v>
      </c>
      <c r="R3806" s="31">
        <v>84064</v>
      </c>
    </row>
    <row r="3807" s="1" customFormat="1" ht="16.35" hidden="1" customHeight="1" spans="1:18">
      <c r="A3807" s="6"/>
      <c r="B3807" s="6" t="s">
        <v>4271</v>
      </c>
      <c r="C3807" s="6" t="s">
        <v>4197</v>
      </c>
      <c r="D3807" s="7">
        <v>78</v>
      </c>
      <c r="E3807" s="6" t="s">
        <v>7295</v>
      </c>
      <c r="F3807" s="6" t="s">
        <v>5631</v>
      </c>
      <c r="G3807" s="6" t="s">
        <v>5632</v>
      </c>
      <c r="H3807" s="8">
        <v>259463.97</v>
      </c>
      <c r="I3807" s="8"/>
      <c r="J3807" s="6"/>
      <c r="K3807" s="6" t="s">
        <v>2424</v>
      </c>
      <c r="L3807" s="6"/>
      <c r="M3807" s="6"/>
      <c r="N3807" s="6" t="s">
        <v>2424</v>
      </c>
      <c r="O3807" s="29">
        <f t="shared" si="89"/>
        <v>0</v>
      </c>
      <c r="Q3807" s="30" t="s">
        <v>2424</v>
      </c>
      <c r="R3807" s="31">
        <v>0</v>
      </c>
    </row>
    <row r="3808" s="1" customFormat="1" ht="16.35" hidden="1" customHeight="1" spans="1:18">
      <c r="A3808" s="6"/>
      <c r="B3808" s="6" t="s">
        <v>4271</v>
      </c>
      <c r="C3808" s="6" t="s">
        <v>4197</v>
      </c>
      <c r="D3808" s="7">
        <v>73</v>
      </c>
      <c r="E3808" s="6" t="s">
        <v>7296</v>
      </c>
      <c r="F3808" s="6" t="s">
        <v>5631</v>
      </c>
      <c r="G3808" s="6" t="s">
        <v>5632</v>
      </c>
      <c r="H3808" s="8"/>
      <c r="I3808" s="8">
        <v>144988</v>
      </c>
      <c r="J3808" s="6"/>
      <c r="K3808" s="6" t="s">
        <v>2517</v>
      </c>
      <c r="L3808" s="6"/>
      <c r="M3808" s="6"/>
      <c r="N3808" s="6" t="s">
        <v>2517</v>
      </c>
      <c r="O3808" s="29">
        <f t="shared" si="89"/>
        <v>144988</v>
      </c>
      <c r="Q3808" s="30" t="s">
        <v>2517</v>
      </c>
      <c r="R3808" s="31">
        <v>144988</v>
      </c>
    </row>
    <row r="3809" s="1" customFormat="1" ht="16.35" hidden="1" customHeight="1" spans="1:18">
      <c r="A3809" s="6"/>
      <c r="B3809" s="6" t="s">
        <v>4271</v>
      </c>
      <c r="C3809" s="6" t="s">
        <v>4197</v>
      </c>
      <c r="D3809" s="7">
        <v>91</v>
      </c>
      <c r="E3809" s="6" t="s">
        <v>7297</v>
      </c>
      <c r="F3809" s="6" t="s">
        <v>5631</v>
      </c>
      <c r="G3809" s="6" t="s">
        <v>5632</v>
      </c>
      <c r="H3809" s="8"/>
      <c r="I3809" s="8">
        <v>60000</v>
      </c>
      <c r="J3809" s="6"/>
      <c r="K3809" s="6" t="s">
        <v>2517</v>
      </c>
      <c r="L3809" s="6"/>
      <c r="M3809" s="6"/>
      <c r="N3809" s="6" t="s">
        <v>2517</v>
      </c>
      <c r="O3809" s="29">
        <f t="shared" si="89"/>
        <v>60000</v>
      </c>
      <c r="Q3809" s="30" t="s">
        <v>2517</v>
      </c>
      <c r="R3809" s="31">
        <v>60000</v>
      </c>
    </row>
    <row r="3810" s="1" customFormat="1" ht="16.35" hidden="1" customHeight="1" spans="1:18">
      <c r="A3810" s="6"/>
      <c r="B3810" s="6" t="s">
        <v>4271</v>
      </c>
      <c r="C3810" s="6" t="s">
        <v>4197</v>
      </c>
      <c r="D3810" s="7">
        <v>91</v>
      </c>
      <c r="E3810" s="6" t="s">
        <v>7298</v>
      </c>
      <c r="F3810" s="6" t="s">
        <v>5631</v>
      </c>
      <c r="G3810" s="6" t="s">
        <v>5632</v>
      </c>
      <c r="H3810" s="8"/>
      <c r="I3810" s="8">
        <v>10000</v>
      </c>
      <c r="J3810" s="6"/>
      <c r="K3810" s="6" t="s">
        <v>2517</v>
      </c>
      <c r="L3810" s="6"/>
      <c r="M3810" s="6"/>
      <c r="N3810" s="6" t="s">
        <v>2517</v>
      </c>
      <c r="O3810" s="29">
        <f t="shared" si="89"/>
        <v>10000</v>
      </c>
      <c r="Q3810" s="30" t="s">
        <v>2517</v>
      </c>
      <c r="R3810" s="31">
        <v>10000</v>
      </c>
    </row>
    <row r="3811" s="1" customFormat="1" ht="16.35" hidden="1" customHeight="1" spans="1:18">
      <c r="A3811" s="6"/>
      <c r="B3811" s="6" t="s">
        <v>4271</v>
      </c>
      <c r="C3811" s="6" t="s">
        <v>4197</v>
      </c>
      <c r="D3811" s="7">
        <v>87</v>
      </c>
      <c r="E3811" s="6" t="s">
        <v>7267</v>
      </c>
      <c r="F3811" s="6" t="s">
        <v>5631</v>
      </c>
      <c r="G3811" s="6" t="s">
        <v>5632</v>
      </c>
      <c r="H3811" s="8">
        <v>178652</v>
      </c>
      <c r="I3811" s="8"/>
      <c r="J3811" s="6"/>
      <c r="K3811" s="6" t="s">
        <v>2580</v>
      </c>
      <c r="L3811" s="6"/>
      <c r="M3811" s="6"/>
      <c r="N3811" s="6" t="s">
        <v>2580</v>
      </c>
      <c r="O3811" s="29">
        <f t="shared" si="89"/>
        <v>0</v>
      </c>
      <c r="Q3811" s="30" t="s">
        <v>2580</v>
      </c>
      <c r="R3811" s="31">
        <v>0</v>
      </c>
    </row>
    <row r="3812" s="1" customFormat="1" ht="16.35" hidden="1" customHeight="1" spans="1:18">
      <c r="A3812" s="6"/>
      <c r="B3812" s="6" t="s">
        <v>4271</v>
      </c>
      <c r="C3812" s="6" t="s">
        <v>4197</v>
      </c>
      <c r="D3812" s="7">
        <v>62</v>
      </c>
      <c r="E3812" s="6" t="s">
        <v>7299</v>
      </c>
      <c r="F3812" s="6" t="s">
        <v>5631</v>
      </c>
      <c r="G3812" s="6" t="s">
        <v>5632</v>
      </c>
      <c r="H3812" s="8"/>
      <c r="I3812" s="8">
        <v>110000</v>
      </c>
      <c r="J3812" s="6"/>
      <c r="K3812" s="6" t="s">
        <v>2543</v>
      </c>
      <c r="L3812" s="6"/>
      <c r="M3812" s="6"/>
      <c r="N3812" s="6" t="s">
        <v>2543</v>
      </c>
      <c r="O3812" s="29">
        <f t="shared" si="89"/>
        <v>110000</v>
      </c>
      <c r="Q3812" s="30" t="s">
        <v>2543</v>
      </c>
      <c r="R3812" s="31">
        <v>110000</v>
      </c>
    </row>
    <row r="3813" s="1" customFormat="1" ht="16.35" hidden="1" customHeight="1" spans="1:18">
      <c r="A3813" s="6"/>
      <c r="B3813" s="6" t="s">
        <v>4271</v>
      </c>
      <c r="C3813" s="6" t="s">
        <v>4197</v>
      </c>
      <c r="D3813" s="7">
        <v>78</v>
      </c>
      <c r="E3813" s="6" t="s">
        <v>7295</v>
      </c>
      <c r="F3813" s="6" t="s">
        <v>5631</v>
      </c>
      <c r="G3813" s="6" t="s">
        <v>5632</v>
      </c>
      <c r="H3813" s="8">
        <v>160350</v>
      </c>
      <c r="I3813" s="8"/>
      <c r="J3813" s="6"/>
      <c r="K3813" s="6" t="s">
        <v>2642</v>
      </c>
      <c r="L3813" s="6"/>
      <c r="M3813" s="6"/>
      <c r="N3813" s="6" t="s">
        <v>2642</v>
      </c>
      <c r="O3813" s="29">
        <f t="shared" si="89"/>
        <v>0</v>
      </c>
      <c r="Q3813" s="30" t="s">
        <v>2642</v>
      </c>
      <c r="R3813" s="31">
        <v>0</v>
      </c>
    </row>
    <row r="3814" s="1" customFormat="1" ht="16.35" hidden="1" customHeight="1" spans="1:18">
      <c r="A3814" s="6"/>
      <c r="B3814" s="6" t="s">
        <v>4271</v>
      </c>
      <c r="C3814" s="6" t="s">
        <v>4197</v>
      </c>
      <c r="D3814" s="7">
        <v>78</v>
      </c>
      <c r="E3814" s="6" t="s">
        <v>7295</v>
      </c>
      <c r="F3814" s="6" t="s">
        <v>5631</v>
      </c>
      <c r="G3814" s="6" t="s">
        <v>5632</v>
      </c>
      <c r="H3814" s="8">
        <v>220713</v>
      </c>
      <c r="I3814" s="8"/>
      <c r="J3814" s="6"/>
      <c r="K3814" s="6" t="s">
        <v>2664</v>
      </c>
      <c r="L3814" s="6"/>
      <c r="M3814" s="6"/>
      <c r="N3814" s="6" t="s">
        <v>2664</v>
      </c>
      <c r="O3814" s="29">
        <f t="shared" si="89"/>
        <v>0</v>
      </c>
      <c r="Q3814" s="30" t="s">
        <v>2664</v>
      </c>
      <c r="R3814" s="31">
        <v>0</v>
      </c>
    </row>
    <row r="3815" s="1" customFormat="1" ht="16.35" hidden="1" customHeight="1" spans="1:18">
      <c r="A3815" s="6"/>
      <c r="B3815" s="6" t="s">
        <v>4271</v>
      </c>
      <c r="C3815" s="6" t="s">
        <v>4197</v>
      </c>
      <c r="D3815" s="7">
        <v>78</v>
      </c>
      <c r="E3815" s="6" t="s">
        <v>7295</v>
      </c>
      <c r="F3815" s="6" t="s">
        <v>5631</v>
      </c>
      <c r="G3815" s="6" t="s">
        <v>5632</v>
      </c>
      <c r="H3815" s="8">
        <v>149241</v>
      </c>
      <c r="I3815" s="8"/>
      <c r="J3815" s="6"/>
      <c r="K3815" s="6" t="s">
        <v>2684</v>
      </c>
      <c r="L3815" s="6"/>
      <c r="M3815" s="6"/>
      <c r="N3815" s="6" t="s">
        <v>2684</v>
      </c>
      <c r="O3815" s="29">
        <f t="shared" si="89"/>
        <v>0</v>
      </c>
      <c r="Q3815" s="30" t="s">
        <v>2684</v>
      </c>
      <c r="R3815" s="31">
        <v>0</v>
      </c>
    </row>
    <row r="3816" s="1" customFormat="1" ht="16.35" hidden="1" customHeight="1" spans="1:18">
      <c r="A3816" s="6"/>
      <c r="B3816" s="6" t="s">
        <v>4271</v>
      </c>
      <c r="C3816" s="6" t="s">
        <v>4197</v>
      </c>
      <c r="D3816" s="7">
        <v>60</v>
      </c>
      <c r="E3816" s="6" t="s">
        <v>7300</v>
      </c>
      <c r="F3816" s="6" t="s">
        <v>5631</v>
      </c>
      <c r="G3816" s="6" t="s">
        <v>5632</v>
      </c>
      <c r="H3816" s="8"/>
      <c r="I3816" s="8">
        <v>77285</v>
      </c>
      <c r="J3816" s="6"/>
      <c r="K3816" s="6" t="s">
        <v>2620</v>
      </c>
      <c r="L3816" s="6"/>
      <c r="M3816" s="6"/>
      <c r="N3816" s="6" t="s">
        <v>2620</v>
      </c>
      <c r="O3816" s="29">
        <f t="shared" si="89"/>
        <v>77285</v>
      </c>
      <c r="Q3816" s="30" t="s">
        <v>2620</v>
      </c>
      <c r="R3816" s="31">
        <v>77285</v>
      </c>
    </row>
    <row r="3817" s="1" customFormat="1" ht="16.35" hidden="1" customHeight="1" spans="1:18">
      <c r="A3817" s="6"/>
      <c r="B3817" s="6" t="s">
        <v>4271</v>
      </c>
      <c r="C3817" s="6" t="s">
        <v>4197</v>
      </c>
      <c r="D3817" s="7">
        <v>87</v>
      </c>
      <c r="E3817" s="6" t="s">
        <v>7267</v>
      </c>
      <c r="F3817" s="6" t="s">
        <v>5631</v>
      </c>
      <c r="G3817" s="6" t="s">
        <v>5632</v>
      </c>
      <c r="H3817" s="8">
        <v>264000</v>
      </c>
      <c r="I3817" s="8"/>
      <c r="J3817" s="6"/>
      <c r="K3817" s="6" t="s">
        <v>2692</v>
      </c>
      <c r="L3817" s="6"/>
      <c r="M3817" s="6"/>
      <c r="N3817" s="6" t="s">
        <v>2692</v>
      </c>
      <c r="O3817" s="29">
        <f t="shared" si="89"/>
        <v>0</v>
      </c>
      <c r="Q3817" s="30" t="s">
        <v>2692</v>
      </c>
      <c r="R3817" s="31">
        <v>0</v>
      </c>
    </row>
    <row r="3818" s="1" customFormat="1" ht="16.35" hidden="1" customHeight="1" spans="1:18">
      <c r="A3818" s="6"/>
      <c r="B3818" s="6" t="s">
        <v>4271</v>
      </c>
      <c r="C3818" s="6" t="s">
        <v>4197</v>
      </c>
      <c r="D3818" s="7">
        <v>9</v>
      </c>
      <c r="E3818" s="6" t="s">
        <v>7301</v>
      </c>
      <c r="F3818" s="6" t="s">
        <v>5631</v>
      </c>
      <c r="G3818" s="6" t="s">
        <v>5632</v>
      </c>
      <c r="H3818" s="8"/>
      <c r="I3818" s="8">
        <v>158000</v>
      </c>
      <c r="J3818" s="6"/>
      <c r="K3818" s="6" t="s">
        <v>2710</v>
      </c>
      <c r="L3818" s="6"/>
      <c r="M3818" s="6"/>
      <c r="N3818" s="6" t="s">
        <v>2710</v>
      </c>
      <c r="O3818" s="29">
        <f t="shared" si="89"/>
        <v>158000</v>
      </c>
      <c r="Q3818" s="30" t="s">
        <v>2710</v>
      </c>
      <c r="R3818" s="31">
        <v>158000</v>
      </c>
    </row>
    <row r="3819" s="1" customFormat="1" ht="16.35" hidden="1" customHeight="1" spans="1:18">
      <c r="A3819" s="6"/>
      <c r="B3819" s="6" t="s">
        <v>4271</v>
      </c>
      <c r="C3819" s="6" t="s">
        <v>4197</v>
      </c>
      <c r="D3819" s="7">
        <v>78</v>
      </c>
      <c r="E3819" s="6" t="s">
        <v>7295</v>
      </c>
      <c r="F3819" s="6" t="s">
        <v>5631</v>
      </c>
      <c r="G3819" s="6" t="s">
        <v>5632</v>
      </c>
      <c r="H3819" s="8">
        <v>225741</v>
      </c>
      <c r="I3819" s="8"/>
      <c r="J3819" s="6"/>
      <c r="K3819" s="6" t="s">
        <v>2710</v>
      </c>
      <c r="L3819" s="6"/>
      <c r="M3819" s="6"/>
      <c r="N3819" s="6" t="s">
        <v>2710</v>
      </c>
      <c r="O3819" s="29">
        <f t="shared" si="89"/>
        <v>0</v>
      </c>
      <c r="Q3819" s="30" t="s">
        <v>2710</v>
      </c>
      <c r="R3819" s="31">
        <v>0</v>
      </c>
    </row>
    <row r="3820" s="1" customFormat="1" ht="16.35" hidden="1" customHeight="1" spans="1:18">
      <c r="A3820" s="6"/>
      <c r="B3820" s="6" t="s">
        <v>4271</v>
      </c>
      <c r="C3820" s="6" t="s">
        <v>4197</v>
      </c>
      <c r="D3820" s="7">
        <v>68</v>
      </c>
      <c r="E3820" s="6" t="s">
        <v>7302</v>
      </c>
      <c r="F3820" s="6" t="s">
        <v>5631</v>
      </c>
      <c r="G3820" s="6" t="s">
        <v>5632</v>
      </c>
      <c r="H3820" s="8"/>
      <c r="I3820" s="8">
        <v>-81168</v>
      </c>
      <c r="J3820" s="6"/>
      <c r="K3820" s="6" t="s">
        <v>2694</v>
      </c>
      <c r="L3820" s="6"/>
      <c r="M3820" s="6"/>
      <c r="N3820" s="6" t="s">
        <v>2694</v>
      </c>
      <c r="O3820" s="29">
        <f t="shared" si="89"/>
        <v>-81168</v>
      </c>
      <c r="Q3820" s="30" t="s">
        <v>2694</v>
      </c>
      <c r="R3820" s="31">
        <v>-81168</v>
      </c>
    </row>
    <row r="3821" s="1" customFormat="1" ht="16.35" hidden="1" customHeight="1" spans="1:18">
      <c r="A3821" s="6"/>
      <c r="B3821" s="6" t="s">
        <v>4271</v>
      </c>
      <c r="C3821" s="6" t="s">
        <v>4197</v>
      </c>
      <c r="D3821" s="7">
        <v>7</v>
      </c>
      <c r="E3821" s="6" t="s">
        <v>7303</v>
      </c>
      <c r="F3821" s="6" t="s">
        <v>5631</v>
      </c>
      <c r="G3821" s="6" t="s">
        <v>5632</v>
      </c>
      <c r="H3821" s="8"/>
      <c r="I3821" s="8">
        <v>170000</v>
      </c>
      <c r="J3821" s="6"/>
      <c r="K3821" s="6" t="s">
        <v>2714</v>
      </c>
      <c r="L3821" s="6"/>
      <c r="M3821" s="6"/>
      <c r="N3821" s="6" t="s">
        <v>2714</v>
      </c>
      <c r="O3821" s="29">
        <f t="shared" si="89"/>
        <v>170000</v>
      </c>
      <c r="Q3821" s="30" t="s">
        <v>2714</v>
      </c>
      <c r="R3821" s="31">
        <v>170000</v>
      </c>
    </row>
    <row r="3822" s="1" customFormat="1" ht="16.35" hidden="1" customHeight="1" spans="1:18">
      <c r="A3822" s="6"/>
      <c r="B3822" s="6" t="s">
        <v>4271</v>
      </c>
      <c r="C3822" s="6" t="s">
        <v>4197</v>
      </c>
      <c r="D3822" s="7">
        <v>78</v>
      </c>
      <c r="E3822" s="6" t="s">
        <v>7295</v>
      </c>
      <c r="F3822" s="6" t="s">
        <v>5631</v>
      </c>
      <c r="G3822" s="6" t="s">
        <v>5632</v>
      </c>
      <c r="H3822" s="8">
        <v>262784</v>
      </c>
      <c r="I3822" s="8"/>
      <c r="J3822" s="6"/>
      <c r="K3822" s="6" t="s">
        <v>2714</v>
      </c>
      <c r="L3822" s="6"/>
      <c r="M3822" s="6"/>
      <c r="N3822" s="6" t="s">
        <v>2714</v>
      </c>
      <c r="O3822" s="29">
        <f t="shared" si="89"/>
        <v>0</v>
      </c>
      <c r="Q3822" s="30" t="s">
        <v>2714</v>
      </c>
      <c r="R3822" s="31">
        <v>0</v>
      </c>
    </row>
    <row r="3823" s="1" customFormat="1" ht="16.35" hidden="1" customHeight="1" spans="1:18">
      <c r="A3823" s="6"/>
      <c r="B3823" s="6" t="s">
        <v>4271</v>
      </c>
      <c r="C3823" s="6" t="s">
        <v>4197</v>
      </c>
      <c r="D3823" s="7">
        <v>87</v>
      </c>
      <c r="E3823" s="6" t="s">
        <v>7267</v>
      </c>
      <c r="F3823" s="6" t="s">
        <v>5631</v>
      </c>
      <c r="G3823" s="6" t="s">
        <v>5632</v>
      </c>
      <c r="H3823" s="8">
        <v>240150</v>
      </c>
      <c r="I3823" s="8"/>
      <c r="J3823" s="6"/>
      <c r="K3823" s="6" t="s">
        <v>2706</v>
      </c>
      <c r="L3823" s="6"/>
      <c r="M3823" s="6"/>
      <c r="N3823" s="6" t="s">
        <v>2706</v>
      </c>
      <c r="O3823" s="29">
        <f t="shared" si="89"/>
        <v>0</v>
      </c>
      <c r="Q3823" s="30" t="s">
        <v>2706</v>
      </c>
      <c r="R3823" s="31">
        <v>0</v>
      </c>
    </row>
    <row r="3824" s="1" customFormat="1" ht="16.35" hidden="1" customHeight="1" spans="1:18">
      <c r="A3824" s="6"/>
      <c r="B3824" s="6" t="s">
        <v>4271</v>
      </c>
      <c r="C3824" s="6" t="s">
        <v>4197</v>
      </c>
      <c r="D3824" s="7">
        <v>24</v>
      </c>
      <c r="E3824" s="6" t="s">
        <v>7304</v>
      </c>
      <c r="F3824" s="6" t="s">
        <v>5631</v>
      </c>
      <c r="G3824" s="6" t="s">
        <v>5632</v>
      </c>
      <c r="H3824" s="8"/>
      <c r="I3824" s="8">
        <v>160000</v>
      </c>
      <c r="J3824" s="6"/>
      <c r="K3824" s="6" t="s">
        <v>2087</v>
      </c>
      <c r="L3824" s="6"/>
      <c r="M3824" s="6"/>
      <c r="N3824" s="6" t="s">
        <v>2087</v>
      </c>
      <c r="O3824" s="29">
        <f t="shared" si="89"/>
        <v>160000</v>
      </c>
      <c r="Q3824" s="30" t="s">
        <v>2087</v>
      </c>
      <c r="R3824" s="31">
        <v>160000</v>
      </c>
    </row>
    <row r="3825" s="1" customFormat="1" ht="16.35" hidden="1" customHeight="1" spans="1:18">
      <c r="A3825" s="6"/>
      <c r="B3825" s="6" t="s">
        <v>4271</v>
      </c>
      <c r="C3825" s="6" t="s">
        <v>4197</v>
      </c>
      <c r="D3825" s="7">
        <v>23</v>
      </c>
      <c r="E3825" s="6" t="s">
        <v>7305</v>
      </c>
      <c r="F3825" s="6" t="s">
        <v>5631</v>
      </c>
      <c r="G3825" s="6" t="s">
        <v>5632</v>
      </c>
      <c r="H3825" s="8"/>
      <c r="I3825" s="8">
        <v>220000</v>
      </c>
      <c r="J3825" s="6"/>
      <c r="K3825" s="6" t="s">
        <v>2155</v>
      </c>
      <c r="L3825" s="6"/>
      <c r="M3825" s="6"/>
      <c r="N3825" s="6" t="s">
        <v>2155</v>
      </c>
      <c r="O3825" s="29">
        <f t="shared" si="89"/>
        <v>220000</v>
      </c>
      <c r="Q3825" s="30" t="s">
        <v>2155</v>
      </c>
      <c r="R3825" s="31">
        <v>220000</v>
      </c>
    </row>
    <row r="3826" s="1" customFormat="1" ht="16.35" hidden="1" customHeight="1" spans="1:18">
      <c r="A3826" s="6"/>
      <c r="B3826" s="6" t="s">
        <v>4271</v>
      </c>
      <c r="C3826" s="6" t="s">
        <v>4197</v>
      </c>
      <c r="D3826" s="7">
        <v>20</v>
      </c>
      <c r="E3826" s="6" t="s">
        <v>7306</v>
      </c>
      <c r="F3826" s="6" t="s">
        <v>5631</v>
      </c>
      <c r="G3826" s="6" t="s">
        <v>5632</v>
      </c>
      <c r="H3826" s="8"/>
      <c r="I3826" s="8">
        <v>185000</v>
      </c>
      <c r="J3826" s="6"/>
      <c r="K3826" s="6" t="s">
        <v>2143</v>
      </c>
      <c r="L3826" s="6"/>
      <c r="M3826" s="6"/>
      <c r="N3826" s="6" t="s">
        <v>2143</v>
      </c>
      <c r="O3826" s="29">
        <f t="shared" si="89"/>
        <v>185000</v>
      </c>
      <c r="Q3826" s="30" t="s">
        <v>2143</v>
      </c>
      <c r="R3826" s="31">
        <v>185000</v>
      </c>
    </row>
    <row r="3827" s="1" customFormat="1" ht="16.35" hidden="1" customHeight="1" spans="1:18">
      <c r="A3827" s="6"/>
      <c r="B3827" s="6" t="s">
        <v>4271</v>
      </c>
      <c r="C3827" s="6" t="s">
        <v>4197</v>
      </c>
      <c r="D3827" s="7">
        <v>88</v>
      </c>
      <c r="E3827" s="6" t="s">
        <v>7307</v>
      </c>
      <c r="F3827" s="6" t="s">
        <v>5631</v>
      </c>
      <c r="G3827" s="6" t="s">
        <v>5632</v>
      </c>
      <c r="H3827" s="8">
        <v>264404</v>
      </c>
      <c r="I3827" s="8"/>
      <c r="J3827" s="6"/>
      <c r="K3827" s="6" t="s">
        <v>2143</v>
      </c>
      <c r="L3827" s="6"/>
      <c r="M3827" s="6"/>
      <c r="N3827" s="6" t="s">
        <v>2143</v>
      </c>
      <c r="O3827" s="29">
        <f t="shared" si="89"/>
        <v>0</v>
      </c>
      <c r="Q3827" s="30" t="s">
        <v>2143</v>
      </c>
      <c r="R3827" s="31">
        <v>0</v>
      </c>
    </row>
    <row r="3828" s="1" customFormat="1" ht="16.35" hidden="1" customHeight="1" spans="1:18">
      <c r="A3828" s="6"/>
      <c r="B3828" s="6" t="s">
        <v>4271</v>
      </c>
      <c r="C3828" s="6" t="s">
        <v>4197</v>
      </c>
      <c r="D3828" s="7">
        <v>59</v>
      </c>
      <c r="E3828" s="6" t="s">
        <v>7308</v>
      </c>
      <c r="F3828" s="6" t="s">
        <v>5631</v>
      </c>
      <c r="G3828" s="6" t="s">
        <v>5632</v>
      </c>
      <c r="H3828" s="8"/>
      <c r="I3828" s="8">
        <v>95900</v>
      </c>
      <c r="J3828" s="6"/>
      <c r="K3828" s="6" t="s">
        <v>2833</v>
      </c>
      <c r="L3828" s="6"/>
      <c r="M3828" s="6"/>
      <c r="N3828" s="6" t="s">
        <v>2833</v>
      </c>
      <c r="O3828" s="29">
        <f t="shared" si="89"/>
        <v>95900</v>
      </c>
      <c r="Q3828" s="30" t="s">
        <v>2833</v>
      </c>
      <c r="R3828" s="31">
        <v>95900</v>
      </c>
    </row>
    <row r="3829" s="1" customFormat="1" ht="16.35" hidden="1" customHeight="1" spans="1:18">
      <c r="A3829" s="6"/>
      <c r="B3829" s="6" t="s">
        <v>4271</v>
      </c>
      <c r="C3829" s="6" t="s">
        <v>4197</v>
      </c>
      <c r="D3829" s="7">
        <v>78</v>
      </c>
      <c r="E3829" s="6" t="s">
        <v>7295</v>
      </c>
      <c r="F3829" s="6" t="s">
        <v>5631</v>
      </c>
      <c r="G3829" s="6" t="s">
        <v>5632</v>
      </c>
      <c r="H3829" s="8">
        <v>247000</v>
      </c>
      <c r="I3829" s="8"/>
      <c r="J3829" s="6"/>
      <c r="K3829" s="6" t="s">
        <v>2408</v>
      </c>
      <c r="L3829" s="6"/>
      <c r="M3829" s="6"/>
      <c r="N3829" s="6" t="s">
        <v>2408</v>
      </c>
      <c r="O3829" s="29">
        <f t="shared" si="89"/>
        <v>0</v>
      </c>
      <c r="Q3829" s="30" t="s">
        <v>2408</v>
      </c>
      <c r="R3829" s="31">
        <v>0</v>
      </c>
    </row>
    <row r="3830" s="1" customFormat="1" ht="16.35" hidden="1" customHeight="1" spans="1:18">
      <c r="A3830" s="6"/>
      <c r="B3830" s="6" t="s">
        <v>4271</v>
      </c>
      <c r="C3830" s="6" t="s">
        <v>4197</v>
      </c>
      <c r="D3830" s="7">
        <v>78</v>
      </c>
      <c r="E3830" s="6" t="s">
        <v>7295</v>
      </c>
      <c r="F3830" s="6" t="s">
        <v>5631</v>
      </c>
      <c r="G3830" s="6" t="s">
        <v>5632</v>
      </c>
      <c r="H3830" s="8">
        <v>238208</v>
      </c>
      <c r="I3830" s="8"/>
      <c r="J3830" s="6"/>
      <c r="K3830" s="6" t="s">
        <v>2400</v>
      </c>
      <c r="L3830" s="6"/>
      <c r="M3830" s="6"/>
      <c r="N3830" s="6" t="s">
        <v>2400</v>
      </c>
      <c r="O3830" s="29">
        <f t="shared" si="89"/>
        <v>0</v>
      </c>
      <c r="Q3830" s="30" t="s">
        <v>2400</v>
      </c>
      <c r="R3830" s="31">
        <v>0</v>
      </c>
    </row>
    <row r="3831" s="1" customFormat="1" ht="16.35" hidden="1" customHeight="1" spans="1:18">
      <c r="A3831" s="6"/>
      <c r="B3831" s="6" t="s">
        <v>4271</v>
      </c>
      <c r="C3831" s="6" t="s">
        <v>4197</v>
      </c>
      <c r="D3831" s="7">
        <v>87</v>
      </c>
      <c r="E3831" s="6" t="s">
        <v>7267</v>
      </c>
      <c r="F3831" s="6" t="s">
        <v>5631</v>
      </c>
      <c r="G3831" s="6" t="s">
        <v>5632</v>
      </c>
      <c r="H3831" s="8">
        <v>251168</v>
      </c>
      <c r="I3831" s="8"/>
      <c r="J3831" s="6"/>
      <c r="K3831" s="6" t="s">
        <v>2418</v>
      </c>
      <c r="L3831" s="6"/>
      <c r="M3831" s="6"/>
      <c r="N3831" s="6" t="s">
        <v>2418</v>
      </c>
      <c r="O3831" s="29">
        <f t="shared" si="89"/>
        <v>0</v>
      </c>
      <c r="Q3831" s="30" t="s">
        <v>2418</v>
      </c>
      <c r="R3831" s="31">
        <v>0</v>
      </c>
    </row>
    <row r="3832" s="1" customFormat="1" ht="16.35" hidden="1" customHeight="1" spans="1:18">
      <c r="A3832" s="6"/>
      <c r="B3832" s="6" t="s">
        <v>4271</v>
      </c>
      <c r="C3832" s="6" t="s">
        <v>4197</v>
      </c>
      <c r="D3832" s="7">
        <v>12</v>
      </c>
      <c r="E3832" s="6" t="s">
        <v>7309</v>
      </c>
      <c r="F3832" s="6" t="s">
        <v>5631</v>
      </c>
      <c r="G3832" s="6" t="s">
        <v>5632</v>
      </c>
      <c r="H3832" s="8"/>
      <c r="I3832" s="8">
        <v>170000</v>
      </c>
      <c r="J3832" s="6"/>
      <c r="K3832" s="6" t="s">
        <v>2406</v>
      </c>
      <c r="L3832" s="6"/>
      <c r="M3832" s="6"/>
      <c r="N3832" s="6" t="s">
        <v>2406</v>
      </c>
      <c r="O3832" s="29">
        <f t="shared" si="89"/>
        <v>170000</v>
      </c>
      <c r="Q3832" s="30" t="s">
        <v>2406</v>
      </c>
      <c r="R3832" s="31">
        <v>170000</v>
      </c>
    </row>
    <row r="3833" s="1" customFormat="1" ht="16.35" hidden="1" customHeight="1" spans="1:18">
      <c r="A3833" s="6"/>
      <c r="B3833" s="6" t="s">
        <v>4271</v>
      </c>
      <c r="C3833" s="6" t="s">
        <v>4197</v>
      </c>
      <c r="D3833" s="7">
        <v>87</v>
      </c>
      <c r="E3833" s="6" t="s">
        <v>7267</v>
      </c>
      <c r="F3833" s="6" t="s">
        <v>5631</v>
      </c>
      <c r="G3833" s="6" t="s">
        <v>5632</v>
      </c>
      <c r="H3833" s="8">
        <v>275873</v>
      </c>
      <c r="I3833" s="8"/>
      <c r="J3833" s="6"/>
      <c r="K3833" s="6" t="s">
        <v>2384</v>
      </c>
      <c r="L3833" s="6"/>
      <c r="M3833" s="6"/>
      <c r="N3833" s="6" t="s">
        <v>2384</v>
      </c>
      <c r="O3833" s="29">
        <f t="shared" si="89"/>
        <v>0</v>
      </c>
      <c r="Q3833" s="30" t="s">
        <v>2384</v>
      </c>
      <c r="R3833" s="31">
        <v>0</v>
      </c>
    </row>
    <row r="3834" s="1" customFormat="1" ht="16.35" hidden="1" customHeight="1" spans="1:18">
      <c r="A3834" s="6"/>
      <c r="B3834" s="6" t="s">
        <v>4271</v>
      </c>
      <c r="C3834" s="6" t="s">
        <v>4197</v>
      </c>
      <c r="D3834" s="7">
        <v>87</v>
      </c>
      <c r="E3834" s="6" t="s">
        <v>7267</v>
      </c>
      <c r="F3834" s="6" t="s">
        <v>5631</v>
      </c>
      <c r="G3834" s="6" t="s">
        <v>5632</v>
      </c>
      <c r="H3834" s="8">
        <v>275873</v>
      </c>
      <c r="I3834" s="8"/>
      <c r="J3834" s="6"/>
      <c r="K3834" s="6" t="s">
        <v>2410</v>
      </c>
      <c r="L3834" s="6"/>
      <c r="M3834" s="6"/>
      <c r="N3834" s="6" t="s">
        <v>2410</v>
      </c>
      <c r="O3834" s="29">
        <f t="shared" si="89"/>
        <v>0</v>
      </c>
      <c r="Q3834" s="30" t="s">
        <v>2410</v>
      </c>
      <c r="R3834" s="31">
        <v>0</v>
      </c>
    </row>
    <row r="3835" s="1" customFormat="1" ht="16.35" hidden="1" customHeight="1" spans="1:18">
      <c r="A3835" s="6"/>
      <c r="B3835" s="6" t="s">
        <v>4271</v>
      </c>
      <c r="C3835" s="6" t="s">
        <v>4197</v>
      </c>
      <c r="D3835" s="7">
        <v>87</v>
      </c>
      <c r="E3835" s="6" t="s">
        <v>7267</v>
      </c>
      <c r="F3835" s="6" t="s">
        <v>5631</v>
      </c>
      <c r="G3835" s="6" t="s">
        <v>5632</v>
      </c>
      <c r="H3835" s="8">
        <v>275873</v>
      </c>
      <c r="I3835" s="8"/>
      <c r="J3835" s="6"/>
      <c r="K3835" s="6" t="s">
        <v>2380</v>
      </c>
      <c r="L3835" s="6"/>
      <c r="M3835" s="6"/>
      <c r="N3835" s="6" t="s">
        <v>2380</v>
      </c>
      <c r="O3835" s="29">
        <f t="shared" si="89"/>
        <v>0</v>
      </c>
      <c r="Q3835" s="30" t="s">
        <v>2380</v>
      </c>
      <c r="R3835" s="31">
        <v>0</v>
      </c>
    </row>
    <row r="3836" s="1" customFormat="1" ht="16.35" hidden="1" customHeight="1" spans="1:18">
      <c r="A3836" s="6"/>
      <c r="B3836" s="6" t="s">
        <v>4271</v>
      </c>
      <c r="C3836" s="6" t="s">
        <v>4197</v>
      </c>
      <c r="D3836" s="7">
        <v>87</v>
      </c>
      <c r="E3836" s="6" t="s">
        <v>7267</v>
      </c>
      <c r="F3836" s="6" t="s">
        <v>5631</v>
      </c>
      <c r="G3836" s="6" t="s">
        <v>5632</v>
      </c>
      <c r="H3836" s="8">
        <v>260000</v>
      </c>
      <c r="I3836" s="8"/>
      <c r="J3836" s="6"/>
      <c r="K3836" s="6" t="s">
        <v>2452</v>
      </c>
      <c r="L3836" s="6"/>
      <c r="M3836" s="6"/>
      <c r="N3836" s="6" t="s">
        <v>2452</v>
      </c>
      <c r="O3836" s="29">
        <f t="shared" si="89"/>
        <v>0</v>
      </c>
      <c r="Q3836" s="30" t="s">
        <v>2452</v>
      </c>
      <c r="R3836" s="31">
        <v>0</v>
      </c>
    </row>
    <row r="3837" s="1" customFormat="1" ht="16.35" hidden="1" customHeight="1" spans="1:18">
      <c r="A3837" s="6"/>
      <c r="B3837" s="6" t="s">
        <v>4271</v>
      </c>
      <c r="C3837" s="6" t="s">
        <v>4197</v>
      </c>
      <c r="D3837" s="7">
        <v>87</v>
      </c>
      <c r="E3837" s="6" t="s">
        <v>7267</v>
      </c>
      <c r="F3837" s="6" t="s">
        <v>5631</v>
      </c>
      <c r="G3837" s="6" t="s">
        <v>5632</v>
      </c>
      <c r="H3837" s="8">
        <v>268613</v>
      </c>
      <c r="I3837" s="8"/>
      <c r="J3837" s="6"/>
      <c r="K3837" s="6" t="s">
        <v>2474</v>
      </c>
      <c r="L3837" s="6"/>
      <c r="M3837" s="6"/>
      <c r="N3837" s="6" t="s">
        <v>2474</v>
      </c>
      <c r="O3837" s="29">
        <f t="shared" si="89"/>
        <v>0</v>
      </c>
      <c r="Q3837" s="30" t="s">
        <v>2474</v>
      </c>
      <c r="R3837" s="31">
        <v>0</v>
      </c>
    </row>
    <row r="3838" s="1" customFormat="1" ht="16.35" hidden="1" customHeight="1" spans="1:18">
      <c r="A3838" s="6"/>
      <c r="B3838" s="6" t="s">
        <v>4271</v>
      </c>
      <c r="C3838" s="6" t="s">
        <v>4197</v>
      </c>
      <c r="D3838" s="7">
        <v>58</v>
      </c>
      <c r="E3838" s="6" t="s">
        <v>7310</v>
      </c>
      <c r="F3838" s="6" t="s">
        <v>5631</v>
      </c>
      <c r="G3838" s="6" t="s">
        <v>5632</v>
      </c>
      <c r="H3838" s="8"/>
      <c r="I3838" s="8">
        <v>236680</v>
      </c>
      <c r="J3838" s="6"/>
      <c r="K3838" s="6" t="s">
        <v>2458</v>
      </c>
      <c r="L3838" s="6"/>
      <c r="M3838" s="6"/>
      <c r="N3838" s="6" t="s">
        <v>2458</v>
      </c>
      <c r="O3838" s="29">
        <f t="shared" si="89"/>
        <v>236680</v>
      </c>
      <c r="Q3838" s="30" t="s">
        <v>2458</v>
      </c>
      <c r="R3838" s="31">
        <v>236680</v>
      </c>
    </row>
    <row r="3839" s="1" customFormat="1" ht="16.35" hidden="1" customHeight="1" spans="1:18">
      <c r="A3839" s="6"/>
      <c r="B3839" s="6" t="s">
        <v>4271</v>
      </c>
      <c r="C3839" s="6" t="s">
        <v>4197</v>
      </c>
      <c r="D3839" s="7">
        <v>91</v>
      </c>
      <c r="E3839" s="6" t="s">
        <v>7297</v>
      </c>
      <c r="F3839" s="6" t="s">
        <v>5631</v>
      </c>
      <c r="G3839" s="6" t="s">
        <v>5632</v>
      </c>
      <c r="H3839" s="8"/>
      <c r="I3839" s="8">
        <v>-60000</v>
      </c>
      <c r="J3839" s="6"/>
      <c r="K3839" s="6" t="s">
        <v>2436</v>
      </c>
      <c r="L3839" s="6"/>
      <c r="M3839" s="6"/>
      <c r="N3839" s="6" t="s">
        <v>2436</v>
      </c>
      <c r="O3839" s="29">
        <f t="shared" si="89"/>
        <v>-60000</v>
      </c>
      <c r="Q3839" s="30" t="s">
        <v>2436</v>
      </c>
      <c r="R3839" s="31">
        <v>-60000</v>
      </c>
    </row>
    <row r="3840" s="1" customFormat="1" ht="16.35" hidden="1" customHeight="1" spans="1:18">
      <c r="A3840" s="6"/>
      <c r="B3840" s="6" t="s">
        <v>4271</v>
      </c>
      <c r="C3840" s="6" t="s">
        <v>4197</v>
      </c>
      <c r="D3840" s="7">
        <v>91</v>
      </c>
      <c r="E3840" s="6" t="s">
        <v>7298</v>
      </c>
      <c r="F3840" s="6" t="s">
        <v>5631</v>
      </c>
      <c r="G3840" s="6" t="s">
        <v>5632</v>
      </c>
      <c r="H3840" s="8"/>
      <c r="I3840" s="8">
        <v>-10000</v>
      </c>
      <c r="J3840" s="6"/>
      <c r="K3840" s="6" t="s">
        <v>2436</v>
      </c>
      <c r="L3840" s="6"/>
      <c r="M3840" s="6"/>
      <c r="N3840" s="6" t="s">
        <v>2436</v>
      </c>
      <c r="O3840" s="29">
        <f t="shared" si="89"/>
        <v>-10000</v>
      </c>
      <c r="Q3840" s="30" t="s">
        <v>2436</v>
      </c>
      <c r="R3840" s="31">
        <v>-10000</v>
      </c>
    </row>
    <row r="3841" s="1" customFormat="1" ht="16.35" hidden="1" customHeight="1" spans="1:18">
      <c r="A3841" s="6"/>
      <c r="B3841" s="6" t="s">
        <v>4271</v>
      </c>
      <c r="C3841" s="6" t="s">
        <v>4197</v>
      </c>
      <c r="D3841" s="7">
        <v>6</v>
      </c>
      <c r="E3841" s="6" t="s">
        <v>7311</v>
      </c>
      <c r="F3841" s="6" t="s">
        <v>5631</v>
      </c>
      <c r="G3841" s="6" t="s">
        <v>5632</v>
      </c>
      <c r="H3841" s="8"/>
      <c r="I3841" s="8">
        <v>160000</v>
      </c>
      <c r="J3841" s="6"/>
      <c r="K3841" s="6" t="s">
        <v>2486</v>
      </c>
      <c r="L3841" s="6"/>
      <c r="M3841" s="6"/>
      <c r="N3841" s="6" t="s">
        <v>2486</v>
      </c>
      <c r="O3841" s="29">
        <f t="shared" si="89"/>
        <v>160000</v>
      </c>
      <c r="Q3841" s="30" t="s">
        <v>2486</v>
      </c>
      <c r="R3841" s="31">
        <v>160000</v>
      </c>
    </row>
    <row r="3842" s="1" customFormat="1" ht="16.35" hidden="1" customHeight="1" spans="1:18">
      <c r="A3842" s="6"/>
      <c r="B3842" s="6" t="s">
        <v>4271</v>
      </c>
      <c r="C3842" s="6" t="s">
        <v>4197</v>
      </c>
      <c r="D3842" s="7">
        <v>78</v>
      </c>
      <c r="E3842" s="6" t="s">
        <v>7295</v>
      </c>
      <c r="F3842" s="6" t="s">
        <v>5631</v>
      </c>
      <c r="G3842" s="6" t="s">
        <v>5632</v>
      </c>
      <c r="H3842" s="8">
        <v>276878</v>
      </c>
      <c r="I3842" s="8"/>
      <c r="J3842" s="6"/>
      <c r="K3842" s="6" t="s">
        <v>2486</v>
      </c>
      <c r="L3842" s="6"/>
      <c r="M3842" s="6"/>
      <c r="N3842" s="6" t="s">
        <v>2486</v>
      </c>
      <c r="O3842" s="29">
        <f t="shared" si="89"/>
        <v>0</v>
      </c>
      <c r="Q3842" s="30" t="s">
        <v>2486</v>
      </c>
      <c r="R3842" s="31">
        <v>0</v>
      </c>
    </row>
    <row r="3843" s="1" customFormat="1" ht="16.35" hidden="1" customHeight="1" spans="1:18">
      <c r="A3843" s="6"/>
      <c r="B3843" s="6" t="s">
        <v>4271</v>
      </c>
      <c r="C3843" s="6" t="s">
        <v>4197</v>
      </c>
      <c r="D3843" s="7">
        <v>78</v>
      </c>
      <c r="E3843" s="6" t="s">
        <v>7295</v>
      </c>
      <c r="F3843" s="6" t="s">
        <v>5631</v>
      </c>
      <c r="G3843" s="6" t="s">
        <v>5632</v>
      </c>
      <c r="H3843" s="8">
        <v>220838</v>
      </c>
      <c r="I3843" s="8"/>
      <c r="J3843" s="6"/>
      <c r="K3843" s="6" t="s">
        <v>2551</v>
      </c>
      <c r="L3843" s="6"/>
      <c r="M3843" s="6"/>
      <c r="N3843" s="6" t="s">
        <v>2551</v>
      </c>
      <c r="O3843" s="29">
        <f t="shared" si="89"/>
        <v>0</v>
      </c>
      <c r="Q3843" s="30" t="s">
        <v>2551</v>
      </c>
      <c r="R3843" s="31">
        <v>0</v>
      </c>
    </row>
    <row r="3844" s="1" customFormat="1" ht="16.35" hidden="1" customHeight="1" spans="1:18">
      <c r="A3844" s="6"/>
      <c r="B3844" s="6" t="s">
        <v>4271</v>
      </c>
      <c r="C3844" s="6" t="s">
        <v>4197</v>
      </c>
      <c r="D3844" s="7">
        <v>87</v>
      </c>
      <c r="E3844" s="6" t="s">
        <v>7267</v>
      </c>
      <c r="F3844" s="6" t="s">
        <v>5631</v>
      </c>
      <c r="G3844" s="6" t="s">
        <v>5632</v>
      </c>
      <c r="H3844" s="8">
        <v>208932</v>
      </c>
      <c r="I3844" s="8"/>
      <c r="J3844" s="6"/>
      <c r="K3844" s="6" t="s">
        <v>2555</v>
      </c>
      <c r="L3844" s="6"/>
      <c r="M3844" s="6"/>
      <c r="N3844" s="6" t="s">
        <v>2555</v>
      </c>
      <c r="O3844" s="29">
        <f t="shared" si="89"/>
        <v>0</v>
      </c>
      <c r="Q3844" s="30" t="s">
        <v>2555</v>
      </c>
      <c r="R3844" s="31">
        <v>0</v>
      </c>
    </row>
    <row r="3845" s="1" customFormat="1" ht="16.35" hidden="1" customHeight="1" spans="1:18">
      <c r="A3845" s="6"/>
      <c r="B3845" s="6" t="s">
        <v>4271</v>
      </c>
      <c r="C3845" s="6" t="s">
        <v>4197</v>
      </c>
      <c r="D3845" s="7">
        <v>87</v>
      </c>
      <c r="E3845" s="6" t="s">
        <v>7267</v>
      </c>
      <c r="F3845" s="6" t="s">
        <v>5631</v>
      </c>
      <c r="G3845" s="6" t="s">
        <v>5632</v>
      </c>
      <c r="H3845" s="8">
        <v>224829</v>
      </c>
      <c r="I3845" s="8"/>
      <c r="J3845" s="6"/>
      <c r="K3845" s="6" t="s">
        <v>2523</v>
      </c>
      <c r="L3845" s="6"/>
      <c r="M3845" s="6"/>
      <c r="N3845" s="6" t="s">
        <v>2523</v>
      </c>
      <c r="O3845" s="29">
        <f t="shared" si="89"/>
        <v>0</v>
      </c>
      <c r="Q3845" s="30" t="s">
        <v>2523</v>
      </c>
      <c r="R3845" s="31">
        <v>0</v>
      </c>
    </row>
    <row r="3846" s="1" customFormat="1" ht="16.35" hidden="1" customHeight="1" spans="1:18">
      <c r="A3846" s="6"/>
      <c r="B3846" s="6" t="s">
        <v>4271</v>
      </c>
      <c r="C3846" s="6" t="s">
        <v>4197</v>
      </c>
      <c r="D3846" s="7">
        <v>3</v>
      </c>
      <c r="E3846" s="6" t="s">
        <v>7312</v>
      </c>
      <c r="F3846" s="6" t="s">
        <v>5631</v>
      </c>
      <c r="G3846" s="6" t="s">
        <v>5632</v>
      </c>
      <c r="H3846" s="8"/>
      <c r="I3846" s="8">
        <v>130000</v>
      </c>
      <c r="J3846" s="6"/>
      <c r="K3846" s="6" t="s">
        <v>2527</v>
      </c>
      <c r="L3846" s="6"/>
      <c r="M3846" s="6"/>
      <c r="N3846" s="6" t="s">
        <v>2527</v>
      </c>
      <c r="O3846" s="29">
        <f t="shared" si="89"/>
        <v>130000</v>
      </c>
      <c r="Q3846" s="30" t="s">
        <v>2527</v>
      </c>
      <c r="R3846" s="31">
        <v>130000</v>
      </c>
    </row>
    <row r="3847" s="1" customFormat="1" ht="16.35" hidden="1" customHeight="1" spans="1:18">
      <c r="A3847" s="6"/>
      <c r="B3847" s="6" t="s">
        <v>4271</v>
      </c>
      <c r="C3847" s="6" t="s">
        <v>4197</v>
      </c>
      <c r="D3847" s="7">
        <v>78</v>
      </c>
      <c r="E3847" s="6" t="s">
        <v>7295</v>
      </c>
      <c r="F3847" s="6" t="s">
        <v>5631</v>
      </c>
      <c r="G3847" s="6" t="s">
        <v>5632</v>
      </c>
      <c r="H3847" s="8">
        <v>194233</v>
      </c>
      <c r="I3847" s="8"/>
      <c r="J3847" s="6"/>
      <c r="K3847" s="6" t="s">
        <v>2527</v>
      </c>
      <c r="L3847" s="6"/>
      <c r="M3847" s="6"/>
      <c r="N3847" s="6" t="s">
        <v>2527</v>
      </c>
      <c r="O3847" s="29">
        <f t="shared" si="89"/>
        <v>0</v>
      </c>
      <c r="Q3847" s="30" t="s">
        <v>2527</v>
      </c>
      <c r="R3847" s="31">
        <v>0</v>
      </c>
    </row>
    <row r="3848" s="1" customFormat="1" ht="16.35" hidden="1" customHeight="1" spans="1:18">
      <c r="A3848" s="6"/>
      <c r="B3848" s="6" t="s">
        <v>4271</v>
      </c>
      <c r="C3848" s="6" t="s">
        <v>4197</v>
      </c>
      <c r="D3848" s="7">
        <v>55</v>
      </c>
      <c r="E3848" s="6" t="s">
        <v>7313</v>
      </c>
      <c r="F3848" s="6" t="s">
        <v>5631</v>
      </c>
      <c r="G3848" s="6" t="s">
        <v>5632</v>
      </c>
      <c r="H3848" s="8"/>
      <c r="I3848" s="8">
        <v>256000</v>
      </c>
      <c r="J3848" s="6"/>
      <c r="K3848" s="6" t="s">
        <v>2670</v>
      </c>
      <c r="L3848" s="6"/>
      <c r="M3848" s="6"/>
      <c r="N3848" s="6" t="s">
        <v>2670</v>
      </c>
      <c r="O3848" s="29">
        <f t="shared" si="89"/>
        <v>256000</v>
      </c>
      <c r="Q3848" s="30" t="s">
        <v>2670</v>
      </c>
      <c r="R3848" s="31">
        <v>256000</v>
      </c>
    </row>
    <row r="3849" s="1" customFormat="1" ht="16.35" hidden="1" customHeight="1" spans="1:18">
      <c r="A3849" s="6"/>
      <c r="B3849" s="6" t="s">
        <v>4271</v>
      </c>
      <c r="C3849" s="6" t="s">
        <v>4197</v>
      </c>
      <c r="D3849" s="7">
        <v>78</v>
      </c>
      <c r="E3849" s="6" t="s">
        <v>7295</v>
      </c>
      <c r="F3849" s="6" t="s">
        <v>5631</v>
      </c>
      <c r="G3849" s="6" t="s">
        <v>5632</v>
      </c>
      <c r="H3849" s="8">
        <v>256000</v>
      </c>
      <c r="I3849" s="8"/>
      <c r="J3849" s="6"/>
      <c r="K3849" s="6" t="s">
        <v>2670</v>
      </c>
      <c r="L3849" s="6"/>
      <c r="M3849" s="6"/>
      <c r="N3849" s="6" t="s">
        <v>2670</v>
      </c>
      <c r="O3849" s="29">
        <f t="shared" si="89"/>
        <v>0</v>
      </c>
      <c r="Q3849" s="30" t="s">
        <v>2670</v>
      </c>
      <c r="R3849" s="31">
        <v>0</v>
      </c>
    </row>
    <row r="3850" s="1" customFormat="1" ht="16.35" hidden="1" customHeight="1" spans="1:18">
      <c r="A3850" s="6"/>
      <c r="B3850" s="6" t="s">
        <v>4271</v>
      </c>
      <c r="C3850" s="6" t="s">
        <v>4197</v>
      </c>
      <c r="D3850" s="7">
        <v>87</v>
      </c>
      <c r="E3850" s="6" t="s">
        <v>7267</v>
      </c>
      <c r="F3850" s="6" t="s">
        <v>5631</v>
      </c>
      <c r="G3850" s="6" t="s">
        <v>5632</v>
      </c>
      <c r="H3850" s="8">
        <v>228547</v>
      </c>
      <c r="I3850" s="8"/>
      <c r="J3850" s="6"/>
      <c r="K3850" s="6" t="s">
        <v>2610</v>
      </c>
      <c r="L3850" s="6"/>
      <c r="M3850" s="6"/>
      <c r="N3850" s="6" t="s">
        <v>2610</v>
      </c>
      <c r="O3850" s="29">
        <f t="shared" si="89"/>
        <v>0</v>
      </c>
      <c r="Q3850" s="30" t="s">
        <v>2610</v>
      </c>
      <c r="R3850" s="31">
        <v>0</v>
      </c>
    </row>
    <row r="3851" s="1" customFormat="1" ht="16.35" hidden="1" customHeight="1" spans="1:18">
      <c r="A3851" s="6"/>
      <c r="B3851" s="6" t="s">
        <v>4271</v>
      </c>
      <c r="C3851" s="6" t="s">
        <v>4197</v>
      </c>
      <c r="D3851" s="7">
        <v>87</v>
      </c>
      <c r="E3851" s="6" t="s">
        <v>7267</v>
      </c>
      <c r="F3851" s="6" t="s">
        <v>5631</v>
      </c>
      <c r="G3851" s="6" t="s">
        <v>5632</v>
      </c>
      <c r="H3851" s="8">
        <v>270996</v>
      </c>
      <c r="I3851" s="8"/>
      <c r="J3851" s="6"/>
      <c r="K3851" s="6" t="s">
        <v>2722</v>
      </c>
      <c r="L3851" s="6"/>
      <c r="M3851" s="6"/>
      <c r="N3851" s="6" t="s">
        <v>2722</v>
      </c>
      <c r="O3851" s="29">
        <f t="shared" si="89"/>
        <v>0</v>
      </c>
      <c r="Q3851" s="30" t="s">
        <v>2722</v>
      </c>
      <c r="R3851" s="31">
        <v>0</v>
      </c>
    </row>
    <row r="3852" s="1" customFormat="1" ht="16.35" hidden="1" customHeight="1" spans="1:18">
      <c r="A3852" s="6"/>
      <c r="B3852" s="6" t="s">
        <v>4271</v>
      </c>
      <c r="C3852" s="6" t="s">
        <v>4197</v>
      </c>
      <c r="D3852" s="7">
        <v>72</v>
      </c>
      <c r="E3852" s="6" t="s">
        <v>7314</v>
      </c>
      <c r="F3852" s="6" t="s">
        <v>5631</v>
      </c>
      <c r="G3852" s="6" t="s">
        <v>5632</v>
      </c>
      <c r="H3852" s="8"/>
      <c r="I3852" s="8">
        <v>95570</v>
      </c>
      <c r="J3852" s="6"/>
      <c r="K3852" s="6" t="s">
        <v>2057</v>
      </c>
      <c r="L3852" s="6"/>
      <c r="M3852" s="6"/>
      <c r="N3852" s="6" t="s">
        <v>2057</v>
      </c>
      <c r="O3852" s="29">
        <f t="shared" si="89"/>
        <v>95570</v>
      </c>
      <c r="Q3852" s="30" t="s">
        <v>2057</v>
      </c>
      <c r="R3852" s="31">
        <v>95570</v>
      </c>
    </row>
    <row r="3853" s="1" customFormat="1" ht="16.35" hidden="1" customHeight="1" spans="1:18">
      <c r="A3853" s="6"/>
      <c r="B3853" s="6" t="s">
        <v>4271</v>
      </c>
      <c r="C3853" s="6" t="s">
        <v>4197</v>
      </c>
      <c r="D3853" s="7">
        <v>21</v>
      </c>
      <c r="E3853" s="6" t="s">
        <v>7315</v>
      </c>
      <c r="F3853" s="6" t="s">
        <v>5631</v>
      </c>
      <c r="G3853" s="6" t="s">
        <v>5632</v>
      </c>
      <c r="H3853" s="8"/>
      <c r="I3853" s="8">
        <v>160000</v>
      </c>
      <c r="J3853" s="6"/>
      <c r="K3853" s="6" t="s">
        <v>2149</v>
      </c>
      <c r="L3853" s="6"/>
      <c r="M3853" s="6"/>
      <c r="N3853" s="6" t="s">
        <v>2149</v>
      </c>
      <c r="O3853" s="29">
        <f t="shared" si="89"/>
        <v>160000</v>
      </c>
      <c r="Q3853" s="30" t="s">
        <v>2149</v>
      </c>
      <c r="R3853" s="31">
        <v>160000</v>
      </c>
    </row>
    <row r="3854" s="1" customFormat="1" ht="16.35" hidden="1" customHeight="1" spans="1:18">
      <c r="A3854" s="6"/>
      <c r="B3854" s="6" t="s">
        <v>4271</v>
      </c>
      <c r="C3854" s="6" t="s">
        <v>4197</v>
      </c>
      <c r="D3854" s="7">
        <v>88</v>
      </c>
      <c r="E3854" s="6" t="s">
        <v>7307</v>
      </c>
      <c r="F3854" s="6" t="s">
        <v>5631</v>
      </c>
      <c r="G3854" s="6" t="s">
        <v>5632</v>
      </c>
      <c r="H3854" s="8">
        <v>245518</v>
      </c>
      <c r="I3854" s="8"/>
      <c r="J3854" s="6"/>
      <c r="K3854" s="6" t="s">
        <v>2149</v>
      </c>
      <c r="L3854" s="6"/>
      <c r="M3854" s="6"/>
      <c r="N3854" s="6" t="s">
        <v>2149</v>
      </c>
      <c r="O3854" s="29">
        <f t="shared" si="89"/>
        <v>0</v>
      </c>
      <c r="Q3854" s="30" t="s">
        <v>2149</v>
      </c>
      <c r="R3854" s="31">
        <v>0</v>
      </c>
    </row>
    <row r="3855" s="1" customFormat="1" ht="16.35" hidden="1" customHeight="1" spans="1:18">
      <c r="A3855" s="6"/>
      <c r="B3855" s="6" t="s">
        <v>4271</v>
      </c>
      <c r="C3855" s="6" t="s">
        <v>4197</v>
      </c>
      <c r="D3855" s="7">
        <v>22</v>
      </c>
      <c r="E3855" s="6" t="s">
        <v>7316</v>
      </c>
      <c r="F3855" s="6" t="s">
        <v>5631</v>
      </c>
      <c r="G3855" s="6" t="s">
        <v>5632</v>
      </c>
      <c r="H3855" s="8"/>
      <c r="I3855" s="8">
        <v>140000</v>
      </c>
      <c r="J3855" s="6"/>
      <c r="K3855" s="6" t="s">
        <v>2374</v>
      </c>
      <c r="L3855" s="6"/>
      <c r="M3855" s="6"/>
      <c r="N3855" s="6" t="s">
        <v>2374</v>
      </c>
      <c r="O3855" s="29">
        <f t="shared" si="89"/>
        <v>140000</v>
      </c>
      <c r="Q3855" s="30" t="s">
        <v>2374</v>
      </c>
      <c r="R3855" s="31">
        <v>140000</v>
      </c>
    </row>
    <row r="3856" s="1" customFormat="1" ht="16.35" hidden="1" customHeight="1" spans="1:18">
      <c r="A3856" s="6"/>
      <c r="B3856" s="6" t="s">
        <v>4271</v>
      </c>
      <c r="C3856" s="6" t="s">
        <v>4197</v>
      </c>
      <c r="D3856" s="7">
        <v>87</v>
      </c>
      <c r="E3856" s="6" t="s">
        <v>7267</v>
      </c>
      <c r="F3856" s="6" t="s">
        <v>5631</v>
      </c>
      <c r="G3856" s="6" t="s">
        <v>5632</v>
      </c>
      <c r="H3856" s="8">
        <v>245652</v>
      </c>
      <c r="I3856" s="8"/>
      <c r="J3856" s="6"/>
      <c r="K3856" s="6" t="s">
        <v>2412</v>
      </c>
      <c r="L3856" s="6"/>
      <c r="M3856" s="6"/>
      <c r="N3856" s="6" t="s">
        <v>2412</v>
      </c>
      <c r="O3856" s="29">
        <f t="shared" si="89"/>
        <v>0</v>
      </c>
      <c r="Q3856" s="30" t="s">
        <v>2412</v>
      </c>
      <c r="R3856" s="31">
        <v>0</v>
      </c>
    </row>
    <row r="3857" s="1" customFormat="1" ht="16.35" hidden="1" customHeight="1" spans="1:18">
      <c r="A3857" s="6"/>
      <c r="B3857" s="6" t="s">
        <v>4271</v>
      </c>
      <c r="C3857" s="6" t="s">
        <v>4197</v>
      </c>
      <c r="D3857" s="7">
        <v>87</v>
      </c>
      <c r="E3857" s="6" t="s">
        <v>7267</v>
      </c>
      <c r="F3857" s="6" t="s">
        <v>5631</v>
      </c>
      <c r="G3857" s="6" t="s">
        <v>5632</v>
      </c>
      <c r="H3857" s="8">
        <v>212154</v>
      </c>
      <c r="I3857" s="8"/>
      <c r="J3857" s="6"/>
      <c r="K3857" s="6" t="s">
        <v>2398</v>
      </c>
      <c r="L3857" s="6"/>
      <c r="M3857" s="6"/>
      <c r="N3857" s="6" t="s">
        <v>2398</v>
      </c>
      <c r="O3857" s="29">
        <f t="shared" si="89"/>
        <v>0</v>
      </c>
      <c r="Q3857" s="30" t="s">
        <v>2398</v>
      </c>
      <c r="R3857" s="31">
        <v>0</v>
      </c>
    </row>
    <row r="3858" s="1" customFormat="1" ht="16.35" hidden="1" customHeight="1" spans="1:18">
      <c r="A3858" s="6"/>
      <c r="B3858" s="6" t="s">
        <v>4271</v>
      </c>
      <c r="C3858" s="6" t="s">
        <v>4197</v>
      </c>
      <c r="D3858" s="7">
        <v>87</v>
      </c>
      <c r="E3858" s="6" t="s">
        <v>7267</v>
      </c>
      <c r="F3858" s="6" t="s">
        <v>5631</v>
      </c>
      <c r="G3858" s="6" t="s">
        <v>5632</v>
      </c>
      <c r="H3858" s="8">
        <v>230580</v>
      </c>
      <c r="I3858" s="8"/>
      <c r="J3858" s="6"/>
      <c r="K3858" s="6" t="s">
        <v>2422</v>
      </c>
      <c r="L3858" s="6"/>
      <c r="M3858" s="6"/>
      <c r="N3858" s="6" t="s">
        <v>2422</v>
      </c>
      <c r="O3858" s="29">
        <f t="shared" si="89"/>
        <v>0</v>
      </c>
      <c r="Q3858" s="30" t="s">
        <v>2422</v>
      </c>
      <c r="R3858" s="31">
        <v>0</v>
      </c>
    </row>
    <row r="3859" s="1" customFormat="1" ht="16.35" hidden="1" customHeight="1" spans="1:18">
      <c r="A3859" s="6"/>
      <c r="B3859" s="6" t="s">
        <v>4271</v>
      </c>
      <c r="C3859" s="6" t="s">
        <v>4197</v>
      </c>
      <c r="D3859" s="7">
        <v>87</v>
      </c>
      <c r="E3859" s="6" t="s">
        <v>7267</v>
      </c>
      <c r="F3859" s="6" t="s">
        <v>5631</v>
      </c>
      <c r="G3859" s="6" t="s">
        <v>5632</v>
      </c>
      <c r="H3859" s="8">
        <v>224024</v>
      </c>
      <c r="I3859" s="8"/>
      <c r="J3859" s="6"/>
      <c r="K3859" s="6" t="s">
        <v>2488</v>
      </c>
      <c r="L3859" s="6"/>
      <c r="M3859" s="6"/>
      <c r="N3859" s="6" t="s">
        <v>2488</v>
      </c>
      <c r="O3859" s="29">
        <f t="shared" si="89"/>
        <v>0</v>
      </c>
      <c r="Q3859" s="30" t="s">
        <v>2488</v>
      </c>
      <c r="R3859" s="31">
        <v>0</v>
      </c>
    </row>
    <row r="3860" s="1" customFormat="1" ht="16.35" hidden="1" customHeight="1" spans="1:18">
      <c r="A3860" s="6"/>
      <c r="B3860" s="6" t="s">
        <v>4271</v>
      </c>
      <c r="C3860" s="6" t="s">
        <v>4197</v>
      </c>
      <c r="D3860" s="7">
        <v>2</v>
      </c>
      <c r="E3860" s="6" t="s">
        <v>7317</v>
      </c>
      <c r="F3860" s="6" t="s">
        <v>5631</v>
      </c>
      <c r="G3860" s="6" t="s">
        <v>5632</v>
      </c>
      <c r="H3860" s="8"/>
      <c r="I3860" s="8">
        <v>160000</v>
      </c>
      <c r="J3860" s="6"/>
      <c r="K3860" s="6" t="s">
        <v>2464</v>
      </c>
      <c r="L3860" s="6"/>
      <c r="M3860" s="6"/>
      <c r="N3860" s="6" t="s">
        <v>2464</v>
      </c>
      <c r="O3860" s="29">
        <f t="shared" si="89"/>
        <v>160000</v>
      </c>
      <c r="Q3860" s="30" t="s">
        <v>2464</v>
      </c>
      <c r="R3860" s="31">
        <v>160000</v>
      </c>
    </row>
    <row r="3861" s="1" customFormat="1" ht="16.35" hidden="1" customHeight="1" spans="1:18">
      <c r="A3861" s="6"/>
      <c r="B3861" s="6" t="s">
        <v>4271</v>
      </c>
      <c r="C3861" s="6" t="s">
        <v>4197</v>
      </c>
      <c r="D3861" s="7">
        <v>78</v>
      </c>
      <c r="E3861" s="6" t="s">
        <v>7295</v>
      </c>
      <c r="F3861" s="6" t="s">
        <v>5631</v>
      </c>
      <c r="G3861" s="6" t="s">
        <v>5632</v>
      </c>
      <c r="H3861" s="8">
        <v>232800</v>
      </c>
      <c r="I3861" s="8"/>
      <c r="J3861" s="6"/>
      <c r="K3861" s="6" t="s">
        <v>2464</v>
      </c>
      <c r="L3861" s="6"/>
      <c r="M3861" s="6"/>
      <c r="N3861" s="6" t="s">
        <v>2464</v>
      </c>
      <c r="O3861" s="29">
        <f t="shared" si="89"/>
        <v>0</v>
      </c>
      <c r="Q3861" s="30" t="s">
        <v>2464</v>
      </c>
      <c r="R3861" s="31">
        <v>0</v>
      </c>
    </row>
    <row r="3862" s="1" customFormat="1" ht="16.35" hidden="1" customHeight="1" spans="1:18">
      <c r="A3862" s="6"/>
      <c r="B3862" s="6" t="s">
        <v>4271</v>
      </c>
      <c r="C3862" s="6" t="s">
        <v>4197</v>
      </c>
      <c r="D3862" s="7">
        <v>58</v>
      </c>
      <c r="E3862" s="6" t="s">
        <v>7318</v>
      </c>
      <c r="F3862" s="6" t="s">
        <v>5631</v>
      </c>
      <c r="G3862" s="6" t="s">
        <v>5632</v>
      </c>
      <c r="H3862" s="8"/>
      <c r="I3862" s="8">
        <v>170000</v>
      </c>
      <c r="J3862" s="6"/>
      <c r="K3862" s="6" t="s">
        <v>2490</v>
      </c>
      <c r="L3862" s="6"/>
      <c r="M3862" s="6"/>
      <c r="N3862" s="6" t="s">
        <v>2490</v>
      </c>
      <c r="O3862" s="29">
        <f t="shared" si="89"/>
        <v>170000</v>
      </c>
      <c r="Q3862" s="30" t="s">
        <v>2490</v>
      </c>
      <c r="R3862" s="31">
        <v>170000</v>
      </c>
    </row>
    <row r="3863" s="1" customFormat="1" ht="16.35" hidden="1" customHeight="1" spans="1:18">
      <c r="A3863" s="6"/>
      <c r="B3863" s="6" t="s">
        <v>4271</v>
      </c>
      <c r="C3863" s="6" t="s">
        <v>4197</v>
      </c>
      <c r="D3863" s="7">
        <v>87</v>
      </c>
      <c r="E3863" s="6" t="s">
        <v>7267</v>
      </c>
      <c r="F3863" s="6" t="s">
        <v>5631</v>
      </c>
      <c r="G3863" s="6" t="s">
        <v>5632</v>
      </c>
      <c r="H3863" s="8">
        <v>221160</v>
      </c>
      <c r="I3863" s="8"/>
      <c r="J3863" s="6"/>
      <c r="K3863" s="6" t="s">
        <v>2468</v>
      </c>
      <c r="L3863" s="6"/>
      <c r="M3863" s="6"/>
      <c r="N3863" s="6" t="s">
        <v>2468</v>
      </c>
      <c r="O3863" s="29">
        <f t="shared" si="89"/>
        <v>0</v>
      </c>
      <c r="Q3863" s="30" t="s">
        <v>2468</v>
      </c>
      <c r="R3863" s="31">
        <v>0</v>
      </c>
    </row>
    <row r="3864" s="1" customFormat="1" ht="16.35" hidden="1" customHeight="1" spans="1:18">
      <c r="A3864" s="6"/>
      <c r="B3864" s="6" t="s">
        <v>4271</v>
      </c>
      <c r="C3864" s="6" t="s">
        <v>4197</v>
      </c>
      <c r="D3864" s="7">
        <v>78</v>
      </c>
      <c r="E3864" s="6" t="s">
        <v>7295</v>
      </c>
      <c r="F3864" s="6" t="s">
        <v>5631</v>
      </c>
      <c r="G3864" s="6" t="s">
        <v>5632</v>
      </c>
      <c r="H3864" s="8">
        <v>247544</v>
      </c>
      <c r="I3864" s="8"/>
      <c r="J3864" s="6"/>
      <c r="K3864" s="6" t="s">
        <v>2450</v>
      </c>
      <c r="L3864" s="6"/>
      <c r="M3864" s="6"/>
      <c r="N3864" s="6" t="s">
        <v>2450</v>
      </c>
      <c r="O3864" s="29">
        <f t="shared" ref="O3864:O3927" si="90">I3864</f>
        <v>0</v>
      </c>
      <c r="Q3864" s="30" t="s">
        <v>2450</v>
      </c>
      <c r="R3864" s="31">
        <v>0</v>
      </c>
    </row>
    <row r="3865" s="1" customFormat="1" ht="16.35" hidden="1" customHeight="1" spans="1:18">
      <c r="A3865" s="6"/>
      <c r="B3865" s="6" t="s">
        <v>4271</v>
      </c>
      <c r="C3865" s="6" t="s">
        <v>4197</v>
      </c>
      <c r="D3865" s="7">
        <v>10</v>
      </c>
      <c r="E3865" s="6" t="s">
        <v>7319</v>
      </c>
      <c r="F3865" s="6" t="s">
        <v>5631</v>
      </c>
      <c r="G3865" s="6" t="s">
        <v>5632</v>
      </c>
      <c r="H3865" s="8"/>
      <c r="I3865" s="8">
        <v>100000</v>
      </c>
      <c r="J3865" s="6"/>
      <c r="K3865" s="6" t="s">
        <v>2513</v>
      </c>
      <c r="L3865" s="6"/>
      <c r="M3865" s="6"/>
      <c r="N3865" s="6" t="s">
        <v>2513</v>
      </c>
      <c r="O3865" s="29">
        <f t="shared" si="90"/>
        <v>100000</v>
      </c>
      <c r="Q3865" s="30" t="s">
        <v>2513</v>
      </c>
      <c r="R3865" s="31">
        <v>100000</v>
      </c>
    </row>
    <row r="3866" s="1" customFormat="1" ht="16.35" hidden="1" customHeight="1" spans="1:18">
      <c r="A3866" s="6"/>
      <c r="B3866" s="6" t="s">
        <v>4271</v>
      </c>
      <c r="C3866" s="6" t="s">
        <v>4197</v>
      </c>
      <c r="D3866" s="7">
        <v>78</v>
      </c>
      <c r="E3866" s="6" t="s">
        <v>7295</v>
      </c>
      <c r="F3866" s="6" t="s">
        <v>5631</v>
      </c>
      <c r="G3866" s="6" t="s">
        <v>5632</v>
      </c>
      <c r="H3866" s="8">
        <v>229900</v>
      </c>
      <c r="I3866" s="8"/>
      <c r="J3866" s="6"/>
      <c r="K3866" s="6" t="s">
        <v>2513</v>
      </c>
      <c r="L3866" s="6"/>
      <c r="M3866" s="6"/>
      <c r="N3866" s="6" t="s">
        <v>2513</v>
      </c>
      <c r="O3866" s="29">
        <f t="shared" si="90"/>
        <v>0</v>
      </c>
      <c r="Q3866" s="30" t="s">
        <v>2513</v>
      </c>
      <c r="R3866" s="31">
        <v>0</v>
      </c>
    </row>
    <row r="3867" s="1" customFormat="1" ht="16.35" hidden="1" customHeight="1" spans="1:18">
      <c r="A3867" s="6"/>
      <c r="B3867" s="6" t="s">
        <v>4271</v>
      </c>
      <c r="C3867" s="6" t="s">
        <v>4197</v>
      </c>
      <c r="D3867" s="7">
        <v>18</v>
      </c>
      <c r="E3867" s="6" t="s">
        <v>7320</v>
      </c>
      <c r="F3867" s="6" t="s">
        <v>5631</v>
      </c>
      <c r="G3867" s="6" t="s">
        <v>5632</v>
      </c>
      <c r="H3867" s="8"/>
      <c r="I3867" s="8">
        <v>90000</v>
      </c>
      <c r="J3867" s="6"/>
      <c r="K3867" s="6" t="s">
        <v>2529</v>
      </c>
      <c r="L3867" s="6"/>
      <c r="M3867" s="6"/>
      <c r="N3867" s="6" t="s">
        <v>2529</v>
      </c>
      <c r="O3867" s="29">
        <f t="shared" si="90"/>
        <v>90000</v>
      </c>
      <c r="Q3867" s="30" t="s">
        <v>2529</v>
      </c>
      <c r="R3867" s="31">
        <v>90000</v>
      </c>
    </row>
    <row r="3868" s="1" customFormat="1" ht="16.35" hidden="1" customHeight="1" spans="1:18">
      <c r="A3868" s="6"/>
      <c r="B3868" s="6" t="s">
        <v>4271</v>
      </c>
      <c r="C3868" s="6" t="s">
        <v>4197</v>
      </c>
      <c r="D3868" s="7">
        <v>78</v>
      </c>
      <c r="E3868" s="6" t="s">
        <v>7295</v>
      </c>
      <c r="F3868" s="6" t="s">
        <v>5631</v>
      </c>
      <c r="G3868" s="6" t="s">
        <v>5632</v>
      </c>
      <c r="H3868" s="8">
        <v>200984</v>
      </c>
      <c r="I3868" s="8"/>
      <c r="J3868" s="6"/>
      <c r="K3868" s="6" t="s">
        <v>2582</v>
      </c>
      <c r="L3868" s="6"/>
      <c r="M3868" s="6"/>
      <c r="N3868" s="6" t="s">
        <v>2582</v>
      </c>
      <c r="O3868" s="29">
        <f t="shared" si="90"/>
        <v>0</v>
      </c>
      <c r="Q3868" s="30" t="s">
        <v>2582</v>
      </c>
      <c r="R3868" s="31">
        <v>0</v>
      </c>
    </row>
    <row r="3869" s="1" customFormat="1" ht="16.35" hidden="1" customHeight="1" spans="1:18">
      <c r="A3869" s="6"/>
      <c r="B3869" s="6" t="s">
        <v>4271</v>
      </c>
      <c r="C3869" s="6" t="s">
        <v>4197</v>
      </c>
      <c r="D3869" s="7">
        <v>11</v>
      </c>
      <c r="E3869" s="6" t="s">
        <v>7321</v>
      </c>
      <c r="F3869" s="6" t="s">
        <v>5631</v>
      </c>
      <c r="G3869" s="6" t="s">
        <v>5632</v>
      </c>
      <c r="H3869" s="8"/>
      <c r="I3869" s="8">
        <v>144000</v>
      </c>
      <c r="J3869" s="6"/>
      <c r="K3869" s="6" t="s">
        <v>2525</v>
      </c>
      <c r="L3869" s="6"/>
      <c r="M3869" s="6"/>
      <c r="N3869" s="6" t="s">
        <v>2525</v>
      </c>
      <c r="O3869" s="29">
        <f t="shared" si="90"/>
        <v>144000</v>
      </c>
      <c r="Q3869" s="30" t="s">
        <v>2525</v>
      </c>
      <c r="R3869" s="31">
        <v>144000</v>
      </c>
    </row>
    <row r="3870" s="1" customFormat="1" ht="16.35" hidden="1" customHeight="1" spans="1:18">
      <c r="A3870" s="6"/>
      <c r="B3870" s="6" t="s">
        <v>4271</v>
      </c>
      <c r="C3870" s="6" t="s">
        <v>4197</v>
      </c>
      <c r="D3870" s="7">
        <v>78</v>
      </c>
      <c r="E3870" s="6" t="s">
        <v>7295</v>
      </c>
      <c r="F3870" s="6" t="s">
        <v>5631</v>
      </c>
      <c r="G3870" s="6" t="s">
        <v>5632</v>
      </c>
      <c r="H3870" s="8">
        <v>205904</v>
      </c>
      <c r="I3870" s="8"/>
      <c r="J3870" s="6"/>
      <c r="K3870" s="6" t="s">
        <v>2525</v>
      </c>
      <c r="L3870" s="6"/>
      <c r="M3870" s="6"/>
      <c r="N3870" s="6" t="s">
        <v>2525</v>
      </c>
      <c r="O3870" s="29">
        <f t="shared" si="90"/>
        <v>0</v>
      </c>
      <c r="Q3870" s="30" t="s">
        <v>2525</v>
      </c>
      <c r="R3870" s="31">
        <v>0</v>
      </c>
    </row>
    <row r="3871" s="1" customFormat="1" ht="16.35" hidden="1" customHeight="1" spans="1:18">
      <c r="A3871" s="6"/>
      <c r="B3871" s="6" t="s">
        <v>4271</v>
      </c>
      <c r="C3871" s="6" t="s">
        <v>4197</v>
      </c>
      <c r="D3871" s="7">
        <v>78</v>
      </c>
      <c r="E3871" s="6" t="s">
        <v>7295</v>
      </c>
      <c r="F3871" s="6" t="s">
        <v>5631</v>
      </c>
      <c r="G3871" s="6" t="s">
        <v>5632</v>
      </c>
      <c r="H3871" s="8">
        <v>218016</v>
      </c>
      <c r="I3871" s="8"/>
      <c r="J3871" s="6"/>
      <c r="K3871" s="6" t="s">
        <v>2515</v>
      </c>
      <c r="L3871" s="6"/>
      <c r="M3871" s="6"/>
      <c r="N3871" s="6" t="s">
        <v>2515</v>
      </c>
      <c r="O3871" s="29">
        <f t="shared" si="90"/>
        <v>0</v>
      </c>
      <c r="Q3871" s="30" t="s">
        <v>2515</v>
      </c>
      <c r="R3871" s="31">
        <v>0</v>
      </c>
    </row>
    <row r="3872" s="1" customFormat="1" ht="16.35" hidden="1" customHeight="1" spans="1:18">
      <c r="A3872" s="6"/>
      <c r="B3872" s="6" t="s">
        <v>4271</v>
      </c>
      <c r="C3872" s="6" t="s">
        <v>4197</v>
      </c>
      <c r="D3872" s="7">
        <v>87</v>
      </c>
      <c r="E3872" s="6" t="s">
        <v>7267</v>
      </c>
      <c r="F3872" s="6" t="s">
        <v>5631</v>
      </c>
      <c r="G3872" s="6" t="s">
        <v>5632</v>
      </c>
      <c r="H3872" s="8">
        <v>221000</v>
      </c>
      <c r="I3872" s="8"/>
      <c r="J3872" s="6"/>
      <c r="K3872" s="6" t="s">
        <v>2549</v>
      </c>
      <c r="L3872" s="6"/>
      <c r="M3872" s="6"/>
      <c r="N3872" s="6" t="s">
        <v>2549</v>
      </c>
      <c r="O3872" s="29">
        <f t="shared" si="90"/>
        <v>0</v>
      </c>
      <c r="Q3872" s="30" t="s">
        <v>2549</v>
      </c>
      <c r="R3872" s="31">
        <v>0</v>
      </c>
    </row>
    <row r="3873" s="1" customFormat="1" ht="16.35" hidden="1" customHeight="1" spans="1:18">
      <c r="A3873" s="6"/>
      <c r="B3873" s="6" t="s">
        <v>4271</v>
      </c>
      <c r="C3873" s="6" t="s">
        <v>4197</v>
      </c>
      <c r="D3873" s="7">
        <v>87</v>
      </c>
      <c r="E3873" s="6" t="s">
        <v>7267</v>
      </c>
      <c r="F3873" s="6" t="s">
        <v>5631</v>
      </c>
      <c r="G3873" s="6" t="s">
        <v>5632</v>
      </c>
      <c r="H3873" s="8">
        <v>172596</v>
      </c>
      <c r="I3873" s="8"/>
      <c r="J3873" s="6"/>
      <c r="K3873" s="6" t="s">
        <v>2541</v>
      </c>
      <c r="L3873" s="6"/>
      <c r="M3873" s="6"/>
      <c r="N3873" s="6" t="s">
        <v>2541</v>
      </c>
      <c r="O3873" s="29">
        <f t="shared" si="90"/>
        <v>0</v>
      </c>
      <c r="Q3873" s="30" t="s">
        <v>2541</v>
      </c>
      <c r="R3873" s="31">
        <v>0</v>
      </c>
    </row>
    <row r="3874" s="1" customFormat="1" ht="16.35" hidden="1" customHeight="1" spans="1:18">
      <c r="A3874" s="6"/>
      <c r="B3874" s="6" t="s">
        <v>4271</v>
      </c>
      <c r="C3874" s="6" t="s">
        <v>4197</v>
      </c>
      <c r="D3874" s="7">
        <v>1</v>
      </c>
      <c r="E3874" s="6" t="s">
        <v>7322</v>
      </c>
      <c r="F3874" s="6" t="s">
        <v>5631</v>
      </c>
      <c r="G3874" s="6" t="s">
        <v>5632</v>
      </c>
      <c r="H3874" s="8"/>
      <c r="I3874" s="8">
        <v>988</v>
      </c>
      <c r="J3874" s="6"/>
      <c r="K3874" s="6" t="s">
        <v>2509</v>
      </c>
      <c r="L3874" s="6"/>
      <c r="M3874" s="6"/>
      <c r="N3874" s="6" t="s">
        <v>2509</v>
      </c>
      <c r="O3874" s="29">
        <f t="shared" si="90"/>
        <v>988</v>
      </c>
      <c r="Q3874" s="30" t="s">
        <v>2509</v>
      </c>
      <c r="R3874" s="31">
        <v>988</v>
      </c>
    </row>
    <row r="3875" s="1" customFormat="1" ht="16.35" hidden="1" customHeight="1" spans="1:18">
      <c r="A3875" s="6"/>
      <c r="B3875" s="6" t="s">
        <v>4271</v>
      </c>
      <c r="C3875" s="6" t="s">
        <v>4197</v>
      </c>
      <c r="D3875" s="7">
        <v>72</v>
      </c>
      <c r="E3875" s="6" t="s">
        <v>7323</v>
      </c>
      <c r="F3875" s="6" t="s">
        <v>5631</v>
      </c>
      <c r="G3875" s="6" t="s">
        <v>5632</v>
      </c>
      <c r="H3875" s="8"/>
      <c r="I3875" s="8">
        <v>173940</v>
      </c>
      <c r="J3875" s="6"/>
      <c r="K3875" s="6" t="s">
        <v>2578</v>
      </c>
      <c r="L3875" s="6"/>
      <c r="M3875" s="6"/>
      <c r="N3875" s="6" t="s">
        <v>2578</v>
      </c>
      <c r="O3875" s="29">
        <f t="shared" si="90"/>
        <v>173940</v>
      </c>
      <c r="Q3875" s="30" t="s">
        <v>2578</v>
      </c>
      <c r="R3875" s="31">
        <v>173940</v>
      </c>
    </row>
    <row r="3876" s="1" customFormat="1" ht="16.35" hidden="1" customHeight="1" spans="1:18">
      <c r="A3876" s="6"/>
      <c r="B3876" s="6" t="s">
        <v>4271</v>
      </c>
      <c r="C3876" s="6" t="s">
        <v>4197</v>
      </c>
      <c r="D3876" s="7">
        <v>78</v>
      </c>
      <c r="E3876" s="6" t="s">
        <v>7295</v>
      </c>
      <c r="F3876" s="6" t="s">
        <v>5631</v>
      </c>
      <c r="G3876" s="6" t="s">
        <v>5632</v>
      </c>
      <c r="H3876" s="8">
        <v>173940</v>
      </c>
      <c r="I3876" s="8"/>
      <c r="J3876" s="6"/>
      <c r="K3876" s="6" t="s">
        <v>2578</v>
      </c>
      <c r="L3876" s="6"/>
      <c r="M3876" s="6"/>
      <c r="N3876" s="6" t="s">
        <v>2578</v>
      </c>
      <c r="O3876" s="29">
        <f t="shared" si="90"/>
        <v>0</v>
      </c>
      <c r="Q3876" s="30" t="s">
        <v>2578</v>
      </c>
      <c r="R3876" s="31">
        <v>0</v>
      </c>
    </row>
    <row r="3877" s="1" customFormat="1" ht="16.35" hidden="1" customHeight="1" spans="1:18">
      <c r="A3877" s="6"/>
      <c r="B3877" s="6" t="s">
        <v>4271</v>
      </c>
      <c r="C3877" s="6" t="s">
        <v>4197</v>
      </c>
      <c r="D3877" s="7">
        <v>5</v>
      </c>
      <c r="E3877" s="6" t="s">
        <v>7324</v>
      </c>
      <c r="F3877" s="6" t="s">
        <v>5631</v>
      </c>
      <c r="G3877" s="6" t="s">
        <v>5632</v>
      </c>
      <c r="H3877" s="8"/>
      <c r="I3877" s="8">
        <v>125000</v>
      </c>
      <c r="J3877" s="6"/>
      <c r="K3877" s="6" t="s">
        <v>2606</v>
      </c>
      <c r="L3877" s="6"/>
      <c r="M3877" s="6"/>
      <c r="N3877" s="6" t="s">
        <v>2606</v>
      </c>
      <c r="O3877" s="29">
        <f t="shared" si="90"/>
        <v>125000</v>
      </c>
      <c r="Q3877" s="30" t="s">
        <v>2606</v>
      </c>
      <c r="R3877" s="31">
        <v>125000</v>
      </c>
    </row>
    <row r="3878" s="1" customFormat="1" ht="16.35" hidden="1" customHeight="1" spans="1:18">
      <c r="A3878" s="6"/>
      <c r="B3878" s="6" t="s">
        <v>4271</v>
      </c>
      <c r="C3878" s="6" t="s">
        <v>4197</v>
      </c>
      <c r="D3878" s="7">
        <v>13</v>
      </c>
      <c r="E3878" s="6" t="s">
        <v>7325</v>
      </c>
      <c r="F3878" s="6" t="s">
        <v>5631</v>
      </c>
      <c r="G3878" s="6" t="s">
        <v>5632</v>
      </c>
      <c r="H3878" s="8"/>
      <c r="I3878" s="8">
        <v>150000</v>
      </c>
      <c r="J3878" s="6"/>
      <c r="K3878" s="6" t="s">
        <v>2686</v>
      </c>
      <c r="L3878" s="6"/>
      <c r="M3878" s="6"/>
      <c r="N3878" s="6" t="s">
        <v>2686</v>
      </c>
      <c r="O3878" s="29">
        <f t="shared" si="90"/>
        <v>150000</v>
      </c>
      <c r="Q3878" s="30" t="s">
        <v>2686</v>
      </c>
      <c r="R3878" s="31">
        <v>150000</v>
      </c>
    </row>
    <row r="3879" s="1" customFormat="1" ht="16.35" hidden="1" customHeight="1" spans="1:18">
      <c r="A3879" s="6"/>
      <c r="B3879" s="6" t="s">
        <v>4271</v>
      </c>
      <c r="C3879" s="6" t="s">
        <v>4197</v>
      </c>
      <c r="D3879" s="7">
        <v>71</v>
      </c>
      <c r="E3879" s="6" t="s">
        <v>7326</v>
      </c>
      <c r="F3879" s="6" t="s">
        <v>5631</v>
      </c>
      <c r="G3879" s="6" t="s">
        <v>5632</v>
      </c>
      <c r="H3879" s="8"/>
      <c r="I3879" s="8">
        <v>-77160</v>
      </c>
      <c r="J3879" s="6"/>
      <c r="K3879" s="6" t="s">
        <v>2690</v>
      </c>
      <c r="L3879" s="6"/>
      <c r="M3879" s="6"/>
      <c r="N3879" s="6" t="s">
        <v>2690</v>
      </c>
      <c r="O3879" s="29">
        <f t="shared" si="90"/>
        <v>-77160</v>
      </c>
      <c r="Q3879" s="30" t="s">
        <v>2690</v>
      </c>
      <c r="R3879" s="31">
        <v>-77160</v>
      </c>
    </row>
    <row r="3880" s="1" customFormat="1" ht="16.35" hidden="1" customHeight="1" spans="1:18">
      <c r="A3880" s="6"/>
      <c r="B3880" s="6" t="s">
        <v>4271</v>
      </c>
      <c r="C3880" s="6" t="s">
        <v>4197</v>
      </c>
      <c r="D3880" s="7">
        <v>70</v>
      </c>
      <c r="E3880" s="6" t="s">
        <v>7327</v>
      </c>
      <c r="F3880" s="6" t="s">
        <v>5631</v>
      </c>
      <c r="G3880" s="6" t="s">
        <v>5632</v>
      </c>
      <c r="H3880" s="8"/>
      <c r="I3880" s="8">
        <v>-80165</v>
      </c>
      <c r="J3880" s="6"/>
      <c r="K3880" s="6" t="s">
        <v>2724</v>
      </c>
      <c r="L3880" s="6"/>
      <c r="M3880" s="6"/>
      <c r="N3880" s="6" t="s">
        <v>2724</v>
      </c>
      <c r="O3880" s="29">
        <f t="shared" si="90"/>
        <v>-80165</v>
      </c>
      <c r="Q3880" s="30" t="s">
        <v>2724</v>
      </c>
      <c r="R3880" s="31">
        <v>-80165</v>
      </c>
    </row>
    <row r="3881" s="1" customFormat="1" ht="16.35" hidden="1" customHeight="1" spans="1:18">
      <c r="A3881" s="6"/>
      <c r="B3881" s="6" t="s">
        <v>4271</v>
      </c>
      <c r="C3881" s="6" t="s">
        <v>4197</v>
      </c>
      <c r="D3881" s="7">
        <v>87</v>
      </c>
      <c r="E3881" s="6" t="s">
        <v>7267</v>
      </c>
      <c r="F3881" s="6" t="s">
        <v>5631</v>
      </c>
      <c r="G3881" s="6" t="s">
        <v>5632</v>
      </c>
      <c r="H3881" s="8">
        <v>270996</v>
      </c>
      <c r="I3881" s="8"/>
      <c r="J3881" s="6"/>
      <c r="K3881" s="6" t="s">
        <v>2704</v>
      </c>
      <c r="L3881" s="6"/>
      <c r="M3881" s="6"/>
      <c r="N3881" s="6" t="s">
        <v>2704</v>
      </c>
      <c r="O3881" s="29">
        <f t="shared" si="90"/>
        <v>0</v>
      </c>
      <c r="Q3881" s="30" t="s">
        <v>2704</v>
      </c>
      <c r="R3881" s="31">
        <v>0</v>
      </c>
    </row>
    <row r="3882" s="1" customFormat="1" ht="16.35" hidden="1" customHeight="1" spans="1:18">
      <c r="A3882" s="6"/>
      <c r="B3882" s="6" t="s">
        <v>4271</v>
      </c>
      <c r="C3882" s="6" t="s">
        <v>4197</v>
      </c>
      <c r="D3882" s="7">
        <v>14</v>
      </c>
      <c r="E3882" s="6" t="s">
        <v>7328</v>
      </c>
      <c r="F3882" s="6" t="s">
        <v>5631</v>
      </c>
      <c r="G3882" s="6" t="s">
        <v>5632</v>
      </c>
      <c r="H3882" s="8"/>
      <c r="I3882" s="8">
        <v>170000</v>
      </c>
      <c r="J3882" s="6"/>
      <c r="K3882" s="6" t="s">
        <v>2708</v>
      </c>
      <c r="L3882" s="6"/>
      <c r="M3882" s="6"/>
      <c r="N3882" s="6" t="s">
        <v>2708</v>
      </c>
      <c r="O3882" s="29">
        <f t="shared" si="90"/>
        <v>170000</v>
      </c>
      <c r="Q3882" s="30" t="s">
        <v>2708</v>
      </c>
      <c r="R3882" s="31">
        <v>170000</v>
      </c>
    </row>
    <row r="3883" s="1" customFormat="1" ht="16.35" hidden="1" customHeight="1" spans="1:18">
      <c r="A3883" s="6"/>
      <c r="B3883" s="6" t="s">
        <v>4271</v>
      </c>
      <c r="C3883" s="6" t="s">
        <v>4197</v>
      </c>
      <c r="D3883" s="7">
        <v>78</v>
      </c>
      <c r="E3883" s="6" t="s">
        <v>7295</v>
      </c>
      <c r="F3883" s="6" t="s">
        <v>5631</v>
      </c>
      <c r="G3883" s="6" t="s">
        <v>5632</v>
      </c>
      <c r="H3883" s="8">
        <v>244718</v>
      </c>
      <c r="I3883" s="8"/>
      <c r="J3883" s="6"/>
      <c r="K3883" s="6" t="s">
        <v>2708</v>
      </c>
      <c r="L3883" s="6"/>
      <c r="M3883" s="6"/>
      <c r="N3883" s="6" t="s">
        <v>2708</v>
      </c>
      <c r="O3883" s="29">
        <f t="shared" si="90"/>
        <v>0</v>
      </c>
      <c r="Q3883" s="30" t="s">
        <v>2708</v>
      </c>
      <c r="R3883" s="31">
        <v>0</v>
      </c>
    </row>
    <row r="3884" s="1" customFormat="1" ht="16.35" hidden="1" customHeight="1" spans="1:18">
      <c r="A3884" s="6"/>
      <c r="B3884" s="6" t="s">
        <v>4271</v>
      </c>
      <c r="C3884" s="6" t="s">
        <v>4197</v>
      </c>
      <c r="D3884" s="7">
        <v>87</v>
      </c>
      <c r="E3884" s="6" t="s">
        <v>7267</v>
      </c>
      <c r="F3884" s="6" t="s">
        <v>5631</v>
      </c>
      <c r="G3884" s="6" t="s">
        <v>5632</v>
      </c>
      <c r="H3884" s="8">
        <v>234042</v>
      </c>
      <c r="I3884" s="8"/>
      <c r="J3884" s="6"/>
      <c r="K3884" s="6" t="s">
        <v>2712</v>
      </c>
      <c r="L3884" s="6"/>
      <c r="M3884" s="6"/>
      <c r="N3884" s="6" t="s">
        <v>2712</v>
      </c>
      <c r="O3884" s="29">
        <f t="shared" si="90"/>
        <v>0</v>
      </c>
      <c r="Q3884" s="30" t="s">
        <v>2712</v>
      </c>
      <c r="R3884" s="31">
        <v>0</v>
      </c>
    </row>
    <row r="3885" s="1" customFormat="1" ht="16.35" hidden="1" customHeight="1" spans="1:18">
      <c r="A3885" s="6"/>
      <c r="B3885" s="6" t="s">
        <v>4271</v>
      </c>
      <c r="C3885" s="6" t="s">
        <v>4197</v>
      </c>
      <c r="D3885" s="7">
        <v>30</v>
      </c>
      <c r="E3885" s="6" t="s">
        <v>7329</v>
      </c>
      <c r="F3885" s="6" t="s">
        <v>5631</v>
      </c>
      <c r="G3885" s="6" t="s">
        <v>5632</v>
      </c>
      <c r="H3885" s="8"/>
      <c r="I3885" s="8">
        <v>10000</v>
      </c>
      <c r="J3885" s="6"/>
      <c r="K3885" s="6" t="s">
        <v>2247</v>
      </c>
      <c r="L3885" s="6"/>
      <c r="M3885" s="6"/>
      <c r="N3885" s="6" t="s">
        <v>2247</v>
      </c>
      <c r="O3885" s="29">
        <f t="shared" si="90"/>
        <v>10000</v>
      </c>
      <c r="Q3885" s="30" t="s">
        <v>2247</v>
      </c>
      <c r="R3885" s="31">
        <v>10000</v>
      </c>
    </row>
    <row r="3886" s="1" customFormat="1" ht="16.35" hidden="1" customHeight="1" spans="1:18">
      <c r="A3886" s="6"/>
      <c r="B3886" s="6" t="s">
        <v>4271</v>
      </c>
      <c r="C3886" s="6" t="s">
        <v>4197</v>
      </c>
      <c r="D3886" s="7">
        <v>27</v>
      </c>
      <c r="E3886" s="6" t="s">
        <v>7330</v>
      </c>
      <c r="F3886" s="6" t="s">
        <v>5631</v>
      </c>
      <c r="G3886" s="6" t="s">
        <v>5632</v>
      </c>
      <c r="H3886" s="8"/>
      <c r="I3886" s="8">
        <v>170000</v>
      </c>
      <c r="J3886" s="6"/>
      <c r="K3886" s="6" t="s">
        <v>2179</v>
      </c>
      <c r="L3886" s="6"/>
      <c r="M3886" s="6"/>
      <c r="N3886" s="6" t="s">
        <v>2179</v>
      </c>
      <c r="O3886" s="29">
        <f t="shared" si="90"/>
        <v>170000</v>
      </c>
      <c r="Q3886" s="30" t="s">
        <v>2179</v>
      </c>
      <c r="R3886" s="31">
        <v>170000</v>
      </c>
    </row>
    <row r="3887" s="1" customFormat="1" ht="16.35" hidden="1" customHeight="1" spans="1:18">
      <c r="A3887" s="6"/>
      <c r="B3887" s="6" t="s">
        <v>4271</v>
      </c>
      <c r="C3887" s="6" t="s">
        <v>4197</v>
      </c>
      <c r="D3887" s="7">
        <v>87</v>
      </c>
      <c r="E3887" s="6" t="s">
        <v>7267</v>
      </c>
      <c r="F3887" s="6" t="s">
        <v>5631</v>
      </c>
      <c r="G3887" s="6" t="s">
        <v>5632</v>
      </c>
      <c r="H3887" s="8">
        <v>275873</v>
      </c>
      <c r="I3887" s="8"/>
      <c r="J3887" s="6"/>
      <c r="K3887" s="6" t="s">
        <v>2388</v>
      </c>
      <c r="L3887" s="6"/>
      <c r="M3887" s="6"/>
      <c r="N3887" s="6" t="s">
        <v>2388</v>
      </c>
      <c r="O3887" s="29">
        <f t="shared" si="90"/>
        <v>0</v>
      </c>
      <c r="Q3887" s="30" t="s">
        <v>2388</v>
      </c>
      <c r="R3887" s="31">
        <v>0</v>
      </c>
    </row>
    <row r="3888" s="1" customFormat="1" ht="16.35" hidden="1" customHeight="1" spans="1:18">
      <c r="A3888" s="6"/>
      <c r="B3888" s="6" t="s">
        <v>4271</v>
      </c>
      <c r="C3888" s="6" t="s">
        <v>4197</v>
      </c>
      <c r="D3888" s="7">
        <v>8</v>
      </c>
      <c r="E3888" s="6" t="s">
        <v>7331</v>
      </c>
      <c r="F3888" s="6" t="s">
        <v>5631</v>
      </c>
      <c r="G3888" s="6" t="s">
        <v>5632</v>
      </c>
      <c r="H3888" s="8"/>
      <c r="I3888" s="8">
        <v>148000</v>
      </c>
      <c r="J3888" s="6"/>
      <c r="K3888" s="6" t="s">
        <v>2476</v>
      </c>
      <c r="L3888" s="6"/>
      <c r="M3888" s="6"/>
      <c r="N3888" s="6" t="s">
        <v>2476</v>
      </c>
      <c r="O3888" s="29">
        <f t="shared" si="90"/>
        <v>148000</v>
      </c>
      <c r="Q3888" s="30" t="s">
        <v>2476</v>
      </c>
      <c r="R3888" s="31">
        <v>148000</v>
      </c>
    </row>
    <row r="3889" s="1" customFormat="1" ht="16.35" hidden="1" customHeight="1" spans="1:18">
      <c r="A3889" s="6"/>
      <c r="B3889" s="6" t="s">
        <v>4271</v>
      </c>
      <c r="C3889" s="6" t="s">
        <v>4197</v>
      </c>
      <c r="D3889" s="7">
        <v>78</v>
      </c>
      <c r="E3889" s="6" t="s">
        <v>7295</v>
      </c>
      <c r="F3889" s="6" t="s">
        <v>5631</v>
      </c>
      <c r="G3889" s="6" t="s">
        <v>5632</v>
      </c>
      <c r="H3889" s="8">
        <v>247761</v>
      </c>
      <c r="I3889" s="8"/>
      <c r="J3889" s="6"/>
      <c r="K3889" s="6" t="s">
        <v>2476</v>
      </c>
      <c r="L3889" s="6"/>
      <c r="M3889" s="6"/>
      <c r="N3889" s="6" t="s">
        <v>2476</v>
      </c>
      <c r="O3889" s="29">
        <f t="shared" si="90"/>
        <v>0</v>
      </c>
      <c r="Q3889" s="30" t="s">
        <v>2476</v>
      </c>
      <c r="R3889" s="31">
        <v>0</v>
      </c>
    </row>
    <row r="3890" s="1" customFormat="1" ht="16.35" hidden="1" customHeight="1" spans="1:18">
      <c r="A3890" s="6"/>
      <c r="B3890" s="6" t="s">
        <v>4271</v>
      </c>
      <c r="C3890" s="6" t="s">
        <v>4197</v>
      </c>
      <c r="D3890" s="7">
        <v>56</v>
      </c>
      <c r="E3890" s="6" t="s">
        <v>7332</v>
      </c>
      <c r="F3890" s="6" t="s">
        <v>5631</v>
      </c>
      <c r="G3890" s="6" t="s">
        <v>5632</v>
      </c>
      <c r="H3890" s="8"/>
      <c r="I3890" s="8">
        <v>24960</v>
      </c>
      <c r="J3890" s="6"/>
      <c r="K3890" s="6" t="s">
        <v>2462</v>
      </c>
      <c r="L3890" s="6"/>
      <c r="M3890" s="6"/>
      <c r="N3890" s="6" t="s">
        <v>2462</v>
      </c>
      <c r="O3890" s="29">
        <f t="shared" si="90"/>
        <v>24960</v>
      </c>
      <c r="Q3890" s="30" t="s">
        <v>2462</v>
      </c>
      <c r="R3890" s="31">
        <v>24960</v>
      </c>
    </row>
    <row r="3891" s="1" customFormat="1" ht="16.35" hidden="1" customHeight="1" spans="1:18">
      <c r="A3891" s="6"/>
      <c r="B3891" s="6" t="s">
        <v>4271</v>
      </c>
      <c r="C3891" s="6" t="s">
        <v>4197</v>
      </c>
      <c r="D3891" s="7">
        <v>16</v>
      </c>
      <c r="E3891" s="6" t="s">
        <v>7333</v>
      </c>
      <c r="F3891" s="6" t="s">
        <v>5631</v>
      </c>
      <c r="G3891" s="6" t="s">
        <v>5632</v>
      </c>
      <c r="H3891" s="8"/>
      <c r="I3891" s="8">
        <v>162000</v>
      </c>
      <c r="J3891" s="6"/>
      <c r="K3891" s="6" t="s">
        <v>2504</v>
      </c>
      <c r="L3891" s="6"/>
      <c r="M3891" s="6"/>
      <c r="N3891" s="6" t="s">
        <v>2504</v>
      </c>
      <c r="O3891" s="29">
        <f t="shared" si="90"/>
        <v>162000</v>
      </c>
      <c r="Q3891" s="30" t="s">
        <v>2504</v>
      </c>
      <c r="R3891" s="31">
        <v>162000</v>
      </c>
    </row>
    <row r="3892" s="1" customFormat="1" ht="16.35" hidden="1" customHeight="1" spans="1:18">
      <c r="A3892" s="6"/>
      <c r="B3892" s="6" t="s">
        <v>4271</v>
      </c>
      <c r="C3892" s="6" t="s">
        <v>4197</v>
      </c>
      <c r="D3892" s="7">
        <v>87</v>
      </c>
      <c r="E3892" s="6" t="s">
        <v>7267</v>
      </c>
      <c r="F3892" s="6" t="s">
        <v>5631</v>
      </c>
      <c r="G3892" s="6" t="s">
        <v>5632</v>
      </c>
      <c r="H3892" s="8">
        <v>202000</v>
      </c>
      <c r="I3892" s="8"/>
      <c r="J3892" s="6"/>
      <c r="K3892" s="6" t="s">
        <v>2539</v>
      </c>
      <c r="L3892" s="6"/>
      <c r="M3892" s="6"/>
      <c r="N3892" s="6" t="s">
        <v>2539</v>
      </c>
      <c r="O3892" s="29">
        <f t="shared" si="90"/>
        <v>0</v>
      </c>
      <c r="Q3892" s="30" t="s">
        <v>2539</v>
      </c>
      <c r="R3892" s="31">
        <v>0</v>
      </c>
    </row>
    <row r="3893" s="1" customFormat="1" ht="16.35" hidden="1" customHeight="1" spans="1:18">
      <c r="A3893" s="6"/>
      <c r="B3893" s="6" t="s">
        <v>4271</v>
      </c>
      <c r="C3893" s="6" t="s">
        <v>4197</v>
      </c>
      <c r="D3893" s="7">
        <v>17</v>
      </c>
      <c r="E3893" s="6" t="s">
        <v>7334</v>
      </c>
      <c r="F3893" s="6" t="s">
        <v>5631</v>
      </c>
      <c r="G3893" s="6" t="s">
        <v>5632</v>
      </c>
      <c r="H3893" s="8"/>
      <c r="I3893" s="8">
        <v>110000</v>
      </c>
      <c r="J3893" s="6"/>
      <c r="K3893" s="6" t="s">
        <v>2588</v>
      </c>
      <c r="L3893" s="6"/>
      <c r="M3893" s="6"/>
      <c r="N3893" s="6" t="s">
        <v>2588</v>
      </c>
      <c r="O3893" s="29">
        <f t="shared" si="90"/>
        <v>110000</v>
      </c>
      <c r="Q3893" s="30" t="s">
        <v>2588</v>
      </c>
      <c r="R3893" s="31">
        <v>110000</v>
      </c>
    </row>
    <row r="3894" s="1" customFormat="1" ht="16.35" hidden="1" customHeight="1" spans="1:18">
      <c r="A3894" s="6"/>
      <c r="B3894" s="6" t="s">
        <v>4271</v>
      </c>
      <c r="C3894" s="6" t="s">
        <v>4197</v>
      </c>
      <c r="D3894" s="7">
        <v>78</v>
      </c>
      <c r="E3894" s="6" t="s">
        <v>7295</v>
      </c>
      <c r="F3894" s="6" t="s">
        <v>5631</v>
      </c>
      <c r="G3894" s="6" t="s">
        <v>5632</v>
      </c>
      <c r="H3894" s="8">
        <v>166540</v>
      </c>
      <c r="I3894" s="8"/>
      <c r="J3894" s="6"/>
      <c r="K3894" s="6" t="s">
        <v>2588</v>
      </c>
      <c r="L3894" s="6"/>
      <c r="M3894" s="6"/>
      <c r="N3894" s="6" t="s">
        <v>2588</v>
      </c>
      <c r="O3894" s="29">
        <f t="shared" si="90"/>
        <v>0</v>
      </c>
      <c r="Q3894" s="30" t="s">
        <v>2588</v>
      </c>
      <c r="R3894" s="31">
        <v>0</v>
      </c>
    </row>
    <row r="3895" s="1" customFormat="1" ht="16.35" hidden="1" customHeight="1" spans="1:18">
      <c r="A3895" s="6"/>
      <c r="B3895" s="6" t="s">
        <v>4271</v>
      </c>
      <c r="C3895" s="6" t="s">
        <v>4197</v>
      </c>
      <c r="D3895" s="7">
        <v>4</v>
      </c>
      <c r="E3895" s="6" t="s">
        <v>7335</v>
      </c>
      <c r="F3895" s="6" t="s">
        <v>5631</v>
      </c>
      <c r="G3895" s="6" t="s">
        <v>5632</v>
      </c>
      <c r="H3895" s="8"/>
      <c r="I3895" s="8">
        <v>107000</v>
      </c>
      <c r="J3895" s="6"/>
      <c r="K3895" s="6" t="s">
        <v>2535</v>
      </c>
      <c r="L3895" s="6"/>
      <c r="M3895" s="6"/>
      <c r="N3895" s="6" t="s">
        <v>2535</v>
      </c>
      <c r="O3895" s="29">
        <f t="shared" si="90"/>
        <v>107000</v>
      </c>
      <c r="Q3895" s="30" t="s">
        <v>2535</v>
      </c>
      <c r="R3895" s="31">
        <v>107000</v>
      </c>
    </row>
    <row r="3896" s="1" customFormat="1" ht="16.35" hidden="1" customHeight="1" spans="1:18">
      <c r="A3896" s="6"/>
      <c r="B3896" s="6" t="s">
        <v>4271</v>
      </c>
      <c r="C3896" s="6" t="s">
        <v>4197</v>
      </c>
      <c r="D3896" s="7">
        <v>78</v>
      </c>
      <c r="E3896" s="6" t="s">
        <v>7295</v>
      </c>
      <c r="F3896" s="6" t="s">
        <v>5631</v>
      </c>
      <c r="G3896" s="6" t="s">
        <v>5632</v>
      </c>
      <c r="H3896" s="8">
        <v>179738</v>
      </c>
      <c r="I3896" s="8"/>
      <c r="J3896" s="6"/>
      <c r="K3896" s="6" t="s">
        <v>2535</v>
      </c>
      <c r="L3896" s="6"/>
      <c r="M3896" s="6"/>
      <c r="N3896" s="6" t="s">
        <v>2535</v>
      </c>
      <c r="O3896" s="29">
        <f t="shared" si="90"/>
        <v>0</v>
      </c>
      <c r="Q3896" s="30" t="s">
        <v>2535</v>
      </c>
      <c r="R3896" s="31">
        <v>0</v>
      </c>
    </row>
    <row r="3897" s="1" customFormat="1" ht="16.35" hidden="1" customHeight="1" spans="1:18">
      <c r="A3897" s="6"/>
      <c r="B3897" s="6" t="s">
        <v>4271</v>
      </c>
      <c r="C3897" s="6" t="s">
        <v>4197</v>
      </c>
      <c r="D3897" s="7">
        <v>78</v>
      </c>
      <c r="E3897" s="6" t="s">
        <v>7295</v>
      </c>
      <c r="F3897" s="6" t="s">
        <v>5631</v>
      </c>
      <c r="G3897" s="6" t="s">
        <v>5632</v>
      </c>
      <c r="H3897" s="8">
        <v>181680</v>
      </c>
      <c r="I3897" s="8"/>
      <c r="J3897" s="6"/>
      <c r="K3897" s="6" t="s">
        <v>2533</v>
      </c>
      <c r="L3897" s="6"/>
      <c r="M3897" s="6"/>
      <c r="N3897" s="6" t="s">
        <v>2533</v>
      </c>
      <c r="O3897" s="29">
        <f t="shared" si="90"/>
        <v>0</v>
      </c>
      <c r="Q3897" s="30" t="s">
        <v>2533</v>
      </c>
      <c r="R3897" s="31">
        <v>0</v>
      </c>
    </row>
    <row r="3898" s="1" customFormat="1" ht="16.35" hidden="1" customHeight="1" spans="1:18">
      <c r="A3898" s="6"/>
      <c r="B3898" s="6" t="s">
        <v>4271</v>
      </c>
      <c r="C3898" s="6" t="s">
        <v>4197</v>
      </c>
      <c r="D3898" s="7">
        <v>69</v>
      </c>
      <c r="E3898" s="6" t="s">
        <v>7336</v>
      </c>
      <c r="F3898" s="6" t="s">
        <v>5631</v>
      </c>
      <c r="G3898" s="6" t="s">
        <v>5632</v>
      </c>
      <c r="H3898" s="8"/>
      <c r="I3898" s="8">
        <v>-73640</v>
      </c>
      <c r="J3898" s="6"/>
      <c r="K3898" s="6" t="s">
        <v>2646</v>
      </c>
      <c r="L3898" s="6"/>
      <c r="M3898" s="6"/>
      <c r="N3898" s="6" t="s">
        <v>2646</v>
      </c>
      <c r="O3898" s="29">
        <f t="shared" si="90"/>
        <v>-73640</v>
      </c>
      <c r="Q3898" s="30" t="s">
        <v>2646</v>
      </c>
      <c r="R3898" s="31">
        <v>-73640</v>
      </c>
    </row>
    <row r="3899" s="1" customFormat="1" ht="16.35" hidden="1" customHeight="1" spans="1:18">
      <c r="A3899" s="6"/>
      <c r="B3899" s="6" t="s">
        <v>4271</v>
      </c>
      <c r="C3899" s="6" t="s">
        <v>4197</v>
      </c>
      <c r="D3899" s="7">
        <v>79</v>
      </c>
      <c r="E3899" s="6" t="s">
        <v>7337</v>
      </c>
      <c r="F3899" s="6" t="s">
        <v>5631</v>
      </c>
      <c r="G3899" s="6" t="s">
        <v>5632</v>
      </c>
      <c r="H3899" s="8"/>
      <c r="I3899" s="8">
        <v>73640</v>
      </c>
      <c r="J3899" s="6"/>
      <c r="K3899" s="6" t="s">
        <v>2646</v>
      </c>
      <c r="L3899" s="6"/>
      <c r="M3899" s="6"/>
      <c r="N3899" s="6" t="s">
        <v>2646</v>
      </c>
      <c r="O3899" s="29">
        <f t="shared" si="90"/>
        <v>73640</v>
      </c>
      <c r="Q3899" s="30" t="s">
        <v>2646</v>
      </c>
      <c r="R3899" s="31">
        <v>73640</v>
      </c>
    </row>
    <row r="3900" s="1" customFormat="1" ht="16.35" hidden="1" customHeight="1" spans="1:18">
      <c r="A3900" s="6"/>
      <c r="B3900" s="6" t="s">
        <v>4271</v>
      </c>
      <c r="C3900" s="6" t="s">
        <v>4197</v>
      </c>
      <c r="D3900" s="7">
        <v>19</v>
      </c>
      <c r="E3900" s="6" t="s">
        <v>7338</v>
      </c>
      <c r="F3900" s="6" t="s">
        <v>5631</v>
      </c>
      <c r="G3900" s="6" t="s">
        <v>5632</v>
      </c>
      <c r="H3900" s="8"/>
      <c r="I3900" s="8">
        <v>140000</v>
      </c>
      <c r="J3900" s="6"/>
      <c r="K3900" s="6" t="s">
        <v>2634</v>
      </c>
      <c r="L3900" s="6"/>
      <c r="M3900" s="6"/>
      <c r="N3900" s="6" t="s">
        <v>2634</v>
      </c>
      <c r="O3900" s="29">
        <f t="shared" si="90"/>
        <v>140000</v>
      </c>
      <c r="Q3900" s="30" t="s">
        <v>2634</v>
      </c>
      <c r="R3900" s="31">
        <v>140000</v>
      </c>
    </row>
    <row r="3901" s="1" customFormat="1" ht="16.35" hidden="1" customHeight="1" spans="1:18">
      <c r="A3901" s="6"/>
      <c r="B3901" s="6" t="s">
        <v>4271</v>
      </c>
      <c r="C3901" s="6" t="s">
        <v>4197</v>
      </c>
      <c r="D3901" s="7">
        <v>78</v>
      </c>
      <c r="E3901" s="6" t="s">
        <v>7295</v>
      </c>
      <c r="F3901" s="6" t="s">
        <v>5631</v>
      </c>
      <c r="G3901" s="6" t="s">
        <v>5632</v>
      </c>
      <c r="H3901" s="8">
        <v>200579</v>
      </c>
      <c r="I3901" s="8"/>
      <c r="J3901" s="6"/>
      <c r="K3901" s="6" t="s">
        <v>2634</v>
      </c>
      <c r="L3901" s="6"/>
      <c r="M3901" s="6"/>
      <c r="N3901" s="6" t="s">
        <v>2634</v>
      </c>
      <c r="O3901" s="29">
        <f t="shared" si="90"/>
        <v>0</v>
      </c>
      <c r="Q3901" s="30" t="s">
        <v>2634</v>
      </c>
      <c r="R3901" s="31">
        <v>0</v>
      </c>
    </row>
    <row r="3902" s="1" customFormat="1" ht="16.35" hidden="1" customHeight="1" spans="1:18">
      <c r="A3902" s="6"/>
      <c r="B3902" s="6" t="s">
        <v>4271</v>
      </c>
      <c r="C3902" s="6" t="s">
        <v>4197</v>
      </c>
      <c r="D3902" s="7">
        <v>78</v>
      </c>
      <c r="E3902" s="6" t="s">
        <v>7295</v>
      </c>
      <c r="F3902" s="6" t="s">
        <v>5631</v>
      </c>
      <c r="G3902" s="6" t="s">
        <v>5632</v>
      </c>
      <c r="H3902" s="8">
        <v>217000</v>
      </c>
      <c r="I3902" s="8"/>
      <c r="J3902" s="6"/>
      <c r="K3902" s="6" t="s">
        <v>2636</v>
      </c>
      <c r="L3902" s="6"/>
      <c r="M3902" s="6"/>
      <c r="N3902" s="6" t="s">
        <v>2636</v>
      </c>
      <c r="O3902" s="29">
        <f t="shared" si="90"/>
        <v>0</v>
      </c>
      <c r="Q3902" s="30" t="s">
        <v>2636</v>
      </c>
      <c r="R3902" s="31">
        <v>0</v>
      </c>
    </row>
    <row r="3903" s="1" customFormat="1" ht="16.35" hidden="1" customHeight="1" spans="1:18">
      <c r="A3903" s="6"/>
      <c r="B3903" s="6" t="s">
        <v>4271</v>
      </c>
      <c r="C3903" s="6" t="s">
        <v>4197</v>
      </c>
      <c r="D3903" s="7">
        <v>78</v>
      </c>
      <c r="E3903" s="6" t="s">
        <v>7295</v>
      </c>
      <c r="F3903" s="6" t="s">
        <v>5631</v>
      </c>
      <c r="G3903" s="6" t="s">
        <v>5632</v>
      </c>
      <c r="H3903" s="8">
        <v>165000</v>
      </c>
      <c r="I3903" s="8"/>
      <c r="J3903" s="6"/>
      <c r="K3903" s="6" t="s">
        <v>2666</v>
      </c>
      <c r="L3903" s="6"/>
      <c r="M3903" s="6"/>
      <c r="N3903" s="6" t="s">
        <v>2666</v>
      </c>
      <c r="O3903" s="29">
        <f t="shared" si="90"/>
        <v>0</v>
      </c>
      <c r="Q3903" s="30" t="s">
        <v>2666</v>
      </c>
      <c r="R3903" s="31">
        <v>0</v>
      </c>
    </row>
    <row r="3904" s="1" customFormat="1" ht="16.35" hidden="1" customHeight="1" spans="1:18">
      <c r="A3904" s="6"/>
      <c r="B3904" s="6" t="s">
        <v>4271</v>
      </c>
      <c r="C3904" s="6" t="s">
        <v>4197</v>
      </c>
      <c r="D3904" s="7">
        <v>15</v>
      </c>
      <c r="E3904" s="6" t="s">
        <v>7339</v>
      </c>
      <c r="F3904" s="6" t="s">
        <v>5631</v>
      </c>
      <c r="G3904" s="6" t="s">
        <v>5632</v>
      </c>
      <c r="H3904" s="8"/>
      <c r="I3904" s="8">
        <v>130000</v>
      </c>
      <c r="J3904" s="6"/>
      <c r="K3904" s="6" t="s">
        <v>2726</v>
      </c>
      <c r="L3904" s="6"/>
      <c r="M3904" s="6"/>
      <c r="N3904" s="6" t="s">
        <v>2726</v>
      </c>
      <c r="O3904" s="29">
        <f t="shared" si="90"/>
        <v>130000</v>
      </c>
      <c r="Q3904" s="30" t="s">
        <v>2726</v>
      </c>
      <c r="R3904" s="31">
        <v>130000</v>
      </c>
    </row>
    <row r="3905" s="1" customFormat="1" ht="16.35" hidden="1" customHeight="1" spans="1:18">
      <c r="A3905" s="6"/>
      <c r="B3905" s="6" t="s">
        <v>4271</v>
      </c>
      <c r="C3905" s="6" t="s">
        <v>4197</v>
      </c>
      <c r="D3905" s="7">
        <v>78</v>
      </c>
      <c r="E3905" s="6" t="s">
        <v>7295</v>
      </c>
      <c r="F3905" s="6" t="s">
        <v>5631</v>
      </c>
      <c r="G3905" s="6" t="s">
        <v>5632</v>
      </c>
      <c r="H3905" s="8">
        <v>275102</v>
      </c>
      <c r="I3905" s="8"/>
      <c r="J3905" s="6"/>
      <c r="K3905" s="6" t="s">
        <v>2726</v>
      </c>
      <c r="L3905" s="6"/>
      <c r="M3905" s="6"/>
      <c r="N3905" s="6" t="s">
        <v>2726</v>
      </c>
      <c r="O3905" s="29">
        <f t="shared" si="90"/>
        <v>0</v>
      </c>
      <c r="Q3905" s="30" t="s">
        <v>2726</v>
      </c>
      <c r="R3905" s="31">
        <v>0</v>
      </c>
    </row>
    <row r="3906" s="1" customFormat="1" ht="16.35" hidden="1" customHeight="1" spans="1:18">
      <c r="A3906" s="6"/>
      <c r="B3906" s="6" t="s">
        <v>4271</v>
      </c>
      <c r="C3906" s="6" t="s">
        <v>4217</v>
      </c>
      <c r="D3906" s="7">
        <v>15</v>
      </c>
      <c r="E3906" s="6" t="s">
        <v>7340</v>
      </c>
      <c r="F3906" s="6" t="s">
        <v>5631</v>
      </c>
      <c r="G3906" s="6" t="s">
        <v>5632</v>
      </c>
      <c r="H3906" s="8"/>
      <c r="I3906" s="8">
        <v>165000</v>
      </c>
      <c r="J3906" s="6"/>
      <c r="K3906" s="6" t="s">
        <v>2396</v>
      </c>
      <c r="L3906" s="6"/>
      <c r="M3906" s="6"/>
      <c r="N3906" s="6" t="s">
        <v>2396</v>
      </c>
      <c r="O3906" s="29">
        <f t="shared" si="90"/>
        <v>165000</v>
      </c>
      <c r="Q3906" s="30" t="s">
        <v>2396</v>
      </c>
      <c r="R3906" s="31">
        <v>165000</v>
      </c>
    </row>
    <row r="3907" s="1" customFormat="1" ht="16.35" hidden="1" customHeight="1" spans="1:18">
      <c r="A3907" s="6"/>
      <c r="B3907" s="6" t="s">
        <v>4271</v>
      </c>
      <c r="C3907" s="6" t="s">
        <v>4217</v>
      </c>
      <c r="D3907" s="7">
        <v>26</v>
      </c>
      <c r="E3907" s="6" t="s">
        <v>7341</v>
      </c>
      <c r="F3907" s="6" t="s">
        <v>5631</v>
      </c>
      <c r="G3907" s="6" t="s">
        <v>5632</v>
      </c>
      <c r="H3907" s="8"/>
      <c r="I3907" s="8">
        <v>148000</v>
      </c>
      <c r="J3907" s="6"/>
      <c r="K3907" s="6" t="s">
        <v>2430</v>
      </c>
      <c r="L3907" s="6"/>
      <c r="M3907" s="6"/>
      <c r="N3907" s="6" t="s">
        <v>2430</v>
      </c>
      <c r="O3907" s="29">
        <f t="shared" si="90"/>
        <v>148000</v>
      </c>
      <c r="Q3907" s="30" t="s">
        <v>2430</v>
      </c>
      <c r="R3907" s="31">
        <v>148000</v>
      </c>
    </row>
    <row r="3908" s="1" customFormat="1" ht="16.35" hidden="1" customHeight="1" spans="1:18">
      <c r="A3908" s="6"/>
      <c r="B3908" s="6" t="s">
        <v>4271</v>
      </c>
      <c r="C3908" s="6" t="s">
        <v>4217</v>
      </c>
      <c r="D3908" s="7">
        <v>37</v>
      </c>
      <c r="E3908" s="6" t="s">
        <v>7342</v>
      </c>
      <c r="F3908" s="6" t="s">
        <v>5631</v>
      </c>
      <c r="G3908" s="6" t="s">
        <v>5632</v>
      </c>
      <c r="H3908" s="8"/>
      <c r="I3908" s="8">
        <v>90754</v>
      </c>
      <c r="J3908" s="6"/>
      <c r="K3908" s="6" t="s">
        <v>2570</v>
      </c>
      <c r="L3908" s="6"/>
      <c r="M3908" s="6"/>
      <c r="N3908" s="6" t="s">
        <v>2570</v>
      </c>
      <c r="O3908" s="29">
        <f t="shared" si="90"/>
        <v>90754</v>
      </c>
      <c r="Q3908" s="30" t="s">
        <v>2570</v>
      </c>
      <c r="R3908" s="31">
        <v>90754</v>
      </c>
    </row>
    <row r="3909" s="1" customFormat="1" ht="16.35" hidden="1" customHeight="1" spans="1:18">
      <c r="A3909" s="6"/>
      <c r="B3909" s="6" t="s">
        <v>4271</v>
      </c>
      <c r="C3909" s="6" t="s">
        <v>4217</v>
      </c>
      <c r="D3909" s="7">
        <v>25</v>
      </c>
      <c r="E3909" s="6" t="s">
        <v>7343</v>
      </c>
      <c r="F3909" s="6" t="s">
        <v>5631</v>
      </c>
      <c r="G3909" s="6" t="s">
        <v>5632</v>
      </c>
      <c r="H3909" s="8"/>
      <c r="I3909" s="8">
        <v>114966</v>
      </c>
      <c r="J3909" s="6"/>
      <c r="K3909" s="6" t="s">
        <v>2694</v>
      </c>
      <c r="L3909" s="6"/>
      <c r="M3909" s="6"/>
      <c r="N3909" s="6" t="s">
        <v>2694</v>
      </c>
      <c r="O3909" s="29">
        <f t="shared" si="90"/>
        <v>114966</v>
      </c>
      <c r="Q3909" s="30" t="s">
        <v>2694</v>
      </c>
      <c r="R3909" s="31">
        <v>114966</v>
      </c>
    </row>
    <row r="3910" s="1" customFormat="1" ht="16.35" hidden="1" customHeight="1" spans="1:18">
      <c r="A3910" s="6"/>
      <c r="B3910" s="6" t="s">
        <v>4271</v>
      </c>
      <c r="C3910" s="6" t="s">
        <v>4217</v>
      </c>
      <c r="D3910" s="7">
        <v>14</v>
      </c>
      <c r="E3910" s="6" t="s">
        <v>7344</v>
      </c>
      <c r="F3910" s="6" t="s">
        <v>5631</v>
      </c>
      <c r="G3910" s="6" t="s">
        <v>5632</v>
      </c>
      <c r="H3910" s="8"/>
      <c r="I3910" s="8">
        <v>70000</v>
      </c>
      <c r="J3910" s="6"/>
      <c r="K3910" s="6" t="s">
        <v>2386</v>
      </c>
      <c r="L3910" s="6"/>
      <c r="M3910" s="6"/>
      <c r="N3910" s="6" t="s">
        <v>2386</v>
      </c>
      <c r="O3910" s="29">
        <f t="shared" si="90"/>
        <v>70000</v>
      </c>
      <c r="Q3910" s="30" t="s">
        <v>2386</v>
      </c>
      <c r="R3910" s="31">
        <v>70000</v>
      </c>
    </row>
    <row r="3911" s="1" customFormat="1" ht="16.35" hidden="1" customHeight="1" spans="1:18">
      <c r="A3911" s="6"/>
      <c r="B3911" s="6" t="s">
        <v>4271</v>
      </c>
      <c r="C3911" s="6" t="s">
        <v>4217</v>
      </c>
      <c r="D3911" s="7">
        <v>28</v>
      </c>
      <c r="E3911" s="6" t="s">
        <v>7345</v>
      </c>
      <c r="F3911" s="6" t="s">
        <v>5631</v>
      </c>
      <c r="G3911" s="6" t="s">
        <v>5632</v>
      </c>
      <c r="H3911" s="8"/>
      <c r="I3911" s="8">
        <v>40000</v>
      </c>
      <c r="J3911" s="6"/>
      <c r="K3911" s="6" t="s">
        <v>2392</v>
      </c>
      <c r="L3911" s="6"/>
      <c r="M3911" s="6"/>
      <c r="N3911" s="6" t="s">
        <v>2392</v>
      </c>
      <c r="O3911" s="29">
        <f t="shared" si="90"/>
        <v>40000</v>
      </c>
      <c r="Q3911" s="30" t="s">
        <v>2392</v>
      </c>
      <c r="R3911" s="31">
        <v>40000</v>
      </c>
    </row>
    <row r="3912" s="1" customFormat="1" ht="16.35" hidden="1" customHeight="1" spans="1:18">
      <c r="A3912" s="6"/>
      <c r="B3912" s="6" t="s">
        <v>4271</v>
      </c>
      <c r="C3912" s="6" t="s">
        <v>4217</v>
      </c>
      <c r="D3912" s="7">
        <v>12</v>
      </c>
      <c r="E3912" s="6" t="s">
        <v>7346</v>
      </c>
      <c r="F3912" s="6" t="s">
        <v>5631</v>
      </c>
      <c r="G3912" s="6" t="s">
        <v>5632</v>
      </c>
      <c r="H3912" s="8"/>
      <c r="I3912" s="8">
        <v>77000</v>
      </c>
      <c r="J3912" s="6"/>
      <c r="K3912" s="6" t="s">
        <v>2436</v>
      </c>
      <c r="L3912" s="6"/>
      <c r="M3912" s="6"/>
      <c r="N3912" s="6" t="s">
        <v>2436</v>
      </c>
      <c r="O3912" s="29">
        <f t="shared" si="90"/>
        <v>77000</v>
      </c>
      <c r="Q3912" s="30" t="s">
        <v>2436</v>
      </c>
      <c r="R3912" s="31">
        <v>77000</v>
      </c>
    </row>
    <row r="3913" s="1" customFormat="1" ht="16.35" hidden="1" customHeight="1" spans="1:18">
      <c r="A3913" s="6"/>
      <c r="B3913" s="6" t="s">
        <v>4271</v>
      </c>
      <c r="C3913" s="6" t="s">
        <v>4217</v>
      </c>
      <c r="D3913" s="7">
        <v>13</v>
      </c>
      <c r="E3913" s="6" t="s">
        <v>7347</v>
      </c>
      <c r="F3913" s="6" t="s">
        <v>5631</v>
      </c>
      <c r="G3913" s="6" t="s">
        <v>5632</v>
      </c>
      <c r="H3913" s="8"/>
      <c r="I3913" s="8">
        <v>60000</v>
      </c>
      <c r="J3913" s="6"/>
      <c r="K3913" s="6" t="s">
        <v>2557</v>
      </c>
      <c r="L3913" s="6"/>
      <c r="M3913" s="6"/>
      <c r="N3913" s="6" t="s">
        <v>2557</v>
      </c>
      <c r="O3913" s="29">
        <f t="shared" si="90"/>
        <v>60000</v>
      </c>
      <c r="Q3913" s="30" t="s">
        <v>2557</v>
      </c>
      <c r="R3913" s="31">
        <v>60000</v>
      </c>
    </row>
    <row r="3914" s="1" customFormat="1" ht="16.35" hidden="1" customHeight="1" spans="1:18">
      <c r="A3914" s="6"/>
      <c r="B3914" s="6" t="s">
        <v>4271</v>
      </c>
      <c r="C3914" s="6" t="s">
        <v>4217</v>
      </c>
      <c r="D3914" s="7">
        <v>44</v>
      </c>
      <c r="E3914" s="6" t="s">
        <v>7348</v>
      </c>
      <c r="F3914" s="6" t="s">
        <v>5631</v>
      </c>
      <c r="G3914" s="6" t="s">
        <v>5632</v>
      </c>
      <c r="H3914" s="8"/>
      <c r="I3914" s="8">
        <v>-59619</v>
      </c>
      <c r="J3914" s="6"/>
      <c r="K3914" s="6" t="s">
        <v>2537</v>
      </c>
      <c r="L3914" s="6"/>
      <c r="M3914" s="6"/>
      <c r="N3914" s="6" t="s">
        <v>2537</v>
      </c>
      <c r="O3914" s="29">
        <f t="shared" si="90"/>
        <v>-59619</v>
      </c>
      <c r="Q3914" s="30" t="s">
        <v>2537</v>
      </c>
      <c r="R3914" s="31">
        <v>-59619</v>
      </c>
    </row>
    <row r="3915" s="1" customFormat="1" ht="16.35" hidden="1" customHeight="1" spans="1:18">
      <c r="A3915" s="6"/>
      <c r="B3915" s="6" t="s">
        <v>4271</v>
      </c>
      <c r="C3915" s="6" t="s">
        <v>4217</v>
      </c>
      <c r="D3915" s="7">
        <v>26</v>
      </c>
      <c r="E3915" s="6" t="s">
        <v>7349</v>
      </c>
      <c r="F3915" s="6" t="s">
        <v>5631</v>
      </c>
      <c r="G3915" s="6" t="s">
        <v>5632</v>
      </c>
      <c r="H3915" s="8"/>
      <c r="I3915" s="8">
        <v>90174</v>
      </c>
      <c r="J3915" s="6"/>
      <c r="K3915" s="6" t="s">
        <v>2511</v>
      </c>
      <c r="L3915" s="6"/>
      <c r="M3915" s="6"/>
      <c r="N3915" s="6" t="s">
        <v>2511</v>
      </c>
      <c r="O3915" s="29">
        <f t="shared" si="90"/>
        <v>90174</v>
      </c>
      <c r="Q3915" s="30" t="s">
        <v>2511</v>
      </c>
      <c r="R3915" s="31">
        <v>90174</v>
      </c>
    </row>
    <row r="3916" s="1" customFormat="1" ht="16.35" hidden="1" customHeight="1" spans="1:18">
      <c r="A3916" s="6"/>
      <c r="B3916" s="6" t="s">
        <v>4271</v>
      </c>
      <c r="C3916" s="6" t="s">
        <v>4217</v>
      </c>
      <c r="D3916" s="7">
        <v>27</v>
      </c>
      <c r="E3916" s="6" t="s">
        <v>7350</v>
      </c>
      <c r="F3916" s="6" t="s">
        <v>5631</v>
      </c>
      <c r="G3916" s="6" t="s">
        <v>5632</v>
      </c>
      <c r="H3916" s="8"/>
      <c r="I3916" s="8">
        <v>190000</v>
      </c>
      <c r="J3916" s="6"/>
      <c r="K3916" s="6" t="s">
        <v>2414</v>
      </c>
      <c r="L3916" s="6"/>
      <c r="M3916" s="6"/>
      <c r="N3916" s="6" t="s">
        <v>2414</v>
      </c>
      <c r="O3916" s="29">
        <f t="shared" si="90"/>
        <v>190000</v>
      </c>
      <c r="Q3916" s="30" t="s">
        <v>2414</v>
      </c>
      <c r="R3916" s="31">
        <v>190000</v>
      </c>
    </row>
    <row r="3917" s="1" customFormat="1" ht="16.35" hidden="1" customHeight="1" spans="1:18">
      <c r="A3917" s="6"/>
      <c r="B3917" s="6" t="s">
        <v>4271</v>
      </c>
      <c r="C3917" s="6" t="s">
        <v>4217</v>
      </c>
      <c r="D3917" s="7">
        <v>11</v>
      </c>
      <c r="E3917" s="6" t="s">
        <v>7351</v>
      </c>
      <c r="F3917" s="6" t="s">
        <v>5631</v>
      </c>
      <c r="G3917" s="6" t="s">
        <v>5632</v>
      </c>
      <c r="H3917" s="8"/>
      <c r="I3917" s="8">
        <v>6000</v>
      </c>
      <c r="J3917" s="6"/>
      <c r="K3917" s="6" t="s">
        <v>2460</v>
      </c>
      <c r="L3917" s="6"/>
      <c r="M3917" s="6"/>
      <c r="N3917" s="6" t="s">
        <v>2460</v>
      </c>
      <c r="O3917" s="29">
        <f t="shared" si="90"/>
        <v>6000</v>
      </c>
      <c r="Q3917" s="30" t="s">
        <v>2460</v>
      </c>
      <c r="R3917" s="31">
        <v>6000</v>
      </c>
    </row>
    <row r="3918" s="1" customFormat="1" ht="16.35" hidden="1" customHeight="1" spans="1:18">
      <c r="A3918" s="6"/>
      <c r="B3918" s="6" t="s">
        <v>4271</v>
      </c>
      <c r="C3918" s="6" t="s">
        <v>4217</v>
      </c>
      <c r="D3918" s="7">
        <v>36</v>
      </c>
      <c r="E3918" s="6" t="s">
        <v>7352</v>
      </c>
      <c r="F3918" s="6" t="s">
        <v>5631</v>
      </c>
      <c r="G3918" s="6" t="s">
        <v>5632</v>
      </c>
      <c r="H3918" s="8"/>
      <c r="I3918" s="8">
        <v>214000</v>
      </c>
      <c r="J3918" s="6"/>
      <c r="K3918" s="6" t="s">
        <v>2509</v>
      </c>
      <c r="L3918" s="6"/>
      <c r="M3918" s="6"/>
      <c r="N3918" s="6" t="s">
        <v>2509</v>
      </c>
      <c r="O3918" s="29">
        <f t="shared" si="90"/>
        <v>214000</v>
      </c>
      <c r="Q3918" s="30" t="s">
        <v>2509</v>
      </c>
      <c r="R3918" s="31">
        <v>214000</v>
      </c>
    </row>
    <row r="3919" s="1" customFormat="1" ht="16.35" hidden="1" customHeight="1" spans="1:18">
      <c r="A3919" s="6"/>
      <c r="B3919" s="6" t="s">
        <v>4271</v>
      </c>
      <c r="C3919" s="6" t="s">
        <v>4217</v>
      </c>
      <c r="D3919" s="7">
        <v>38</v>
      </c>
      <c r="E3919" s="6" t="s">
        <v>7353</v>
      </c>
      <c r="F3919" s="6" t="s">
        <v>5631</v>
      </c>
      <c r="G3919" s="6" t="s">
        <v>5632</v>
      </c>
      <c r="H3919" s="8"/>
      <c r="I3919" s="8">
        <v>222958</v>
      </c>
      <c r="J3919" s="6"/>
      <c r="K3919" s="6" t="s">
        <v>2690</v>
      </c>
      <c r="L3919" s="6"/>
      <c r="M3919" s="6"/>
      <c r="N3919" s="6" t="s">
        <v>2690</v>
      </c>
      <c r="O3919" s="29">
        <f t="shared" si="90"/>
        <v>222958</v>
      </c>
      <c r="Q3919" s="30" t="s">
        <v>2690</v>
      </c>
      <c r="R3919" s="31">
        <v>222958</v>
      </c>
    </row>
    <row r="3920" s="1" customFormat="1" ht="16.35" hidden="1" customHeight="1" spans="1:18">
      <c r="A3920" s="6"/>
      <c r="B3920" s="6" t="s">
        <v>4271</v>
      </c>
      <c r="C3920" s="6" t="s">
        <v>4217</v>
      </c>
      <c r="D3920" s="7">
        <v>23</v>
      </c>
      <c r="E3920" s="6" t="s">
        <v>7354</v>
      </c>
      <c r="F3920" s="6" t="s">
        <v>5631</v>
      </c>
      <c r="G3920" s="6" t="s">
        <v>5632</v>
      </c>
      <c r="H3920" s="8"/>
      <c r="I3920" s="8">
        <v>28000</v>
      </c>
      <c r="J3920" s="6"/>
      <c r="K3920" s="6" t="s">
        <v>2462</v>
      </c>
      <c r="L3920" s="6"/>
      <c r="M3920" s="6"/>
      <c r="N3920" s="6" t="s">
        <v>2462</v>
      </c>
      <c r="O3920" s="29">
        <f t="shared" si="90"/>
        <v>28000</v>
      </c>
      <c r="Q3920" s="30" t="s">
        <v>2462</v>
      </c>
      <c r="R3920" s="31">
        <v>28000</v>
      </c>
    </row>
    <row r="3921" s="1" customFormat="1" ht="16.35" hidden="1" customHeight="1" spans="1:18">
      <c r="A3921" s="6"/>
      <c r="B3921" s="6" t="s">
        <v>4271</v>
      </c>
      <c r="C3921" s="6" t="s">
        <v>4217</v>
      </c>
      <c r="D3921" s="7">
        <v>8</v>
      </c>
      <c r="E3921" s="6" t="s">
        <v>7336</v>
      </c>
      <c r="F3921" s="6" t="s">
        <v>5631</v>
      </c>
      <c r="G3921" s="6" t="s">
        <v>5632</v>
      </c>
      <c r="H3921" s="8"/>
      <c r="I3921" s="8">
        <v>-73640</v>
      </c>
      <c r="J3921" s="6"/>
      <c r="K3921" s="6" t="s">
        <v>2646</v>
      </c>
      <c r="L3921" s="6"/>
      <c r="M3921" s="6"/>
      <c r="N3921" s="6" t="s">
        <v>2646</v>
      </c>
      <c r="O3921" s="29">
        <f t="shared" si="90"/>
        <v>-73640</v>
      </c>
      <c r="Q3921" s="30" t="s">
        <v>2646</v>
      </c>
      <c r="R3921" s="31">
        <v>-73640</v>
      </c>
    </row>
    <row r="3922" s="1" customFormat="1" ht="16.35" hidden="1" customHeight="1" spans="1:18">
      <c r="A3922" s="6"/>
      <c r="B3922" s="6" t="s">
        <v>4271</v>
      </c>
      <c r="C3922" s="6" t="s">
        <v>4221</v>
      </c>
      <c r="D3922" s="7">
        <v>10</v>
      </c>
      <c r="E3922" s="6" t="s">
        <v>7355</v>
      </c>
      <c r="F3922" s="6" t="s">
        <v>5631</v>
      </c>
      <c r="G3922" s="6" t="s">
        <v>5632</v>
      </c>
      <c r="H3922" s="8"/>
      <c r="I3922" s="8">
        <v>158000</v>
      </c>
      <c r="J3922" s="6"/>
      <c r="K3922" s="6" t="s">
        <v>2173</v>
      </c>
      <c r="L3922" s="6"/>
      <c r="M3922" s="6"/>
      <c r="N3922" s="6" t="s">
        <v>2173</v>
      </c>
      <c r="O3922" s="29">
        <f t="shared" si="90"/>
        <v>158000</v>
      </c>
      <c r="Q3922" s="30" t="s">
        <v>2173</v>
      </c>
      <c r="R3922" s="31">
        <v>158000</v>
      </c>
    </row>
    <row r="3923" s="1" customFormat="1" ht="16.35" hidden="1" customHeight="1" spans="1:18">
      <c r="A3923" s="6"/>
      <c r="B3923" s="6" t="s">
        <v>4271</v>
      </c>
      <c r="C3923" s="6" t="s">
        <v>4221</v>
      </c>
      <c r="D3923" s="7">
        <v>5</v>
      </c>
      <c r="E3923" s="6" t="s">
        <v>7356</v>
      </c>
      <c r="F3923" s="6" t="s">
        <v>5631</v>
      </c>
      <c r="G3923" s="6" t="s">
        <v>5632</v>
      </c>
      <c r="H3923" s="8"/>
      <c r="I3923" s="8">
        <v>150000</v>
      </c>
      <c r="J3923" s="6"/>
      <c r="K3923" s="6" t="s">
        <v>2281</v>
      </c>
      <c r="L3923" s="6"/>
      <c r="M3923" s="6"/>
      <c r="N3923" s="6" t="s">
        <v>2281</v>
      </c>
      <c r="O3923" s="29">
        <f t="shared" si="90"/>
        <v>150000</v>
      </c>
      <c r="Q3923" s="30" t="s">
        <v>2281</v>
      </c>
      <c r="R3923" s="31">
        <v>150000</v>
      </c>
    </row>
    <row r="3924" s="1" customFormat="1" ht="16.35" hidden="1" customHeight="1" spans="1:18">
      <c r="A3924" s="6"/>
      <c r="B3924" s="6" t="s">
        <v>4271</v>
      </c>
      <c r="C3924" s="6" t="s">
        <v>4221</v>
      </c>
      <c r="D3924" s="7">
        <v>9</v>
      </c>
      <c r="E3924" s="6" t="s">
        <v>7357</v>
      </c>
      <c r="F3924" s="6" t="s">
        <v>5631</v>
      </c>
      <c r="G3924" s="6" t="s">
        <v>5632</v>
      </c>
      <c r="H3924" s="8"/>
      <c r="I3924" s="8">
        <v>155000</v>
      </c>
      <c r="J3924" s="6"/>
      <c r="K3924" s="6" t="s">
        <v>2322</v>
      </c>
      <c r="L3924" s="6"/>
      <c r="M3924" s="6"/>
      <c r="N3924" s="6" t="s">
        <v>2322</v>
      </c>
      <c r="O3924" s="29">
        <f t="shared" si="90"/>
        <v>155000</v>
      </c>
      <c r="Q3924" s="30" t="s">
        <v>2322</v>
      </c>
      <c r="R3924" s="31">
        <v>155000</v>
      </c>
    </row>
    <row r="3925" s="1" customFormat="1" ht="16.35" hidden="1" customHeight="1" spans="1:18">
      <c r="A3925" s="6"/>
      <c r="B3925" s="6" t="s">
        <v>4271</v>
      </c>
      <c r="C3925" s="6" t="s">
        <v>4221</v>
      </c>
      <c r="D3925" s="7">
        <v>46</v>
      </c>
      <c r="E3925" s="6" t="s">
        <v>7358</v>
      </c>
      <c r="F3925" s="6" t="s">
        <v>5631</v>
      </c>
      <c r="G3925" s="6" t="s">
        <v>5632</v>
      </c>
      <c r="H3925" s="8"/>
      <c r="I3925" s="8">
        <v>175000</v>
      </c>
      <c r="J3925" s="6"/>
      <c r="K3925" s="6" t="s">
        <v>2620</v>
      </c>
      <c r="L3925" s="6"/>
      <c r="M3925" s="6"/>
      <c r="N3925" s="6" t="s">
        <v>2620</v>
      </c>
      <c r="O3925" s="29">
        <f t="shared" si="90"/>
        <v>175000</v>
      </c>
      <c r="Q3925" s="30" t="s">
        <v>2620</v>
      </c>
      <c r="R3925" s="31">
        <v>175000</v>
      </c>
    </row>
    <row r="3926" s="1" customFormat="1" ht="16.35" hidden="1" customHeight="1" spans="1:18">
      <c r="A3926" s="6"/>
      <c r="B3926" s="6" t="s">
        <v>4271</v>
      </c>
      <c r="C3926" s="6" t="s">
        <v>4221</v>
      </c>
      <c r="D3926" s="7">
        <v>7</v>
      </c>
      <c r="E3926" s="6" t="s">
        <v>7359</v>
      </c>
      <c r="F3926" s="6" t="s">
        <v>5631</v>
      </c>
      <c r="G3926" s="6" t="s">
        <v>5632</v>
      </c>
      <c r="H3926" s="8"/>
      <c r="I3926" s="8">
        <v>150000</v>
      </c>
      <c r="J3926" s="6"/>
      <c r="K3926" s="6" t="s">
        <v>2694</v>
      </c>
      <c r="L3926" s="6"/>
      <c r="M3926" s="6"/>
      <c r="N3926" s="6" t="s">
        <v>2694</v>
      </c>
      <c r="O3926" s="29">
        <f t="shared" si="90"/>
        <v>150000</v>
      </c>
      <c r="Q3926" s="30" t="s">
        <v>2694</v>
      </c>
      <c r="R3926" s="31">
        <v>150000</v>
      </c>
    </row>
    <row r="3927" s="1" customFormat="1" ht="16.35" hidden="1" customHeight="1" spans="1:18">
      <c r="A3927" s="6"/>
      <c r="B3927" s="6" t="s">
        <v>4271</v>
      </c>
      <c r="C3927" s="6" t="s">
        <v>4221</v>
      </c>
      <c r="D3927" s="7">
        <v>8</v>
      </c>
      <c r="E3927" s="6" t="s">
        <v>7360</v>
      </c>
      <c r="F3927" s="6" t="s">
        <v>5631</v>
      </c>
      <c r="G3927" s="6" t="s">
        <v>5632</v>
      </c>
      <c r="H3927" s="8"/>
      <c r="I3927" s="8">
        <v>197000</v>
      </c>
      <c r="J3927" s="6"/>
      <c r="K3927" s="6" t="s">
        <v>2392</v>
      </c>
      <c r="L3927" s="6"/>
      <c r="M3927" s="6"/>
      <c r="N3927" s="6" t="s">
        <v>2392</v>
      </c>
      <c r="O3927" s="29">
        <f t="shared" si="90"/>
        <v>197000</v>
      </c>
      <c r="Q3927" s="30" t="s">
        <v>2392</v>
      </c>
      <c r="R3927" s="31">
        <v>197000</v>
      </c>
    </row>
    <row r="3928" s="1" customFormat="1" ht="16.35" hidden="1" customHeight="1" spans="1:18">
      <c r="A3928" s="6"/>
      <c r="B3928" s="6" t="s">
        <v>4271</v>
      </c>
      <c r="C3928" s="6" t="s">
        <v>4221</v>
      </c>
      <c r="D3928" s="7">
        <v>16</v>
      </c>
      <c r="E3928" s="6" t="s">
        <v>7361</v>
      </c>
      <c r="F3928" s="6" t="s">
        <v>5631</v>
      </c>
      <c r="G3928" s="6" t="s">
        <v>5632</v>
      </c>
      <c r="H3928" s="8"/>
      <c r="I3928" s="8">
        <v>51570</v>
      </c>
      <c r="J3928" s="6"/>
      <c r="K3928" s="6" t="s">
        <v>2650</v>
      </c>
      <c r="L3928" s="6"/>
      <c r="M3928" s="6"/>
      <c r="N3928" s="6" t="s">
        <v>2650</v>
      </c>
      <c r="O3928" s="29">
        <f>I3928</f>
        <v>51570</v>
      </c>
      <c r="Q3928" s="30" t="s">
        <v>2650</v>
      </c>
      <c r="R3928" s="31">
        <v>51570</v>
      </c>
    </row>
    <row r="3929" s="1" customFormat="1" ht="16.35" hidden="1" customHeight="1" spans="1:18">
      <c r="A3929" s="6"/>
      <c r="B3929" s="6" t="s">
        <v>4271</v>
      </c>
      <c r="C3929" s="6" t="s">
        <v>4221</v>
      </c>
      <c r="D3929" s="7">
        <v>4</v>
      </c>
      <c r="E3929" s="6" t="s">
        <v>7362</v>
      </c>
      <c r="F3929" s="6" t="s">
        <v>5631</v>
      </c>
      <c r="G3929" s="6" t="s">
        <v>5632</v>
      </c>
      <c r="H3929" s="8"/>
      <c r="I3929" s="8">
        <v>150000</v>
      </c>
      <c r="J3929" s="6"/>
      <c r="K3929" s="6" t="s">
        <v>2057</v>
      </c>
      <c r="L3929" s="6"/>
      <c r="M3929" s="6"/>
      <c r="N3929" s="6" t="s">
        <v>2057</v>
      </c>
      <c r="O3929" s="29">
        <f>I3929</f>
        <v>150000</v>
      </c>
      <c r="Q3929" s="30" t="s">
        <v>2057</v>
      </c>
      <c r="R3929" s="31">
        <v>150000</v>
      </c>
    </row>
    <row r="3930" s="1" customFormat="1" ht="16.35" hidden="1" customHeight="1" spans="1:18">
      <c r="A3930" s="6"/>
      <c r="B3930" s="6" t="s">
        <v>4271</v>
      </c>
      <c r="C3930" s="6" t="s">
        <v>4221</v>
      </c>
      <c r="D3930" s="7">
        <v>27</v>
      </c>
      <c r="E3930" s="6" t="s">
        <v>7363</v>
      </c>
      <c r="F3930" s="6" t="s">
        <v>5631</v>
      </c>
      <c r="G3930" s="6" t="s">
        <v>5632</v>
      </c>
      <c r="H3930" s="8"/>
      <c r="I3930" s="8">
        <v>50847.62</v>
      </c>
      <c r="J3930" s="6"/>
      <c r="K3930" s="6" t="s">
        <v>954</v>
      </c>
      <c r="L3930" s="6"/>
      <c r="M3930" s="6"/>
      <c r="N3930" s="6" t="s">
        <v>954</v>
      </c>
      <c r="O3930" s="29">
        <f>I3930*1.05</f>
        <v>53390.001</v>
      </c>
      <c r="Q3930" s="30" t="s">
        <v>954</v>
      </c>
      <c r="R3930" s="31">
        <v>53390.001</v>
      </c>
    </row>
    <row r="3931" s="1" customFormat="1" ht="16.35" hidden="1" customHeight="1" spans="1:19">
      <c r="A3931" s="6"/>
      <c r="B3931" s="6" t="s">
        <v>4271</v>
      </c>
      <c r="C3931" s="6" t="s">
        <v>4221</v>
      </c>
      <c r="D3931" s="7">
        <v>27</v>
      </c>
      <c r="E3931" s="6" t="s">
        <v>7363</v>
      </c>
      <c r="F3931" s="6" t="s">
        <v>5631</v>
      </c>
      <c r="G3931" s="6" t="s">
        <v>5632</v>
      </c>
      <c r="H3931" s="8"/>
      <c r="I3931" s="8">
        <v>-50847.62</v>
      </c>
      <c r="J3931" s="6"/>
      <c r="K3931" s="6" t="s">
        <v>954</v>
      </c>
      <c r="L3931" s="6"/>
      <c r="M3931" s="6"/>
      <c r="N3931" s="6" t="s">
        <v>954</v>
      </c>
      <c r="O3931" s="33">
        <f>I3931</f>
        <v>-50847.62</v>
      </c>
      <c r="Q3931" s="30" t="s">
        <v>954</v>
      </c>
      <c r="R3931" s="31"/>
      <c r="S3931" s="1" t="s">
        <v>7364</v>
      </c>
    </row>
    <row r="3932" s="1" customFormat="1" ht="16.35" hidden="1" customHeight="1" spans="1:18">
      <c r="A3932" s="6"/>
      <c r="B3932" s="6" t="s">
        <v>4271</v>
      </c>
      <c r="C3932" s="6" t="s">
        <v>4221</v>
      </c>
      <c r="D3932" s="7">
        <v>31</v>
      </c>
      <c r="E3932" s="6" t="s">
        <v>7365</v>
      </c>
      <c r="F3932" s="6" t="s">
        <v>5631</v>
      </c>
      <c r="G3932" s="6" t="s">
        <v>5632</v>
      </c>
      <c r="H3932" s="8"/>
      <c r="I3932" s="8">
        <v>-53434</v>
      </c>
      <c r="J3932" s="6"/>
      <c r="K3932" s="6" t="s">
        <v>2622</v>
      </c>
      <c r="L3932" s="6"/>
      <c r="M3932" s="6"/>
      <c r="N3932" s="6" t="s">
        <v>2622</v>
      </c>
      <c r="O3932" s="29">
        <f t="shared" ref="O3932:O3963" si="91">I3932</f>
        <v>-53434</v>
      </c>
      <c r="Q3932" s="30" t="s">
        <v>2622</v>
      </c>
      <c r="R3932" s="31">
        <v>-53434</v>
      </c>
    </row>
    <row r="3933" s="1" customFormat="1" ht="16.35" hidden="1" customHeight="1" spans="1:18">
      <c r="A3933" s="6"/>
      <c r="B3933" s="6" t="s">
        <v>4271</v>
      </c>
      <c r="C3933" s="6" t="s">
        <v>4221</v>
      </c>
      <c r="D3933" s="7">
        <v>15</v>
      </c>
      <c r="E3933" s="6" t="s">
        <v>7366</v>
      </c>
      <c r="F3933" s="6" t="s">
        <v>5631</v>
      </c>
      <c r="G3933" s="6" t="s">
        <v>5632</v>
      </c>
      <c r="H3933" s="8"/>
      <c r="I3933" s="8">
        <v>47564</v>
      </c>
      <c r="J3933" s="6"/>
      <c r="K3933" s="6" t="s">
        <v>2724</v>
      </c>
      <c r="L3933" s="6"/>
      <c r="M3933" s="6"/>
      <c r="N3933" s="6" t="s">
        <v>2724</v>
      </c>
      <c r="O3933" s="29">
        <f t="shared" si="91"/>
        <v>47564</v>
      </c>
      <c r="Q3933" s="30" t="s">
        <v>2724</v>
      </c>
      <c r="R3933" s="31">
        <v>47564</v>
      </c>
    </row>
    <row r="3934" s="1" customFormat="1" ht="16.35" hidden="1" customHeight="1" spans="1:18">
      <c r="A3934" s="6"/>
      <c r="B3934" s="6" t="s">
        <v>4271</v>
      </c>
      <c r="C3934" s="6" t="s">
        <v>4221</v>
      </c>
      <c r="D3934" s="7">
        <v>24</v>
      </c>
      <c r="E3934" s="6" t="s">
        <v>7367</v>
      </c>
      <c r="F3934" s="6" t="s">
        <v>5631</v>
      </c>
      <c r="G3934" s="6" t="s">
        <v>5632</v>
      </c>
      <c r="H3934" s="8"/>
      <c r="I3934" s="8">
        <v>-66988</v>
      </c>
      <c r="J3934" s="6"/>
      <c r="K3934" s="6" t="s">
        <v>2327</v>
      </c>
      <c r="L3934" s="6"/>
      <c r="M3934" s="6"/>
      <c r="N3934" s="6" t="s">
        <v>2327</v>
      </c>
      <c r="O3934" s="29">
        <f t="shared" si="91"/>
        <v>-66988</v>
      </c>
      <c r="Q3934" s="30" t="s">
        <v>2327</v>
      </c>
      <c r="R3934" s="31">
        <v>-66988</v>
      </c>
    </row>
    <row r="3935" s="1" customFormat="1" ht="16.35" hidden="1" customHeight="1" spans="1:18">
      <c r="A3935" s="6"/>
      <c r="B3935" s="6" t="s">
        <v>4271</v>
      </c>
      <c r="C3935" s="6" t="s">
        <v>4221</v>
      </c>
      <c r="D3935" s="7">
        <v>3</v>
      </c>
      <c r="E3935" s="6" t="s">
        <v>7368</v>
      </c>
      <c r="F3935" s="6" t="s">
        <v>5631</v>
      </c>
      <c r="G3935" s="6" t="s">
        <v>5632</v>
      </c>
      <c r="H3935" s="8"/>
      <c r="I3935" s="8">
        <v>207000</v>
      </c>
      <c r="J3935" s="6"/>
      <c r="K3935" s="6" t="s">
        <v>2462</v>
      </c>
      <c r="L3935" s="6"/>
      <c r="M3935" s="6"/>
      <c r="N3935" s="6" t="s">
        <v>2462</v>
      </c>
      <c r="O3935" s="29">
        <f t="shared" si="91"/>
        <v>207000</v>
      </c>
      <c r="Q3935" s="30" t="s">
        <v>2462</v>
      </c>
      <c r="R3935" s="31">
        <v>207000</v>
      </c>
    </row>
    <row r="3936" s="1" customFormat="1" ht="16.35" hidden="1" customHeight="1" spans="1:18">
      <c r="A3936" s="6"/>
      <c r="B3936" s="6" t="s">
        <v>4271</v>
      </c>
      <c r="C3936" s="6" t="s">
        <v>4221</v>
      </c>
      <c r="D3936" s="7">
        <v>6</v>
      </c>
      <c r="E3936" s="6" t="s">
        <v>7369</v>
      </c>
      <c r="F3936" s="6" t="s">
        <v>5631</v>
      </c>
      <c r="G3936" s="6" t="s">
        <v>5632</v>
      </c>
      <c r="H3936" s="8"/>
      <c r="I3936" s="8">
        <v>140000</v>
      </c>
      <c r="J3936" s="6"/>
      <c r="K3936" s="6" t="s">
        <v>2531</v>
      </c>
      <c r="L3936" s="6"/>
      <c r="M3936" s="6"/>
      <c r="N3936" s="6" t="s">
        <v>2531</v>
      </c>
      <c r="O3936" s="29">
        <f t="shared" si="91"/>
        <v>140000</v>
      </c>
      <c r="Q3936" s="30" t="s">
        <v>2531</v>
      </c>
      <c r="R3936" s="31">
        <v>140000</v>
      </c>
    </row>
    <row r="3937" s="1" customFormat="1" ht="16.35" hidden="1" customHeight="1" spans="1:18">
      <c r="A3937" s="6"/>
      <c r="B3937" s="6" t="s">
        <v>4271</v>
      </c>
      <c r="C3937" s="6" t="s">
        <v>4236</v>
      </c>
      <c r="D3937" s="7">
        <v>2</v>
      </c>
      <c r="E3937" s="6" t="s">
        <v>7370</v>
      </c>
      <c r="F3937" s="6" t="s">
        <v>5631</v>
      </c>
      <c r="G3937" s="6" t="s">
        <v>5632</v>
      </c>
      <c r="H3937" s="8"/>
      <c r="I3937" s="8">
        <v>170000</v>
      </c>
      <c r="J3937" s="6"/>
      <c r="K3937" s="6" t="s">
        <v>2438</v>
      </c>
      <c r="L3937" s="6"/>
      <c r="M3937" s="6"/>
      <c r="N3937" s="6" t="s">
        <v>2438</v>
      </c>
      <c r="O3937" s="29">
        <f t="shared" si="91"/>
        <v>170000</v>
      </c>
      <c r="Q3937" s="30" t="s">
        <v>2438</v>
      </c>
      <c r="R3937" s="31">
        <v>170000</v>
      </c>
    </row>
    <row r="3938" s="1" customFormat="1" ht="16.35" hidden="1" customHeight="1" spans="1:18">
      <c r="A3938" s="6"/>
      <c r="B3938" s="6" t="s">
        <v>4271</v>
      </c>
      <c r="C3938" s="6" t="s">
        <v>4236</v>
      </c>
      <c r="D3938" s="7">
        <v>26</v>
      </c>
      <c r="E3938" s="6" t="s">
        <v>7371</v>
      </c>
      <c r="F3938" s="6" t="s">
        <v>5631</v>
      </c>
      <c r="G3938" s="6" t="s">
        <v>5632</v>
      </c>
      <c r="H3938" s="8"/>
      <c r="I3938" s="8">
        <v>-71420</v>
      </c>
      <c r="J3938" s="6"/>
      <c r="K3938" s="6" t="s">
        <v>2444</v>
      </c>
      <c r="L3938" s="6"/>
      <c r="M3938" s="6"/>
      <c r="N3938" s="6" t="s">
        <v>2444</v>
      </c>
      <c r="O3938" s="29">
        <f t="shared" si="91"/>
        <v>-71420</v>
      </c>
      <c r="Q3938" s="30" t="s">
        <v>2444</v>
      </c>
      <c r="R3938" s="31">
        <v>-71420</v>
      </c>
    </row>
    <row r="3939" s="1" customFormat="1" ht="16.35" hidden="1" customHeight="1" spans="1:18">
      <c r="A3939" s="6"/>
      <c r="B3939" s="6" t="s">
        <v>4271</v>
      </c>
      <c r="C3939" s="6" t="s">
        <v>4236</v>
      </c>
      <c r="D3939" s="7">
        <v>3</v>
      </c>
      <c r="E3939" s="6" t="s">
        <v>7372</v>
      </c>
      <c r="F3939" s="6" t="s">
        <v>5631</v>
      </c>
      <c r="G3939" s="6" t="s">
        <v>5632</v>
      </c>
      <c r="H3939" s="8"/>
      <c r="I3939" s="8">
        <v>100000</v>
      </c>
      <c r="J3939" s="6"/>
      <c r="K3939" s="6" t="s">
        <v>2570</v>
      </c>
      <c r="L3939" s="6"/>
      <c r="M3939" s="6"/>
      <c r="N3939" s="6" t="s">
        <v>2570</v>
      </c>
      <c r="O3939" s="29">
        <f t="shared" si="91"/>
        <v>100000</v>
      </c>
      <c r="Q3939" s="30" t="s">
        <v>2570</v>
      </c>
      <c r="R3939" s="31">
        <v>100000</v>
      </c>
    </row>
    <row r="3940" s="1" customFormat="1" ht="16.35" hidden="1" customHeight="1" spans="1:18">
      <c r="A3940" s="6"/>
      <c r="B3940" s="6" t="s">
        <v>4271</v>
      </c>
      <c r="C3940" s="6" t="s">
        <v>4236</v>
      </c>
      <c r="D3940" s="7">
        <v>28</v>
      </c>
      <c r="E3940" s="6" t="s">
        <v>7373</v>
      </c>
      <c r="F3940" s="6" t="s">
        <v>5631</v>
      </c>
      <c r="G3940" s="6" t="s">
        <v>5632</v>
      </c>
      <c r="H3940" s="8"/>
      <c r="I3940" s="8">
        <v>70258</v>
      </c>
      <c r="J3940" s="6"/>
      <c r="K3940" s="6" t="s">
        <v>2061</v>
      </c>
      <c r="L3940" s="6"/>
      <c r="M3940" s="6"/>
      <c r="N3940" s="6" t="s">
        <v>2061</v>
      </c>
      <c r="O3940" s="29">
        <f t="shared" si="91"/>
        <v>70258</v>
      </c>
      <c r="Q3940" s="30" t="s">
        <v>2061</v>
      </c>
      <c r="R3940" s="31">
        <v>70258</v>
      </c>
    </row>
    <row r="3941" s="1" customFormat="1" ht="16.35" hidden="1" customHeight="1" spans="1:18">
      <c r="A3941" s="6"/>
      <c r="B3941" s="6" t="s">
        <v>4271</v>
      </c>
      <c r="C3941" s="6" t="s">
        <v>4236</v>
      </c>
      <c r="D3941" s="7">
        <v>5</v>
      </c>
      <c r="E3941" s="6" t="s">
        <v>7374</v>
      </c>
      <c r="F3941" s="6" t="s">
        <v>5631</v>
      </c>
      <c r="G3941" s="6" t="s">
        <v>5632</v>
      </c>
      <c r="H3941" s="8"/>
      <c r="I3941" s="8">
        <v>69485</v>
      </c>
      <c r="J3941" s="6"/>
      <c r="K3941" s="6" t="s">
        <v>2537</v>
      </c>
      <c r="L3941" s="6"/>
      <c r="M3941" s="6"/>
      <c r="N3941" s="6" t="s">
        <v>2537</v>
      </c>
      <c r="O3941" s="29">
        <f t="shared" si="91"/>
        <v>69485</v>
      </c>
      <c r="Q3941" s="30" t="s">
        <v>2537</v>
      </c>
      <c r="R3941" s="31">
        <v>69485</v>
      </c>
    </row>
    <row r="3942" s="1" customFormat="1" ht="16.35" hidden="1" customHeight="1" spans="1:18">
      <c r="A3942" s="6"/>
      <c r="B3942" s="6" t="s">
        <v>4271</v>
      </c>
      <c r="C3942" s="6" t="s">
        <v>4236</v>
      </c>
      <c r="D3942" s="7">
        <v>4</v>
      </c>
      <c r="E3942" s="6" t="s">
        <v>7375</v>
      </c>
      <c r="F3942" s="6" t="s">
        <v>5631</v>
      </c>
      <c r="G3942" s="6" t="s">
        <v>5632</v>
      </c>
      <c r="H3942" s="8"/>
      <c r="I3942" s="8">
        <v>103983</v>
      </c>
      <c r="J3942" s="6"/>
      <c r="K3942" s="6" t="s">
        <v>2460</v>
      </c>
      <c r="L3942" s="6"/>
      <c r="M3942" s="6"/>
      <c r="N3942" s="6" t="s">
        <v>2460</v>
      </c>
      <c r="O3942" s="29">
        <f t="shared" si="91"/>
        <v>103983</v>
      </c>
      <c r="Q3942" s="30" t="s">
        <v>2460</v>
      </c>
      <c r="R3942" s="31">
        <v>103983</v>
      </c>
    </row>
    <row r="3943" s="1" customFormat="1" ht="16.35" hidden="1" customHeight="1" spans="1:18">
      <c r="A3943" s="6"/>
      <c r="B3943" s="6" t="s">
        <v>4271</v>
      </c>
      <c r="C3943" s="6" t="s">
        <v>4236</v>
      </c>
      <c r="D3943" s="7">
        <v>25</v>
      </c>
      <c r="E3943" s="6" t="s">
        <v>7376</v>
      </c>
      <c r="F3943" s="6" t="s">
        <v>5631</v>
      </c>
      <c r="G3943" s="6" t="s">
        <v>5632</v>
      </c>
      <c r="H3943" s="8"/>
      <c r="I3943" s="8">
        <v>-74000</v>
      </c>
      <c r="J3943" s="6"/>
      <c r="K3943" s="6" t="s">
        <v>2506</v>
      </c>
      <c r="L3943" s="6"/>
      <c r="M3943" s="6"/>
      <c r="N3943" s="6" t="s">
        <v>2506</v>
      </c>
      <c r="O3943" s="29">
        <f t="shared" si="91"/>
        <v>-74000</v>
      </c>
      <c r="Q3943" s="30" t="s">
        <v>2506</v>
      </c>
      <c r="R3943" s="31">
        <v>-74000</v>
      </c>
    </row>
    <row r="3944" s="1" customFormat="1" ht="16.35" hidden="1" customHeight="1" spans="1:18">
      <c r="A3944" s="6"/>
      <c r="B3944" s="6" t="s">
        <v>4271</v>
      </c>
      <c r="C3944" s="6" t="s">
        <v>4236</v>
      </c>
      <c r="D3944" s="7">
        <v>5</v>
      </c>
      <c r="E3944" s="6" t="s">
        <v>7377</v>
      </c>
      <c r="F3944" s="6" t="s">
        <v>5631</v>
      </c>
      <c r="G3944" s="6" t="s">
        <v>5632</v>
      </c>
      <c r="H3944" s="8"/>
      <c r="I3944" s="8">
        <v>241582</v>
      </c>
      <c r="J3944" s="6"/>
      <c r="K3944" s="6" t="s">
        <v>2646</v>
      </c>
      <c r="L3944" s="6"/>
      <c r="M3944" s="6"/>
      <c r="N3944" s="6" t="s">
        <v>2646</v>
      </c>
      <c r="O3944" s="29">
        <f t="shared" si="91"/>
        <v>241582</v>
      </c>
      <c r="Q3944" s="30" t="s">
        <v>2646</v>
      </c>
      <c r="R3944" s="31">
        <v>241582</v>
      </c>
    </row>
    <row r="3945" s="1" customFormat="1" ht="16.35" hidden="1" customHeight="1" spans="1:18">
      <c r="A3945" s="6"/>
      <c r="B3945" s="6" t="s">
        <v>4271</v>
      </c>
      <c r="C3945" s="6" t="s">
        <v>4236</v>
      </c>
      <c r="D3945" s="7">
        <v>1</v>
      </c>
      <c r="E3945" s="6" t="s">
        <v>7378</v>
      </c>
      <c r="F3945" s="6" t="s">
        <v>5631</v>
      </c>
      <c r="G3945" s="6" t="s">
        <v>5632</v>
      </c>
      <c r="H3945" s="8"/>
      <c r="I3945" s="8">
        <v>170000</v>
      </c>
      <c r="J3945" s="6"/>
      <c r="K3945" s="6" t="s">
        <v>2596</v>
      </c>
      <c r="L3945" s="6"/>
      <c r="M3945" s="6"/>
      <c r="N3945" s="6" t="s">
        <v>2596</v>
      </c>
      <c r="O3945" s="29">
        <f t="shared" si="91"/>
        <v>170000</v>
      </c>
      <c r="Q3945" s="30" t="s">
        <v>2596</v>
      </c>
      <c r="R3945" s="31">
        <v>170000</v>
      </c>
    </row>
    <row r="3946" s="1" customFormat="1" ht="16.35" hidden="1" customHeight="1" spans="1:18">
      <c r="A3946" s="6"/>
      <c r="B3946" s="6" t="s">
        <v>4271</v>
      </c>
      <c r="C3946" s="6" t="s">
        <v>4248</v>
      </c>
      <c r="D3946" s="7">
        <v>24</v>
      </c>
      <c r="E3946" s="6" t="s">
        <v>7379</v>
      </c>
      <c r="F3946" s="6" t="s">
        <v>5631</v>
      </c>
      <c r="G3946" s="6" t="s">
        <v>5632</v>
      </c>
      <c r="H3946" s="8">
        <v>190754</v>
      </c>
      <c r="I3946" s="8"/>
      <c r="J3946" s="6"/>
      <c r="K3946" s="6" t="s">
        <v>2570</v>
      </c>
      <c r="L3946" s="6"/>
      <c r="M3946" s="6"/>
      <c r="N3946" s="6" t="s">
        <v>2570</v>
      </c>
      <c r="O3946" s="29">
        <f t="shared" si="91"/>
        <v>0</v>
      </c>
      <c r="Q3946" s="30" t="s">
        <v>2570</v>
      </c>
      <c r="R3946" s="31">
        <v>0</v>
      </c>
    </row>
    <row r="3947" s="1" customFormat="1" ht="16.35" hidden="1" customHeight="1" spans="1:18">
      <c r="A3947" s="6"/>
      <c r="B3947" s="6" t="s">
        <v>4271</v>
      </c>
      <c r="C3947" s="6" t="s">
        <v>4248</v>
      </c>
      <c r="D3947" s="7">
        <v>24</v>
      </c>
      <c r="E3947" s="6" t="s">
        <v>7379</v>
      </c>
      <c r="F3947" s="6" t="s">
        <v>5631</v>
      </c>
      <c r="G3947" s="6" t="s">
        <v>5632</v>
      </c>
      <c r="H3947" s="8">
        <v>164084</v>
      </c>
      <c r="I3947" s="8"/>
      <c r="J3947" s="6"/>
      <c r="K3947" s="6" t="s">
        <v>2543</v>
      </c>
      <c r="L3947" s="6"/>
      <c r="M3947" s="6"/>
      <c r="N3947" s="6" t="s">
        <v>2543</v>
      </c>
      <c r="O3947" s="29">
        <f t="shared" si="91"/>
        <v>0</v>
      </c>
      <c r="Q3947" s="30" t="s">
        <v>2543</v>
      </c>
      <c r="R3947" s="31">
        <v>0</v>
      </c>
    </row>
    <row r="3948" s="1" customFormat="1" ht="16.35" hidden="1" customHeight="1" spans="1:18">
      <c r="A3948" s="6"/>
      <c r="B3948" s="6" t="s">
        <v>4271</v>
      </c>
      <c r="C3948" s="6" t="s">
        <v>4248</v>
      </c>
      <c r="D3948" s="7">
        <v>24</v>
      </c>
      <c r="E3948" s="6" t="s">
        <v>7379</v>
      </c>
      <c r="F3948" s="6" t="s">
        <v>5631</v>
      </c>
      <c r="G3948" s="6" t="s">
        <v>5632</v>
      </c>
      <c r="H3948" s="8">
        <v>252285</v>
      </c>
      <c r="I3948" s="8"/>
      <c r="J3948" s="6"/>
      <c r="K3948" s="6" t="s">
        <v>2620</v>
      </c>
      <c r="L3948" s="6"/>
      <c r="M3948" s="6"/>
      <c r="N3948" s="6" t="s">
        <v>2620</v>
      </c>
      <c r="O3948" s="29">
        <f t="shared" si="91"/>
        <v>0</v>
      </c>
      <c r="Q3948" s="30" t="s">
        <v>2620</v>
      </c>
      <c r="R3948" s="31">
        <v>0</v>
      </c>
    </row>
    <row r="3949" s="1" customFormat="1" ht="16.35" hidden="1" customHeight="1" spans="1:18">
      <c r="A3949" s="6"/>
      <c r="B3949" s="6" t="s">
        <v>4271</v>
      </c>
      <c r="C3949" s="6" t="s">
        <v>4248</v>
      </c>
      <c r="D3949" s="7">
        <v>25</v>
      </c>
      <c r="E3949" s="6" t="s">
        <v>7380</v>
      </c>
      <c r="F3949" s="6" t="s">
        <v>5631</v>
      </c>
      <c r="G3949" s="6" t="s">
        <v>5632</v>
      </c>
      <c r="H3949" s="8"/>
      <c r="I3949" s="8">
        <v>1000</v>
      </c>
      <c r="J3949" s="6"/>
      <c r="K3949" s="6" t="s">
        <v>2694</v>
      </c>
      <c r="L3949" s="6"/>
      <c r="M3949" s="6"/>
      <c r="N3949" s="6" t="s">
        <v>2694</v>
      </c>
      <c r="O3949" s="29">
        <f t="shared" si="91"/>
        <v>1000</v>
      </c>
      <c r="Q3949" s="30" t="s">
        <v>2694</v>
      </c>
      <c r="R3949" s="31">
        <v>1000</v>
      </c>
    </row>
    <row r="3950" s="1" customFormat="1" ht="16.35" hidden="1" customHeight="1" spans="1:18">
      <c r="A3950" s="6"/>
      <c r="B3950" s="6" t="s">
        <v>4271</v>
      </c>
      <c r="C3950" s="6" t="s">
        <v>4248</v>
      </c>
      <c r="D3950" s="7">
        <v>27</v>
      </c>
      <c r="E3950" s="6" t="s">
        <v>7379</v>
      </c>
      <c r="F3950" s="6" t="s">
        <v>5631</v>
      </c>
      <c r="G3950" s="6" t="s">
        <v>5632</v>
      </c>
      <c r="H3950" s="8">
        <v>250293</v>
      </c>
      <c r="I3950" s="8"/>
      <c r="J3950" s="6"/>
      <c r="K3950" s="6" t="s">
        <v>2087</v>
      </c>
      <c r="L3950" s="6"/>
      <c r="M3950" s="6"/>
      <c r="N3950" s="6" t="s">
        <v>2087</v>
      </c>
      <c r="O3950" s="29">
        <f t="shared" si="91"/>
        <v>0</v>
      </c>
      <c r="Q3950" s="30" t="s">
        <v>2087</v>
      </c>
      <c r="R3950" s="31">
        <v>0</v>
      </c>
    </row>
    <row r="3951" s="1" customFormat="1" ht="16.35" hidden="1" customHeight="1" spans="1:18">
      <c r="A3951" s="6"/>
      <c r="B3951" s="6" t="s">
        <v>4271</v>
      </c>
      <c r="C3951" s="6" t="s">
        <v>4248</v>
      </c>
      <c r="D3951" s="7">
        <v>11</v>
      </c>
      <c r="E3951" s="6" t="s">
        <v>7381</v>
      </c>
      <c r="F3951" s="6" t="s">
        <v>5631</v>
      </c>
      <c r="G3951" s="6" t="s">
        <v>5632</v>
      </c>
      <c r="H3951" s="8"/>
      <c r="I3951" s="8">
        <v>162000</v>
      </c>
      <c r="J3951" s="6"/>
      <c r="K3951" s="6" t="s">
        <v>2061</v>
      </c>
      <c r="L3951" s="6"/>
      <c r="M3951" s="6"/>
      <c r="N3951" s="6" t="s">
        <v>2061</v>
      </c>
      <c r="O3951" s="29">
        <f t="shared" si="91"/>
        <v>162000</v>
      </c>
      <c r="Q3951" s="30" t="s">
        <v>2061</v>
      </c>
      <c r="R3951" s="31">
        <v>162000</v>
      </c>
    </row>
    <row r="3952" s="1" customFormat="1" ht="16.35" hidden="1" customHeight="1" spans="1:18">
      <c r="A3952" s="6"/>
      <c r="B3952" s="6" t="s">
        <v>4271</v>
      </c>
      <c r="C3952" s="6" t="s">
        <v>4248</v>
      </c>
      <c r="D3952" s="7">
        <v>12</v>
      </c>
      <c r="E3952" s="6" t="s">
        <v>7382</v>
      </c>
      <c r="F3952" s="6" t="s">
        <v>5631</v>
      </c>
      <c r="G3952" s="6" t="s">
        <v>5632</v>
      </c>
      <c r="H3952" s="8"/>
      <c r="I3952" s="8">
        <v>120000</v>
      </c>
      <c r="J3952" s="6"/>
      <c r="K3952" s="6" t="s">
        <v>2537</v>
      </c>
      <c r="L3952" s="6"/>
      <c r="M3952" s="6"/>
      <c r="N3952" s="6" t="s">
        <v>2537</v>
      </c>
      <c r="O3952" s="29">
        <f t="shared" si="91"/>
        <v>120000</v>
      </c>
      <c r="Q3952" s="30" t="s">
        <v>2537</v>
      </c>
      <c r="R3952" s="31">
        <v>120000</v>
      </c>
    </row>
    <row r="3953" s="1" customFormat="1" ht="16.35" hidden="1" customHeight="1" spans="1:18">
      <c r="A3953" s="6"/>
      <c r="B3953" s="6" t="s">
        <v>4271</v>
      </c>
      <c r="C3953" s="6" t="s">
        <v>4248</v>
      </c>
      <c r="D3953" s="7">
        <v>27</v>
      </c>
      <c r="E3953" s="6" t="s">
        <v>7379</v>
      </c>
      <c r="F3953" s="6" t="s">
        <v>5631</v>
      </c>
      <c r="G3953" s="6" t="s">
        <v>5632</v>
      </c>
      <c r="H3953" s="8">
        <v>189485</v>
      </c>
      <c r="I3953" s="8"/>
      <c r="J3953" s="6"/>
      <c r="K3953" s="6" t="s">
        <v>2537</v>
      </c>
      <c r="L3953" s="6"/>
      <c r="M3953" s="6"/>
      <c r="N3953" s="6" t="s">
        <v>2537</v>
      </c>
      <c r="O3953" s="29">
        <f t="shared" si="91"/>
        <v>0</v>
      </c>
      <c r="Q3953" s="30" t="s">
        <v>2537</v>
      </c>
      <c r="R3953" s="31">
        <v>0</v>
      </c>
    </row>
    <row r="3954" s="1" customFormat="1" ht="16.35" hidden="1" customHeight="1" spans="1:18">
      <c r="A3954" s="6"/>
      <c r="B3954" s="6" t="s">
        <v>4271</v>
      </c>
      <c r="C3954" s="6" t="s">
        <v>4248</v>
      </c>
      <c r="D3954" s="7">
        <v>13</v>
      </c>
      <c r="E3954" s="6" t="s">
        <v>7383</v>
      </c>
      <c r="F3954" s="6" t="s">
        <v>5631</v>
      </c>
      <c r="G3954" s="6" t="s">
        <v>5632</v>
      </c>
      <c r="H3954" s="8"/>
      <c r="I3954" s="8">
        <v>100000</v>
      </c>
      <c r="J3954" s="6"/>
      <c r="K3954" s="6" t="s">
        <v>2511</v>
      </c>
      <c r="L3954" s="6"/>
      <c r="M3954" s="6"/>
      <c r="N3954" s="6" t="s">
        <v>2511</v>
      </c>
      <c r="O3954" s="29">
        <f t="shared" si="91"/>
        <v>100000</v>
      </c>
      <c r="Q3954" s="30" t="s">
        <v>2511</v>
      </c>
      <c r="R3954" s="31">
        <v>100000</v>
      </c>
    </row>
    <row r="3955" s="1" customFormat="1" ht="16.35" hidden="1" customHeight="1" spans="1:18">
      <c r="A3955" s="6"/>
      <c r="B3955" s="6" t="s">
        <v>4271</v>
      </c>
      <c r="C3955" s="6" t="s">
        <v>4248</v>
      </c>
      <c r="D3955" s="7">
        <v>24</v>
      </c>
      <c r="E3955" s="6" t="s">
        <v>7379</v>
      </c>
      <c r="F3955" s="6" t="s">
        <v>5631</v>
      </c>
      <c r="G3955" s="6" t="s">
        <v>5632</v>
      </c>
      <c r="H3955" s="8">
        <v>167570</v>
      </c>
      <c r="I3955" s="8"/>
      <c r="J3955" s="6"/>
      <c r="K3955" s="6" t="s">
        <v>2650</v>
      </c>
      <c r="L3955" s="6"/>
      <c r="M3955" s="6"/>
      <c r="N3955" s="6" t="s">
        <v>2650</v>
      </c>
      <c r="O3955" s="29">
        <f t="shared" si="91"/>
        <v>0</v>
      </c>
      <c r="Q3955" s="30" t="s">
        <v>2650</v>
      </c>
      <c r="R3955" s="31">
        <v>0</v>
      </c>
    </row>
    <row r="3956" s="1" customFormat="1" ht="16.35" hidden="1" customHeight="1" spans="1:18">
      <c r="A3956" s="6"/>
      <c r="B3956" s="6" t="s">
        <v>4271</v>
      </c>
      <c r="C3956" s="6" t="s">
        <v>4248</v>
      </c>
      <c r="D3956" s="7">
        <v>16</v>
      </c>
      <c r="E3956" s="6" t="s">
        <v>7384</v>
      </c>
      <c r="F3956" s="6" t="s">
        <v>5631</v>
      </c>
      <c r="G3956" s="6" t="s">
        <v>5632</v>
      </c>
      <c r="H3956" s="8"/>
      <c r="I3956" s="8">
        <v>90000</v>
      </c>
      <c r="J3956" s="6"/>
      <c r="K3956" s="6" t="s">
        <v>2860</v>
      </c>
      <c r="L3956" s="6"/>
      <c r="M3956" s="6"/>
      <c r="N3956" s="6" t="s">
        <v>2860</v>
      </c>
      <c r="O3956" s="29">
        <f t="shared" si="91"/>
        <v>90000</v>
      </c>
      <c r="Q3956" s="30" t="s">
        <v>2860</v>
      </c>
      <c r="R3956" s="31">
        <v>90000</v>
      </c>
    </row>
    <row r="3957" s="1" customFormat="1" ht="16.35" hidden="1" customHeight="1" spans="1:18">
      <c r="A3957" s="6"/>
      <c r="B3957" s="6" t="s">
        <v>4271</v>
      </c>
      <c r="C3957" s="6" t="s">
        <v>4248</v>
      </c>
      <c r="D3957" s="7">
        <v>36</v>
      </c>
      <c r="E3957" s="6" t="s">
        <v>7385</v>
      </c>
      <c r="F3957" s="6" t="s">
        <v>5631</v>
      </c>
      <c r="G3957" s="6" t="s">
        <v>5632</v>
      </c>
      <c r="H3957" s="8"/>
      <c r="I3957" s="8">
        <v>17</v>
      </c>
      <c r="J3957" s="6"/>
      <c r="K3957" s="6" t="s">
        <v>2460</v>
      </c>
      <c r="L3957" s="6"/>
      <c r="M3957" s="6"/>
      <c r="N3957" s="6" t="s">
        <v>2460</v>
      </c>
      <c r="O3957" s="29">
        <f t="shared" si="91"/>
        <v>17</v>
      </c>
      <c r="Q3957" s="30" t="s">
        <v>2460</v>
      </c>
      <c r="R3957" s="31">
        <v>17</v>
      </c>
    </row>
    <row r="3958" s="1" customFormat="1" ht="16.35" hidden="1" customHeight="1" spans="1:18">
      <c r="A3958" s="6"/>
      <c r="B3958" s="6" t="s">
        <v>4271</v>
      </c>
      <c r="C3958" s="6" t="s">
        <v>4248</v>
      </c>
      <c r="D3958" s="7">
        <v>23</v>
      </c>
      <c r="E3958" s="6" t="s">
        <v>7379</v>
      </c>
      <c r="F3958" s="6" t="s">
        <v>5631</v>
      </c>
      <c r="G3958" s="6" t="s">
        <v>5632</v>
      </c>
      <c r="H3958" s="8">
        <v>193792</v>
      </c>
      <c r="I3958" s="8"/>
      <c r="J3958" s="6"/>
      <c r="K3958" s="6" t="s">
        <v>2547</v>
      </c>
      <c r="L3958" s="6"/>
      <c r="M3958" s="6"/>
      <c r="N3958" s="6" t="s">
        <v>2547</v>
      </c>
      <c r="O3958" s="29">
        <f t="shared" si="91"/>
        <v>0</v>
      </c>
      <c r="Q3958" s="30" t="s">
        <v>2547</v>
      </c>
      <c r="R3958" s="31">
        <v>0</v>
      </c>
    </row>
    <row r="3959" s="1" customFormat="1" ht="16.35" hidden="1" customHeight="1" spans="1:18">
      <c r="A3959" s="6"/>
      <c r="B3959" s="6" t="s">
        <v>4271</v>
      </c>
      <c r="C3959" s="6" t="s">
        <v>4248</v>
      </c>
      <c r="D3959" s="7">
        <v>23</v>
      </c>
      <c r="E3959" s="6" t="s">
        <v>7379</v>
      </c>
      <c r="F3959" s="6" t="s">
        <v>5631</v>
      </c>
      <c r="G3959" s="6" t="s">
        <v>5632</v>
      </c>
      <c r="H3959" s="8">
        <v>47564</v>
      </c>
      <c r="I3959" s="8"/>
      <c r="J3959" s="6"/>
      <c r="K3959" s="6" t="s">
        <v>2724</v>
      </c>
      <c r="L3959" s="6"/>
      <c r="M3959" s="6"/>
      <c r="N3959" s="6" t="s">
        <v>2724</v>
      </c>
      <c r="O3959" s="29">
        <f t="shared" si="91"/>
        <v>0</v>
      </c>
      <c r="Q3959" s="30" t="s">
        <v>2724</v>
      </c>
      <c r="R3959" s="31">
        <v>0</v>
      </c>
    </row>
    <row r="3960" s="1" customFormat="1" ht="16.35" hidden="1" customHeight="1" spans="1:18">
      <c r="A3960" s="6"/>
      <c r="B3960" s="6" t="s">
        <v>4271</v>
      </c>
      <c r="C3960" s="6" t="s">
        <v>4248</v>
      </c>
      <c r="D3960" s="7">
        <v>24</v>
      </c>
      <c r="E3960" s="6" t="s">
        <v>7379</v>
      </c>
      <c r="F3960" s="6" t="s">
        <v>5631</v>
      </c>
      <c r="G3960" s="6" t="s">
        <v>5632</v>
      </c>
      <c r="H3960" s="8">
        <v>217110</v>
      </c>
      <c r="I3960" s="8"/>
      <c r="J3960" s="6"/>
      <c r="K3960" s="6" t="s">
        <v>1965</v>
      </c>
      <c r="L3960" s="6"/>
      <c r="M3960" s="6"/>
      <c r="N3960" s="6" t="s">
        <v>1965</v>
      </c>
      <c r="O3960" s="29">
        <f t="shared" si="91"/>
        <v>0</v>
      </c>
      <c r="Q3960" s="30" t="s">
        <v>1965</v>
      </c>
      <c r="R3960" s="31">
        <v>0</v>
      </c>
    </row>
    <row r="3961" s="1" customFormat="1" ht="16.35" hidden="1" customHeight="1" spans="1:18">
      <c r="A3961" s="6"/>
      <c r="B3961" s="6" t="s">
        <v>4271</v>
      </c>
      <c r="C3961" s="6" t="s">
        <v>4248</v>
      </c>
      <c r="D3961" s="7">
        <v>27</v>
      </c>
      <c r="E3961" s="6" t="s">
        <v>7379</v>
      </c>
      <c r="F3961" s="6" t="s">
        <v>5631</v>
      </c>
      <c r="G3961" s="6" t="s">
        <v>5632</v>
      </c>
      <c r="H3961" s="8">
        <v>265776</v>
      </c>
      <c r="I3961" s="8"/>
      <c r="J3961" s="6"/>
      <c r="K3961" s="6" t="s">
        <v>2111</v>
      </c>
      <c r="L3961" s="6"/>
      <c r="M3961" s="6"/>
      <c r="N3961" s="6" t="s">
        <v>2111</v>
      </c>
      <c r="O3961" s="29">
        <f t="shared" si="91"/>
        <v>0</v>
      </c>
      <c r="Q3961" s="30" t="s">
        <v>2111</v>
      </c>
      <c r="R3961" s="31">
        <v>0</v>
      </c>
    </row>
    <row r="3962" s="1" customFormat="1" ht="16.35" hidden="1" customHeight="1" spans="1:18">
      <c r="A3962" s="6"/>
      <c r="B3962" s="6" t="s">
        <v>4271</v>
      </c>
      <c r="C3962" s="6" t="s">
        <v>4248</v>
      </c>
      <c r="D3962" s="7">
        <v>23</v>
      </c>
      <c r="E3962" s="6" t="s">
        <v>7379</v>
      </c>
      <c r="F3962" s="6" t="s">
        <v>5631</v>
      </c>
      <c r="G3962" s="6" t="s">
        <v>5632</v>
      </c>
      <c r="H3962" s="8">
        <v>241582</v>
      </c>
      <c r="I3962" s="8"/>
      <c r="J3962" s="6"/>
      <c r="K3962" s="6" t="s">
        <v>2646</v>
      </c>
      <c r="L3962" s="6"/>
      <c r="M3962" s="6"/>
      <c r="N3962" s="6" t="s">
        <v>2646</v>
      </c>
      <c r="O3962" s="29">
        <f t="shared" si="91"/>
        <v>0</v>
      </c>
      <c r="Q3962" s="30" t="s">
        <v>2646</v>
      </c>
      <c r="R3962" s="31">
        <v>0</v>
      </c>
    </row>
    <row r="3963" s="1" customFormat="1" ht="16.35" hidden="1" customHeight="1" spans="1:18">
      <c r="A3963" s="6"/>
      <c r="B3963" s="6" t="s">
        <v>4271</v>
      </c>
      <c r="C3963" s="6" t="s">
        <v>4248</v>
      </c>
      <c r="D3963" s="7">
        <v>25</v>
      </c>
      <c r="E3963" s="6" t="s">
        <v>7380</v>
      </c>
      <c r="F3963" s="6" t="s">
        <v>5631</v>
      </c>
      <c r="G3963" s="6" t="s">
        <v>5632</v>
      </c>
      <c r="H3963" s="8"/>
      <c r="I3963" s="8">
        <v>-1000</v>
      </c>
      <c r="J3963" s="6"/>
      <c r="K3963" s="6" t="s">
        <v>2646</v>
      </c>
      <c r="L3963" s="6"/>
      <c r="M3963" s="6"/>
      <c r="N3963" s="6" t="s">
        <v>2646</v>
      </c>
      <c r="O3963" s="29">
        <f t="shared" si="91"/>
        <v>-1000</v>
      </c>
      <c r="Q3963" s="30" t="s">
        <v>2646</v>
      </c>
      <c r="R3963" s="31">
        <v>-1000</v>
      </c>
    </row>
    <row r="3964" s="1" customFormat="1" ht="16.35" hidden="1" customHeight="1" spans="1:18">
      <c r="A3964" s="6"/>
      <c r="B3964" s="6" t="s">
        <v>4271</v>
      </c>
      <c r="C3964" s="6" t="s">
        <v>4248</v>
      </c>
      <c r="D3964" s="7">
        <v>23</v>
      </c>
      <c r="E3964" s="6" t="s">
        <v>7379</v>
      </c>
      <c r="F3964" s="6" t="s">
        <v>5631</v>
      </c>
      <c r="G3964" s="6" t="s">
        <v>5632</v>
      </c>
      <c r="H3964" s="8">
        <v>248463</v>
      </c>
      <c r="I3964" s="8"/>
      <c r="J3964" s="6"/>
      <c r="K3964" s="6" t="s">
        <v>2596</v>
      </c>
      <c r="L3964" s="6"/>
      <c r="M3964" s="6"/>
      <c r="N3964" s="6" t="s">
        <v>2596</v>
      </c>
      <c r="O3964" s="29">
        <f t="shared" ref="O3964:O3995" si="92">I3964</f>
        <v>0</v>
      </c>
      <c r="Q3964" s="30" t="s">
        <v>2596</v>
      </c>
      <c r="R3964" s="31">
        <v>0</v>
      </c>
    </row>
    <row r="3965" s="1" customFormat="1" ht="16.35" hidden="1" customHeight="1" spans="1:18">
      <c r="A3965" s="6"/>
      <c r="B3965" s="6" t="s">
        <v>4271</v>
      </c>
      <c r="C3965" s="6" t="s">
        <v>4253</v>
      </c>
      <c r="D3965" s="7">
        <v>2</v>
      </c>
      <c r="E3965" s="6" t="s">
        <v>4121</v>
      </c>
      <c r="F3965" s="6" t="s">
        <v>5631</v>
      </c>
      <c r="G3965" s="6" t="s">
        <v>5632</v>
      </c>
      <c r="H3965" s="8">
        <v>264404</v>
      </c>
      <c r="I3965" s="8"/>
      <c r="J3965" s="6"/>
      <c r="K3965" s="6" t="s">
        <v>2173</v>
      </c>
      <c r="L3965" s="6"/>
      <c r="M3965" s="6"/>
      <c r="N3965" s="6" t="s">
        <v>2173</v>
      </c>
      <c r="O3965" s="29">
        <f t="shared" si="92"/>
        <v>0</v>
      </c>
      <c r="Q3965" s="30" t="s">
        <v>2173</v>
      </c>
      <c r="R3965" s="31">
        <v>0</v>
      </c>
    </row>
    <row r="3966" s="1" customFormat="1" ht="16.35" hidden="1" customHeight="1" spans="1:18">
      <c r="A3966" s="6"/>
      <c r="B3966" s="6" t="s">
        <v>4271</v>
      </c>
      <c r="C3966" s="6" t="s">
        <v>4253</v>
      </c>
      <c r="D3966" s="7">
        <v>2</v>
      </c>
      <c r="E3966" s="6" t="s">
        <v>4121</v>
      </c>
      <c r="F3966" s="6" t="s">
        <v>5631</v>
      </c>
      <c r="G3966" s="6" t="s">
        <v>5632</v>
      </c>
      <c r="H3966" s="8">
        <v>292354</v>
      </c>
      <c r="I3966" s="8"/>
      <c r="J3966" s="6"/>
      <c r="K3966" s="6" t="s">
        <v>2099</v>
      </c>
      <c r="L3966" s="6"/>
      <c r="M3966" s="6"/>
      <c r="N3966" s="6" t="s">
        <v>2099</v>
      </c>
      <c r="O3966" s="29">
        <f t="shared" si="92"/>
        <v>0</v>
      </c>
      <c r="Q3966" s="30" t="s">
        <v>2099</v>
      </c>
      <c r="R3966" s="31">
        <v>0</v>
      </c>
    </row>
    <row r="3967" s="1" customFormat="1" ht="16.35" hidden="1" customHeight="1" spans="1:18">
      <c r="A3967" s="6"/>
      <c r="B3967" s="6" t="s">
        <v>4271</v>
      </c>
      <c r="C3967" s="6" t="s">
        <v>4253</v>
      </c>
      <c r="D3967" s="7">
        <v>24</v>
      </c>
      <c r="E3967" s="6" t="s">
        <v>7386</v>
      </c>
      <c r="F3967" s="6" t="s">
        <v>5631</v>
      </c>
      <c r="G3967" s="6" t="s">
        <v>5632</v>
      </c>
      <c r="H3967" s="8"/>
      <c r="I3967" s="8">
        <v>3000</v>
      </c>
      <c r="J3967" s="6"/>
      <c r="K3967" s="6" t="s">
        <v>2223</v>
      </c>
      <c r="L3967" s="6"/>
      <c r="M3967" s="6"/>
      <c r="N3967" s="6" t="s">
        <v>2223</v>
      </c>
      <c r="O3967" s="29">
        <f t="shared" si="92"/>
        <v>3000</v>
      </c>
      <c r="Q3967" s="30" t="s">
        <v>2223</v>
      </c>
      <c r="R3967" s="31">
        <v>3000</v>
      </c>
    </row>
    <row r="3968" s="1" customFormat="1" ht="16.35" hidden="1" customHeight="1" spans="1:18">
      <c r="A3968" s="6"/>
      <c r="B3968" s="6" t="s">
        <v>4271</v>
      </c>
      <c r="C3968" s="6" t="s">
        <v>4253</v>
      </c>
      <c r="D3968" s="7">
        <v>2</v>
      </c>
      <c r="E3968" s="6" t="s">
        <v>4121</v>
      </c>
      <c r="F3968" s="6" t="s">
        <v>5631</v>
      </c>
      <c r="G3968" s="6" t="s">
        <v>5632</v>
      </c>
      <c r="H3968" s="8">
        <v>228060</v>
      </c>
      <c r="I3968" s="8"/>
      <c r="J3968" s="6"/>
      <c r="K3968" s="6" t="s">
        <v>2281</v>
      </c>
      <c r="L3968" s="6"/>
      <c r="M3968" s="6"/>
      <c r="N3968" s="6" t="s">
        <v>2281</v>
      </c>
      <c r="O3968" s="29">
        <f t="shared" si="92"/>
        <v>0</v>
      </c>
      <c r="Q3968" s="30" t="s">
        <v>2281</v>
      </c>
      <c r="R3968" s="31">
        <v>0</v>
      </c>
    </row>
    <row r="3969" s="1" customFormat="1" ht="16.35" hidden="1" customHeight="1" spans="1:18">
      <c r="A3969" s="6"/>
      <c r="B3969" s="6" t="s">
        <v>4271</v>
      </c>
      <c r="C3969" s="6" t="s">
        <v>4253</v>
      </c>
      <c r="D3969" s="7">
        <v>1</v>
      </c>
      <c r="E3969" s="6" t="s">
        <v>7387</v>
      </c>
      <c r="F3969" s="6" t="s">
        <v>5631</v>
      </c>
      <c r="G3969" s="6" t="s">
        <v>5632</v>
      </c>
      <c r="H3969" s="8"/>
      <c r="I3969" s="8">
        <v>233650</v>
      </c>
      <c r="J3969" s="6"/>
      <c r="K3969" s="6" t="s">
        <v>2309</v>
      </c>
      <c r="L3969" s="6"/>
      <c r="M3969" s="6"/>
      <c r="N3969" s="6" t="s">
        <v>2309</v>
      </c>
      <c r="O3969" s="29">
        <f t="shared" si="92"/>
        <v>233650</v>
      </c>
      <c r="Q3969" s="30" t="s">
        <v>2309</v>
      </c>
      <c r="R3969" s="31">
        <v>233650</v>
      </c>
    </row>
    <row r="3970" s="1" customFormat="1" ht="16.35" hidden="1" customHeight="1" spans="1:18">
      <c r="A3970" s="6"/>
      <c r="B3970" s="6" t="s">
        <v>4271</v>
      </c>
      <c r="C3970" s="6" t="s">
        <v>4253</v>
      </c>
      <c r="D3970" s="7">
        <v>1</v>
      </c>
      <c r="E3970" s="6" t="s">
        <v>7387</v>
      </c>
      <c r="F3970" s="6" t="s">
        <v>5631</v>
      </c>
      <c r="G3970" s="6" t="s">
        <v>5632</v>
      </c>
      <c r="H3970" s="8"/>
      <c r="I3970" s="8">
        <v>-233650</v>
      </c>
      <c r="J3970" s="6"/>
      <c r="K3970" s="6" t="s">
        <v>2322</v>
      </c>
      <c r="L3970" s="6"/>
      <c r="M3970" s="6"/>
      <c r="N3970" s="6" t="s">
        <v>2322</v>
      </c>
      <c r="O3970" s="29">
        <f t="shared" si="92"/>
        <v>-233650</v>
      </c>
      <c r="Q3970" s="30" t="s">
        <v>2322</v>
      </c>
      <c r="R3970" s="31">
        <v>-233650</v>
      </c>
    </row>
    <row r="3971" s="1" customFormat="1" ht="16.35" hidden="1" customHeight="1" spans="1:18">
      <c r="A3971" s="6"/>
      <c r="B3971" s="6" t="s">
        <v>4271</v>
      </c>
      <c r="C3971" s="6" t="s">
        <v>4253</v>
      </c>
      <c r="D3971" s="7">
        <v>2</v>
      </c>
      <c r="E3971" s="6" t="s">
        <v>4121</v>
      </c>
      <c r="F3971" s="6" t="s">
        <v>5631</v>
      </c>
      <c r="G3971" s="6" t="s">
        <v>5632</v>
      </c>
      <c r="H3971" s="8">
        <v>239064</v>
      </c>
      <c r="I3971" s="8"/>
      <c r="J3971" s="6"/>
      <c r="K3971" s="6" t="s">
        <v>2322</v>
      </c>
      <c r="L3971" s="6"/>
      <c r="M3971" s="6"/>
      <c r="N3971" s="6" t="s">
        <v>2322</v>
      </c>
      <c r="O3971" s="29">
        <f t="shared" si="92"/>
        <v>0</v>
      </c>
      <c r="Q3971" s="30" t="s">
        <v>2322</v>
      </c>
      <c r="R3971" s="31">
        <v>0</v>
      </c>
    </row>
    <row r="3972" s="1" customFormat="1" ht="16.35" hidden="1" customHeight="1" spans="1:18">
      <c r="A3972" s="6"/>
      <c r="B3972" s="6" t="s">
        <v>4271</v>
      </c>
      <c r="C3972" s="6" t="s">
        <v>4253</v>
      </c>
      <c r="D3972" s="7">
        <v>4</v>
      </c>
      <c r="E3972" s="6" t="s">
        <v>7388</v>
      </c>
      <c r="F3972" s="6" t="s">
        <v>5631</v>
      </c>
      <c r="G3972" s="6" t="s">
        <v>5632</v>
      </c>
      <c r="H3972" s="8">
        <v>238815</v>
      </c>
      <c r="I3972" s="8"/>
      <c r="J3972" s="6"/>
      <c r="K3972" s="6" t="s">
        <v>2396</v>
      </c>
      <c r="L3972" s="6"/>
      <c r="M3972" s="6"/>
      <c r="N3972" s="6" t="s">
        <v>2396</v>
      </c>
      <c r="O3972" s="29">
        <f t="shared" si="92"/>
        <v>0</v>
      </c>
      <c r="Q3972" s="30" t="s">
        <v>2396</v>
      </c>
      <c r="R3972" s="31">
        <v>0</v>
      </c>
    </row>
    <row r="3973" s="1" customFormat="1" ht="16.35" hidden="1" customHeight="1" spans="1:18">
      <c r="A3973" s="6"/>
      <c r="B3973" s="6" t="s">
        <v>4271</v>
      </c>
      <c r="C3973" s="6" t="s">
        <v>4253</v>
      </c>
      <c r="D3973" s="7">
        <v>4</v>
      </c>
      <c r="E3973" s="6" t="s">
        <v>4121</v>
      </c>
      <c r="F3973" s="6" t="s">
        <v>5631</v>
      </c>
      <c r="G3973" s="6" t="s">
        <v>5632</v>
      </c>
      <c r="H3973" s="8">
        <v>214988</v>
      </c>
      <c r="I3973" s="8"/>
      <c r="J3973" s="6"/>
      <c r="K3973" s="6" t="s">
        <v>2517</v>
      </c>
      <c r="L3973" s="6"/>
      <c r="M3973" s="6"/>
      <c r="N3973" s="6" t="s">
        <v>2517</v>
      </c>
      <c r="O3973" s="29">
        <f t="shared" si="92"/>
        <v>0</v>
      </c>
      <c r="Q3973" s="30" t="s">
        <v>2517</v>
      </c>
      <c r="R3973" s="31">
        <v>0</v>
      </c>
    </row>
    <row r="3974" s="1" customFormat="1" ht="16.35" hidden="1" customHeight="1" spans="1:18">
      <c r="A3974" s="6"/>
      <c r="B3974" s="6" t="s">
        <v>4271</v>
      </c>
      <c r="C3974" s="6" t="s">
        <v>4253</v>
      </c>
      <c r="D3974" s="7">
        <v>2</v>
      </c>
      <c r="E3974" s="6" t="s">
        <v>7388</v>
      </c>
      <c r="F3974" s="6" t="s">
        <v>5631</v>
      </c>
      <c r="G3974" s="6" t="s">
        <v>5632</v>
      </c>
      <c r="H3974" s="8">
        <v>264966</v>
      </c>
      <c r="I3974" s="8"/>
      <c r="J3974" s="6"/>
      <c r="K3974" s="6" t="s">
        <v>2694</v>
      </c>
      <c r="L3974" s="6"/>
      <c r="M3974" s="6"/>
      <c r="N3974" s="6" t="s">
        <v>2694</v>
      </c>
      <c r="O3974" s="29">
        <f t="shared" si="92"/>
        <v>0</v>
      </c>
      <c r="Q3974" s="30" t="s">
        <v>2694</v>
      </c>
      <c r="R3974" s="31">
        <v>0</v>
      </c>
    </row>
    <row r="3975" s="1" customFormat="1" ht="16.35" hidden="1" customHeight="1" spans="1:18">
      <c r="A3975" s="6"/>
      <c r="B3975" s="6" t="s">
        <v>4271</v>
      </c>
      <c r="C3975" s="6" t="s">
        <v>4253</v>
      </c>
      <c r="D3975" s="7">
        <v>1</v>
      </c>
      <c r="E3975" s="6" t="s">
        <v>7387</v>
      </c>
      <c r="F3975" s="6" t="s">
        <v>5631</v>
      </c>
      <c r="G3975" s="6" t="s">
        <v>5632</v>
      </c>
      <c r="H3975" s="8"/>
      <c r="I3975" s="8">
        <v>5000</v>
      </c>
      <c r="J3975" s="6"/>
      <c r="K3975" s="6" t="s">
        <v>2730</v>
      </c>
      <c r="L3975" s="6"/>
      <c r="M3975" s="6"/>
      <c r="N3975" s="6" t="s">
        <v>2730</v>
      </c>
      <c r="O3975" s="29">
        <f t="shared" si="92"/>
        <v>5000</v>
      </c>
      <c r="Q3975" s="30" t="s">
        <v>2730</v>
      </c>
      <c r="R3975" s="31">
        <v>5000</v>
      </c>
    </row>
    <row r="3976" s="1" customFormat="1" ht="16.35" hidden="1" customHeight="1" spans="1:18">
      <c r="A3976" s="6"/>
      <c r="B3976" s="6" t="s">
        <v>4271</v>
      </c>
      <c r="C3976" s="6" t="s">
        <v>4253</v>
      </c>
      <c r="D3976" s="7">
        <v>1</v>
      </c>
      <c r="E3976" s="6" t="s">
        <v>7387</v>
      </c>
      <c r="F3976" s="6" t="s">
        <v>5631</v>
      </c>
      <c r="G3976" s="6" t="s">
        <v>5632</v>
      </c>
      <c r="H3976" s="8"/>
      <c r="I3976" s="8">
        <v>-50000</v>
      </c>
      <c r="J3976" s="6"/>
      <c r="K3976" s="6" t="s">
        <v>2730</v>
      </c>
      <c r="L3976" s="6"/>
      <c r="M3976" s="6"/>
      <c r="N3976" s="6" t="s">
        <v>2730</v>
      </c>
      <c r="O3976" s="29">
        <f t="shared" si="92"/>
        <v>-50000</v>
      </c>
      <c r="Q3976" s="30" t="s">
        <v>2730</v>
      </c>
      <c r="R3976" s="31">
        <v>-50000</v>
      </c>
    </row>
    <row r="3977" s="1" customFormat="1" ht="16.35" hidden="1" customHeight="1" spans="1:18">
      <c r="A3977" s="6"/>
      <c r="B3977" s="6" t="s">
        <v>4271</v>
      </c>
      <c r="C3977" s="6" t="s">
        <v>4253</v>
      </c>
      <c r="D3977" s="7">
        <v>1</v>
      </c>
      <c r="E3977" s="6" t="s">
        <v>7387</v>
      </c>
      <c r="F3977" s="6" t="s">
        <v>5631</v>
      </c>
      <c r="G3977" s="6" t="s">
        <v>5632</v>
      </c>
      <c r="H3977" s="8"/>
      <c r="I3977" s="8">
        <v>-1000</v>
      </c>
      <c r="J3977" s="6"/>
      <c r="K3977" s="6" t="s">
        <v>2133</v>
      </c>
      <c r="L3977" s="6"/>
      <c r="M3977" s="6"/>
      <c r="N3977" s="6" t="s">
        <v>2133</v>
      </c>
      <c r="O3977" s="29">
        <f t="shared" si="92"/>
        <v>-1000</v>
      </c>
      <c r="Q3977" s="30" t="s">
        <v>2133</v>
      </c>
      <c r="R3977" s="31">
        <v>-1000</v>
      </c>
    </row>
    <row r="3978" s="1" customFormat="1" ht="16.35" hidden="1" customHeight="1" spans="1:18">
      <c r="A3978" s="6"/>
      <c r="B3978" s="6" t="s">
        <v>4271</v>
      </c>
      <c r="C3978" s="6" t="s">
        <v>4253</v>
      </c>
      <c r="D3978" s="7">
        <v>2</v>
      </c>
      <c r="E3978" s="6" t="s">
        <v>4121</v>
      </c>
      <c r="F3978" s="6" t="s">
        <v>5631</v>
      </c>
      <c r="G3978" s="6" t="s">
        <v>5632</v>
      </c>
      <c r="H3978" s="8">
        <v>132000</v>
      </c>
      <c r="I3978" s="8"/>
      <c r="J3978" s="6"/>
      <c r="K3978" s="6" t="s">
        <v>2133</v>
      </c>
      <c r="L3978" s="6"/>
      <c r="M3978" s="6"/>
      <c r="N3978" s="6" t="s">
        <v>2133</v>
      </c>
      <c r="O3978" s="29">
        <f t="shared" si="92"/>
        <v>0</v>
      </c>
      <c r="Q3978" s="30" t="s">
        <v>2133</v>
      </c>
      <c r="R3978" s="31">
        <v>0</v>
      </c>
    </row>
    <row r="3979" s="1" customFormat="1" ht="16.35" hidden="1" customHeight="1" spans="1:18">
      <c r="A3979" s="6"/>
      <c r="B3979" s="6" t="s">
        <v>4271</v>
      </c>
      <c r="C3979" s="6" t="s">
        <v>4253</v>
      </c>
      <c r="D3979" s="7">
        <v>2</v>
      </c>
      <c r="E3979" s="6" t="s">
        <v>4121</v>
      </c>
      <c r="F3979" s="6" t="s">
        <v>5631</v>
      </c>
      <c r="G3979" s="6" t="s">
        <v>5632</v>
      </c>
      <c r="H3979" s="8">
        <v>232433</v>
      </c>
      <c r="I3979" s="8"/>
      <c r="J3979" s="6"/>
      <c r="K3979" s="6" t="s">
        <v>2195</v>
      </c>
      <c r="L3979" s="6"/>
      <c r="M3979" s="6"/>
      <c r="N3979" s="6" t="s">
        <v>2195</v>
      </c>
      <c r="O3979" s="29">
        <f t="shared" si="92"/>
        <v>0</v>
      </c>
      <c r="Q3979" s="30" t="s">
        <v>2195</v>
      </c>
      <c r="R3979" s="31">
        <v>0</v>
      </c>
    </row>
    <row r="3980" s="1" customFormat="1" ht="16.35" hidden="1" customHeight="1" spans="1:18">
      <c r="A3980" s="6"/>
      <c r="B3980" s="6" t="s">
        <v>4271</v>
      </c>
      <c r="C3980" s="6" t="s">
        <v>4253</v>
      </c>
      <c r="D3980" s="7">
        <v>2</v>
      </c>
      <c r="E3980" s="6" t="s">
        <v>4121</v>
      </c>
      <c r="F3980" s="6" t="s">
        <v>5631</v>
      </c>
      <c r="G3980" s="6" t="s">
        <v>5632</v>
      </c>
      <c r="H3980" s="8">
        <v>232261</v>
      </c>
      <c r="I3980" s="8"/>
      <c r="J3980" s="6"/>
      <c r="K3980" s="6" t="s">
        <v>2211</v>
      </c>
      <c r="L3980" s="6"/>
      <c r="M3980" s="6"/>
      <c r="N3980" s="6" t="s">
        <v>2211</v>
      </c>
      <c r="O3980" s="29">
        <f t="shared" si="92"/>
        <v>0</v>
      </c>
      <c r="Q3980" s="30" t="s">
        <v>2211</v>
      </c>
      <c r="R3980" s="31">
        <v>0</v>
      </c>
    </row>
    <row r="3981" s="1" customFormat="1" ht="16.35" hidden="1" customHeight="1" spans="1:18">
      <c r="A3981" s="6"/>
      <c r="B3981" s="6" t="s">
        <v>4271</v>
      </c>
      <c r="C3981" s="6" t="s">
        <v>4253</v>
      </c>
      <c r="D3981" s="7">
        <v>1</v>
      </c>
      <c r="E3981" s="6" t="s">
        <v>7387</v>
      </c>
      <c r="F3981" s="6" t="s">
        <v>5631</v>
      </c>
      <c r="G3981" s="6" t="s">
        <v>5632</v>
      </c>
      <c r="H3981" s="8"/>
      <c r="I3981" s="8">
        <v>-826</v>
      </c>
      <c r="J3981" s="6"/>
      <c r="K3981" s="6" t="s">
        <v>1998</v>
      </c>
      <c r="L3981" s="6"/>
      <c r="M3981" s="6"/>
      <c r="N3981" s="6" t="s">
        <v>1998</v>
      </c>
      <c r="O3981" s="29">
        <f t="shared" si="92"/>
        <v>-826</v>
      </c>
      <c r="Q3981" s="30" t="s">
        <v>1998</v>
      </c>
      <c r="R3981" s="31">
        <v>-826</v>
      </c>
    </row>
    <row r="3982" s="1" customFormat="1" ht="16.35" hidden="1" customHeight="1" spans="1:18">
      <c r="A3982" s="6"/>
      <c r="B3982" s="6" t="s">
        <v>4271</v>
      </c>
      <c r="C3982" s="6" t="s">
        <v>4253</v>
      </c>
      <c r="D3982" s="7">
        <v>2</v>
      </c>
      <c r="E3982" s="6" t="s">
        <v>7388</v>
      </c>
      <c r="F3982" s="6" t="s">
        <v>5631</v>
      </c>
      <c r="G3982" s="6" t="s">
        <v>5632</v>
      </c>
      <c r="H3982" s="8">
        <v>232258</v>
      </c>
      <c r="I3982" s="8"/>
      <c r="J3982" s="6"/>
      <c r="K3982" s="6" t="s">
        <v>2061</v>
      </c>
      <c r="L3982" s="6"/>
      <c r="M3982" s="6"/>
      <c r="N3982" s="6" t="s">
        <v>2061</v>
      </c>
      <c r="O3982" s="29">
        <f t="shared" si="92"/>
        <v>0</v>
      </c>
      <c r="Q3982" s="30" t="s">
        <v>2061</v>
      </c>
      <c r="R3982" s="31">
        <v>0</v>
      </c>
    </row>
    <row r="3983" s="1" customFormat="1" ht="16.35" hidden="1" customHeight="1" spans="1:18">
      <c r="A3983" s="6"/>
      <c r="B3983" s="6" t="s">
        <v>4271</v>
      </c>
      <c r="C3983" s="6" t="s">
        <v>4253</v>
      </c>
      <c r="D3983" s="7">
        <v>2</v>
      </c>
      <c r="E3983" s="6" t="s">
        <v>4121</v>
      </c>
      <c r="F3983" s="6" t="s">
        <v>5631</v>
      </c>
      <c r="G3983" s="6" t="s">
        <v>5632</v>
      </c>
      <c r="H3983" s="8">
        <v>145485</v>
      </c>
      <c r="I3983" s="8"/>
      <c r="J3983" s="6"/>
      <c r="K3983" s="6" t="s">
        <v>2181</v>
      </c>
      <c r="L3983" s="6"/>
      <c r="M3983" s="6"/>
      <c r="N3983" s="6" t="s">
        <v>2181</v>
      </c>
      <c r="O3983" s="29">
        <f t="shared" si="92"/>
        <v>0</v>
      </c>
      <c r="Q3983" s="30" t="s">
        <v>2181</v>
      </c>
      <c r="R3983" s="31">
        <v>0</v>
      </c>
    </row>
    <row r="3984" s="1" customFormat="1" ht="16.35" hidden="1" customHeight="1" spans="1:18">
      <c r="A3984" s="6"/>
      <c r="B3984" s="6" t="s">
        <v>4271</v>
      </c>
      <c r="C3984" s="6" t="s">
        <v>4253</v>
      </c>
      <c r="D3984" s="7">
        <v>2</v>
      </c>
      <c r="E3984" s="6" t="s">
        <v>4121</v>
      </c>
      <c r="F3984" s="6" t="s">
        <v>5631</v>
      </c>
      <c r="G3984" s="6" t="s">
        <v>5632</v>
      </c>
      <c r="H3984" s="8">
        <v>316341</v>
      </c>
      <c r="I3984" s="8"/>
      <c r="J3984" s="6"/>
      <c r="K3984" s="6" t="s">
        <v>2155</v>
      </c>
      <c r="L3984" s="6"/>
      <c r="M3984" s="6"/>
      <c r="N3984" s="6" t="s">
        <v>2155</v>
      </c>
      <c r="O3984" s="29">
        <f t="shared" si="92"/>
        <v>0</v>
      </c>
      <c r="Q3984" s="30" t="s">
        <v>2155</v>
      </c>
      <c r="R3984" s="31">
        <v>0</v>
      </c>
    </row>
    <row r="3985" s="1" customFormat="1" ht="16.35" hidden="1" customHeight="1" spans="1:18">
      <c r="A3985" s="6"/>
      <c r="B3985" s="6" t="s">
        <v>4271</v>
      </c>
      <c r="C3985" s="6" t="s">
        <v>4253</v>
      </c>
      <c r="D3985" s="7">
        <v>1</v>
      </c>
      <c r="E3985" s="6" t="s">
        <v>7387</v>
      </c>
      <c r="F3985" s="6" t="s">
        <v>5631</v>
      </c>
      <c r="G3985" s="6" t="s">
        <v>5632</v>
      </c>
      <c r="H3985" s="8"/>
      <c r="I3985" s="8">
        <v>-5856</v>
      </c>
      <c r="J3985" s="6"/>
      <c r="K3985" s="6" t="s">
        <v>2237</v>
      </c>
      <c r="L3985" s="6"/>
      <c r="M3985" s="6"/>
      <c r="N3985" s="6" t="s">
        <v>2237</v>
      </c>
      <c r="O3985" s="29">
        <f t="shared" si="92"/>
        <v>-5856</v>
      </c>
      <c r="Q3985" s="30" t="s">
        <v>2237</v>
      </c>
      <c r="R3985" s="31">
        <v>-5856</v>
      </c>
    </row>
    <row r="3986" s="1" customFormat="1" ht="16.35" hidden="1" customHeight="1" spans="1:18">
      <c r="A3986" s="6"/>
      <c r="B3986" s="6" t="s">
        <v>4271</v>
      </c>
      <c r="C3986" s="6" t="s">
        <v>4253</v>
      </c>
      <c r="D3986" s="7">
        <v>2</v>
      </c>
      <c r="E3986" s="6" t="s">
        <v>4121</v>
      </c>
      <c r="F3986" s="6" t="s">
        <v>5631</v>
      </c>
      <c r="G3986" s="6" t="s">
        <v>5632</v>
      </c>
      <c r="H3986" s="8">
        <v>95900</v>
      </c>
      <c r="I3986" s="8"/>
      <c r="J3986" s="6"/>
      <c r="K3986" s="6" t="s">
        <v>2833</v>
      </c>
      <c r="L3986" s="6"/>
      <c r="M3986" s="6"/>
      <c r="N3986" s="6" t="s">
        <v>2833</v>
      </c>
      <c r="O3986" s="29">
        <f t="shared" si="92"/>
        <v>0</v>
      </c>
      <c r="Q3986" s="30" t="s">
        <v>2833</v>
      </c>
      <c r="R3986" s="31">
        <v>0</v>
      </c>
    </row>
    <row r="3987" s="1" customFormat="1" ht="16.35" hidden="1" customHeight="1" spans="1:18">
      <c r="A3987" s="6"/>
      <c r="B3987" s="6" t="s">
        <v>4271</v>
      </c>
      <c r="C3987" s="6" t="s">
        <v>4253</v>
      </c>
      <c r="D3987" s="7">
        <v>4</v>
      </c>
      <c r="E3987" s="6" t="s">
        <v>7388</v>
      </c>
      <c r="F3987" s="6" t="s">
        <v>5631</v>
      </c>
      <c r="G3987" s="6" t="s">
        <v>5632</v>
      </c>
      <c r="H3987" s="8">
        <v>199848</v>
      </c>
      <c r="I3987" s="8"/>
      <c r="J3987" s="6"/>
      <c r="K3987" s="6" t="s">
        <v>2572</v>
      </c>
      <c r="L3987" s="6"/>
      <c r="M3987" s="6"/>
      <c r="N3987" s="6" t="s">
        <v>2572</v>
      </c>
      <c r="O3987" s="29">
        <f t="shared" si="92"/>
        <v>0</v>
      </c>
      <c r="Q3987" s="30" t="s">
        <v>2572</v>
      </c>
      <c r="R3987" s="31">
        <v>0</v>
      </c>
    </row>
    <row r="3988" s="1" customFormat="1" ht="16.35" hidden="1" customHeight="1" spans="1:18">
      <c r="A3988" s="6"/>
      <c r="B3988" s="6" t="s">
        <v>4271</v>
      </c>
      <c r="C3988" s="6" t="s">
        <v>4253</v>
      </c>
      <c r="D3988" s="7">
        <v>4</v>
      </c>
      <c r="E3988" s="6" t="s">
        <v>7388</v>
      </c>
      <c r="F3988" s="6" t="s">
        <v>5631</v>
      </c>
      <c r="G3988" s="6" t="s">
        <v>5632</v>
      </c>
      <c r="H3988" s="8">
        <v>197000</v>
      </c>
      <c r="I3988" s="8"/>
      <c r="J3988" s="6"/>
      <c r="K3988" s="6" t="s">
        <v>2392</v>
      </c>
      <c r="L3988" s="6"/>
      <c r="M3988" s="6"/>
      <c r="N3988" s="6" t="s">
        <v>2392</v>
      </c>
      <c r="O3988" s="29">
        <f t="shared" si="92"/>
        <v>0</v>
      </c>
      <c r="Q3988" s="30" t="s">
        <v>2392</v>
      </c>
      <c r="R3988" s="31">
        <v>0</v>
      </c>
    </row>
    <row r="3989" s="1" customFormat="1" ht="16.35" hidden="1" customHeight="1" spans="1:18">
      <c r="A3989" s="6"/>
      <c r="B3989" s="6" t="s">
        <v>4271</v>
      </c>
      <c r="C3989" s="6" t="s">
        <v>4253</v>
      </c>
      <c r="D3989" s="7">
        <v>4</v>
      </c>
      <c r="E3989" s="6" t="s">
        <v>7388</v>
      </c>
      <c r="F3989" s="6" t="s">
        <v>5631</v>
      </c>
      <c r="G3989" s="6" t="s">
        <v>5632</v>
      </c>
      <c r="H3989" s="8">
        <v>50050</v>
      </c>
      <c r="I3989" s="8"/>
      <c r="J3989" s="6"/>
      <c r="K3989" s="6" t="s">
        <v>2392</v>
      </c>
      <c r="L3989" s="6"/>
      <c r="M3989" s="6"/>
      <c r="N3989" s="6" t="s">
        <v>2392</v>
      </c>
      <c r="O3989" s="29">
        <f t="shared" si="92"/>
        <v>0</v>
      </c>
      <c r="Q3989" s="30" t="s">
        <v>2392</v>
      </c>
      <c r="R3989" s="31">
        <v>0</v>
      </c>
    </row>
    <row r="3990" s="1" customFormat="1" ht="16.35" hidden="1" customHeight="1" spans="1:18">
      <c r="A3990" s="6"/>
      <c r="B3990" s="6" t="s">
        <v>4271</v>
      </c>
      <c r="C3990" s="6" t="s">
        <v>4253</v>
      </c>
      <c r="D3990" s="7">
        <v>2</v>
      </c>
      <c r="E3990" s="6" t="s">
        <v>7388</v>
      </c>
      <c r="F3990" s="6" t="s">
        <v>5631</v>
      </c>
      <c r="G3990" s="6" t="s">
        <v>5632</v>
      </c>
      <c r="H3990" s="8">
        <v>236680</v>
      </c>
      <c r="I3990" s="8"/>
      <c r="J3990" s="6"/>
      <c r="K3990" s="6" t="s">
        <v>2458</v>
      </c>
      <c r="L3990" s="6"/>
      <c r="M3990" s="6"/>
      <c r="N3990" s="6" t="s">
        <v>2458</v>
      </c>
      <c r="O3990" s="29">
        <f t="shared" si="92"/>
        <v>0</v>
      </c>
      <c r="Q3990" s="30" t="s">
        <v>2458</v>
      </c>
      <c r="R3990" s="31">
        <v>0</v>
      </c>
    </row>
    <row r="3991" s="1" customFormat="1" ht="16.35" hidden="1" customHeight="1" spans="1:18">
      <c r="A3991" s="6"/>
      <c r="B3991" s="6" t="s">
        <v>4271</v>
      </c>
      <c r="C3991" s="6" t="s">
        <v>4253</v>
      </c>
      <c r="D3991" s="7">
        <v>1</v>
      </c>
      <c r="E3991" s="6" t="s">
        <v>7387</v>
      </c>
      <c r="F3991" s="6" t="s">
        <v>5631</v>
      </c>
      <c r="G3991" s="6" t="s">
        <v>5632</v>
      </c>
      <c r="H3991" s="8"/>
      <c r="I3991" s="8">
        <v>-5000</v>
      </c>
      <c r="J3991" s="6"/>
      <c r="K3991" s="6" t="s">
        <v>2484</v>
      </c>
      <c r="L3991" s="6"/>
      <c r="M3991" s="6"/>
      <c r="N3991" s="6" t="s">
        <v>2484</v>
      </c>
      <c r="O3991" s="29">
        <f t="shared" si="92"/>
        <v>-5000</v>
      </c>
      <c r="Q3991" s="30" t="s">
        <v>2484</v>
      </c>
      <c r="R3991" s="31">
        <v>-5000</v>
      </c>
    </row>
    <row r="3992" s="1" customFormat="1" ht="16.35" hidden="1" customHeight="1" spans="1:18">
      <c r="A3992" s="6"/>
      <c r="B3992" s="6" t="s">
        <v>4271</v>
      </c>
      <c r="C3992" s="6" t="s">
        <v>4253</v>
      </c>
      <c r="D3992" s="7">
        <v>1</v>
      </c>
      <c r="E3992" s="6" t="s">
        <v>7387</v>
      </c>
      <c r="F3992" s="6" t="s">
        <v>5631</v>
      </c>
      <c r="G3992" s="6" t="s">
        <v>5632</v>
      </c>
      <c r="H3992" s="8">
        <v>-195619</v>
      </c>
      <c r="I3992" s="8"/>
      <c r="J3992" s="6"/>
      <c r="K3992" s="6" t="s">
        <v>2537</v>
      </c>
      <c r="L3992" s="6"/>
      <c r="M3992" s="6"/>
      <c r="N3992" s="6" t="s">
        <v>2537</v>
      </c>
      <c r="O3992" s="29">
        <f t="shared" si="92"/>
        <v>0</v>
      </c>
      <c r="Q3992" s="30" t="s">
        <v>2537</v>
      </c>
      <c r="R3992" s="31">
        <v>0</v>
      </c>
    </row>
    <row r="3993" s="1" customFormat="1" ht="16.35" hidden="1" customHeight="1" spans="1:18">
      <c r="A3993" s="6"/>
      <c r="B3993" s="6" t="s">
        <v>4271</v>
      </c>
      <c r="C3993" s="6" t="s">
        <v>4253</v>
      </c>
      <c r="D3993" s="7">
        <v>4</v>
      </c>
      <c r="E3993" s="6" t="s">
        <v>7388</v>
      </c>
      <c r="F3993" s="6" t="s">
        <v>5631</v>
      </c>
      <c r="G3993" s="6" t="s">
        <v>5632</v>
      </c>
      <c r="H3993" s="8">
        <v>226291</v>
      </c>
      <c r="I3993" s="8"/>
      <c r="J3993" s="6"/>
      <c r="K3993" s="6" t="s">
        <v>2576</v>
      </c>
      <c r="L3993" s="6"/>
      <c r="M3993" s="6"/>
      <c r="N3993" s="6" t="s">
        <v>2576</v>
      </c>
      <c r="O3993" s="29">
        <f t="shared" si="92"/>
        <v>0</v>
      </c>
      <c r="Q3993" s="30" t="s">
        <v>2576</v>
      </c>
      <c r="R3993" s="31">
        <v>0</v>
      </c>
    </row>
    <row r="3994" s="1" customFormat="1" ht="16.35" hidden="1" customHeight="1" spans="1:18">
      <c r="A3994" s="6"/>
      <c r="B3994" s="6" t="s">
        <v>4271</v>
      </c>
      <c r="C3994" s="6" t="s">
        <v>4253</v>
      </c>
      <c r="D3994" s="7">
        <v>2</v>
      </c>
      <c r="E3994" s="6" t="s">
        <v>7388</v>
      </c>
      <c r="F3994" s="6" t="s">
        <v>5631</v>
      </c>
      <c r="G3994" s="6" t="s">
        <v>5632</v>
      </c>
      <c r="H3994" s="8">
        <v>190174</v>
      </c>
      <c r="I3994" s="8"/>
      <c r="J3994" s="6"/>
      <c r="K3994" s="6" t="s">
        <v>2511</v>
      </c>
      <c r="L3994" s="6"/>
      <c r="M3994" s="6"/>
      <c r="N3994" s="6" t="s">
        <v>2511</v>
      </c>
      <c r="O3994" s="29">
        <f t="shared" si="92"/>
        <v>0</v>
      </c>
      <c r="Q3994" s="30" t="s">
        <v>2511</v>
      </c>
      <c r="R3994" s="31">
        <v>0</v>
      </c>
    </row>
    <row r="3995" s="1" customFormat="1" ht="16.35" hidden="1" customHeight="1" spans="1:18">
      <c r="A3995" s="6"/>
      <c r="B3995" s="6" t="s">
        <v>4271</v>
      </c>
      <c r="C3995" s="6" t="s">
        <v>4253</v>
      </c>
      <c r="D3995" s="7">
        <v>1</v>
      </c>
      <c r="E3995" s="6" t="s">
        <v>7387</v>
      </c>
      <c r="F3995" s="6" t="s">
        <v>5631</v>
      </c>
      <c r="G3995" s="6" t="s">
        <v>5632</v>
      </c>
      <c r="H3995" s="8"/>
      <c r="I3995" s="8">
        <v>50000</v>
      </c>
      <c r="J3995" s="6"/>
      <c r="K3995" s="6" t="s">
        <v>2722</v>
      </c>
      <c r="L3995" s="6"/>
      <c r="M3995" s="6"/>
      <c r="N3995" s="6" t="s">
        <v>2722</v>
      </c>
      <c r="O3995" s="29">
        <f t="shared" si="92"/>
        <v>50000</v>
      </c>
      <c r="Q3995" s="30" t="s">
        <v>2722</v>
      </c>
      <c r="R3995" s="31">
        <v>50000</v>
      </c>
    </row>
    <row r="3996" s="1" customFormat="1" ht="16.35" hidden="1" customHeight="1" spans="1:18">
      <c r="A3996" s="6"/>
      <c r="B3996" s="6" t="s">
        <v>4271</v>
      </c>
      <c r="C3996" s="6" t="s">
        <v>4253</v>
      </c>
      <c r="D3996" s="7">
        <v>4</v>
      </c>
      <c r="E3996" s="6" t="s">
        <v>4121</v>
      </c>
      <c r="F3996" s="6" t="s">
        <v>5631</v>
      </c>
      <c r="G3996" s="6" t="s">
        <v>5632</v>
      </c>
      <c r="H3996" s="8">
        <v>264165</v>
      </c>
      <c r="I3996" s="8"/>
      <c r="J3996" s="6"/>
      <c r="K3996" s="6" t="s">
        <v>2702</v>
      </c>
      <c r="L3996" s="6"/>
      <c r="M3996" s="6"/>
      <c r="N3996" s="6" t="s">
        <v>2702</v>
      </c>
      <c r="O3996" s="29">
        <f t="shared" ref="O3996:O4027" si="93">I3996</f>
        <v>0</v>
      </c>
      <c r="Q3996" s="30" t="s">
        <v>2702</v>
      </c>
      <c r="R3996" s="31">
        <v>0</v>
      </c>
    </row>
    <row r="3997" s="1" customFormat="1" ht="16.35" hidden="1" customHeight="1" spans="1:18">
      <c r="A3997" s="6"/>
      <c r="B3997" s="6" t="s">
        <v>4271</v>
      </c>
      <c r="C3997" s="6" t="s">
        <v>4253</v>
      </c>
      <c r="D3997" s="7">
        <v>2</v>
      </c>
      <c r="E3997" s="6" t="s">
        <v>4121</v>
      </c>
      <c r="F3997" s="6" t="s">
        <v>5631</v>
      </c>
      <c r="G3997" s="6" t="s">
        <v>5632</v>
      </c>
      <c r="H3997" s="8">
        <v>216300</v>
      </c>
      <c r="I3997" s="8"/>
      <c r="J3997" s="6"/>
      <c r="K3997" s="6" t="s">
        <v>1946</v>
      </c>
      <c r="L3997" s="6"/>
      <c r="M3997" s="6"/>
      <c r="N3997" s="6" t="s">
        <v>1946</v>
      </c>
      <c r="O3997" s="29">
        <f t="shared" si="93"/>
        <v>0</v>
      </c>
      <c r="Q3997" s="30" t="s">
        <v>1946</v>
      </c>
      <c r="R3997" s="31">
        <v>0</v>
      </c>
    </row>
    <row r="3998" s="1" customFormat="1" ht="16.35" hidden="1" customHeight="1" spans="1:18">
      <c r="A3998" s="6"/>
      <c r="B3998" s="6" t="s">
        <v>4271</v>
      </c>
      <c r="C3998" s="6" t="s">
        <v>4253</v>
      </c>
      <c r="D3998" s="7">
        <v>1</v>
      </c>
      <c r="E3998" s="6" t="s">
        <v>7387</v>
      </c>
      <c r="F3998" s="6" t="s">
        <v>5631</v>
      </c>
      <c r="G3998" s="6" t="s">
        <v>5632</v>
      </c>
      <c r="H3998" s="8"/>
      <c r="I3998" s="8">
        <v>5856</v>
      </c>
      <c r="J3998" s="6"/>
      <c r="K3998" s="6" t="s">
        <v>1959</v>
      </c>
      <c r="L3998" s="6"/>
      <c r="M3998" s="6"/>
      <c r="N3998" s="6" t="s">
        <v>1959</v>
      </c>
      <c r="O3998" s="29">
        <f t="shared" si="93"/>
        <v>5856</v>
      </c>
      <c r="Q3998" s="30" t="s">
        <v>1959</v>
      </c>
      <c r="R3998" s="31">
        <v>5856</v>
      </c>
    </row>
    <row r="3999" s="1" customFormat="1" ht="16.35" hidden="1" customHeight="1" spans="1:18">
      <c r="A3999" s="6"/>
      <c r="B3999" s="6" t="s">
        <v>4271</v>
      </c>
      <c r="C3999" s="6" t="s">
        <v>4253</v>
      </c>
      <c r="D3999" s="7">
        <v>1</v>
      </c>
      <c r="E3999" s="6" t="s">
        <v>7387</v>
      </c>
      <c r="F3999" s="6" t="s">
        <v>5631</v>
      </c>
      <c r="G3999" s="6" t="s">
        <v>5632</v>
      </c>
      <c r="H3999" s="8"/>
      <c r="I3999" s="8">
        <v>-5000</v>
      </c>
      <c r="J3999" s="6"/>
      <c r="K3999" s="6" t="s">
        <v>1978</v>
      </c>
      <c r="L3999" s="6"/>
      <c r="M3999" s="6"/>
      <c r="N3999" s="6" t="s">
        <v>1978</v>
      </c>
      <c r="O3999" s="29">
        <f t="shared" si="93"/>
        <v>-5000</v>
      </c>
      <c r="Q3999" s="30" t="s">
        <v>1978</v>
      </c>
      <c r="R3999" s="31">
        <v>-5000</v>
      </c>
    </row>
    <row r="4000" s="1" customFormat="1" ht="16.35" hidden="1" customHeight="1" spans="1:18">
      <c r="A4000" s="6"/>
      <c r="B4000" s="6" t="s">
        <v>4271</v>
      </c>
      <c r="C4000" s="6" t="s">
        <v>4253</v>
      </c>
      <c r="D4000" s="7">
        <v>1</v>
      </c>
      <c r="E4000" s="6" t="s">
        <v>7387</v>
      </c>
      <c r="F4000" s="6" t="s">
        <v>5631</v>
      </c>
      <c r="G4000" s="6" t="s">
        <v>5632</v>
      </c>
      <c r="H4000" s="8"/>
      <c r="I4000" s="8">
        <v>5000</v>
      </c>
      <c r="J4000" s="6"/>
      <c r="K4000" s="6" t="s">
        <v>1980</v>
      </c>
      <c r="L4000" s="6"/>
      <c r="M4000" s="6"/>
      <c r="N4000" s="6" t="s">
        <v>1980</v>
      </c>
      <c r="O4000" s="29">
        <f t="shared" si="93"/>
        <v>5000</v>
      </c>
      <c r="Q4000" s="30" t="s">
        <v>1980</v>
      </c>
      <c r="R4000" s="31">
        <v>5000</v>
      </c>
    </row>
    <row r="4001" s="1" customFormat="1" ht="16.35" hidden="1" customHeight="1" spans="1:18">
      <c r="A4001" s="6"/>
      <c r="B4001" s="6" t="s">
        <v>4271</v>
      </c>
      <c r="C4001" s="6" t="s">
        <v>4253</v>
      </c>
      <c r="D4001" s="7">
        <v>1</v>
      </c>
      <c r="E4001" s="6" t="s">
        <v>7387</v>
      </c>
      <c r="F4001" s="6" t="s">
        <v>5631</v>
      </c>
      <c r="G4001" s="6" t="s">
        <v>5632</v>
      </c>
      <c r="H4001" s="8"/>
      <c r="I4001" s="8">
        <v>26000</v>
      </c>
      <c r="J4001" s="6"/>
      <c r="K4001" s="6" t="s">
        <v>2013</v>
      </c>
      <c r="L4001" s="6"/>
      <c r="M4001" s="6"/>
      <c r="N4001" s="6" t="s">
        <v>2013</v>
      </c>
      <c r="O4001" s="29">
        <f t="shared" si="93"/>
        <v>26000</v>
      </c>
      <c r="Q4001" s="30" t="s">
        <v>2013</v>
      </c>
      <c r="R4001" s="31">
        <v>26000</v>
      </c>
    </row>
    <row r="4002" s="1" customFormat="1" ht="16.35" hidden="1" customHeight="1" spans="1:18">
      <c r="A4002" s="6"/>
      <c r="B4002" s="6" t="s">
        <v>4271</v>
      </c>
      <c r="C4002" s="6" t="s">
        <v>4253</v>
      </c>
      <c r="D4002" s="7">
        <v>1</v>
      </c>
      <c r="E4002" s="6" t="s">
        <v>7387</v>
      </c>
      <c r="F4002" s="6" t="s">
        <v>5631</v>
      </c>
      <c r="G4002" s="6" t="s">
        <v>5632</v>
      </c>
      <c r="H4002" s="8"/>
      <c r="I4002" s="8">
        <v>1000</v>
      </c>
      <c r="J4002" s="6"/>
      <c r="K4002" s="6" t="s">
        <v>2125</v>
      </c>
      <c r="L4002" s="6"/>
      <c r="M4002" s="6"/>
      <c r="N4002" s="6" t="s">
        <v>2125</v>
      </c>
      <c r="O4002" s="29">
        <f t="shared" si="93"/>
        <v>1000</v>
      </c>
      <c r="Q4002" s="30" t="s">
        <v>2125</v>
      </c>
      <c r="R4002" s="31">
        <v>1000</v>
      </c>
    </row>
    <row r="4003" s="1" customFormat="1" ht="16.35" hidden="1" customHeight="1" spans="1:18">
      <c r="A4003" s="6"/>
      <c r="B4003" s="6" t="s">
        <v>4271</v>
      </c>
      <c r="C4003" s="6" t="s">
        <v>4253</v>
      </c>
      <c r="D4003" s="7">
        <v>1</v>
      </c>
      <c r="E4003" s="6" t="s">
        <v>7387</v>
      </c>
      <c r="F4003" s="6" t="s">
        <v>5631</v>
      </c>
      <c r="G4003" s="6" t="s">
        <v>5632</v>
      </c>
      <c r="H4003" s="8"/>
      <c r="I4003" s="8">
        <v>-414</v>
      </c>
      <c r="J4003" s="6"/>
      <c r="K4003" s="6" t="s">
        <v>2095</v>
      </c>
      <c r="L4003" s="6"/>
      <c r="M4003" s="6"/>
      <c r="N4003" s="6" t="s">
        <v>2095</v>
      </c>
      <c r="O4003" s="29">
        <f t="shared" si="93"/>
        <v>-414</v>
      </c>
      <c r="Q4003" s="30" t="s">
        <v>2095</v>
      </c>
      <c r="R4003" s="31">
        <v>-414</v>
      </c>
    </row>
    <row r="4004" s="1" customFormat="1" ht="16.35" hidden="1" customHeight="1" spans="1:18">
      <c r="A4004" s="6"/>
      <c r="B4004" s="6" t="s">
        <v>4271</v>
      </c>
      <c r="C4004" s="6" t="s">
        <v>4253</v>
      </c>
      <c r="D4004" s="7">
        <v>2</v>
      </c>
      <c r="E4004" s="6" t="s">
        <v>4121</v>
      </c>
      <c r="F4004" s="6" t="s">
        <v>5631</v>
      </c>
      <c r="G4004" s="6" t="s">
        <v>5632</v>
      </c>
      <c r="H4004" s="8">
        <v>162166</v>
      </c>
      <c r="I4004" s="8"/>
      <c r="J4004" s="6"/>
      <c r="K4004" s="6" t="s">
        <v>2095</v>
      </c>
      <c r="L4004" s="6"/>
      <c r="M4004" s="6"/>
      <c r="N4004" s="6" t="s">
        <v>2095</v>
      </c>
      <c r="O4004" s="29">
        <f t="shared" si="93"/>
        <v>0</v>
      </c>
      <c r="Q4004" s="30" t="s">
        <v>2095</v>
      </c>
      <c r="R4004" s="31">
        <v>0</v>
      </c>
    </row>
    <row r="4005" s="1" customFormat="1" ht="16.35" hidden="1" customHeight="1" spans="1:18">
      <c r="A4005" s="6"/>
      <c r="B4005" s="6" t="s">
        <v>4271</v>
      </c>
      <c r="C4005" s="6" t="s">
        <v>4253</v>
      </c>
      <c r="D4005" s="7">
        <v>2</v>
      </c>
      <c r="E4005" s="6" t="s">
        <v>4121</v>
      </c>
      <c r="F4005" s="6" t="s">
        <v>5631</v>
      </c>
      <c r="G4005" s="6" t="s">
        <v>5632</v>
      </c>
      <c r="H4005" s="8">
        <v>155000</v>
      </c>
      <c r="I4005" s="8"/>
      <c r="J4005" s="6"/>
      <c r="K4005" s="6" t="s">
        <v>2107</v>
      </c>
      <c r="L4005" s="6"/>
      <c r="M4005" s="6"/>
      <c r="N4005" s="6" t="s">
        <v>2107</v>
      </c>
      <c r="O4005" s="29">
        <f t="shared" si="93"/>
        <v>0</v>
      </c>
      <c r="Q4005" s="30" t="s">
        <v>2107</v>
      </c>
      <c r="R4005" s="31">
        <v>0</v>
      </c>
    </row>
    <row r="4006" s="1" customFormat="1" ht="16.35" hidden="1" customHeight="1" spans="1:18">
      <c r="A4006" s="6"/>
      <c r="B4006" s="6" t="s">
        <v>4271</v>
      </c>
      <c r="C4006" s="6" t="s">
        <v>4253</v>
      </c>
      <c r="D4006" s="7">
        <v>1</v>
      </c>
      <c r="E4006" s="6" t="s">
        <v>7387</v>
      </c>
      <c r="F4006" s="6" t="s">
        <v>5631</v>
      </c>
      <c r="G4006" s="6" t="s">
        <v>5632</v>
      </c>
      <c r="H4006" s="8"/>
      <c r="I4006" s="8">
        <v>-26000</v>
      </c>
      <c r="J4006" s="6"/>
      <c r="K4006" s="6" t="s">
        <v>2151</v>
      </c>
      <c r="L4006" s="6"/>
      <c r="M4006" s="6"/>
      <c r="N4006" s="6" t="s">
        <v>2151</v>
      </c>
      <c r="O4006" s="29">
        <f t="shared" si="93"/>
        <v>-26000</v>
      </c>
      <c r="Q4006" s="30" t="s">
        <v>2151</v>
      </c>
      <c r="R4006" s="31">
        <v>-26000</v>
      </c>
    </row>
    <row r="4007" s="1" customFormat="1" ht="16.35" hidden="1" customHeight="1" spans="1:18">
      <c r="A4007" s="6"/>
      <c r="B4007" s="6" t="s">
        <v>4271</v>
      </c>
      <c r="C4007" s="6" t="s">
        <v>4253</v>
      </c>
      <c r="D4007" s="7">
        <v>2</v>
      </c>
      <c r="E4007" s="6" t="s">
        <v>4121</v>
      </c>
      <c r="F4007" s="6" t="s">
        <v>5631</v>
      </c>
      <c r="G4007" s="6" t="s">
        <v>5632</v>
      </c>
      <c r="H4007" s="8">
        <v>155453</v>
      </c>
      <c r="I4007" s="8"/>
      <c r="J4007" s="6"/>
      <c r="K4007" s="6" t="s">
        <v>2169</v>
      </c>
      <c r="L4007" s="6"/>
      <c r="M4007" s="6"/>
      <c r="N4007" s="6" t="s">
        <v>2169</v>
      </c>
      <c r="O4007" s="29">
        <f t="shared" si="93"/>
        <v>0</v>
      </c>
      <c r="Q4007" s="30" t="s">
        <v>2169</v>
      </c>
      <c r="R4007" s="31">
        <v>0</v>
      </c>
    </row>
    <row r="4008" s="1" customFormat="1" ht="16.35" hidden="1" customHeight="1" spans="1:18">
      <c r="A4008" s="6"/>
      <c r="B4008" s="6" t="s">
        <v>4271</v>
      </c>
      <c r="C4008" s="6" t="s">
        <v>4253</v>
      </c>
      <c r="D4008" s="7">
        <v>2</v>
      </c>
      <c r="E4008" s="6" t="s">
        <v>4121</v>
      </c>
      <c r="F4008" s="6" t="s">
        <v>5631</v>
      </c>
      <c r="G4008" s="6" t="s">
        <v>5632</v>
      </c>
      <c r="H4008" s="8">
        <v>240055</v>
      </c>
      <c r="I4008" s="8"/>
      <c r="J4008" s="6"/>
      <c r="K4008" s="6" t="s">
        <v>2233</v>
      </c>
      <c r="L4008" s="6"/>
      <c r="M4008" s="6"/>
      <c r="N4008" s="6" t="s">
        <v>2233</v>
      </c>
      <c r="O4008" s="29">
        <f t="shared" si="93"/>
        <v>0</v>
      </c>
      <c r="Q4008" s="30" t="s">
        <v>2233</v>
      </c>
      <c r="R4008" s="31">
        <v>0</v>
      </c>
    </row>
    <row r="4009" s="1" customFormat="1" ht="16.35" hidden="1" customHeight="1" spans="1:18">
      <c r="A4009" s="6"/>
      <c r="B4009" s="6" t="s">
        <v>4271</v>
      </c>
      <c r="C4009" s="6" t="s">
        <v>4253</v>
      </c>
      <c r="D4009" s="7">
        <v>1</v>
      </c>
      <c r="E4009" s="6" t="s">
        <v>7387</v>
      </c>
      <c r="F4009" s="6" t="s">
        <v>5631</v>
      </c>
      <c r="G4009" s="6" t="s">
        <v>5632</v>
      </c>
      <c r="H4009" s="8"/>
      <c r="I4009" s="8">
        <v>90000</v>
      </c>
      <c r="J4009" s="6"/>
      <c r="K4009" s="6" t="s">
        <v>2858</v>
      </c>
      <c r="L4009" s="6"/>
      <c r="M4009" s="6"/>
      <c r="N4009" s="6" t="s">
        <v>2858</v>
      </c>
      <c r="O4009" s="29">
        <f t="shared" si="93"/>
        <v>90000</v>
      </c>
      <c r="Q4009" s="30" t="s">
        <v>2858</v>
      </c>
      <c r="R4009" s="31">
        <v>90000</v>
      </c>
    </row>
    <row r="4010" s="1" customFormat="1" ht="16.35" hidden="1" customHeight="1" spans="1:18">
      <c r="A4010" s="6"/>
      <c r="B4010" s="6" t="s">
        <v>4271</v>
      </c>
      <c r="C4010" s="6" t="s">
        <v>4253</v>
      </c>
      <c r="D4010" s="7">
        <v>16</v>
      </c>
      <c r="E4010" s="6" t="s">
        <v>7389</v>
      </c>
      <c r="F4010" s="6" t="s">
        <v>5631</v>
      </c>
      <c r="G4010" s="6" t="s">
        <v>5632</v>
      </c>
      <c r="H4010" s="8"/>
      <c r="I4010" s="8">
        <v>10000</v>
      </c>
      <c r="J4010" s="6"/>
      <c r="K4010" s="6" t="s">
        <v>2858</v>
      </c>
      <c r="L4010" s="6"/>
      <c r="M4010" s="6"/>
      <c r="N4010" s="6" t="s">
        <v>2858</v>
      </c>
      <c r="O4010" s="29">
        <f t="shared" si="93"/>
        <v>10000</v>
      </c>
      <c r="Q4010" s="30" t="s">
        <v>2858</v>
      </c>
      <c r="R4010" s="31">
        <v>10000</v>
      </c>
    </row>
    <row r="4011" s="1" customFormat="1" ht="16.35" hidden="1" customHeight="1" spans="1:18">
      <c r="A4011" s="6"/>
      <c r="B4011" s="6" t="s">
        <v>4271</v>
      </c>
      <c r="C4011" s="6" t="s">
        <v>4253</v>
      </c>
      <c r="D4011" s="7">
        <v>1</v>
      </c>
      <c r="E4011" s="6" t="s">
        <v>7387</v>
      </c>
      <c r="F4011" s="6" t="s">
        <v>5631</v>
      </c>
      <c r="G4011" s="6" t="s">
        <v>5632</v>
      </c>
      <c r="H4011" s="8"/>
      <c r="I4011" s="8">
        <v>-90000</v>
      </c>
      <c r="J4011" s="6"/>
      <c r="K4011" s="6" t="s">
        <v>2860</v>
      </c>
      <c r="L4011" s="6"/>
      <c r="M4011" s="6"/>
      <c r="N4011" s="6" t="s">
        <v>2860</v>
      </c>
      <c r="O4011" s="29">
        <f t="shared" si="93"/>
        <v>-90000</v>
      </c>
      <c r="Q4011" s="30" t="s">
        <v>2860</v>
      </c>
      <c r="R4011" s="31">
        <v>-90000</v>
      </c>
    </row>
    <row r="4012" s="1" customFormat="1" ht="16.35" hidden="1" customHeight="1" spans="1:18">
      <c r="A4012" s="6"/>
      <c r="B4012" s="6" t="s">
        <v>4271</v>
      </c>
      <c r="C4012" s="6" t="s">
        <v>4253</v>
      </c>
      <c r="D4012" s="7">
        <v>2</v>
      </c>
      <c r="E4012" s="6" t="s">
        <v>4121</v>
      </c>
      <c r="F4012" s="6" t="s">
        <v>5631</v>
      </c>
      <c r="G4012" s="6" t="s">
        <v>5632</v>
      </c>
      <c r="H4012" s="8">
        <v>375000</v>
      </c>
      <c r="I4012" s="8"/>
      <c r="J4012" s="6"/>
      <c r="K4012" s="6" t="s">
        <v>2877</v>
      </c>
      <c r="L4012" s="6"/>
      <c r="M4012" s="6"/>
      <c r="N4012" s="6" t="s">
        <v>2877</v>
      </c>
      <c r="O4012" s="29">
        <f t="shared" si="93"/>
        <v>0</v>
      </c>
      <c r="Q4012" s="30" t="s">
        <v>2877</v>
      </c>
      <c r="R4012" s="31">
        <v>0</v>
      </c>
    </row>
    <row r="4013" s="1" customFormat="1" ht="16.35" hidden="1" customHeight="1" spans="1:18">
      <c r="A4013" s="6"/>
      <c r="B4013" s="6" t="s">
        <v>4271</v>
      </c>
      <c r="C4013" s="6" t="s">
        <v>4253</v>
      </c>
      <c r="D4013" s="7">
        <v>2</v>
      </c>
      <c r="E4013" s="6" t="s">
        <v>4121</v>
      </c>
      <c r="F4013" s="6" t="s">
        <v>5631</v>
      </c>
      <c r="G4013" s="6" t="s">
        <v>5632</v>
      </c>
      <c r="H4013" s="8">
        <v>204000</v>
      </c>
      <c r="I4013" s="8"/>
      <c r="J4013" s="6"/>
      <c r="K4013" s="6" t="s">
        <v>2460</v>
      </c>
      <c r="L4013" s="6"/>
      <c r="M4013" s="6"/>
      <c r="N4013" s="6" t="s">
        <v>2460</v>
      </c>
      <c r="O4013" s="29">
        <f t="shared" si="93"/>
        <v>0</v>
      </c>
      <c r="Q4013" s="30" t="s">
        <v>2460</v>
      </c>
      <c r="R4013" s="31">
        <v>0</v>
      </c>
    </row>
    <row r="4014" s="1" customFormat="1" ht="16.35" hidden="1" customHeight="1" spans="1:18">
      <c r="A4014" s="6"/>
      <c r="B4014" s="6" t="s">
        <v>4271</v>
      </c>
      <c r="C4014" s="6" t="s">
        <v>4253</v>
      </c>
      <c r="D4014" s="7">
        <v>4</v>
      </c>
      <c r="E4014" s="6" t="s">
        <v>4121</v>
      </c>
      <c r="F4014" s="6" t="s">
        <v>5631</v>
      </c>
      <c r="G4014" s="6" t="s">
        <v>5632</v>
      </c>
      <c r="H4014" s="8">
        <v>52080</v>
      </c>
      <c r="I4014" s="8"/>
      <c r="J4014" s="6"/>
      <c r="K4014" s="6" t="s">
        <v>2460</v>
      </c>
      <c r="L4014" s="6"/>
      <c r="M4014" s="6"/>
      <c r="N4014" s="6" t="s">
        <v>2460</v>
      </c>
      <c r="O4014" s="29">
        <f t="shared" si="93"/>
        <v>0</v>
      </c>
      <c r="Q4014" s="30" t="s">
        <v>2460</v>
      </c>
      <c r="R4014" s="31">
        <v>0</v>
      </c>
    </row>
    <row r="4015" s="1" customFormat="1" ht="16.35" hidden="1" customHeight="1" spans="1:18">
      <c r="A4015" s="6"/>
      <c r="B4015" s="6" t="s">
        <v>4271</v>
      </c>
      <c r="C4015" s="6" t="s">
        <v>4253</v>
      </c>
      <c r="D4015" s="7">
        <v>29</v>
      </c>
      <c r="E4015" s="6" t="s">
        <v>7390</v>
      </c>
      <c r="F4015" s="6" t="s">
        <v>5631</v>
      </c>
      <c r="G4015" s="6" t="s">
        <v>5632</v>
      </c>
      <c r="H4015" s="8"/>
      <c r="I4015" s="8">
        <v>100000</v>
      </c>
      <c r="J4015" s="6"/>
      <c r="K4015" s="6" t="s">
        <v>2460</v>
      </c>
      <c r="L4015" s="6"/>
      <c r="M4015" s="6"/>
      <c r="N4015" s="6" t="s">
        <v>2460</v>
      </c>
      <c r="O4015" s="29">
        <f t="shared" si="93"/>
        <v>100000</v>
      </c>
      <c r="Q4015" s="30" t="s">
        <v>2460</v>
      </c>
      <c r="R4015" s="31">
        <v>100000</v>
      </c>
    </row>
    <row r="4016" s="1" customFormat="1" ht="16.35" hidden="1" customHeight="1" spans="1:18">
      <c r="A4016" s="6"/>
      <c r="B4016" s="6" t="s">
        <v>4271</v>
      </c>
      <c r="C4016" s="6" t="s">
        <v>4253</v>
      </c>
      <c r="D4016" s="7">
        <v>4</v>
      </c>
      <c r="E4016" s="6" t="s">
        <v>4121</v>
      </c>
      <c r="F4016" s="6" t="s">
        <v>5631</v>
      </c>
      <c r="G4016" s="6" t="s">
        <v>5632</v>
      </c>
      <c r="H4016" s="8">
        <v>988</v>
      </c>
      <c r="I4016" s="8"/>
      <c r="J4016" s="6"/>
      <c r="K4016" s="6" t="s">
        <v>2509</v>
      </c>
      <c r="L4016" s="6"/>
      <c r="M4016" s="6"/>
      <c r="N4016" s="6" t="s">
        <v>2509</v>
      </c>
      <c r="O4016" s="29">
        <f t="shared" si="93"/>
        <v>0</v>
      </c>
      <c r="Q4016" s="30" t="s">
        <v>2509</v>
      </c>
      <c r="R4016" s="31">
        <v>0</v>
      </c>
    </row>
    <row r="4017" s="1" customFormat="1" ht="16.35" hidden="1" customHeight="1" spans="1:18">
      <c r="A4017" s="6"/>
      <c r="B4017" s="6" t="s">
        <v>4271</v>
      </c>
      <c r="C4017" s="6" t="s">
        <v>4253</v>
      </c>
      <c r="D4017" s="7">
        <v>1</v>
      </c>
      <c r="E4017" s="6" t="s">
        <v>7387</v>
      </c>
      <c r="F4017" s="6" t="s">
        <v>5631</v>
      </c>
      <c r="G4017" s="6" t="s">
        <v>5632</v>
      </c>
      <c r="H4017" s="8">
        <v>-177434</v>
      </c>
      <c r="I4017" s="8"/>
      <c r="J4017" s="6"/>
      <c r="K4017" s="6" t="s">
        <v>2622</v>
      </c>
      <c r="L4017" s="6"/>
      <c r="M4017" s="6"/>
      <c r="N4017" s="6" t="s">
        <v>2622</v>
      </c>
      <c r="O4017" s="29">
        <f t="shared" si="93"/>
        <v>0</v>
      </c>
      <c r="Q4017" s="30" t="s">
        <v>2622</v>
      </c>
      <c r="R4017" s="31">
        <v>0</v>
      </c>
    </row>
    <row r="4018" s="1" customFormat="1" ht="16.35" hidden="1" customHeight="1" spans="1:18">
      <c r="A4018" s="6"/>
      <c r="B4018" s="6" t="s">
        <v>4271</v>
      </c>
      <c r="C4018" s="6" t="s">
        <v>4253</v>
      </c>
      <c r="D4018" s="7">
        <v>1</v>
      </c>
      <c r="E4018" s="6" t="s">
        <v>7387</v>
      </c>
      <c r="F4018" s="6" t="s">
        <v>5631</v>
      </c>
      <c r="G4018" s="6" t="s">
        <v>5632</v>
      </c>
      <c r="H4018" s="8"/>
      <c r="I4018" s="8">
        <v>10000</v>
      </c>
      <c r="J4018" s="6"/>
      <c r="K4018" s="6" t="s">
        <v>2690</v>
      </c>
      <c r="L4018" s="6"/>
      <c r="M4018" s="6"/>
      <c r="N4018" s="6" t="s">
        <v>2690</v>
      </c>
      <c r="O4018" s="29">
        <f t="shared" si="93"/>
        <v>10000</v>
      </c>
      <c r="Q4018" s="30" t="s">
        <v>2690</v>
      </c>
      <c r="R4018" s="31">
        <v>10000</v>
      </c>
    </row>
    <row r="4019" s="1" customFormat="1" ht="16.35" hidden="1" customHeight="1" spans="1:18">
      <c r="A4019" s="6"/>
      <c r="B4019" s="6" t="s">
        <v>4271</v>
      </c>
      <c r="C4019" s="6" t="s">
        <v>4253</v>
      </c>
      <c r="D4019" s="7">
        <v>22</v>
      </c>
      <c r="E4019" s="6" t="s">
        <v>7391</v>
      </c>
      <c r="F4019" s="6" t="s">
        <v>5631</v>
      </c>
      <c r="G4019" s="6" t="s">
        <v>5632</v>
      </c>
      <c r="H4019" s="8"/>
      <c r="I4019" s="8">
        <v>35000</v>
      </c>
      <c r="J4019" s="6"/>
      <c r="K4019" s="6" t="s">
        <v>2724</v>
      </c>
      <c r="L4019" s="6"/>
      <c r="M4019" s="6"/>
      <c r="N4019" s="6" t="s">
        <v>2724</v>
      </c>
      <c r="O4019" s="29">
        <f t="shared" si="93"/>
        <v>35000</v>
      </c>
      <c r="Q4019" s="30" t="s">
        <v>2724</v>
      </c>
      <c r="R4019" s="31">
        <v>35000</v>
      </c>
    </row>
    <row r="4020" s="1" customFormat="1" ht="16.35" hidden="1" customHeight="1" spans="1:18">
      <c r="A4020" s="6"/>
      <c r="B4020" s="6" t="s">
        <v>4271</v>
      </c>
      <c r="C4020" s="6" t="s">
        <v>4253</v>
      </c>
      <c r="D4020" s="7">
        <v>2</v>
      </c>
      <c r="E4020" s="6" t="s">
        <v>7388</v>
      </c>
      <c r="F4020" s="6" t="s">
        <v>5631</v>
      </c>
      <c r="G4020" s="6" t="s">
        <v>5632</v>
      </c>
      <c r="H4020" s="8">
        <v>215663</v>
      </c>
      <c r="I4020" s="8"/>
      <c r="J4020" s="6"/>
      <c r="K4020" s="6" t="s">
        <v>1940</v>
      </c>
      <c r="L4020" s="6"/>
      <c r="M4020" s="6"/>
      <c r="N4020" s="6" t="s">
        <v>1940</v>
      </c>
      <c r="O4020" s="29">
        <f t="shared" si="93"/>
        <v>0</v>
      </c>
      <c r="Q4020" s="30" t="s">
        <v>1940</v>
      </c>
      <c r="R4020" s="31">
        <v>0</v>
      </c>
    </row>
    <row r="4021" s="1" customFormat="1" ht="16.35" hidden="1" customHeight="1" spans="1:18">
      <c r="A4021" s="6"/>
      <c r="B4021" s="6" t="s">
        <v>4271</v>
      </c>
      <c r="C4021" s="6" t="s">
        <v>4253</v>
      </c>
      <c r="D4021" s="7">
        <v>1</v>
      </c>
      <c r="E4021" s="6" t="s">
        <v>7387</v>
      </c>
      <c r="F4021" s="6" t="s">
        <v>5631</v>
      </c>
      <c r="G4021" s="6" t="s">
        <v>5632</v>
      </c>
      <c r="H4021" s="8"/>
      <c r="I4021" s="8">
        <v>10000</v>
      </c>
      <c r="J4021" s="6"/>
      <c r="K4021" s="6" t="s">
        <v>2789</v>
      </c>
      <c r="L4021" s="6"/>
      <c r="M4021" s="6"/>
      <c r="N4021" s="6" t="s">
        <v>2789</v>
      </c>
      <c r="O4021" s="29">
        <f t="shared" si="93"/>
        <v>10000</v>
      </c>
      <c r="Q4021" s="30" t="s">
        <v>2789</v>
      </c>
      <c r="R4021" s="31">
        <v>10000</v>
      </c>
    </row>
    <row r="4022" s="1" customFormat="1" ht="16.35" hidden="1" customHeight="1" spans="1:18">
      <c r="A4022" s="6"/>
      <c r="B4022" s="6" t="s">
        <v>4271</v>
      </c>
      <c r="C4022" s="6" t="s">
        <v>4253</v>
      </c>
      <c r="D4022" s="7">
        <v>1</v>
      </c>
      <c r="E4022" s="6" t="s">
        <v>7387</v>
      </c>
      <c r="F4022" s="6" t="s">
        <v>5631</v>
      </c>
      <c r="G4022" s="6" t="s">
        <v>5632</v>
      </c>
      <c r="H4022" s="8"/>
      <c r="I4022" s="8">
        <v>36</v>
      </c>
      <c r="J4022" s="6"/>
      <c r="K4022" s="6" t="s">
        <v>2035</v>
      </c>
      <c r="L4022" s="6"/>
      <c r="M4022" s="6"/>
      <c r="N4022" s="6" t="s">
        <v>2035</v>
      </c>
      <c r="O4022" s="29">
        <f t="shared" si="93"/>
        <v>36</v>
      </c>
      <c r="Q4022" s="30" t="s">
        <v>2035</v>
      </c>
      <c r="R4022" s="31">
        <v>36</v>
      </c>
    </row>
    <row r="4023" s="1" customFormat="1" ht="16.35" hidden="1" customHeight="1" spans="1:18">
      <c r="A4023" s="6"/>
      <c r="B4023" s="6" t="s">
        <v>4271</v>
      </c>
      <c r="C4023" s="6" t="s">
        <v>4253</v>
      </c>
      <c r="D4023" s="7">
        <v>2</v>
      </c>
      <c r="E4023" s="6" t="s">
        <v>4121</v>
      </c>
      <c r="F4023" s="6" t="s">
        <v>5631</v>
      </c>
      <c r="G4023" s="6" t="s">
        <v>5632</v>
      </c>
      <c r="H4023" s="8">
        <v>254534</v>
      </c>
      <c r="I4023" s="8"/>
      <c r="J4023" s="6"/>
      <c r="K4023" s="6" t="s">
        <v>2141</v>
      </c>
      <c r="L4023" s="6"/>
      <c r="M4023" s="6"/>
      <c r="N4023" s="6" t="s">
        <v>2141</v>
      </c>
      <c r="O4023" s="29">
        <f t="shared" si="93"/>
        <v>0</v>
      </c>
      <c r="Q4023" s="30" t="s">
        <v>2141</v>
      </c>
      <c r="R4023" s="31">
        <v>0</v>
      </c>
    </row>
    <row r="4024" s="1" customFormat="1" ht="16.35" hidden="1" customHeight="1" spans="1:18">
      <c r="A4024" s="6"/>
      <c r="B4024" s="6" t="s">
        <v>4271</v>
      </c>
      <c r="C4024" s="6" t="s">
        <v>4253</v>
      </c>
      <c r="D4024" s="7">
        <v>1</v>
      </c>
      <c r="E4024" s="6" t="s">
        <v>7387</v>
      </c>
      <c r="F4024" s="6" t="s">
        <v>5631</v>
      </c>
      <c r="G4024" s="6" t="s">
        <v>5632</v>
      </c>
      <c r="H4024" s="8"/>
      <c r="I4024" s="8">
        <v>70059</v>
      </c>
      <c r="J4024" s="6"/>
      <c r="K4024" s="6" t="s">
        <v>1950</v>
      </c>
      <c r="L4024" s="6"/>
      <c r="M4024" s="6"/>
      <c r="N4024" s="6" t="s">
        <v>1950</v>
      </c>
      <c r="O4024" s="29">
        <f t="shared" si="93"/>
        <v>70059</v>
      </c>
      <c r="Q4024" s="30" t="s">
        <v>1950</v>
      </c>
      <c r="R4024" s="31">
        <v>70059</v>
      </c>
    </row>
    <row r="4025" s="1" customFormat="1" ht="16.35" hidden="1" customHeight="1" spans="1:18">
      <c r="A4025" s="6"/>
      <c r="B4025" s="6" t="s">
        <v>4271</v>
      </c>
      <c r="C4025" s="6" t="s">
        <v>4253</v>
      </c>
      <c r="D4025" s="7">
        <v>6</v>
      </c>
      <c r="E4025" s="6" t="s">
        <v>7392</v>
      </c>
      <c r="F4025" s="6" t="s">
        <v>5631</v>
      </c>
      <c r="G4025" s="6" t="s">
        <v>5632</v>
      </c>
      <c r="H4025" s="8"/>
      <c r="I4025" s="8">
        <v>-413</v>
      </c>
      <c r="J4025" s="6"/>
      <c r="K4025" s="6" t="s">
        <v>1994</v>
      </c>
      <c r="L4025" s="6"/>
      <c r="M4025" s="6"/>
      <c r="N4025" s="6" t="s">
        <v>1994</v>
      </c>
      <c r="O4025" s="29">
        <f t="shared" si="93"/>
        <v>-413</v>
      </c>
      <c r="Q4025" s="30" t="s">
        <v>1994</v>
      </c>
      <c r="R4025" s="31">
        <v>-413</v>
      </c>
    </row>
    <row r="4026" s="1" customFormat="1" ht="16.35" hidden="1" customHeight="1" spans="1:18">
      <c r="A4026" s="6"/>
      <c r="B4026" s="6" t="s">
        <v>4271</v>
      </c>
      <c r="C4026" s="6" t="s">
        <v>4253</v>
      </c>
      <c r="D4026" s="7">
        <v>1</v>
      </c>
      <c r="E4026" s="6" t="s">
        <v>7387</v>
      </c>
      <c r="F4026" s="6" t="s">
        <v>5631</v>
      </c>
      <c r="G4026" s="6" t="s">
        <v>5632</v>
      </c>
      <c r="H4026" s="8"/>
      <c r="I4026" s="8">
        <v>-36</v>
      </c>
      <c r="J4026" s="6"/>
      <c r="K4026" s="6" t="s">
        <v>2067</v>
      </c>
      <c r="L4026" s="6"/>
      <c r="M4026" s="6"/>
      <c r="N4026" s="6" t="s">
        <v>2067</v>
      </c>
      <c r="O4026" s="29">
        <f t="shared" si="93"/>
        <v>-36</v>
      </c>
      <c r="Q4026" s="30" t="s">
        <v>2067</v>
      </c>
      <c r="R4026" s="31">
        <v>-36</v>
      </c>
    </row>
    <row r="4027" s="1" customFormat="1" ht="16.35" hidden="1" customHeight="1" spans="1:18">
      <c r="A4027" s="6"/>
      <c r="B4027" s="6" t="s">
        <v>4271</v>
      </c>
      <c r="C4027" s="6" t="s">
        <v>4253</v>
      </c>
      <c r="D4027" s="7">
        <v>5</v>
      </c>
      <c r="E4027" s="6" t="s">
        <v>7393</v>
      </c>
      <c r="F4027" s="6" t="s">
        <v>5631</v>
      </c>
      <c r="G4027" s="6" t="s">
        <v>5632</v>
      </c>
      <c r="H4027" s="8">
        <v>145022</v>
      </c>
      <c r="I4027" s="8"/>
      <c r="J4027" s="6"/>
      <c r="K4027" s="6" t="s">
        <v>2083</v>
      </c>
      <c r="L4027" s="6"/>
      <c r="M4027" s="6"/>
      <c r="N4027" s="6" t="s">
        <v>2083</v>
      </c>
      <c r="O4027" s="29">
        <f t="shared" si="93"/>
        <v>0</v>
      </c>
      <c r="Q4027" s="30" t="s">
        <v>2083</v>
      </c>
      <c r="R4027" s="31">
        <v>0</v>
      </c>
    </row>
    <row r="4028" s="1" customFormat="1" ht="16.35" hidden="1" customHeight="1" spans="1:18">
      <c r="A4028" s="6"/>
      <c r="B4028" s="6" t="s">
        <v>4271</v>
      </c>
      <c r="C4028" s="6" t="s">
        <v>4253</v>
      </c>
      <c r="D4028" s="7">
        <v>1</v>
      </c>
      <c r="E4028" s="6" t="s">
        <v>7387</v>
      </c>
      <c r="F4028" s="6" t="s">
        <v>5631</v>
      </c>
      <c r="G4028" s="6" t="s">
        <v>5632</v>
      </c>
      <c r="H4028" s="8"/>
      <c r="I4028" s="8">
        <v>-5000</v>
      </c>
      <c r="J4028" s="6"/>
      <c r="K4028" s="6" t="s">
        <v>2093</v>
      </c>
      <c r="L4028" s="6"/>
      <c r="M4028" s="6"/>
      <c r="N4028" s="6" t="s">
        <v>2093</v>
      </c>
      <c r="O4028" s="29">
        <f t="shared" ref="O4028:O4052" si="94">I4028</f>
        <v>-5000</v>
      </c>
      <c r="Q4028" s="30" t="s">
        <v>2093</v>
      </c>
      <c r="R4028" s="31">
        <v>-5000</v>
      </c>
    </row>
    <row r="4029" s="1" customFormat="1" ht="16.35" hidden="1" customHeight="1" spans="1:18">
      <c r="A4029" s="6"/>
      <c r="B4029" s="6" t="s">
        <v>4271</v>
      </c>
      <c r="C4029" s="6" t="s">
        <v>4253</v>
      </c>
      <c r="D4029" s="7">
        <v>1</v>
      </c>
      <c r="E4029" s="6" t="s">
        <v>7387</v>
      </c>
      <c r="F4029" s="6" t="s">
        <v>5631</v>
      </c>
      <c r="G4029" s="6" t="s">
        <v>5632</v>
      </c>
      <c r="H4029" s="8"/>
      <c r="I4029" s="8">
        <v>414</v>
      </c>
      <c r="J4029" s="6"/>
      <c r="K4029" s="6" t="s">
        <v>2093</v>
      </c>
      <c r="L4029" s="6"/>
      <c r="M4029" s="6"/>
      <c r="N4029" s="6" t="s">
        <v>2093</v>
      </c>
      <c r="O4029" s="29">
        <f t="shared" si="94"/>
        <v>414</v>
      </c>
      <c r="Q4029" s="30" t="s">
        <v>2093</v>
      </c>
      <c r="R4029" s="31">
        <v>414</v>
      </c>
    </row>
    <row r="4030" s="1" customFormat="1" ht="16.35" hidden="1" customHeight="1" spans="1:18">
      <c r="A4030" s="6"/>
      <c r="B4030" s="6" t="s">
        <v>4271</v>
      </c>
      <c r="C4030" s="6" t="s">
        <v>4253</v>
      </c>
      <c r="D4030" s="7">
        <v>2</v>
      </c>
      <c r="E4030" s="6" t="s">
        <v>4121</v>
      </c>
      <c r="F4030" s="6" t="s">
        <v>5631</v>
      </c>
      <c r="G4030" s="6" t="s">
        <v>5632</v>
      </c>
      <c r="H4030" s="8">
        <v>280014</v>
      </c>
      <c r="I4030" s="8"/>
      <c r="J4030" s="6"/>
      <c r="K4030" s="6" t="s">
        <v>2093</v>
      </c>
      <c r="L4030" s="6"/>
      <c r="M4030" s="6"/>
      <c r="N4030" s="6" t="s">
        <v>2093</v>
      </c>
      <c r="O4030" s="29">
        <f t="shared" si="94"/>
        <v>0</v>
      </c>
      <c r="Q4030" s="30" t="s">
        <v>2093</v>
      </c>
      <c r="R4030" s="31">
        <v>0</v>
      </c>
    </row>
    <row r="4031" s="1" customFormat="1" ht="16.35" hidden="1" customHeight="1" spans="1:18">
      <c r="A4031" s="6"/>
      <c r="B4031" s="6" t="s">
        <v>4271</v>
      </c>
      <c r="C4031" s="6" t="s">
        <v>4253</v>
      </c>
      <c r="D4031" s="7">
        <v>1</v>
      </c>
      <c r="E4031" s="6" t="s">
        <v>7387</v>
      </c>
      <c r="F4031" s="6" t="s">
        <v>5631</v>
      </c>
      <c r="G4031" s="6" t="s">
        <v>5632</v>
      </c>
      <c r="H4031" s="8"/>
      <c r="I4031" s="8">
        <v>-10000</v>
      </c>
      <c r="J4031" s="6"/>
      <c r="K4031" s="6" t="s">
        <v>2101</v>
      </c>
      <c r="L4031" s="6"/>
      <c r="M4031" s="6"/>
      <c r="N4031" s="6" t="s">
        <v>2101</v>
      </c>
      <c r="O4031" s="29">
        <f t="shared" si="94"/>
        <v>-10000</v>
      </c>
      <c r="Q4031" s="30" t="s">
        <v>2101</v>
      </c>
      <c r="R4031" s="31">
        <v>-10000</v>
      </c>
    </row>
    <row r="4032" s="1" customFormat="1" ht="16.35" hidden="1" customHeight="1" spans="1:18">
      <c r="A4032" s="6"/>
      <c r="B4032" s="6" t="s">
        <v>4271</v>
      </c>
      <c r="C4032" s="6" t="s">
        <v>4253</v>
      </c>
      <c r="D4032" s="7">
        <v>1</v>
      </c>
      <c r="E4032" s="6" t="s">
        <v>7387</v>
      </c>
      <c r="F4032" s="6" t="s">
        <v>5631</v>
      </c>
      <c r="G4032" s="6" t="s">
        <v>5632</v>
      </c>
      <c r="H4032" s="8"/>
      <c r="I4032" s="8">
        <v>-5000</v>
      </c>
      <c r="J4032" s="6"/>
      <c r="K4032" s="6" t="s">
        <v>2127</v>
      </c>
      <c r="L4032" s="6"/>
      <c r="M4032" s="6"/>
      <c r="N4032" s="6" t="s">
        <v>2127</v>
      </c>
      <c r="O4032" s="29">
        <f t="shared" si="94"/>
        <v>-5000</v>
      </c>
      <c r="Q4032" s="30" t="s">
        <v>2127</v>
      </c>
      <c r="R4032" s="31">
        <v>-5000</v>
      </c>
    </row>
    <row r="4033" s="1" customFormat="1" ht="16.35" hidden="1" customHeight="1" spans="1:18">
      <c r="A4033" s="6"/>
      <c r="B4033" s="6" t="s">
        <v>4271</v>
      </c>
      <c r="C4033" s="6" t="s">
        <v>4253</v>
      </c>
      <c r="D4033" s="7">
        <v>1</v>
      </c>
      <c r="E4033" s="6" t="s">
        <v>7387</v>
      </c>
      <c r="F4033" s="6" t="s">
        <v>5631</v>
      </c>
      <c r="G4033" s="6" t="s">
        <v>5632</v>
      </c>
      <c r="H4033" s="8"/>
      <c r="I4033" s="8">
        <v>10000</v>
      </c>
      <c r="J4033" s="6"/>
      <c r="K4033" s="6" t="s">
        <v>2139</v>
      </c>
      <c r="L4033" s="6"/>
      <c r="M4033" s="6"/>
      <c r="N4033" s="6" t="s">
        <v>2139</v>
      </c>
      <c r="O4033" s="29">
        <f t="shared" si="94"/>
        <v>10000</v>
      </c>
      <c r="Q4033" s="30" t="s">
        <v>2139</v>
      </c>
      <c r="R4033" s="31">
        <v>10000</v>
      </c>
    </row>
    <row r="4034" s="1" customFormat="1" ht="16.35" hidden="1" customHeight="1" spans="1:18">
      <c r="A4034" s="6"/>
      <c r="B4034" s="6" t="s">
        <v>4271</v>
      </c>
      <c r="C4034" s="6" t="s">
        <v>4253</v>
      </c>
      <c r="D4034" s="7">
        <v>2</v>
      </c>
      <c r="E4034" s="6" t="s">
        <v>4121</v>
      </c>
      <c r="F4034" s="6" t="s">
        <v>5631</v>
      </c>
      <c r="G4034" s="6" t="s">
        <v>5632</v>
      </c>
      <c r="H4034" s="8">
        <v>208089</v>
      </c>
      <c r="I4034" s="8"/>
      <c r="J4034" s="6"/>
      <c r="K4034" s="6" t="s">
        <v>2177</v>
      </c>
      <c r="L4034" s="6"/>
      <c r="M4034" s="6"/>
      <c r="N4034" s="6" t="s">
        <v>2177</v>
      </c>
      <c r="O4034" s="29">
        <f t="shared" si="94"/>
        <v>0</v>
      </c>
      <c r="Q4034" s="30" t="s">
        <v>2177</v>
      </c>
      <c r="R4034" s="31">
        <v>0</v>
      </c>
    </row>
    <row r="4035" s="1" customFormat="1" ht="16.35" hidden="1" customHeight="1" spans="1:18">
      <c r="A4035" s="6"/>
      <c r="B4035" s="6" t="s">
        <v>4271</v>
      </c>
      <c r="C4035" s="6" t="s">
        <v>4253</v>
      </c>
      <c r="D4035" s="7">
        <v>2</v>
      </c>
      <c r="E4035" s="6" t="s">
        <v>4121</v>
      </c>
      <c r="F4035" s="6" t="s">
        <v>5631</v>
      </c>
      <c r="G4035" s="6" t="s">
        <v>5632</v>
      </c>
      <c r="H4035" s="8">
        <v>229000</v>
      </c>
      <c r="I4035" s="8"/>
      <c r="J4035" s="6"/>
      <c r="K4035" s="6" t="s">
        <v>2231</v>
      </c>
      <c r="L4035" s="6"/>
      <c r="M4035" s="6"/>
      <c r="N4035" s="6" t="s">
        <v>2231</v>
      </c>
      <c r="O4035" s="29">
        <f t="shared" si="94"/>
        <v>0</v>
      </c>
      <c r="Q4035" s="30" t="s">
        <v>2231</v>
      </c>
      <c r="R4035" s="31">
        <v>0</v>
      </c>
    </row>
    <row r="4036" s="1" customFormat="1" ht="16.35" hidden="1" customHeight="1" spans="1:18">
      <c r="A4036" s="6"/>
      <c r="B4036" s="6" t="s">
        <v>4271</v>
      </c>
      <c r="C4036" s="6" t="s">
        <v>4253</v>
      </c>
      <c r="D4036" s="7">
        <v>2</v>
      </c>
      <c r="E4036" s="6" t="s">
        <v>4121</v>
      </c>
      <c r="F4036" s="6" t="s">
        <v>5631</v>
      </c>
      <c r="G4036" s="6" t="s">
        <v>5632</v>
      </c>
      <c r="H4036" s="8">
        <v>233820</v>
      </c>
      <c r="I4036" s="8"/>
      <c r="J4036" s="6"/>
      <c r="K4036" s="6" t="s">
        <v>2275</v>
      </c>
      <c r="L4036" s="6"/>
      <c r="M4036" s="6"/>
      <c r="N4036" s="6" t="s">
        <v>2275</v>
      </c>
      <c r="O4036" s="29">
        <f t="shared" si="94"/>
        <v>0</v>
      </c>
      <c r="Q4036" s="30" t="s">
        <v>2275</v>
      </c>
      <c r="R4036" s="31">
        <v>0</v>
      </c>
    </row>
    <row r="4037" s="1" customFormat="1" ht="16.35" hidden="1" customHeight="1" spans="1:18">
      <c r="A4037" s="6"/>
      <c r="B4037" s="6" t="s">
        <v>4271</v>
      </c>
      <c r="C4037" s="6" t="s">
        <v>4253</v>
      </c>
      <c r="D4037" s="7">
        <v>2</v>
      </c>
      <c r="E4037" s="6" t="s">
        <v>4121</v>
      </c>
      <c r="F4037" s="6" t="s">
        <v>5631</v>
      </c>
      <c r="G4037" s="6" t="s">
        <v>5632</v>
      </c>
      <c r="H4037" s="8">
        <v>233820</v>
      </c>
      <c r="I4037" s="8"/>
      <c r="J4037" s="6"/>
      <c r="K4037" s="6" t="s">
        <v>2287</v>
      </c>
      <c r="L4037" s="6"/>
      <c r="M4037" s="6"/>
      <c r="N4037" s="6" t="s">
        <v>2287</v>
      </c>
      <c r="O4037" s="29">
        <f t="shared" si="94"/>
        <v>0</v>
      </c>
      <c r="Q4037" s="30" t="s">
        <v>2287</v>
      </c>
      <c r="R4037" s="31">
        <v>0</v>
      </c>
    </row>
    <row r="4038" s="1" customFormat="1" ht="16.35" hidden="1" customHeight="1" spans="1:18">
      <c r="A4038" s="6"/>
      <c r="B4038" s="6" t="s">
        <v>4271</v>
      </c>
      <c r="C4038" s="6" t="s">
        <v>4253</v>
      </c>
      <c r="D4038" s="7">
        <v>1</v>
      </c>
      <c r="E4038" s="6" t="s">
        <v>7387</v>
      </c>
      <c r="F4038" s="6" t="s">
        <v>5631</v>
      </c>
      <c r="G4038" s="6" t="s">
        <v>5632</v>
      </c>
      <c r="H4038" s="8"/>
      <c r="I4038" s="8">
        <v>826</v>
      </c>
      <c r="J4038" s="6"/>
      <c r="K4038" s="6" t="s">
        <v>2881</v>
      </c>
      <c r="L4038" s="6"/>
      <c r="M4038" s="6"/>
      <c r="N4038" s="6" t="s">
        <v>2881</v>
      </c>
      <c r="O4038" s="29">
        <f t="shared" si="94"/>
        <v>826</v>
      </c>
      <c r="Q4038" s="30" t="s">
        <v>2881</v>
      </c>
      <c r="R4038" s="31">
        <v>826</v>
      </c>
    </row>
    <row r="4039" s="1" customFormat="1" ht="16.35" hidden="1" customHeight="1" spans="1:18">
      <c r="A4039" s="6"/>
      <c r="B4039" s="6" t="s">
        <v>4271</v>
      </c>
      <c r="C4039" s="6" t="s">
        <v>4253</v>
      </c>
      <c r="D4039" s="7">
        <v>2</v>
      </c>
      <c r="E4039" s="6" t="s">
        <v>4121</v>
      </c>
      <c r="F4039" s="6" t="s">
        <v>5631</v>
      </c>
      <c r="G4039" s="6" t="s">
        <v>5632</v>
      </c>
      <c r="H4039" s="8">
        <v>411818</v>
      </c>
      <c r="I4039" s="8"/>
      <c r="J4039" s="6"/>
      <c r="K4039" s="6" t="s">
        <v>2881</v>
      </c>
      <c r="L4039" s="6"/>
      <c r="M4039" s="6"/>
      <c r="N4039" s="6" t="s">
        <v>2881</v>
      </c>
      <c r="O4039" s="29">
        <f t="shared" si="94"/>
        <v>0</v>
      </c>
      <c r="Q4039" s="30" t="s">
        <v>2881</v>
      </c>
      <c r="R4039" s="31">
        <v>0</v>
      </c>
    </row>
    <row r="4040" s="1" customFormat="1" ht="16.35" hidden="1" customHeight="1" spans="1:18">
      <c r="A4040" s="6"/>
      <c r="B4040" s="6" t="s">
        <v>4271</v>
      </c>
      <c r="C4040" s="6" t="s">
        <v>4253</v>
      </c>
      <c r="D4040" s="7">
        <v>4</v>
      </c>
      <c r="E4040" s="6" t="s">
        <v>7388</v>
      </c>
      <c r="F4040" s="6" t="s">
        <v>5631</v>
      </c>
      <c r="G4040" s="6" t="s">
        <v>5632</v>
      </c>
      <c r="H4040" s="8">
        <v>245992</v>
      </c>
      <c r="I4040" s="8"/>
      <c r="J4040" s="6"/>
      <c r="K4040" s="6" t="s">
        <v>2448</v>
      </c>
      <c r="L4040" s="6"/>
      <c r="M4040" s="6"/>
      <c r="N4040" s="6" t="s">
        <v>2448</v>
      </c>
      <c r="O4040" s="29">
        <f t="shared" si="94"/>
        <v>0</v>
      </c>
      <c r="Q4040" s="30" t="s">
        <v>2448</v>
      </c>
      <c r="R4040" s="31">
        <v>0</v>
      </c>
    </row>
    <row r="4041" s="1" customFormat="1" ht="16.35" hidden="1" customHeight="1" spans="1:18">
      <c r="A4041" s="6"/>
      <c r="B4041" s="6" t="s">
        <v>4271</v>
      </c>
      <c r="C4041" s="6" t="s">
        <v>4253</v>
      </c>
      <c r="D4041" s="7">
        <v>2</v>
      </c>
      <c r="E4041" s="6" t="s">
        <v>7388</v>
      </c>
      <c r="F4041" s="6" t="s">
        <v>5631</v>
      </c>
      <c r="G4041" s="6" t="s">
        <v>5632</v>
      </c>
      <c r="H4041" s="8">
        <v>207000</v>
      </c>
      <c r="I4041" s="8"/>
      <c r="J4041" s="6"/>
      <c r="K4041" s="6" t="s">
        <v>2462</v>
      </c>
      <c r="L4041" s="6"/>
      <c r="M4041" s="6"/>
      <c r="N4041" s="6" t="s">
        <v>2462</v>
      </c>
      <c r="O4041" s="29">
        <f t="shared" si="94"/>
        <v>0</v>
      </c>
      <c r="Q4041" s="30" t="s">
        <v>2462</v>
      </c>
      <c r="R4041" s="31">
        <v>0</v>
      </c>
    </row>
    <row r="4042" s="1" customFormat="1" ht="16.35" hidden="1" customHeight="1" spans="1:18">
      <c r="A4042" s="6"/>
      <c r="B4042" s="6" t="s">
        <v>4271</v>
      </c>
      <c r="C4042" s="6" t="s">
        <v>4253</v>
      </c>
      <c r="D4042" s="7">
        <v>2</v>
      </c>
      <c r="E4042" s="6" t="s">
        <v>7388</v>
      </c>
      <c r="F4042" s="6" t="s">
        <v>5631</v>
      </c>
      <c r="G4042" s="6" t="s">
        <v>5632</v>
      </c>
      <c r="H4042" s="8">
        <v>52960</v>
      </c>
      <c r="I4042" s="8"/>
      <c r="J4042" s="6"/>
      <c r="K4042" s="6" t="s">
        <v>2462</v>
      </c>
      <c r="L4042" s="6"/>
      <c r="M4042" s="6"/>
      <c r="N4042" s="6" t="s">
        <v>2462</v>
      </c>
      <c r="O4042" s="29">
        <f t="shared" si="94"/>
        <v>0</v>
      </c>
      <c r="Q4042" s="30" t="s">
        <v>2462</v>
      </c>
      <c r="R4042" s="31">
        <v>0</v>
      </c>
    </row>
    <row r="4043" s="1" customFormat="1" ht="16.35" hidden="1" customHeight="1" spans="1:18">
      <c r="A4043" s="6"/>
      <c r="B4043" s="6" t="s">
        <v>4271</v>
      </c>
      <c r="C4043" s="6" t="s">
        <v>4253</v>
      </c>
      <c r="D4043" s="7">
        <v>4</v>
      </c>
      <c r="E4043" s="6" t="s">
        <v>7388</v>
      </c>
      <c r="F4043" s="6" t="s">
        <v>5631</v>
      </c>
      <c r="G4043" s="6" t="s">
        <v>5632</v>
      </c>
      <c r="H4043" s="8">
        <v>231968</v>
      </c>
      <c r="I4043" s="8"/>
      <c r="J4043" s="6"/>
      <c r="K4043" s="6" t="s">
        <v>2504</v>
      </c>
      <c r="L4043" s="6"/>
      <c r="M4043" s="6"/>
      <c r="N4043" s="6" t="s">
        <v>2504</v>
      </c>
      <c r="O4043" s="29">
        <f t="shared" si="94"/>
        <v>0</v>
      </c>
      <c r="Q4043" s="30" t="s">
        <v>2504</v>
      </c>
      <c r="R4043" s="31">
        <v>0</v>
      </c>
    </row>
    <row r="4044" s="1" customFormat="1" ht="16.35" hidden="1" customHeight="1" spans="1:18">
      <c r="A4044" s="6"/>
      <c r="B4044" s="6" t="s">
        <v>4271</v>
      </c>
      <c r="C4044" s="6" t="s">
        <v>4253</v>
      </c>
      <c r="D4044" s="7">
        <v>2</v>
      </c>
      <c r="E4044" s="6" t="s">
        <v>7388</v>
      </c>
      <c r="F4044" s="6" t="s">
        <v>5631</v>
      </c>
      <c r="G4044" s="6" t="s">
        <v>5632</v>
      </c>
      <c r="H4044" s="8">
        <v>200000</v>
      </c>
      <c r="I4044" s="8"/>
      <c r="J4044" s="6"/>
      <c r="K4044" s="6" t="s">
        <v>2531</v>
      </c>
      <c r="L4044" s="6"/>
      <c r="M4044" s="6"/>
      <c r="N4044" s="6" t="s">
        <v>2531</v>
      </c>
      <c r="O4044" s="29">
        <f t="shared" si="94"/>
        <v>0</v>
      </c>
      <c r="Q4044" s="30" t="s">
        <v>2531</v>
      </c>
      <c r="R4044" s="31">
        <v>0</v>
      </c>
    </row>
    <row r="4045" s="1" customFormat="1" ht="16.35" hidden="1" customHeight="1" spans="1:18">
      <c r="A4045" s="6"/>
      <c r="B4045" s="6" t="s">
        <v>4271</v>
      </c>
      <c r="C4045" s="6" t="s">
        <v>4253</v>
      </c>
      <c r="D4045" s="7">
        <v>37</v>
      </c>
      <c r="E4045" s="6" t="s">
        <v>7394</v>
      </c>
      <c r="F4045" s="6" t="s">
        <v>5631</v>
      </c>
      <c r="G4045" s="6" t="s">
        <v>5632</v>
      </c>
      <c r="H4045" s="8"/>
      <c r="I4045" s="8">
        <v>50000</v>
      </c>
      <c r="J4045" s="6"/>
      <c r="K4045" s="6" t="s">
        <v>2502</v>
      </c>
      <c r="L4045" s="6"/>
      <c r="M4045" s="6"/>
      <c r="N4045" s="6" t="s">
        <v>2502</v>
      </c>
      <c r="O4045" s="29">
        <f t="shared" si="94"/>
        <v>50000</v>
      </c>
      <c r="Q4045" s="30" t="s">
        <v>2502</v>
      </c>
      <c r="R4045" s="31">
        <v>50000</v>
      </c>
    </row>
    <row r="4046" s="1" customFormat="1" ht="16.35" hidden="1" customHeight="1" spans="1:18">
      <c r="A4046" s="6"/>
      <c r="B4046" s="6" t="s">
        <v>4271</v>
      </c>
      <c r="C4046" s="6" t="s">
        <v>4253</v>
      </c>
      <c r="D4046" s="7">
        <v>38</v>
      </c>
      <c r="E4046" s="6" t="s">
        <v>7394</v>
      </c>
      <c r="F4046" s="6" t="s">
        <v>5631</v>
      </c>
      <c r="G4046" s="6" t="s">
        <v>5632</v>
      </c>
      <c r="H4046" s="8"/>
      <c r="I4046" s="8">
        <v>70000</v>
      </c>
      <c r="J4046" s="6"/>
      <c r="K4046" s="6" t="s">
        <v>2502</v>
      </c>
      <c r="L4046" s="6"/>
      <c r="M4046" s="6"/>
      <c r="N4046" s="6" t="s">
        <v>2502</v>
      </c>
      <c r="O4046" s="29">
        <f t="shared" si="94"/>
        <v>70000</v>
      </c>
      <c r="Q4046" s="30" t="s">
        <v>2502</v>
      </c>
      <c r="R4046" s="31">
        <v>70000</v>
      </c>
    </row>
    <row r="4047" s="1" customFormat="1" ht="16.35" hidden="1" customHeight="1" spans="1:18">
      <c r="A4047" s="6"/>
      <c r="B4047" s="6" t="s">
        <v>4271</v>
      </c>
      <c r="C4047" s="6" t="s">
        <v>4253</v>
      </c>
      <c r="D4047" s="7">
        <v>4</v>
      </c>
      <c r="E4047" s="6" t="s">
        <v>4121</v>
      </c>
      <c r="F4047" s="6" t="s">
        <v>5631</v>
      </c>
      <c r="G4047" s="6" t="s">
        <v>5632</v>
      </c>
      <c r="H4047" s="8">
        <v>193500</v>
      </c>
      <c r="I4047" s="8"/>
      <c r="J4047" s="6"/>
      <c r="K4047" s="6" t="s">
        <v>2500</v>
      </c>
      <c r="L4047" s="6"/>
      <c r="M4047" s="6"/>
      <c r="N4047" s="6" t="s">
        <v>2500</v>
      </c>
      <c r="O4047" s="29">
        <f t="shared" si="94"/>
        <v>0</v>
      </c>
      <c r="Q4047" s="30" t="s">
        <v>2500</v>
      </c>
      <c r="R4047" s="31">
        <v>0</v>
      </c>
    </row>
    <row r="4048" s="1" customFormat="1" ht="16.35" hidden="1" customHeight="1" spans="1:18">
      <c r="A4048" s="6"/>
      <c r="B4048" s="6" t="s">
        <v>4271</v>
      </c>
      <c r="C4048" s="6" t="s">
        <v>4253</v>
      </c>
      <c r="D4048" s="7">
        <v>1</v>
      </c>
      <c r="E4048" s="6" t="s">
        <v>7387</v>
      </c>
      <c r="F4048" s="6" t="s">
        <v>5631</v>
      </c>
      <c r="G4048" s="6" t="s">
        <v>5632</v>
      </c>
      <c r="H4048" s="8"/>
      <c r="I4048" s="8">
        <v>-10000</v>
      </c>
      <c r="J4048" s="6"/>
      <c r="K4048" s="6" t="s">
        <v>6447</v>
      </c>
      <c r="L4048" s="6"/>
      <c r="M4048" s="6"/>
      <c r="N4048" s="6" t="s">
        <v>6447</v>
      </c>
      <c r="O4048" s="29">
        <f t="shared" si="94"/>
        <v>-10000</v>
      </c>
      <c r="Q4048" s="30" t="s">
        <v>6447</v>
      </c>
      <c r="R4048" s="31">
        <v>-10000</v>
      </c>
    </row>
    <row r="4049" s="1" customFormat="1" ht="16.35" hidden="1" customHeight="1" spans="1:18">
      <c r="A4049" s="6"/>
      <c r="B4049" s="6" t="s">
        <v>4400</v>
      </c>
      <c r="C4049" s="6" t="s">
        <v>4124</v>
      </c>
      <c r="D4049" s="7">
        <v>5</v>
      </c>
      <c r="E4049" s="6" t="s">
        <v>7395</v>
      </c>
      <c r="F4049" s="6" t="s">
        <v>5631</v>
      </c>
      <c r="G4049" s="6" t="s">
        <v>5632</v>
      </c>
      <c r="H4049" s="8"/>
      <c r="I4049" s="8">
        <v>41435</v>
      </c>
      <c r="J4049" s="6"/>
      <c r="K4049" s="6" t="s">
        <v>2502</v>
      </c>
      <c r="L4049" s="6"/>
      <c r="M4049" s="6"/>
      <c r="N4049" s="6" t="s">
        <v>2502</v>
      </c>
      <c r="O4049" s="29">
        <f t="shared" si="94"/>
        <v>41435</v>
      </c>
      <c r="Q4049" s="30" t="s">
        <v>2502</v>
      </c>
      <c r="R4049" s="31">
        <v>41435</v>
      </c>
    </row>
    <row r="4050" s="1" customFormat="1" ht="16.35" hidden="1" customHeight="1" spans="1:18">
      <c r="A4050" s="6"/>
      <c r="B4050" s="6" t="s">
        <v>4400</v>
      </c>
      <c r="C4050" s="6" t="s">
        <v>4279</v>
      </c>
      <c r="D4050" s="7">
        <v>10</v>
      </c>
      <c r="E4050" s="6" t="s">
        <v>7396</v>
      </c>
      <c r="F4050" s="6" t="s">
        <v>5631</v>
      </c>
      <c r="G4050" s="6" t="s">
        <v>5632</v>
      </c>
      <c r="H4050" s="8"/>
      <c r="I4050" s="8">
        <v>-77449</v>
      </c>
      <c r="J4050" s="6"/>
      <c r="K4050" s="6" t="s">
        <v>2436</v>
      </c>
      <c r="L4050" s="6"/>
      <c r="M4050" s="6"/>
      <c r="N4050" s="6" t="s">
        <v>2436</v>
      </c>
      <c r="O4050" s="29">
        <f t="shared" si="94"/>
        <v>-77449</v>
      </c>
      <c r="Q4050" s="30" t="s">
        <v>2436</v>
      </c>
      <c r="R4050" s="31">
        <v>-77449</v>
      </c>
    </row>
    <row r="4051" s="1" customFormat="1" ht="16.35" hidden="1" customHeight="1" spans="1:19">
      <c r="A4051" s="6"/>
      <c r="B4051" s="6" t="s">
        <v>4400</v>
      </c>
      <c r="C4051" s="6" t="s">
        <v>4279</v>
      </c>
      <c r="D4051" s="7">
        <v>15</v>
      </c>
      <c r="E4051" s="6" t="s">
        <v>7397</v>
      </c>
      <c r="F4051" s="6" t="s">
        <v>5631</v>
      </c>
      <c r="G4051" s="6" t="s">
        <v>5632</v>
      </c>
      <c r="H4051" s="8"/>
      <c r="I4051" s="8">
        <v>370584</v>
      </c>
      <c r="J4051" s="6"/>
      <c r="K4051" s="6" t="s">
        <v>650</v>
      </c>
      <c r="L4051" s="6"/>
      <c r="M4051" s="6"/>
      <c r="N4051" s="6" t="s">
        <v>650</v>
      </c>
      <c r="O4051" s="29">
        <f t="shared" si="94"/>
        <v>370584</v>
      </c>
      <c r="Q4051" s="30" t="s">
        <v>650</v>
      </c>
      <c r="R4051" s="31">
        <v>370584</v>
      </c>
      <c r="S4051" s="1" t="s">
        <v>5626</v>
      </c>
    </row>
    <row r="4052" s="1" customFormat="1" ht="16.35" hidden="1" customHeight="1" spans="1:18">
      <c r="A4052" s="6"/>
      <c r="B4052" s="6" t="s">
        <v>4400</v>
      </c>
      <c r="C4052" s="6" t="s">
        <v>4279</v>
      </c>
      <c r="D4052" s="7">
        <v>15</v>
      </c>
      <c r="E4052" s="6" t="s">
        <v>7397</v>
      </c>
      <c r="F4052" s="6" t="s">
        <v>5631</v>
      </c>
      <c r="G4052" s="6" t="s">
        <v>5632</v>
      </c>
      <c r="H4052" s="8">
        <v>370546</v>
      </c>
      <c r="I4052" s="8"/>
      <c r="J4052" s="6"/>
      <c r="K4052" s="6" t="s">
        <v>650</v>
      </c>
      <c r="L4052" s="6"/>
      <c r="M4052" s="6"/>
      <c r="N4052" s="6" t="s">
        <v>650</v>
      </c>
      <c r="O4052" s="29">
        <f t="shared" si="94"/>
        <v>0</v>
      </c>
      <c r="Q4052" s="30" t="s">
        <v>650</v>
      </c>
      <c r="R4052" s="31">
        <v>0</v>
      </c>
    </row>
    <row r="4053" s="1" customFormat="1" ht="16.35" customHeight="1" spans="1:18">
      <c r="A4053" s="6"/>
      <c r="B4053" s="6" t="s">
        <v>4400</v>
      </c>
      <c r="C4053" s="6" t="s">
        <v>4279</v>
      </c>
      <c r="D4053" s="7">
        <v>13</v>
      </c>
      <c r="E4053" s="6" t="s">
        <v>7398</v>
      </c>
      <c r="F4053" s="6" t="s">
        <v>5631</v>
      </c>
      <c r="G4053" s="6" t="s">
        <v>5632</v>
      </c>
      <c r="H4053" s="8"/>
      <c r="I4053" s="8">
        <v>48000</v>
      </c>
      <c r="J4053" s="6"/>
      <c r="K4053" s="6" t="s">
        <v>2456</v>
      </c>
      <c r="L4053" s="6"/>
      <c r="M4053" s="6"/>
      <c r="N4053" s="6" t="s">
        <v>2456</v>
      </c>
      <c r="O4053" s="29">
        <f t="shared" ref="O4053:O4098" si="95">I4053</f>
        <v>48000</v>
      </c>
      <c r="Q4053" s="30" t="s">
        <v>2456</v>
      </c>
      <c r="R4053" s="31">
        <v>48000</v>
      </c>
    </row>
    <row r="4054" s="1" customFormat="1" ht="16.35" hidden="1" customHeight="1" spans="1:18">
      <c r="A4054" s="6"/>
      <c r="B4054" s="6" t="s">
        <v>4400</v>
      </c>
      <c r="C4054" s="6" t="s">
        <v>4279</v>
      </c>
      <c r="D4054" s="7">
        <v>1</v>
      </c>
      <c r="E4054" s="6" t="s">
        <v>7399</v>
      </c>
      <c r="F4054" s="6" t="s">
        <v>5631</v>
      </c>
      <c r="G4054" s="6" t="s">
        <v>5632</v>
      </c>
      <c r="H4054" s="8"/>
      <c r="I4054" s="8">
        <v>77060</v>
      </c>
      <c r="J4054" s="6"/>
      <c r="K4054" s="6" t="s">
        <v>2506</v>
      </c>
      <c r="L4054" s="6"/>
      <c r="M4054" s="6"/>
      <c r="N4054" s="6" t="s">
        <v>2506</v>
      </c>
      <c r="O4054" s="29">
        <f t="shared" si="95"/>
        <v>77060</v>
      </c>
      <c r="Q4054" s="30" t="s">
        <v>2506</v>
      </c>
      <c r="R4054" s="31">
        <v>77060</v>
      </c>
    </row>
    <row r="4055" s="1" customFormat="1" ht="16.35" hidden="1" customHeight="1" spans="1:18">
      <c r="A4055" s="6"/>
      <c r="B4055" s="6" t="s">
        <v>4400</v>
      </c>
      <c r="C4055" s="6" t="s">
        <v>4130</v>
      </c>
      <c r="D4055" s="7">
        <v>37</v>
      </c>
      <c r="E4055" s="6" t="s">
        <v>7379</v>
      </c>
      <c r="F4055" s="6" t="s">
        <v>5631</v>
      </c>
      <c r="G4055" s="6" t="s">
        <v>5632</v>
      </c>
      <c r="H4055" s="8">
        <v>-77449</v>
      </c>
      <c r="I4055" s="8"/>
      <c r="J4055" s="6"/>
      <c r="K4055" s="6" t="s">
        <v>2436</v>
      </c>
      <c r="L4055" s="6"/>
      <c r="M4055" s="6"/>
      <c r="N4055" s="6" t="s">
        <v>2436</v>
      </c>
      <c r="O4055" s="29">
        <f t="shared" si="95"/>
        <v>0</v>
      </c>
      <c r="Q4055" s="30" t="s">
        <v>2436</v>
      </c>
      <c r="R4055" s="31">
        <v>0</v>
      </c>
    </row>
    <row r="4056" s="1" customFormat="1" ht="16.35" hidden="1" customHeight="1" spans="1:18">
      <c r="A4056" s="6"/>
      <c r="B4056" s="6" t="s">
        <v>4400</v>
      </c>
      <c r="C4056" s="6" t="s">
        <v>4130</v>
      </c>
      <c r="D4056" s="7">
        <v>37</v>
      </c>
      <c r="E4056" s="6" t="s">
        <v>7379</v>
      </c>
      <c r="F4056" s="6" t="s">
        <v>5631</v>
      </c>
      <c r="G4056" s="6" t="s">
        <v>5632</v>
      </c>
      <c r="H4056" s="8">
        <v>77449</v>
      </c>
      <c r="I4056" s="8"/>
      <c r="J4056" s="6"/>
      <c r="K4056" s="6" t="s">
        <v>2436</v>
      </c>
      <c r="L4056" s="6"/>
      <c r="M4056" s="6"/>
      <c r="N4056" s="6" t="s">
        <v>2436</v>
      </c>
      <c r="O4056" s="29">
        <f t="shared" si="95"/>
        <v>0</v>
      </c>
      <c r="Q4056" s="30" t="s">
        <v>2436</v>
      </c>
      <c r="R4056" s="31">
        <v>0</v>
      </c>
    </row>
    <row r="4057" s="1" customFormat="1" ht="16.35" hidden="1" customHeight="1" spans="1:18">
      <c r="A4057" s="6"/>
      <c r="B4057" s="6" t="s">
        <v>4400</v>
      </c>
      <c r="C4057" s="6" t="s">
        <v>4130</v>
      </c>
      <c r="D4057" s="7">
        <v>3</v>
      </c>
      <c r="E4057" s="6" t="s">
        <v>7400</v>
      </c>
      <c r="F4057" s="6" t="s">
        <v>5631</v>
      </c>
      <c r="G4057" s="6" t="s">
        <v>5632</v>
      </c>
      <c r="H4057" s="8"/>
      <c r="I4057" s="8">
        <v>-44212</v>
      </c>
      <c r="J4057" s="6"/>
      <c r="K4057" s="6" t="s">
        <v>2682</v>
      </c>
      <c r="L4057" s="6"/>
      <c r="M4057" s="6"/>
      <c r="N4057" s="6" t="s">
        <v>2682</v>
      </c>
      <c r="O4057" s="29">
        <f t="shared" si="95"/>
        <v>-44212</v>
      </c>
      <c r="Q4057" s="30" t="s">
        <v>2682</v>
      </c>
      <c r="R4057" s="31">
        <v>-44212</v>
      </c>
    </row>
    <row r="4058" s="1" customFormat="1" ht="16.35" hidden="1" customHeight="1" spans="1:18">
      <c r="A4058" s="6"/>
      <c r="B4058" s="6" t="s">
        <v>4400</v>
      </c>
      <c r="C4058" s="6" t="s">
        <v>4130</v>
      </c>
      <c r="D4058" s="7">
        <v>26</v>
      </c>
      <c r="E4058" s="6" t="s">
        <v>7401</v>
      </c>
      <c r="F4058" s="6" t="s">
        <v>5631</v>
      </c>
      <c r="G4058" s="6" t="s">
        <v>5632</v>
      </c>
      <c r="H4058" s="8"/>
      <c r="I4058" s="8">
        <v>80756</v>
      </c>
      <c r="J4058" s="6"/>
      <c r="K4058" s="6" t="s">
        <v>2612</v>
      </c>
      <c r="L4058" s="6"/>
      <c r="M4058" s="6"/>
      <c r="N4058" s="6" t="s">
        <v>2612</v>
      </c>
      <c r="O4058" s="29">
        <f t="shared" si="95"/>
        <v>80756</v>
      </c>
      <c r="Q4058" s="30" t="s">
        <v>2612</v>
      </c>
      <c r="R4058" s="31">
        <v>80756</v>
      </c>
    </row>
    <row r="4059" s="1" customFormat="1" ht="16.35" hidden="1" customHeight="1" spans="1:18">
      <c r="A4059" s="6"/>
      <c r="B4059" s="6" t="s">
        <v>4400</v>
      </c>
      <c r="C4059" s="6" t="s">
        <v>4130</v>
      </c>
      <c r="D4059" s="7">
        <v>37</v>
      </c>
      <c r="E4059" s="6" t="s">
        <v>7379</v>
      </c>
      <c r="F4059" s="6" t="s">
        <v>5631</v>
      </c>
      <c r="G4059" s="6" t="s">
        <v>5632</v>
      </c>
      <c r="H4059" s="8">
        <v>204152</v>
      </c>
      <c r="I4059" s="8"/>
      <c r="J4059" s="6"/>
      <c r="K4059" s="6" t="s">
        <v>2031</v>
      </c>
      <c r="L4059" s="6"/>
      <c r="M4059" s="6"/>
      <c r="N4059" s="6" t="s">
        <v>2031</v>
      </c>
      <c r="O4059" s="29">
        <f t="shared" si="95"/>
        <v>0</v>
      </c>
      <c r="Q4059" s="30" t="s">
        <v>2031</v>
      </c>
      <c r="R4059" s="31">
        <v>0</v>
      </c>
    </row>
    <row r="4060" s="1" customFormat="1" ht="16.35" hidden="1" customHeight="1" spans="1:18">
      <c r="A4060" s="6"/>
      <c r="B4060" s="6" t="s">
        <v>4400</v>
      </c>
      <c r="C4060" s="6" t="s">
        <v>4130</v>
      </c>
      <c r="D4060" s="7">
        <v>37</v>
      </c>
      <c r="E4060" s="6" t="s">
        <v>7379</v>
      </c>
      <c r="F4060" s="6" t="s">
        <v>5631</v>
      </c>
      <c r="G4060" s="6" t="s">
        <v>5632</v>
      </c>
      <c r="H4060" s="8">
        <v>230223</v>
      </c>
      <c r="I4060" s="8"/>
      <c r="J4060" s="6"/>
      <c r="K4060" s="6" t="s">
        <v>2227</v>
      </c>
      <c r="L4060" s="6"/>
      <c r="M4060" s="6"/>
      <c r="N4060" s="6" t="s">
        <v>2227</v>
      </c>
      <c r="O4060" s="29">
        <f t="shared" si="95"/>
        <v>0</v>
      </c>
      <c r="Q4060" s="30" t="s">
        <v>2227</v>
      </c>
      <c r="R4060" s="31">
        <v>0</v>
      </c>
    </row>
    <row r="4061" s="1" customFormat="1" ht="16.35" hidden="1" customHeight="1" spans="1:18">
      <c r="A4061" s="6"/>
      <c r="B4061" s="6" t="s">
        <v>4400</v>
      </c>
      <c r="C4061" s="6" t="s">
        <v>4130</v>
      </c>
      <c r="D4061" s="7">
        <v>27</v>
      </c>
      <c r="E4061" s="6" t="s">
        <v>7402</v>
      </c>
      <c r="F4061" s="6" t="s">
        <v>5631</v>
      </c>
      <c r="G4061" s="6" t="s">
        <v>5632</v>
      </c>
      <c r="H4061" s="8"/>
      <c r="I4061" s="8">
        <v>180000</v>
      </c>
      <c r="J4061" s="6"/>
      <c r="K4061" s="6" t="s">
        <v>2724</v>
      </c>
      <c r="L4061" s="6"/>
      <c r="M4061" s="6"/>
      <c r="N4061" s="6" t="s">
        <v>2724</v>
      </c>
      <c r="O4061" s="29">
        <f t="shared" si="95"/>
        <v>180000</v>
      </c>
      <c r="Q4061" s="30" t="s">
        <v>2724</v>
      </c>
      <c r="R4061" s="31">
        <v>180000</v>
      </c>
    </row>
    <row r="4062" s="1" customFormat="1" ht="16.35" hidden="1" customHeight="1" spans="1:18">
      <c r="A4062" s="6"/>
      <c r="B4062" s="6" t="s">
        <v>4400</v>
      </c>
      <c r="C4062" s="6" t="s">
        <v>4130</v>
      </c>
      <c r="D4062" s="7">
        <v>37</v>
      </c>
      <c r="E4062" s="6" t="s">
        <v>7379</v>
      </c>
      <c r="F4062" s="6" t="s">
        <v>5631</v>
      </c>
      <c r="G4062" s="6" t="s">
        <v>5632</v>
      </c>
      <c r="H4062" s="8">
        <v>215000</v>
      </c>
      <c r="I4062" s="8"/>
      <c r="J4062" s="6"/>
      <c r="K4062" s="6" t="s">
        <v>2724</v>
      </c>
      <c r="L4062" s="6"/>
      <c r="M4062" s="6"/>
      <c r="N4062" s="6" t="s">
        <v>2724</v>
      </c>
      <c r="O4062" s="29">
        <f t="shared" si="95"/>
        <v>0</v>
      </c>
      <c r="Q4062" s="30" t="s">
        <v>2724</v>
      </c>
      <c r="R4062" s="31">
        <v>0</v>
      </c>
    </row>
    <row r="4063" s="1" customFormat="1" ht="16.35" hidden="1" customHeight="1" spans="1:18">
      <c r="A4063" s="6"/>
      <c r="B4063" s="6" t="s">
        <v>4400</v>
      </c>
      <c r="C4063" s="6" t="s">
        <v>4130</v>
      </c>
      <c r="D4063" s="7">
        <v>37</v>
      </c>
      <c r="E4063" s="6" t="s">
        <v>7379</v>
      </c>
      <c r="F4063" s="6" t="s">
        <v>5631</v>
      </c>
      <c r="G4063" s="6" t="s">
        <v>5632</v>
      </c>
      <c r="H4063" s="8">
        <v>236205</v>
      </c>
      <c r="I4063" s="8"/>
      <c r="J4063" s="6"/>
      <c r="K4063" s="6" t="s">
        <v>2213</v>
      </c>
      <c r="L4063" s="6"/>
      <c r="M4063" s="6"/>
      <c r="N4063" s="6" t="s">
        <v>2213</v>
      </c>
      <c r="O4063" s="29">
        <f t="shared" si="95"/>
        <v>0</v>
      </c>
      <c r="Q4063" s="30" t="s">
        <v>2213</v>
      </c>
      <c r="R4063" s="31">
        <v>0</v>
      </c>
    </row>
    <row r="4064" s="1" customFormat="1" ht="16.35" hidden="1" customHeight="1" spans="1:18">
      <c r="A4064" s="6"/>
      <c r="B4064" s="6" t="s">
        <v>4400</v>
      </c>
      <c r="C4064" s="6" t="s">
        <v>4130</v>
      </c>
      <c r="D4064" s="7">
        <v>37</v>
      </c>
      <c r="E4064" s="6" t="s">
        <v>7379</v>
      </c>
      <c r="F4064" s="6" t="s">
        <v>5631</v>
      </c>
      <c r="G4064" s="6" t="s">
        <v>5632</v>
      </c>
      <c r="H4064" s="8">
        <v>241614</v>
      </c>
      <c r="I4064" s="8"/>
      <c r="J4064" s="6"/>
      <c r="K4064" s="6" t="s">
        <v>2253</v>
      </c>
      <c r="L4064" s="6"/>
      <c r="M4064" s="6"/>
      <c r="N4064" s="6" t="s">
        <v>2253</v>
      </c>
      <c r="O4064" s="29">
        <f t="shared" si="95"/>
        <v>0</v>
      </c>
      <c r="Q4064" s="30" t="s">
        <v>2253</v>
      </c>
      <c r="R4064" s="31">
        <v>0</v>
      </c>
    </row>
    <row r="4065" s="1" customFormat="1" ht="16.35" hidden="1" customHeight="1" spans="1:18">
      <c r="A4065" s="6"/>
      <c r="B4065" s="6" t="s">
        <v>4400</v>
      </c>
      <c r="C4065" s="6" t="s">
        <v>4130</v>
      </c>
      <c r="D4065" s="7">
        <v>11</v>
      </c>
      <c r="E4065" s="6" t="s">
        <v>7403</v>
      </c>
      <c r="F4065" s="6" t="s">
        <v>5631</v>
      </c>
      <c r="G4065" s="6" t="s">
        <v>5632</v>
      </c>
      <c r="H4065" s="8"/>
      <c r="I4065" s="8">
        <v>143000</v>
      </c>
      <c r="J4065" s="6"/>
      <c r="K4065" s="6" t="s">
        <v>2506</v>
      </c>
      <c r="L4065" s="6"/>
      <c r="M4065" s="6"/>
      <c r="N4065" s="6" t="s">
        <v>2506</v>
      </c>
      <c r="O4065" s="29">
        <f t="shared" si="95"/>
        <v>143000</v>
      </c>
      <c r="Q4065" s="30" t="s">
        <v>2506</v>
      </c>
      <c r="R4065" s="31">
        <v>143000</v>
      </c>
    </row>
    <row r="4066" s="1" customFormat="1" ht="16.35" hidden="1" customHeight="1" spans="1:18">
      <c r="A4066" s="6"/>
      <c r="B4066" s="6" t="s">
        <v>4400</v>
      </c>
      <c r="C4066" s="6" t="s">
        <v>4150</v>
      </c>
      <c r="D4066" s="7">
        <v>9</v>
      </c>
      <c r="E4066" s="6" t="s">
        <v>7404</v>
      </c>
      <c r="F4066" s="6" t="s">
        <v>5631</v>
      </c>
      <c r="G4066" s="6" t="s">
        <v>5632</v>
      </c>
      <c r="H4066" s="8"/>
      <c r="I4066" s="8">
        <v>103572</v>
      </c>
      <c r="J4066" s="6"/>
      <c r="K4066" s="6" t="s">
        <v>2436</v>
      </c>
      <c r="L4066" s="6"/>
      <c r="M4066" s="6"/>
      <c r="N4066" s="6" t="s">
        <v>2436</v>
      </c>
      <c r="O4066" s="29">
        <f t="shared" si="95"/>
        <v>103572</v>
      </c>
      <c r="Q4066" s="30" t="s">
        <v>2436</v>
      </c>
      <c r="R4066" s="31">
        <v>103572</v>
      </c>
    </row>
    <row r="4067" s="1" customFormat="1" ht="16.35" hidden="1" customHeight="1" spans="1:18">
      <c r="A4067" s="6"/>
      <c r="B4067" s="6" t="s">
        <v>4400</v>
      </c>
      <c r="C4067" s="6" t="s">
        <v>4150</v>
      </c>
      <c r="D4067" s="7">
        <v>20</v>
      </c>
      <c r="E4067" s="6" t="s">
        <v>7405</v>
      </c>
      <c r="F4067" s="6" t="s">
        <v>5631</v>
      </c>
      <c r="G4067" s="6" t="s">
        <v>5632</v>
      </c>
      <c r="H4067" s="8"/>
      <c r="I4067" s="8">
        <v>79212</v>
      </c>
      <c r="J4067" s="6"/>
      <c r="K4067" s="6" t="s">
        <v>2682</v>
      </c>
      <c r="L4067" s="6"/>
      <c r="M4067" s="6"/>
      <c r="N4067" s="6" t="s">
        <v>2682</v>
      </c>
      <c r="O4067" s="29">
        <f t="shared" si="95"/>
        <v>79212</v>
      </c>
      <c r="Q4067" s="30" t="s">
        <v>2682</v>
      </c>
      <c r="R4067" s="31">
        <v>79212</v>
      </c>
    </row>
    <row r="4068" s="1" customFormat="1" ht="16.35" hidden="1" customHeight="1" spans="1:18">
      <c r="A4068" s="6"/>
      <c r="B4068" s="6" t="s">
        <v>4400</v>
      </c>
      <c r="C4068" s="6" t="s">
        <v>4150</v>
      </c>
      <c r="D4068" s="7">
        <v>10</v>
      </c>
      <c r="E4068" s="6" t="s">
        <v>7406</v>
      </c>
      <c r="F4068" s="6" t="s">
        <v>5631</v>
      </c>
      <c r="G4068" s="6" t="s">
        <v>5632</v>
      </c>
      <c r="H4068" s="8"/>
      <c r="I4068" s="8">
        <v>170000</v>
      </c>
      <c r="J4068" s="6"/>
      <c r="K4068" s="6" t="s">
        <v>2612</v>
      </c>
      <c r="L4068" s="6"/>
      <c r="M4068" s="6"/>
      <c r="N4068" s="6" t="s">
        <v>2612</v>
      </c>
      <c r="O4068" s="29">
        <f t="shared" si="95"/>
        <v>170000</v>
      </c>
      <c r="Q4068" s="30" t="s">
        <v>2612</v>
      </c>
      <c r="R4068" s="31">
        <v>170000</v>
      </c>
    </row>
    <row r="4069" s="1" customFormat="1" ht="16.35" hidden="1" customHeight="1" spans="1:18">
      <c r="A4069" s="6"/>
      <c r="B4069" s="6" t="s">
        <v>4400</v>
      </c>
      <c r="C4069" s="6" t="s">
        <v>4150</v>
      </c>
      <c r="D4069" s="7">
        <v>9</v>
      </c>
      <c r="E4069" s="6" t="s">
        <v>7407</v>
      </c>
      <c r="F4069" s="6" t="s">
        <v>5631</v>
      </c>
      <c r="G4069" s="6" t="s">
        <v>5632</v>
      </c>
      <c r="H4069" s="8"/>
      <c r="I4069" s="8">
        <v>145293</v>
      </c>
      <c r="J4069" s="6"/>
      <c r="K4069" s="6" t="s">
        <v>2622</v>
      </c>
      <c r="L4069" s="6"/>
      <c r="M4069" s="6"/>
      <c r="N4069" s="6" t="s">
        <v>2622</v>
      </c>
      <c r="O4069" s="29">
        <f t="shared" si="95"/>
        <v>145293</v>
      </c>
      <c r="Q4069" s="30" t="s">
        <v>2622</v>
      </c>
      <c r="R4069" s="31">
        <v>145293</v>
      </c>
    </row>
    <row r="4070" s="1" customFormat="1" ht="16.35" hidden="1" customHeight="1" spans="1:18">
      <c r="A4070" s="6"/>
      <c r="B4070" s="6" t="s">
        <v>4400</v>
      </c>
      <c r="C4070" s="6" t="s">
        <v>4150</v>
      </c>
      <c r="D4070" s="7">
        <v>11</v>
      </c>
      <c r="E4070" s="6" t="s">
        <v>7407</v>
      </c>
      <c r="F4070" s="6" t="s">
        <v>5631</v>
      </c>
      <c r="G4070" s="6" t="s">
        <v>5632</v>
      </c>
      <c r="H4070" s="8"/>
      <c r="I4070" s="8">
        <v>19000</v>
      </c>
      <c r="J4070" s="6"/>
      <c r="K4070" s="6" t="s">
        <v>2622</v>
      </c>
      <c r="L4070" s="6"/>
      <c r="M4070" s="6"/>
      <c r="N4070" s="6" t="s">
        <v>2622</v>
      </c>
      <c r="O4070" s="29">
        <f t="shared" si="95"/>
        <v>19000</v>
      </c>
      <c r="Q4070" s="30" t="s">
        <v>2622</v>
      </c>
      <c r="R4070" s="31">
        <v>19000</v>
      </c>
    </row>
    <row r="4071" s="1" customFormat="1" ht="16.35" hidden="1" customHeight="1" spans="1:18">
      <c r="A4071" s="6"/>
      <c r="B4071" s="6" t="s">
        <v>4400</v>
      </c>
      <c r="C4071" s="6" t="s">
        <v>4150</v>
      </c>
      <c r="D4071" s="7">
        <v>15</v>
      </c>
      <c r="E4071" s="6" t="s">
        <v>7407</v>
      </c>
      <c r="F4071" s="6" t="s">
        <v>5631</v>
      </c>
      <c r="G4071" s="6" t="s">
        <v>5632</v>
      </c>
      <c r="H4071" s="8"/>
      <c r="I4071" s="8">
        <v>8000</v>
      </c>
      <c r="J4071" s="6"/>
      <c r="K4071" s="6" t="s">
        <v>2622</v>
      </c>
      <c r="L4071" s="6"/>
      <c r="M4071" s="6"/>
      <c r="N4071" s="6" t="s">
        <v>2622</v>
      </c>
      <c r="O4071" s="29">
        <f t="shared" si="95"/>
        <v>8000</v>
      </c>
      <c r="Q4071" s="30" t="s">
        <v>2622</v>
      </c>
      <c r="R4071" s="31">
        <v>8000</v>
      </c>
    </row>
    <row r="4072" s="1" customFormat="1" ht="16.35" hidden="1" customHeight="1" spans="1:18">
      <c r="A4072" s="6"/>
      <c r="B4072" s="6" t="s">
        <v>4400</v>
      </c>
      <c r="C4072" s="6" t="s">
        <v>4150</v>
      </c>
      <c r="D4072" s="7">
        <v>44</v>
      </c>
      <c r="E4072" s="6" t="s">
        <v>7387</v>
      </c>
      <c r="F4072" s="6" t="s">
        <v>5631</v>
      </c>
      <c r="G4072" s="6" t="s">
        <v>5632</v>
      </c>
      <c r="H4072" s="8"/>
      <c r="I4072" s="8">
        <v>-35000</v>
      </c>
      <c r="J4072" s="6"/>
      <c r="K4072" s="6" t="s">
        <v>2724</v>
      </c>
      <c r="L4072" s="6"/>
      <c r="M4072" s="6"/>
      <c r="N4072" s="6" t="s">
        <v>2724</v>
      </c>
      <c r="O4072" s="29">
        <f t="shared" si="95"/>
        <v>-35000</v>
      </c>
      <c r="Q4072" s="30" t="s">
        <v>2724</v>
      </c>
      <c r="R4072" s="31">
        <v>-35000</v>
      </c>
    </row>
    <row r="4073" s="1" customFormat="1" ht="16.35" hidden="1" customHeight="1" spans="1:18">
      <c r="A4073" s="6"/>
      <c r="B4073" s="6" t="s">
        <v>4400</v>
      </c>
      <c r="C4073" s="6" t="s">
        <v>4150</v>
      </c>
      <c r="D4073" s="7">
        <v>44</v>
      </c>
      <c r="E4073" s="6" t="s">
        <v>7387</v>
      </c>
      <c r="F4073" s="6" t="s">
        <v>5631</v>
      </c>
      <c r="G4073" s="6" t="s">
        <v>5632</v>
      </c>
      <c r="H4073" s="8"/>
      <c r="I4073" s="8">
        <v>35000</v>
      </c>
      <c r="J4073" s="6"/>
      <c r="K4073" s="6" t="s">
        <v>2724</v>
      </c>
      <c r="L4073" s="6"/>
      <c r="M4073" s="6"/>
      <c r="N4073" s="6" t="s">
        <v>2724</v>
      </c>
      <c r="O4073" s="29">
        <f t="shared" si="95"/>
        <v>35000</v>
      </c>
      <c r="Q4073" s="30" t="s">
        <v>2724</v>
      </c>
      <c r="R4073" s="31">
        <v>35000</v>
      </c>
    </row>
    <row r="4074" s="1" customFormat="1" ht="16.35" hidden="1" customHeight="1" spans="1:18">
      <c r="A4074" s="6"/>
      <c r="B4074" s="6" t="s">
        <v>4400</v>
      </c>
      <c r="C4074" s="6" t="s">
        <v>4171</v>
      </c>
      <c r="D4074" s="7">
        <v>20</v>
      </c>
      <c r="E4074" s="6" t="s">
        <v>7408</v>
      </c>
      <c r="F4074" s="6" t="s">
        <v>5631</v>
      </c>
      <c r="G4074" s="6" t="s">
        <v>5632</v>
      </c>
      <c r="H4074" s="8"/>
      <c r="I4074" s="8">
        <v>30000</v>
      </c>
      <c r="J4074" s="6"/>
      <c r="K4074" s="6" t="s">
        <v>7409</v>
      </c>
      <c r="L4074" s="6"/>
      <c r="M4074" s="6"/>
      <c r="N4074" s="6" t="s">
        <v>7409</v>
      </c>
      <c r="O4074" s="29">
        <f t="shared" si="95"/>
        <v>30000</v>
      </c>
      <c r="Q4074" s="30" t="s">
        <v>7409</v>
      </c>
      <c r="R4074" s="31">
        <v>30000</v>
      </c>
    </row>
    <row r="4075" s="1" customFormat="1" ht="16.35" hidden="1" customHeight="1" spans="1:18">
      <c r="A4075" s="6"/>
      <c r="B4075" s="6" t="s">
        <v>4400</v>
      </c>
      <c r="C4075" s="6" t="s">
        <v>4171</v>
      </c>
      <c r="D4075" s="7">
        <v>20</v>
      </c>
      <c r="E4075" s="6" t="s">
        <v>7410</v>
      </c>
      <c r="F4075" s="6" t="s">
        <v>5631</v>
      </c>
      <c r="G4075" s="6" t="s">
        <v>5632</v>
      </c>
      <c r="H4075" s="8"/>
      <c r="I4075" s="8">
        <v>100000</v>
      </c>
      <c r="J4075" s="6"/>
      <c r="K4075" s="6" t="s">
        <v>7411</v>
      </c>
      <c r="L4075" s="6"/>
      <c r="M4075" s="6"/>
      <c r="N4075" s="6" t="s">
        <v>7411</v>
      </c>
      <c r="O4075" s="29">
        <f t="shared" si="95"/>
        <v>100000</v>
      </c>
      <c r="Q4075" s="30" t="s">
        <v>7411</v>
      </c>
      <c r="R4075" s="31">
        <v>100000</v>
      </c>
    </row>
    <row r="4076" s="1" customFormat="1" ht="16.35" hidden="1" customHeight="1" spans="1:18">
      <c r="A4076" s="6"/>
      <c r="B4076" s="6" t="s">
        <v>4400</v>
      </c>
      <c r="C4076" s="6" t="s">
        <v>4171</v>
      </c>
      <c r="D4076" s="7">
        <v>22</v>
      </c>
      <c r="E4076" s="6" t="s">
        <v>7410</v>
      </c>
      <c r="F4076" s="6" t="s">
        <v>5631</v>
      </c>
      <c r="G4076" s="6" t="s">
        <v>5632</v>
      </c>
      <c r="H4076" s="8"/>
      <c r="I4076" s="8">
        <v>100000</v>
      </c>
      <c r="J4076" s="6"/>
      <c r="K4076" s="6" t="s">
        <v>7411</v>
      </c>
      <c r="L4076" s="6"/>
      <c r="M4076" s="6"/>
      <c r="N4076" s="6" t="s">
        <v>7411</v>
      </c>
      <c r="O4076" s="29">
        <f t="shared" si="95"/>
        <v>100000</v>
      </c>
      <c r="Q4076" s="30" t="s">
        <v>7411</v>
      </c>
      <c r="R4076" s="31">
        <v>100000</v>
      </c>
    </row>
    <row r="4077" s="1" customFormat="1" ht="16.35" hidden="1" customHeight="1" spans="1:18">
      <c r="A4077" s="6"/>
      <c r="B4077" s="6" t="s">
        <v>4400</v>
      </c>
      <c r="C4077" s="6" t="s">
        <v>4171</v>
      </c>
      <c r="D4077" s="7">
        <v>6</v>
      </c>
      <c r="E4077" s="6" t="s">
        <v>7412</v>
      </c>
      <c r="F4077" s="6" t="s">
        <v>5631</v>
      </c>
      <c r="G4077" s="6" t="s">
        <v>5632</v>
      </c>
      <c r="H4077" s="8"/>
      <c r="I4077" s="8">
        <v>79767</v>
      </c>
      <c r="J4077" s="6"/>
      <c r="K4077" s="6" t="s">
        <v>2444</v>
      </c>
      <c r="L4077" s="6"/>
      <c r="M4077" s="6"/>
      <c r="N4077" s="6" t="s">
        <v>2444</v>
      </c>
      <c r="O4077" s="29">
        <f t="shared" si="95"/>
        <v>79767</v>
      </c>
      <c r="Q4077" s="30" t="s">
        <v>2444</v>
      </c>
      <c r="R4077" s="31">
        <v>79767</v>
      </c>
    </row>
    <row r="4078" s="1" customFormat="1" ht="16.35" hidden="1" customHeight="1" spans="1:18">
      <c r="A4078" s="6"/>
      <c r="B4078" s="6" t="s">
        <v>4400</v>
      </c>
      <c r="C4078" s="6" t="s">
        <v>4171</v>
      </c>
      <c r="D4078" s="7">
        <v>30</v>
      </c>
      <c r="E4078" s="6" t="s">
        <v>7413</v>
      </c>
      <c r="F4078" s="6" t="s">
        <v>5631</v>
      </c>
      <c r="G4078" s="6" t="s">
        <v>5632</v>
      </c>
      <c r="H4078" s="8"/>
      <c r="I4078" s="8">
        <v>150000</v>
      </c>
      <c r="J4078" s="6"/>
      <c r="K4078" s="6" t="s">
        <v>2334</v>
      </c>
      <c r="L4078" s="6"/>
      <c r="M4078" s="6"/>
      <c r="N4078" s="6" t="s">
        <v>2334</v>
      </c>
      <c r="O4078" s="29">
        <f t="shared" si="95"/>
        <v>150000</v>
      </c>
      <c r="Q4078" s="30" t="s">
        <v>2334</v>
      </c>
      <c r="R4078" s="31">
        <v>150000</v>
      </c>
    </row>
    <row r="4079" s="1" customFormat="1" ht="16.35" hidden="1" customHeight="1" spans="1:18">
      <c r="A4079" s="6"/>
      <c r="B4079" s="6" t="s">
        <v>4400</v>
      </c>
      <c r="C4079" s="6" t="s">
        <v>4171</v>
      </c>
      <c r="D4079" s="7">
        <v>24</v>
      </c>
      <c r="E4079" s="6" t="s">
        <v>7414</v>
      </c>
      <c r="F4079" s="6" t="s">
        <v>5631</v>
      </c>
      <c r="G4079" s="6" t="s">
        <v>5632</v>
      </c>
      <c r="H4079" s="8"/>
      <c r="I4079" s="8">
        <v>50000</v>
      </c>
      <c r="J4079" s="6"/>
      <c r="K4079" s="6" t="s">
        <v>679</v>
      </c>
      <c r="L4079" s="6"/>
      <c r="M4079" s="6"/>
      <c r="N4079" s="6" t="s">
        <v>679</v>
      </c>
      <c r="O4079" s="29">
        <f t="shared" si="95"/>
        <v>50000</v>
      </c>
      <c r="Q4079" s="30" t="s">
        <v>679</v>
      </c>
      <c r="R4079" s="31">
        <v>50000</v>
      </c>
    </row>
    <row r="4080" s="1" customFormat="1" ht="16.35" hidden="1" customHeight="1" spans="1:18">
      <c r="A4080" s="6"/>
      <c r="B4080" s="6" t="s">
        <v>4400</v>
      </c>
      <c r="C4080" s="6" t="s">
        <v>4171</v>
      </c>
      <c r="D4080" s="7">
        <v>17</v>
      </c>
      <c r="E4080" s="6" t="s">
        <v>7415</v>
      </c>
      <c r="F4080" s="6" t="s">
        <v>5631</v>
      </c>
      <c r="G4080" s="6" t="s">
        <v>5632</v>
      </c>
      <c r="H4080" s="8"/>
      <c r="I4080" s="8">
        <v>170000</v>
      </c>
      <c r="J4080" s="6"/>
      <c r="K4080" s="6" t="s">
        <v>2436</v>
      </c>
      <c r="L4080" s="6"/>
      <c r="M4080" s="6"/>
      <c r="N4080" s="6" t="s">
        <v>2436</v>
      </c>
      <c r="O4080" s="29">
        <f t="shared" si="95"/>
        <v>170000</v>
      </c>
      <c r="Q4080" s="30" t="s">
        <v>2436</v>
      </c>
      <c r="R4080" s="31">
        <v>170000</v>
      </c>
    </row>
    <row r="4081" s="1" customFormat="1" ht="16.35" hidden="1" customHeight="1" spans="1:18">
      <c r="A4081" s="6"/>
      <c r="B4081" s="6" t="s">
        <v>4400</v>
      </c>
      <c r="C4081" s="6" t="s">
        <v>4171</v>
      </c>
      <c r="D4081" s="7">
        <v>9</v>
      </c>
      <c r="E4081" s="6" t="s">
        <v>7416</v>
      </c>
      <c r="F4081" s="6" t="s">
        <v>5631</v>
      </c>
      <c r="G4081" s="6" t="s">
        <v>5632</v>
      </c>
      <c r="H4081" s="8"/>
      <c r="I4081" s="8">
        <v>100000</v>
      </c>
      <c r="J4081" s="6"/>
      <c r="K4081" s="6" t="s">
        <v>2559</v>
      </c>
      <c r="L4081" s="6"/>
      <c r="M4081" s="6"/>
      <c r="N4081" s="6" t="s">
        <v>2559</v>
      </c>
      <c r="O4081" s="29">
        <f t="shared" si="95"/>
        <v>100000</v>
      </c>
      <c r="Q4081" s="30" t="s">
        <v>2559</v>
      </c>
      <c r="R4081" s="31">
        <v>100000</v>
      </c>
    </row>
    <row r="4082" s="1" customFormat="1" ht="16.35" hidden="1" customHeight="1" spans="1:18">
      <c r="A4082" s="6"/>
      <c r="B4082" s="6" t="s">
        <v>4400</v>
      </c>
      <c r="C4082" s="6" t="s">
        <v>4171</v>
      </c>
      <c r="D4082" s="7">
        <v>18</v>
      </c>
      <c r="E4082" s="6" t="s">
        <v>7417</v>
      </c>
      <c r="F4082" s="6" t="s">
        <v>5631</v>
      </c>
      <c r="G4082" s="6" t="s">
        <v>5632</v>
      </c>
      <c r="H4082" s="8"/>
      <c r="I4082" s="8">
        <v>130000</v>
      </c>
      <c r="J4082" s="6"/>
      <c r="K4082" s="6" t="s">
        <v>2811</v>
      </c>
      <c r="L4082" s="6"/>
      <c r="M4082" s="6"/>
      <c r="N4082" s="6" t="s">
        <v>2811</v>
      </c>
      <c r="O4082" s="29">
        <f t="shared" si="95"/>
        <v>130000</v>
      </c>
      <c r="Q4082" s="30" t="s">
        <v>2811</v>
      </c>
      <c r="R4082" s="31">
        <v>130000</v>
      </c>
    </row>
    <row r="4083" s="1" customFormat="1" ht="16.35" hidden="1" customHeight="1" spans="1:18">
      <c r="A4083" s="6"/>
      <c r="B4083" s="6" t="s">
        <v>4400</v>
      </c>
      <c r="C4083" s="6" t="s">
        <v>4171</v>
      </c>
      <c r="D4083" s="7">
        <v>13</v>
      </c>
      <c r="E4083" s="6" t="s">
        <v>7418</v>
      </c>
      <c r="F4083" s="6" t="s">
        <v>5631</v>
      </c>
      <c r="G4083" s="6" t="s">
        <v>5632</v>
      </c>
      <c r="H4083" s="8"/>
      <c r="I4083" s="8">
        <v>75247</v>
      </c>
      <c r="J4083" s="6"/>
      <c r="K4083" s="6" t="s">
        <v>2348</v>
      </c>
      <c r="L4083" s="6"/>
      <c r="M4083" s="6"/>
      <c r="N4083" s="6" t="s">
        <v>2348</v>
      </c>
      <c r="O4083" s="29">
        <f t="shared" si="95"/>
        <v>75247</v>
      </c>
      <c r="Q4083" s="30" t="s">
        <v>2348</v>
      </c>
      <c r="R4083" s="31">
        <v>75247</v>
      </c>
    </row>
    <row r="4084" s="1" customFormat="1" ht="27" hidden="1" customHeight="1" spans="1:18">
      <c r="A4084" s="6"/>
      <c r="B4084" s="6" t="s">
        <v>4400</v>
      </c>
      <c r="C4084" s="6" t="s">
        <v>4171</v>
      </c>
      <c r="D4084" s="7">
        <v>20</v>
      </c>
      <c r="E4084" s="6" t="s">
        <v>7419</v>
      </c>
      <c r="F4084" s="6" t="s">
        <v>5631</v>
      </c>
      <c r="G4084" s="6" t="s">
        <v>5632</v>
      </c>
      <c r="H4084" s="8"/>
      <c r="I4084" s="8">
        <v>50000</v>
      </c>
      <c r="J4084" s="6"/>
      <c r="K4084" s="6" t="s">
        <v>676</v>
      </c>
      <c r="L4084" s="6"/>
      <c r="M4084" s="6"/>
      <c r="N4084" s="6" t="s">
        <v>676</v>
      </c>
      <c r="O4084" s="29">
        <f t="shared" si="95"/>
        <v>50000</v>
      </c>
      <c r="Q4084" s="30" t="s">
        <v>676</v>
      </c>
      <c r="R4084" s="31">
        <v>50000</v>
      </c>
    </row>
    <row r="4085" s="1" customFormat="1" ht="16.35" hidden="1" customHeight="1" spans="1:18">
      <c r="A4085" s="6"/>
      <c r="B4085" s="6" t="s">
        <v>4400</v>
      </c>
      <c r="C4085" s="6" t="s">
        <v>4171</v>
      </c>
      <c r="D4085" s="7">
        <v>23</v>
      </c>
      <c r="E4085" s="6" t="s">
        <v>7420</v>
      </c>
      <c r="F4085" s="6" t="s">
        <v>5631</v>
      </c>
      <c r="G4085" s="6" t="s">
        <v>5632</v>
      </c>
      <c r="H4085" s="8"/>
      <c r="I4085" s="8">
        <v>50000</v>
      </c>
      <c r="J4085" s="6"/>
      <c r="K4085" s="6" t="s">
        <v>674</v>
      </c>
      <c r="L4085" s="6"/>
      <c r="M4085" s="6"/>
      <c r="N4085" s="6" t="s">
        <v>674</v>
      </c>
      <c r="O4085" s="29">
        <f t="shared" si="95"/>
        <v>50000</v>
      </c>
      <c r="Q4085" s="30" t="s">
        <v>674</v>
      </c>
      <c r="R4085" s="31">
        <v>50000</v>
      </c>
    </row>
    <row r="4086" s="1" customFormat="1" ht="16.35" hidden="1" customHeight="1" spans="1:18">
      <c r="A4086" s="6"/>
      <c r="B4086" s="6" t="s">
        <v>4400</v>
      </c>
      <c r="C4086" s="6" t="s">
        <v>4171</v>
      </c>
      <c r="D4086" s="7">
        <v>11</v>
      </c>
      <c r="E4086" s="6" t="s">
        <v>7421</v>
      </c>
      <c r="F4086" s="6" t="s">
        <v>5631</v>
      </c>
      <c r="G4086" s="6" t="s">
        <v>5632</v>
      </c>
      <c r="H4086" s="8"/>
      <c r="I4086" s="8">
        <v>5000</v>
      </c>
      <c r="J4086" s="6"/>
      <c r="K4086" s="6" t="s">
        <v>2561</v>
      </c>
      <c r="L4086" s="6"/>
      <c r="M4086" s="6"/>
      <c r="N4086" s="6" t="s">
        <v>2561</v>
      </c>
      <c r="O4086" s="29">
        <f t="shared" si="95"/>
        <v>5000</v>
      </c>
      <c r="Q4086" s="30" t="s">
        <v>2561</v>
      </c>
      <c r="R4086" s="31">
        <v>5000</v>
      </c>
    </row>
    <row r="4087" s="1" customFormat="1" ht="16.35" hidden="1" customHeight="1" spans="1:18">
      <c r="A4087" s="6"/>
      <c r="B4087" s="6" t="s">
        <v>4400</v>
      </c>
      <c r="C4087" s="6" t="s">
        <v>4171</v>
      </c>
      <c r="D4087" s="7">
        <v>19</v>
      </c>
      <c r="E4087" s="6" t="s">
        <v>7422</v>
      </c>
      <c r="F4087" s="6" t="s">
        <v>5631</v>
      </c>
      <c r="G4087" s="6" t="s">
        <v>5632</v>
      </c>
      <c r="H4087" s="8"/>
      <c r="I4087" s="8">
        <v>30000</v>
      </c>
      <c r="J4087" s="6"/>
      <c r="K4087" s="6" t="s">
        <v>2690</v>
      </c>
      <c r="L4087" s="6"/>
      <c r="M4087" s="6"/>
      <c r="N4087" s="6" t="s">
        <v>2690</v>
      </c>
      <c r="O4087" s="29">
        <f t="shared" si="95"/>
        <v>30000</v>
      </c>
      <c r="Q4087" s="30" t="s">
        <v>2690</v>
      </c>
      <c r="R4087" s="31">
        <v>30000</v>
      </c>
    </row>
    <row r="4088" s="1" customFormat="1" ht="16.35" hidden="1" customHeight="1" spans="1:18">
      <c r="A4088" s="6"/>
      <c r="B4088" s="6" t="s">
        <v>4400</v>
      </c>
      <c r="C4088" s="6" t="s">
        <v>4171</v>
      </c>
      <c r="D4088" s="7">
        <v>20</v>
      </c>
      <c r="E4088" s="6" t="s">
        <v>7423</v>
      </c>
      <c r="F4088" s="6" t="s">
        <v>5631</v>
      </c>
      <c r="G4088" s="6" t="s">
        <v>5632</v>
      </c>
      <c r="H4088" s="8"/>
      <c r="I4088" s="8">
        <v>50000</v>
      </c>
      <c r="J4088" s="6"/>
      <c r="K4088" s="6" t="s">
        <v>662</v>
      </c>
      <c r="L4088" s="6"/>
      <c r="M4088" s="6"/>
      <c r="N4088" s="6" t="s">
        <v>662</v>
      </c>
      <c r="O4088" s="29">
        <f t="shared" si="95"/>
        <v>50000</v>
      </c>
      <c r="Q4088" s="30" t="s">
        <v>662</v>
      </c>
      <c r="R4088" s="31">
        <v>50000</v>
      </c>
    </row>
    <row r="4089" s="1" customFormat="1" ht="16.35" hidden="1" customHeight="1" spans="1:18">
      <c r="A4089" s="6"/>
      <c r="B4089" s="6" t="s">
        <v>4400</v>
      </c>
      <c r="C4089" s="6" t="s">
        <v>4186</v>
      </c>
      <c r="D4089" s="7">
        <v>35</v>
      </c>
      <c r="E4089" s="6" t="s">
        <v>4121</v>
      </c>
      <c r="F4089" s="6" t="s">
        <v>5631</v>
      </c>
      <c r="G4089" s="6" t="s">
        <v>5632</v>
      </c>
      <c r="H4089" s="8">
        <v>283350</v>
      </c>
      <c r="I4089" s="8"/>
      <c r="J4089" s="6"/>
      <c r="K4089" s="6" t="s">
        <v>2033</v>
      </c>
      <c r="L4089" s="6"/>
      <c r="M4089" s="6"/>
      <c r="N4089" s="6" t="s">
        <v>2033</v>
      </c>
      <c r="O4089" s="29">
        <f t="shared" si="95"/>
        <v>0</v>
      </c>
      <c r="Q4089" s="30" t="s">
        <v>2033</v>
      </c>
      <c r="R4089" s="31">
        <v>0</v>
      </c>
    </row>
    <row r="4090" s="1" customFormat="1" ht="16.35" hidden="1" customHeight="1" spans="1:18">
      <c r="A4090" s="6"/>
      <c r="B4090" s="6" t="s">
        <v>4400</v>
      </c>
      <c r="C4090" s="6" t="s">
        <v>4186</v>
      </c>
      <c r="D4090" s="7">
        <v>53</v>
      </c>
      <c r="E4090" s="6" t="s">
        <v>4121</v>
      </c>
      <c r="F4090" s="6" t="s">
        <v>5631</v>
      </c>
      <c r="G4090" s="6" t="s">
        <v>5632</v>
      </c>
      <c r="H4090" s="8">
        <v>283350</v>
      </c>
      <c r="I4090" s="8"/>
      <c r="J4090" s="6"/>
      <c r="K4090" s="6" t="s">
        <v>2033</v>
      </c>
      <c r="L4090" s="6"/>
      <c r="M4090" s="6"/>
      <c r="N4090" s="6" t="s">
        <v>2033</v>
      </c>
      <c r="O4090" s="29">
        <f t="shared" si="95"/>
        <v>0</v>
      </c>
      <c r="Q4090" s="30" t="s">
        <v>2033</v>
      </c>
      <c r="R4090" s="31">
        <v>0</v>
      </c>
    </row>
    <row r="4091" s="1" customFormat="1" ht="16.35" hidden="1" customHeight="1" spans="1:18">
      <c r="A4091" s="6"/>
      <c r="B4091" s="6" t="s">
        <v>4400</v>
      </c>
      <c r="C4091" s="6" t="s">
        <v>4186</v>
      </c>
      <c r="D4091" s="7">
        <v>20</v>
      </c>
      <c r="E4091" s="6" t="s">
        <v>7424</v>
      </c>
      <c r="F4091" s="6" t="s">
        <v>5631</v>
      </c>
      <c r="G4091" s="6" t="s">
        <v>5632</v>
      </c>
      <c r="H4091" s="8"/>
      <c r="I4091" s="8">
        <v>-2000</v>
      </c>
      <c r="J4091" s="6"/>
      <c r="K4091" s="6" t="s">
        <v>2071</v>
      </c>
      <c r="L4091" s="6"/>
      <c r="M4091" s="6"/>
      <c r="N4091" s="6" t="s">
        <v>2071</v>
      </c>
      <c r="O4091" s="29">
        <f t="shared" si="95"/>
        <v>-2000</v>
      </c>
      <c r="Q4091" s="30" t="s">
        <v>2071</v>
      </c>
      <c r="R4091" s="31">
        <v>-2000</v>
      </c>
    </row>
    <row r="4092" s="1" customFormat="1" ht="16.35" hidden="1" customHeight="1" spans="1:18">
      <c r="A4092" s="6"/>
      <c r="B4092" s="6" t="s">
        <v>4400</v>
      </c>
      <c r="C4092" s="6" t="s">
        <v>4186</v>
      </c>
      <c r="D4092" s="7">
        <v>35</v>
      </c>
      <c r="E4092" s="6" t="s">
        <v>4121</v>
      </c>
      <c r="F4092" s="6" t="s">
        <v>5631</v>
      </c>
      <c r="G4092" s="6" t="s">
        <v>5632</v>
      </c>
      <c r="H4092" s="8">
        <v>200382</v>
      </c>
      <c r="I4092" s="8"/>
      <c r="J4092" s="6"/>
      <c r="K4092" s="6" t="s">
        <v>2184</v>
      </c>
      <c r="L4092" s="6"/>
      <c r="M4092" s="6"/>
      <c r="N4092" s="6" t="s">
        <v>2184</v>
      </c>
      <c r="O4092" s="29">
        <f t="shared" si="95"/>
        <v>0</v>
      </c>
      <c r="Q4092" s="30" t="s">
        <v>2184</v>
      </c>
      <c r="R4092" s="31">
        <v>0</v>
      </c>
    </row>
    <row r="4093" s="1" customFormat="1" ht="16.35" hidden="1" customHeight="1" spans="1:18">
      <c r="A4093" s="6"/>
      <c r="B4093" s="6" t="s">
        <v>4400</v>
      </c>
      <c r="C4093" s="6" t="s">
        <v>4186</v>
      </c>
      <c r="D4093" s="7">
        <v>53</v>
      </c>
      <c r="E4093" s="6" t="s">
        <v>4121</v>
      </c>
      <c r="F4093" s="6" t="s">
        <v>5631</v>
      </c>
      <c r="G4093" s="6" t="s">
        <v>5632</v>
      </c>
      <c r="H4093" s="8">
        <v>200382</v>
      </c>
      <c r="I4093" s="8"/>
      <c r="J4093" s="6"/>
      <c r="K4093" s="6" t="s">
        <v>2184</v>
      </c>
      <c r="L4093" s="6"/>
      <c r="M4093" s="6"/>
      <c r="N4093" s="6" t="s">
        <v>2184</v>
      </c>
      <c r="O4093" s="29">
        <f t="shared" si="95"/>
        <v>0</v>
      </c>
      <c r="Q4093" s="30" t="s">
        <v>2184</v>
      </c>
      <c r="R4093" s="31">
        <v>0</v>
      </c>
    </row>
    <row r="4094" s="1" customFormat="1" ht="16.35" hidden="1" customHeight="1" spans="1:18">
      <c r="A4094" s="6"/>
      <c r="B4094" s="6" t="s">
        <v>4400</v>
      </c>
      <c r="C4094" s="6" t="s">
        <v>4186</v>
      </c>
      <c r="D4094" s="7">
        <v>19</v>
      </c>
      <c r="E4094" s="6" t="s">
        <v>7425</v>
      </c>
      <c r="F4094" s="6" t="s">
        <v>5631</v>
      </c>
      <c r="G4094" s="6" t="s">
        <v>5632</v>
      </c>
      <c r="H4094" s="8"/>
      <c r="I4094" s="8">
        <v>1244510</v>
      </c>
      <c r="J4094" s="6"/>
      <c r="K4094" s="6" t="s">
        <v>7409</v>
      </c>
      <c r="L4094" s="6"/>
      <c r="M4094" s="6"/>
      <c r="N4094" s="6" t="s">
        <v>7409</v>
      </c>
      <c r="O4094" s="29">
        <f t="shared" si="95"/>
        <v>1244510</v>
      </c>
      <c r="Q4094" s="30" t="s">
        <v>7409</v>
      </c>
      <c r="R4094" s="31">
        <v>1244510</v>
      </c>
    </row>
    <row r="4095" s="1" customFormat="1" ht="16.35" hidden="1" customHeight="1" spans="1:18">
      <c r="A4095" s="6"/>
      <c r="B4095" s="6" t="s">
        <v>4400</v>
      </c>
      <c r="C4095" s="6" t="s">
        <v>4186</v>
      </c>
      <c r="D4095" s="7">
        <v>35</v>
      </c>
      <c r="E4095" s="6" t="s">
        <v>4121</v>
      </c>
      <c r="F4095" s="6" t="s">
        <v>5631</v>
      </c>
      <c r="G4095" s="6" t="s">
        <v>5632</v>
      </c>
      <c r="H4095" s="8">
        <v>633264.93</v>
      </c>
      <c r="I4095" s="8"/>
      <c r="J4095" s="6"/>
      <c r="K4095" s="6" t="s">
        <v>7409</v>
      </c>
      <c r="L4095" s="6"/>
      <c r="M4095" s="6"/>
      <c r="N4095" s="6" t="s">
        <v>7409</v>
      </c>
      <c r="O4095" s="29">
        <f t="shared" si="95"/>
        <v>0</v>
      </c>
      <c r="Q4095" s="30" t="s">
        <v>7409</v>
      </c>
      <c r="R4095" s="31">
        <v>0</v>
      </c>
    </row>
    <row r="4096" s="1" customFormat="1" ht="16.35" hidden="1" customHeight="1" spans="1:18">
      <c r="A4096" s="6"/>
      <c r="B4096" s="6" t="s">
        <v>4400</v>
      </c>
      <c r="C4096" s="6" t="s">
        <v>4186</v>
      </c>
      <c r="D4096" s="7">
        <v>35</v>
      </c>
      <c r="E4096" s="6" t="s">
        <v>4121</v>
      </c>
      <c r="F4096" s="6" t="s">
        <v>5631</v>
      </c>
      <c r="G4096" s="6" t="s">
        <v>5632</v>
      </c>
      <c r="H4096" s="8">
        <v>641245.07</v>
      </c>
      <c r="I4096" s="8"/>
      <c r="J4096" s="6"/>
      <c r="K4096" s="6" t="s">
        <v>7409</v>
      </c>
      <c r="L4096" s="6"/>
      <c r="M4096" s="6"/>
      <c r="N4096" s="6" t="s">
        <v>7409</v>
      </c>
      <c r="O4096" s="29">
        <f t="shared" si="95"/>
        <v>0</v>
      </c>
      <c r="Q4096" s="30" t="s">
        <v>7409</v>
      </c>
      <c r="R4096" s="31">
        <v>0</v>
      </c>
    </row>
    <row r="4097" s="1" customFormat="1" ht="16.35" hidden="1" customHeight="1" spans="1:18">
      <c r="A4097" s="6"/>
      <c r="B4097" s="6" t="s">
        <v>4400</v>
      </c>
      <c r="C4097" s="6" t="s">
        <v>4186</v>
      </c>
      <c r="D4097" s="7">
        <v>53</v>
      </c>
      <c r="E4097" s="6" t="s">
        <v>4121</v>
      </c>
      <c r="F4097" s="6" t="s">
        <v>5631</v>
      </c>
      <c r="G4097" s="6" t="s">
        <v>5632</v>
      </c>
      <c r="H4097" s="8">
        <v>633264.93</v>
      </c>
      <c r="I4097" s="8"/>
      <c r="J4097" s="6"/>
      <c r="K4097" s="6" t="s">
        <v>7409</v>
      </c>
      <c r="L4097" s="6"/>
      <c r="M4097" s="6"/>
      <c r="N4097" s="6" t="s">
        <v>7409</v>
      </c>
      <c r="O4097" s="29">
        <f t="shared" si="95"/>
        <v>0</v>
      </c>
      <c r="Q4097" s="30" t="s">
        <v>7409</v>
      </c>
      <c r="R4097" s="31">
        <v>0</v>
      </c>
    </row>
    <row r="4098" s="1" customFormat="1" ht="16.35" hidden="1" customHeight="1" spans="1:18">
      <c r="A4098" s="6"/>
      <c r="B4098" s="6" t="s">
        <v>4400</v>
      </c>
      <c r="C4098" s="6" t="s">
        <v>4186</v>
      </c>
      <c r="D4098" s="7">
        <v>53</v>
      </c>
      <c r="E4098" s="6" t="s">
        <v>4121</v>
      </c>
      <c r="F4098" s="6" t="s">
        <v>5631</v>
      </c>
      <c r="G4098" s="6" t="s">
        <v>5632</v>
      </c>
      <c r="H4098" s="8">
        <v>641245.07</v>
      </c>
      <c r="I4098" s="8"/>
      <c r="J4098" s="6"/>
      <c r="K4098" s="6" t="s">
        <v>7409</v>
      </c>
      <c r="L4098" s="6"/>
      <c r="M4098" s="6"/>
      <c r="N4098" s="6" t="s">
        <v>7409</v>
      </c>
      <c r="O4098" s="29">
        <f t="shared" si="95"/>
        <v>0</v>
      </c>
      <c r="Q4098" s="30" t="s">
        <v>7409</v>
      </c>
      <c r="R4098" s="31">
        <v>0</v>
      </c>
    </row>
    <row r="4099" s="1" customFormat="1" ht="16.35" hidden="1" customHeight="1" spans="1:18">
      <c r="A4099" s="6"/>
      <c r="B4099" s="6" t="s">
        <v>4400</v>
      </c>
      <c r="C4099" s="6" t="s">
        <v>4186</v>
      </c>
      <c r="D4099" s="7">
        <v>35</v>
      </c>
      <c r="E4099" s="6" t="s">
        <v>7388</v>
      </c>
      <c r="F4099" s="6" t="s">
        <v>5631</v>
      </c>
      <c r="G4099" s="6" t="s">
        <v>5632</v>
      </c>
      <c r="H4099" s="8">
        <v>248503</v>
      </c>
      <c r="I4099" s="8"/>
      <c r="J4099" s="6"/>
      <c r="K4099" s="6" t="s">
        <v>2438</v>
      </c>
      <c r="L4099" s="6"/>
      <c r="M4099" s="6"/>
      <c r="N4099" s="6" t="s">
        <v>2438</v>
      </c>
      <c r="O4099" s="29">
        <f t="shared" ref="O4099:O4162" si="96">I4099</f>
        <v>0</v>
      </c>
      <c r="Q4099" s="30" t="s">
        <v>2438</v>
      </c>
      <c r="R4099" s="31">
        <v>0</v>
      </c>
    </row>
    <row r="4100" s="1" customFormat="1" ht="16.35" hidden="1" customHeight="1" spans="1:18">
      <c r="A4100" s="6"/>
      <c r="B4100" s="6" t="s">
        <v>4400</v>
      </c>
      <c r="C4100" s="6" t="s">
        <v>4186</v>
      </c>
      <c r="D4100" s="7">
        <v>53</v>
      </c>
      <c r="E4100" s="6" t="s">
        <v>7388</v>
      </c>
      <c r="F4100" s="6" t="s">
        <v>5631</v>
      </c>
      <c r="G4100" s="6" t="s">
        <v>5632</v>
      </c>
      <c r="H4100" s="8">
        <v>248503</v>
      </c>
      <c r="I4100" s="8"/>
      <c r="J4100" s="6"/>
      <c r="K4100" s="6" t="s">
        <v>2438</v>
      </c>
      <c r="L4100" s="6"/>
      <c r="M4100" s="6"/>
      <c r="N4100" s="6" t="s">
        <v>2438</v>
      </c>
      <c r="O4100" s="29">
        <f t="shared" si="96"/>
        <v>0</v>
      </c>
      <c r="Q4100" s="30" t="s">
        <v>2438</v>
      </c>
      <c r="R4100" s="31">
        <v>0</v>
      </c>
    </row>
    <row r="4101" s="1" customFormat="1" ht="16.35" hidden="1" customHeight="1" spans="1:18">
      <c r="A4101" s="6"/>
      <c r="B4101" s="6" t="s">
        <v>4400</v>
      </c>
      <c r="C4101" s="6" t="s">
        <v>4186</v>
      </c>
      <c r="D4101" s="7">
        <v>26</v>
      </c>
      <c r="E4101" s="6" t="s">
        <v>7426</v>
      </c>
      <c r="F4101" s="6" t="s">
        <v>5631</v>
      </c>
      <c r="G4101" s="6" t="s">
        <v>5632</v>
      </c>
      <c r="H4101" s="8"/>
      <c r="I4101" s="8">
        <v>150000</v>
      </c>
      <c r="J4101" s="6"/>
      <c r="K4101" s="6" t="s">
        <v>2444</v>
      </c>
      <c r="L4101" s="6"/>
      <c r="M4101" s="6"/>
      <c r="N4101" s="6" t="s">
        <v>2444</v>
      </c>
      <c r="O4101" s="29">
        <f t="shared" si="96"/>
        <v>150000</v>
      </c>
      <c r="Q4101" s="30" t="s">
        <v>2444</v>
      </c>
      <c r="R4101" s="31">
        <v>150000</v>
      </c>
    </row>
    <row r="4102" s="1" customFormat="1" ht="16.35" hidden="1" customHeight="1" spans="1:18">
      <c r="A4102" s="6"/>
      <c r="B4102" s="6" t="s">
        <v>4400</v>
      </c>
      <c r="C4102" s="6" t="s">
        <v>4186</v>
      </c>
      <c r="D4102" s="7">
        <v>35</v>
      </c>
      <c r="E4102" s="6" t="s">
        <v>7388</v>
      </c>
      <c r="F4102" s="6" t="s">
        <v>5631</v>
      </c>
      <c r="G4102" s="6" t="s">
        <v>5632</v>
      </c>
      <c r="H4102" s="8">
        <v>229767</v>
      </c>
      <c r="I4102" s="8"/>
      <c r="J4102" s="6"/>
      <c r="K4102" s="6" t="s">
        <v>2444</v>
      </c>
      <c r="L4102" s="6"/>
      <c r="M4102" s="6"/>
      <c r="N4102" s="6" t="s">
        <v>2444</v>
      </c>
      <c r="O4102" s="29">
        <f t="shared" si="96"/>
        <v>0</v>
      </c>
      <c r="Q4102" s="30" t="s">
        <v>2444</v>
      </c>
      <c r="R4102" s="31">
        <v>0</v>
      </c>
    </row>
    <row r="4103" s="1" customFormat="1" ht="16.35" hidden="1" customHeight="1" spans="1:18">
      <c r="A4103" s="6"/>
      <c r="B4103" s="6" t="s">
        <v>4400</v>
      </c>
      <c r="C4103" s="6" t="s">
        <v>4186</v>
      </c>
      <c r="D4103" s="7">
        <v>53</v>
      </c>
      <c r="E4103" s="6" t="s">
        <v>7388</v>
      </c>
      <c r="F4103" s="6" t="s">
        <v>5631</v>
      </c>
      <c r="G4103" s="6" t="s">
        <v>5632</v>
      </c>
      <c r="H4103" s="8">
        <v>229767</v>
      </c>
      <c r="I4103" s="8"/>
      <c r="J4103" s="6"/>
      <c r="K4103" s="6" t="s">
        <v>2444</v>
      </c>
      <c r="L4103" s="6"/>
      <c r="M4103" s="6"/>
      <c r="N4103" s="6" t="s">
        <v>2444</v>
      </c>
      <c r="O4103" s="29">
        <f t="shared" si="96"/>
        <v>0</v>
      </c>
      <c r="Q4103" s="30" t="s">
        <v>2444</v>
      </c>
      <c r="R4103" s="31">
        <v>0</v>
      </c>
    </row>
    <row r="4104" s="1" customFormat="1" ht="16.35" hidden="1" customHeight="1" spans="1:18">
      <c r="A4104" s="6"/>
      <c r="B4104" s="6" t="s">
        <v>4400</v>
      </c>
      <c r="C4104" s="6" t="s">
        <v>4186</v>
      </c>
      <c r="D4104" s="7">
        <v>35</v>
      </c>
      <c r="E4104" s="6" t="s">
        <v>4121</v>
      </c>
      <c r="F4104" s="6" t="s">
        <v>5631</v>
      </c>
      <c r="G4104" s="6" t="s">
        <v>5632</v>
      </c>
      <c r="H4104" s="8">
        <v>269000</v>
      </c>
      <c r="I4104" s="8"/>
      <c r="J4104" s="6"/>
      <c r="K4104" s="6" t="s">
        <v>2803</v>
      </c>
      <c r="L4104" s="6"/>
      <c r="M4104" s="6"/>
      <c r="N4104" s="6" t="s">
        <v>2803</v>
      </c>
      <c r="O4104" s="29">
        <f t="shared" si="96"/>
        <v>0</v>
      </c>
      <c r="Q4104" s="30" t="s">
        <v>2803</v>
      </c>
      <c r="R4104" s="31">
        <v>0</v>
      </c>
    </row>
    <row r="4105" s="1" customFormat="1" ht="16.35" hidden="1" customHeight="1" spans="1:18">
      <c r="A4105" s="6"/>
      <c r="B4105" s="6" t="s">
        <v>4400</v>
      </c>
      <c r="C4105" s="6" t="s">
        <v>4186</v>
      </c>
      <c r="D4105" s="7">
        <v>53</v>
      </c>
      <c r="E4105" s="6" t="s">
        <v>4121</v>
      </c>
      <c r="F4105" s="6" t="s">
        <v>5631</v>
      </c>
      <c r="G4105" s="6" t="s">
        <v>5632</v>
      </c>
      <c r="H4105" s="8">
        <v>269000</v>
      </c>
      <c r="I4105" s="8"/>
      <c r="J4105" s="6"/>
      <c r="K4105" s="6" t="s">
        <v>2803</v>
      </c>
      <c r="L4105" s="6"/>
      <c r="M4105" s="6"/>
      <c r="N4105" s="6" t="s">
        <v>2803</v>
      </c>
      <c r="O4105" s="29">
        <f t="shared" si="96"/>
        <v>0</v>
      </c>
      <c r="Q4105" s="30" t="s">
        <v>2803</v>
      </c>
      <c r="R4105" s="31">
        <v>0</v>
      </c>
    </row>
    <row r="4106" s="1" customFormat="1" ht="16.35" hidden="1" customHeight="1" spans="1:18">
      <c r="A4106" s="6"/>
      <c r="B4106" s="6" t="s">
        <v>4400</v>
      </c>
      <c r="C4106" s="6" t="s">
        <v>4186</v>
      </c>
      <c r="D4106" s="7">
        <v>35</v>
      </c>
      <c r="E4106" s="6" t="s">
        <v>7388</v>
      </c>
      <c r="F4106" s="6" t="s">
        <v>5631</v>
      </c>
      <c r="G4106" s="6" t="s">
        <v>5632</v>
      </c>
      <c r="H4106" s="8">
        <v>393954</v>
      </c>
      <c r="I4106" s="8"/>
      <c r="J4106" s="6"/>
      <c r="K4106" s="6" t="s">
        <v>2572</v>
      </c>
      <c r="L4106" s="6"/>
      <c r="M4106" s="6"/>
      <c r="N4106" s="6" t="s">
        <v>2572</v>
      </c>
      <c r="O4106" s="29">
        <f t="shared" si="96"/>
        <v>0</v>
      </c>
      <c r="Q4106" s="30" t="s">
        <v>2572</v>
      </c>
      <c r="R4106" s="31">
        <v>0</v>
      </c>
    </row>
    <row r="4107" s="1" customFormat="1" ht="16.35" hidden="1" customHeight="1" spans="1:18">
      <c r="A4107" s="6"/>
      <c r="B4107" s="6" t="s">
        <v>4400</v>
      </c>
      <c r="C4107" s="6" t="s">
        <v>4186</v>
      </c>
      <c r="D4107" s="7">
        <v>53</v>
      </c>
      <c r="E4107" s="6" t="s">
        <v>7388</v>
      </c>
      <c r="F4107" s="6" t="s">
        <v>5631</v>
      </c>
      <c r="G4107" s="6" t="s">
        <v>5632</v>
      </c>
      <c r="H4107" s="8">
        <v>393954</v>
      </c>
      <c r="I4107" s="8"/>
      <c r="J4107" s="6"/>
      <c r="K4107" s="6" t="s">
        <v>2572</v>
      </c>
      <c r="L4107" s="6"/>
      <c r="M4107" s="6"/>
      <c r="N4107" s="6" t="s">
        <v>2572</v>
      </c>
      <c r="O4107" s="29">
        <f t="shared" si="96"/>
        <v>0</v>
      </c>
      <c r="Q4107" s="30" t="s">
        <v>2572</v>
      </c>
      <c r="R4107" s="31">
        <v>0</v>
      </c>
    </row>
    <row r="4108" s="1" customFormat="1" ht="16.35" hidden="1" customHeight="1" spans="1:18">
      <c r="A4108" s="6"/>
      <c r="B4108" s="6" t="s">
        <v>4400</v>
      </c>
      <c r="C4108" s="6" t="s">
        <v>4186</v>
      </c>
      <c r="D4108" s="7">
        <v>35</v>
      </c>
      <c r="E4108" s="6" t="s">
        <v>7388</v>
      </c>
      <c r="F4108" s="6" t="s">
        <v>5631</v>
      </c>
      <c r="G4108" s="6" t="s">
        <v>5632</v>
      </c>
      <c r="H4108" s="8">
        <v>273572</v>
      </c>
      <c r="I4108" s="8"/>
      <c r="J4108" s="6"/>
      <c r="K4108" s="6" t="s">
        <v>2436</v>
      </c>
      <c r="L4108" s="6"/>
      <c r="M4108" s="6"/>
      <c r="N4108" s="6" t="s">
        <v>2436</v>
      </c>
      <c r="O4108" s="29">
        <f t="shared" si="96"/>
        <v>0</v>
      </c>
      <c r="Q4108" s="30" t="s">
        <v>2436</v>
      </c>
      <c r="R4108" s="31">
        <v>0</v>
      </c>
    </row>
    <row r="4109" s="1" customFormat="1" ht="16.35" hidden="1" customHeight="1" spans="1:18">
      <c r="A4109" s="6"/>
      <c r="B4109" s="6" t="s">
        <v>4400</v>
      </c>
      <c r="C4109" s="6" t="s">
        <v>4186</v>
      </c>
      <c r="D4109" s="7">
        <v>53</v>
      </c>
      <c r="E4109" s="6" t="s">
        <v>7388</v>
      </c>
      <c r="F4109" s="6" t="s">
        <v>5631</v>
      </c>
      <c r="G4109" s="6" t="s">
        <v>5632</v>
      </c>
      <c r="H4109" s="8">
        <v>273572</v>
      </c>
      <c r="I4109" s="8"/>
      <c r="J4109" s="6"/>
      <c r="K4109" s="6" t="s">
        <v>2436</v>
      </c>
      <c r="L4109" s="6"/>
      <c r="M4109" s="6"/>
      <c r="N4109" s="6" t="s">
        <v>2436</v>
      </c>
      <c r="O4109" s="29">
        <f t="shared" si="96"/>
        <v>0</v>
      </c>
      <c r="Q4109" s="30" t="s">
        <v>2436</v>
      </c>
      <c r="R4109" s="31">
        <v>0</v>
      </c>
    </row>
    <row r="4110" s="1" customFormat="1" ht="16.35" hidden="1" customHeight="1" spans="1:18">
      <c r="A4110" s="6"/>
      <c r="B4110" s="6" t="s">
        <v>4400</v>
      </c>
      <c r="C4110" s="6" t="s">
        <v>4186</v>
      </c>
      <c r="D4110" s="7">
        <v>11</v>
      </c>
      <c r="E4110" s="6" t="s">
        <v>7427</v>
      </c>
      <c r="F4110" s="6" t="s">
        <v>5631</v>
      </c>
      <c r="G4110" s="6" t="s">
        <v>5632</v>
      </c>
      <c r="H4110" s="8"/>
      <c r="I4110" s="8">
        <v>60000</v>
      </c>
      <c r="J4110" s="6"/>
      <c r="K4110" s="6" t="s">
        <v>2682</v>
      </c>
      <c r="L4110" s="6"/>
      <c r="M4110" s="6"/>
      <c r="N4110" s="6" t="s">
        <v>2682</v>
      </c>
      <c r="O4110" s="29">
        <f t="shared" si="96"/>
        <v>60000</v>
      </c>
      <c r="Q4110" s="30" t="s">
        <v>2682</v>
      </c>
      <c r="R4110" s="31">
        <v>60000</v>
      </c>
    </row>
    <row r="4111" s="1" customFormat="1" ht="16.35" hidden="1" customHeight="1" spans="1:18">
      <c r="A4111" s="6"/>
      <c r="B4111" s="6" t="s">
        <v>4400</v>
      </c>
      <c r="C4111" s="6" t="s">
        <v>4186</v>
      </c>
      <c r="D4111" s="7">
        <v>35</v>
      </c>
      <c r="E4111" s="6" t="s">
        <v>7388</v>
      </c>
      <c r="F4111" s="6" t="s">
        <v>5631</v>
      </c>
      <c r="G4111" s="6" t="s">
        <v>5632</v>
      </c>
      <c r="H4111" s="8">
        <v>139212</v>
      </c>
      <c r="I4111" s="8"/>
      <c r="J4111" s="6"/>
      <c r="K4111" s="6" t="s">
        <v>2682</v>
      </c>
      <c r="L4111" s="6"/>
      <c r="M4111" s="6"/>
      <c r="N4111" s="6" t="s">
        <v>2682</v>
      </c>
      <c r="O4111" s="29">
        <f t="shared" si="96"/>
        <v>0</v>
      </c>
      <c r="Q4111" s="30" t="s">
        <v>2682</v>
      </c>
      <c r="R4111" s="31">
        <v>0</v>
      </c>
    </row>
    <row r="4112" s="1" customFormat="1" ht="16.35" hidden="1" customHeight="1" spans="1:18">
      <c r="A4112" s="6"/>
      <c r="B4112" s="6" t="s">
        <v>4400</v>
      </c>
      <c r="C4112" s="6" t="s">
        <v>4186</v>
      </c>
      <c r="D4112" s="7">
        <v>53</v>
      </c>
      <c r="E4112" s="6" t="s">
        <v>7388</v>
      </c>
      <c r="F4112" s="6" t="s">
        <v>5631</v>
      </c>
      <c r="G4112" s="6" t="s">
        <v>5632</v>
      </c>
      <c r="H4112" s="8">
        <v>139212</v>
      </c>
      <c r="I4112" s="8"/>
      <c r="J4112" s="6"/>
      <c r="K4112" s="6" t="s">
        <v>2682</v>
      </c>
      <c r="L4112" s="6"/>
      <c r="M4112" s="6"/>
      <c r="N4112" s="6" t="s">
        <v>2682</v>
      </c>
      <c r="O4112" s="29">
        <f t="shared" si="96"/>
        <v>0</v>
      </c>
      <c r="Q4112" s="30" t="s">
        <v>2682</v>
      </c>
      <c r="R4112" s="31">
        <v>0</v>
      </c>
    </row>
    <row r="4113" s="1" customFormat="1" ht="16.35" hidden="1" customHeight="1" spans="1:18">
      <c r="A4113" s="6"/>
      <c r="B4113" s="6" t="s">
        <v>4400</v>
      </c>
      <c r="C4113" s="6" t="s">
        <v>4186</v>
      </c>
      <c r="D4113" s="7">
        <v>35</v>
      </c>
      <c r="E4113" s="6" t="s">
        <v>7388</v>
      </c>
      <c r="F4113" s="6" t="s">
        <v>5631</v>
      </c>
      <c r="G4113" s="6" t="s">
        <v>5632</v>
      </c>
      <c r="H4113" s="8">
        <v>250756</v>
      </c>
      <c r="I4113" s="8"/>
      <c r="J4113" s="6"/>
      <c r="K4113" s="6" t="s">
        <v>2612</v>
      </c>
      <c r="L4113" s="6"/>
      <c r="M4113" s="6"/>
      <c r="N4113" s="6" t="s">
        <v>2612</v>
      </c>
      <c r="O4113" s="29">
        <f t="shared" si="96"/>
        <v>0</v>
      </c>
      <c r="Q4113" s="30" t="s">
        <v>2612</v>
      </c>
      <c r="R4113" s="31">
        <v>0</v>
      </c>
    </row>
    <row r="4114" s="1" customFormat="1" ht="16.35" hidden="1" customHeight="1" spans="1:18">
      <c r="A4114" s="6"/>
      <c r="B4114" s="6" t="s">
        <v>4400</v>
      </c>
      <c r="C4114" s="6" t="s">
        <v>4186</v>
      </c>
      <c r="D4114" s="7">
        <v>53</v>
      </c>
      <c r="E4114" s="6" t="s">
        <v>7388</v>
      </c>
      <c r="F4114" s="6" t="s">
        <v>5631</v>
      </c>
      <c r="G4114" s="6" t="s">
        <v>5632</v>
      </c>
      <c r="H4114" s="8">
        <v>250756</v>
      </c>
      <c r="I4114" s="8"/>
      <c r="J4114" s="6"/>
      <c r="K4114" s="6" t="s">
        <v>2612</v>
      </c>
      <c r="L4114" s="6"/>
      <c r="M4114" s="6"/>
      <c r="N4114" s="6" t="s">
        <v>2612</v>
      </c>
      <c r="O4114" s="29">
        <f t="shared" si="96"/>
        <v>0</v>
      </c>
      <c r="Q4114" s="30" t="s">
        <v>2612</v>
      </c>
      <c r="R4114" s="31">
        <v>0</v>
      </c>
    </row>
    <row r="4115" s="1" customFormat="1" ht="16.35" hidden="1" customHeight="1" spans="1:18">
      <c r="A4115" s="6"/>
      <c r="B4115" s="6" t="s">
        <v>4400</v>
      </c>
      <c r="C4115" s="6" t="s">
        <v>4186</v>
      </c>
      <c r="D4115" s="7">
        <v>35</v>
      </c>
      <c r="E4115" s="6" t="s">
        <v>4121</v>
      </c>
      <c r="F4115" s="6" t="s">
        <v>5631</v>
      </c>
      <c r="G4115" s="6" t="s">
        <v>5632</v>
      </c>
      <c r="H4115" s="8">
        <v>163688</v>
      </c>
      <c r="I4115" s="8"/>
      <c r="J4115" s="6"/>
      <c r="K4115" s="6" t="s">
        <v>2157</v>
      </c>
      <c r="L4115" s="6"/>
      <c r="M4115" s="6"/>
      <c r="N4115" s="6" t="s">
        <v>2157</v>
      </c>
      <c r="O4115" s="29">
        <f t="shared" si="96"/>
        <v>0</v>
      </c>
      <c r="Q4115" s="30" t="s">
        <v>2157</v>
      </c>
      <c r="R4115" s="31">
        <v>0</v>
      </c>
    </row>
    <row r="4116" s="1" customFormat="1" ht="16.35" hidden="1" customHeight="1" spans="1:18">
      <c r="A4116" s="6"/>
      <c r="B4116" s="6" t="s">
        <v>4400</v>
      </c>
      <c r="C4116" s="6" t="s">
        <v>4186</v>
      </c>
      <c r="D4116" s="7">
        <v>53</v>
      </c>
      <c r="E4116" s="6" t="s">
        <v>4121</v>
      </c>
      <c r="F4116" s="6" t="s">
        <v>5631</v>
      </c>
      <c r="G4116" s="6" t="s">
        <v>5632</v>
      </c>
      <c r="H4116" s="8">
        <v>163688</v>
      </c>
      <c r="I4116" s="8"/>
      <c r="J4116" s="6"/>
      <c r="K4116" s="6" t="s">
        <v>2157</v>
      </c>
      <c r="L4116" s="6"/>
      <c r="M4116" s="6"/>
      <c r="N4116" s="6" t="s">
        <v>2157</v>
      </c>
      <c r="O4116" s="29">
        <f t="shared" si="96"/>
        <v>0</v>
      </c>
      <c r="Q4116" s="30" t="s">
        <v>2157</v>
      </c>
      <c r="R4116" s="31">
        <v>0</v>
      </c>
    </row>
    <row r="4117" s="1" customFormat="1" ht="16.35" hidden="1" customHeight="1" spans="1:18">
      <c r="A4117" s="6"/>
      <c r="B4117" s="6" t="s">
        <v>4400</v>
      </c>
      <c r="C4117" s="6" t="s">
        <v>4186</v>
      </c>
      <c r="D4117" s="7">
        <v>20</v>
      </c>
      <c r="E4117" s="6" t="s">
        <v>7428</v>
      </c>
      <c r="F4117" s="6" t="s">
        <v>5631</v>
      </c>
      <c r="G4117" s="6" t="s">
        <v>5632</v>
      </c>
      <c r="H4117" s="8"/>
      <c r="I4117" s="8">
        <v>-5000</v>
      </c>
      <c r="J4117" s="6"/>
      <c r="K4117" s="6" t="s">
        <v>2746</v>
      </c>
      <c r="L4117" s="6"/>
      <c r="M4117" s="6"/>
      <c r="N4117" s="6" t="s">
        <v>2746</v>
      </c>
      <c r="O4117" s="29">
        <f t="shared" si="96"/>
        <v>-5000</v>
      </c>
      <c r="Q4117" s="30" t="s">
        <v>2746</v>
      </c>
      <c r="R4117" s="31">
        <v>-5000</v>
      </c>
    </row>
    <row r="4118" s="1" customFormat="1" ht="16.35" hidden="1" customHeight="1" spans="1:18">
      <c r="A4118" s="6"/>
      <c r="B4118" s="6" t="s">
        <v>4400</v>
      </c>
      <c r="C4118" s="6" t="s">
        <v>4186</v>
      </c>
      <c r="D4118" s="7">
        <v>35</v>
      </c>
      <c r="E4118" s="6" t="s">
        <v>7388</v>
      </c>
      <c r="F4118" s="6" t="s">
        <v>5631</v>
      </c>
      <c r="G4118" s="6" t="s">
        <v>5632</v>
      </c>
      <c r="H4118" s="8">
        <v>456813</v>
      </c>
      <c r="I4118" s="8"/>
      <c r="J4118" s="6"/>
      <c r="K4118" s="6" t="s">
        <v>2811</v>
      </c>
      <c r="L4118" s="6"/>
      <c r="M4118" s="6"/>
      <c r="N4118" s="6" t="s">
        <v>2811</v>
      </c>
      <c r="O4118" s="29">
        <f t="shared" si="96"/>
        <v>0</v>
      </c>
      <c r="Q4118" s="30" t="s">
        <v>2811</v>
      </c>
      <c r="R4118" s="31">
        <v>0</v>
      </c>
    </row>
    <row r="4119" s="1" customFormat="1" ht="16.35" hidden="1" customHeight="1" spans="1:18">
      <c r="A4119" s="6"/>
      <c r="B4119" s="6" t="s">
        <v>4400</v>
      </c>
      <c r="C4119" s="6" t="s">
        <v>4186</v>
      </c>
      <c r="D4119" s="7">
        <v>53</v>
      </c>
      <c r="E4119" s="6" t="s">
        <v>7388</v>
      </c>
      <c r="F4119" s="6" t="s">
        <v>5631</v>
      </c>
      <c r="G4119" s="6" t="s">
        <v>5632</v>
      </c>
      <c r="H4119" s="8">
        <v>456813</v>
      </c>
      <c r="I4119" s="8"/>
      <c r="J4119" s="6"/>
      <c r="K4119" s="6" t="s">
        <v>2811</v>
      </c>
      <c r="L4119" s="6"/>
      <c r="M4119" s="6"/>
      <c r="N4119" s="6" t="s">
        <v>2811</v>
      </c>
      <c r="O4119" s="29">
        <f t="shared" si="96"/>
        <v>0</v>
      </c>
      <c r="Q4119" s="30" t="s">
        <v>2811</v>
      </c>
      <c r="R4119" s="31">
        <v>0</v>
      </c>
    </row>
    <row r="4120" s="1" customFormat="1" ht="16.35" hidden="1" customHeight="1" spans="1:18">
      <c r="A4120" s="6"/>
      <c r="B4120" s="6" t="s">
        <v>4400</v>
      </c>
      <c r="C4120" s="6" t="s">
        <v>4186</v>
      </c>
      <c r="D4120" s="7">
        <v>35</v>
      </c>
      <c r="E4120" s="6" t="s">
        <v>4121</v>
      </c>
      <c r="F4120" s="6" t="s">
        <v>5631</v>
      </c>
      <c r="G4120" s="6" t="s">
        <v>5632</v>
      </c>
      <c r="H4120" s="8">
        <v>242677</v>
      </c>
      <c r="I4120" s="8"/>
      <c r="J4120" s="6"/>
      <c r="K4120" s="6" t="s">
        <v>2251</v>
      </c>
      <c r="L4120" s="6"/>
      <c r="M4120" s="6"/>
      <c r="N4120" s="6" t="s">
        <v>2251</v>
      </c>
      <c r="O4120" s="29">
        <f t="shared" si="96"/>
        <v>0</v>
      </c>
      <c r="Q4120" s="30" t="s">
        <v>2251</v>
      </c>
      <c r="R4120" s="31">
        <v>0</v>
      </c>
    </row>
    <row r="4121" s="1" customFormat="1" ht="16.35" hidden="1" customHeight="1" spans="1:18">
      <c r="A4121" s="6"/>
      <c r="B4121" s="6" t="s">
        <v>4400</v>
      </c>
      <c r="C4121" s="6" t="s">
        <v>4186</v>
      </c>
      <c r="D4121" s="7">
        <v>53</v>
      </c>
      <c r="E4121" s="6" t="s">
        <v>4121</v>
      </c>
      <c r="F4121" s="6" t="s">
        <v>5631</v>
      </c>
      <c r="G4121" s="6" t="s">
        <v>5632</v>
      </c>
      <c r="H4121" s="8">
        <v>242677</v>
      </c>
      <c r="I4121" s="8"/>
      <c r="J4121" s="6"/>
      <c r="K4121" s="6" t="s">
        <v>2251</v>
      </c>
      <c r="L4121" s="6"/>
      <c r="M4121" s="6"/>
      <c r="N4121" s="6" t="s">
        <v>2251</v>
      </c>
      <c r="O4121" s="29">
        <f t="shared" si="96"/>
        <v>0</v>
      </c>
      <c r="Q4121" s="30" t="s">
        <v>2251</v>
      </c>
      <c r="R4121" s="31">
        <v>0</v>
      </c>
    </row>
    <row r="4122" s="1" customFormat="1" ht="16.35" hidden="1" customHeight="1" spans="1:18">
      <c r="A4122" s="6"/>
      <c r="B4122" s="6" t="s">
        <v>4400</v>
      </c>
      <c r="C4122" s="6" t="s">
        <v>4186</v>
      </c>
      <c r="D4122" s="7">
        <v>35</v>
      </c>
      <c r="E4122" s="6" t="s">
        <v>4121</v>
      </c>
      <c r="F4122" s="6" t="s">
        <v>5631</v>
      </c>
      <c r="G4122" s="6" t="s">
        <v>5632</v>
      </c>
      <c r="H4122" s="8">
        <v>240000</v>
      </c>
      <c r="I4122" s="8"/>
      <c r="J4122" s="6"/>
      <c r="K4122" s="6" t="s">
        <v>2267</v>
      </c>
      <c r="L4122" s="6"/>
      <c r="M4122" s="6"/>
      <c r="N4122" s="6" t="s">
        <v>2267</v>
      </c>
      <c r="O4122" s="29">
        <f t="shared" si="96"/>
        <v>0</v>
      </c>
      <c r="Q4122" s="30" t="s">
        <v>2267</v>
      </c>
      <c r="R4122" s="31">
        <v>0</v>
      </c>
    </row>
    <row r="4123" s="1" customFormat="1" ht="16.35" hidden="1" customHeight="1" spans="1:18">
      <c r="A4123" s="6"/>
      <c r="B4123" s="6" t="s">
        <v>4400</v>
      </c>
      <c r="C4123" s="6" t="s">
        <v>4186</v>
      </c>
      <c r="D4123" s="7">
        <v>53</v>
      </c>
      <c r="E4123" s="6" t="s">
        <v>4121</v>
      </c>
      <c r="F4123" s="6" t="s">
        <v>5631</v>
      </c>
      <c r="G4123" s="6" t="s">
        <v>5632</v>
      </c>
      <c r="H4123" s="8">
        <v>240000</v>
      </c>
      <c r="I4123" s="8"/>
      <c r="J4123" s="6"/>
      <c r="K4123" s="6" t="s">
        <v>2267</v>
      </c>
      <c r="L4123" s="6"/>
      <c r="M4123" s="6"/>
      <c r="N4123" s="6" t="s">
        <v>2267</v>
      </c>
      <c r="O4123" s="29">
        <f t="shared" si="96"/>
        <v>0</v>
      </c>
      <c r="Q4123" s="30" t="s">
        <v>2267</v>
      </c>
      <c r="R4123" s="31">
        <v>0</v>
      </c>
    </row>
    <row r="4124" s="1" customFormat="1" ht="16.35" hidden="1" customHeight="1" spans="1:18">
      <c r="A4124" s="6"/>
      <c r="B4124" s="6" t="s">
        <v>4400</v>
      </c>
      <c r="C4124" s="6" t="s">
        <v>4186</v>
      </c>
      <c r="D4124" s="7">
        <v>6</v>
      </c>
      <c r="E4124" s="6" t="s">
        <v>7429</v>
      </c>
      <c r="F4124" s="6" t="s">
        <v>5631</v>
      </c>
      <c r="G4124" s="6" t="s">
        <v>5632</v>
      </c>
      <c r="H4124" s="8"/>
      <c r="I4124" s="8">
        <v>728921</v>
      </c>
      <c r="J4124" s="6"/>
      <c r="K4124" s="6" t="s">
        <v>2889</v>
      </c>
      <c r="L4124" s="6"/>
      <c r="M4124" s="6"/>
      <c r="N4124" s="6" t="s">
        <v>2889</v>
      </c>
      <c r="O4124" s="29">
        <f t="shared" si="96"/>
        <v>728921</v>
      </c>
      <c r="Q4124" s="30" t="s">
        <v>2889</v>
      </c>
      <c r="R4124" s="31">
        <v>728921</v>
      </c>
    </row>
    <row r="4125" s="1" customFormat="1" ht="16.35" hidden="1" customHeight="1" spans="1:18">
      <c r="A4125" s="6"/>
      <c r="B4125" s="6" t="s">
        <v>4400</v>
      </c>
      <c r="C4125" s="6" t="s">
        <v>4186</v>
      </c>
      <c r="D4125" s="7">
        <v>25</v>
      </c>
      <c r="E4125" s="6" t="s">
        <v>7430</v>
      </c>
      <c r="F4125" s="6" t="s">
        <v>5631</v>
      </c>
      <c r="G4125" s="6" t="s">
        <v>5632</v>
      </c>
      <c r="H4125" s="8"/>
      <c r="I4125" s="8">
        <v>57930</v>
      </c>
      <c r="J4125" s="6"/>
      <c r="K4125" s="6" t="s">
        <v>2561</v>
      </c>
      <c r="L4125" s="6"/>
      <c r="M4125" s="6"/>
      <c r="N4125" s="6" t="s">
        <v>2561</v>
      </c>
      <c r="O4125" s="29">
        <f t="shared" si="96"/>
        <v>57930</v>
      </c>
      <c r="Q4125" s="30" t="s">
        <v>2561</v>
      </c>
      <c r="R4125" s="31">
        <v>57930</v>
      </c>
    </row>
    <row r="4126" s="1" customFormat="1" ht="16.35" hidden="1" customHeight="1" spans="1:18">
      <c r="A4126" s="6"/>
      <c r="B4126" s="6" t="s">
        <v>4400</v>
      </c>
      <c r="C4126" s="6" t="s">
        <v>4186</v>
      </c>
      <c r="D4126" s="7">
        <v>35</v>
      </c>
      <c r="E4126" s="6" t="s">
        <v>7388</v>
      </c>
      <c r="F4126" s="6" t="s">
        <v>5631</v>
      </c>
      <c r="G4126" s="6" t="s">
        <v>5632</v>
      </c>
      <c r="H4126" s="8">
        <v>172293</v>
      </c>
      <c r="I4126" s="8"/>
      <c r="J4126" s="6"/>
      <c r="K4126" s="6" t="s">
        <v>2622</v>
      </c>
      <c r="L4126" s="6"/>
      <c r="M4126" s="6"/>
      <c r="N4126" s="6" t="s">
        <v>2622</v>
      </c>
      <c r="O4126" s="29">
        <f t="shared" si="96"/>
        <v>0</v>
      </c>
      <c r="Q4126" s="30" t="s">
        <v>2622</v>
      </c>
      <c r="R4126" s="31">
        <v>0</v>
      </c>
    </row>
    <row r="4127" s="1" customFormat="1" ht="16.35" hidden="1" customHeight="1" spans="1:18">
      <c r="A4127" s="6"/>
      <c r="B4127" s="6" t="s">
        <v>4400</v>
      </c>
      <c r="C4127" s="6" t="s">
        <v>4186</v>
      </c>
      <c r="D4127" s="7">
        <v>53</v>
      </c>
      <c r="E4127" s="6" t="s">
        <v>7388</v>
      </c>
      <c r="F4127" s="6" t="s">
        <v>5631</v>
      </c>
      <c r="G4127" s="6" t="s">
        <v>5632</v>
      </c>
      <c r="H4127" s="8">
        <v>172293</v>
      </c>
      <c r="I4127" s="8"/>
      <c r="J4127" s="6"/>
      <c r="K4127" s="6" t="s">
        <v>2622</v>
      </c>
      <c r="L4127" s="6"/>
      <c r="M4127" s="6"/>
      <c r="N4127" s="6" t="s">
        <v>2622</v>
      </c>
      <c r="O4127" s="29">
        <f t="shared" si="96"/>
        <v>0</v>
      </c>
      <c r="Q4127" s="30" t="s">
        <v>2622</v>
      </c>
      <c r="R4127" s="31">
        <v>0</v>
      </c>
    </row>
    <row r="4128" s="1" customFormat="1" ht="16.35" hidden="1" customHeight="1" spans="1:18">
      <c r="A4128" s="6"/>
      <c r="B4128" s="6" t="s">
        <v>4400</v>
      </c>
      <c r="C4128" s="6" t="s">
        <v>4186</v>
      </c>
      <c r="D4128" s="7">
        <v>35</v>
      </c>
      <c r="E4128" s="6" t="s">
        <v>4121</v>
      </c>
      <c r="F4128" s="6" t="s">
        <v>5631</v>
      </c>
      <c r="G4128" s="6" t="s">
        <v>5632</v>
      </c>
      <c r="H4128" s="8">
        <v>245518</v>
      </c>
      <c r="I4128" s="8"/>
      <c r="J4128" s="6"/>
      <c r="K4128" s="6" t="s">
        <v>2179</v>
      </c>
      <c r="L4128" s="6"/>
      <c r="M4128" s="6"/>
      <c r="N4128" s="6" t="s">
        <v>2179</v>
      </c>
      <c r="O4128" s="29">
        <f t="shared" si="96"/>
        <v>0</v>
      </c>
      <c r="Q4128" s="30" t="s">
        <v>2179</v>
      </c>
      <c r="R4128" s="31">
        <v>0</v>
      </c>
    </row>
    <row r="4129" s="1" customFormat="1" ht="16.35" hidden="1" customHeight="1" spans="1:18">
      <c r="A4129" s="6"/>
      <c r="B4129" s="6" t="s">
        <v>4400</v>
      </c>
      <c r="C4129" s="6" t="s">
        <v>4186</v>
      </c>
      <c r="D4129" s="7">
        <v>53</v>
      </c>
      <c r="E4129" s="6" t="s">
        <v>4121</v>
      </c>
      <c r="F4129" s="6" t="s">
        <v>5631</v>
      </c>
      <c r="G4129" s="6" t="s">
        <v>5632</v>
      </c>
      <c r="H4129" s="8">
        <v>245518</v>
      </c>
      <c r="I4129" s="8"/>
      <c r="J4129" s="6"/>
      <c r="K4129" s="6" t="s">
        <v>2179</v>
      </c>
      <c r="L4129" s="6"/>
      <c r="M4129" s="6"/>
      <c r="N4129" s="6" t="s">
        <v>2179</v>
      </c>
      <c r="O4129" s="29">
        <f t="shared" si="96"/>
        <v>0</v>
      </c>
      <c r="Q4129" s="30" t="s">
        <v>2179</v>
      </c>
      <c r="R4129" s="31">
        <v>0</v>
      </c>
    </row>
    <row r="4130" s="1" customFormat="1" ht="16.35" hidden="1" customHeight="1" spans="1:18">
      <c r="A4130" s="6"/>
      <c r="B4130" s="6" t="s">
        <v>4400</v>
      </c>
      <c r="C4130" s="6" t="s">
        <v>4186</v>
      </c>
      <c r="D4130" s="7">
        <v>35</v>
      </c>
      <c r="E4130" s="6" t="s">
        <v>7388</v>
      </c>
      <c r="F4130" s="6" t="s">
        <v>5631</v>
      </c>
      <c r="G4130" s="6" t="s">
        <v>5632</v>
      </c>
      <c r="H4130" s="8">
        <v>215843</v>
      </c>
      <c r="I4130" s="8"/>
      <c r="J4130" s="6"/>
      <c r="K4130" s="6" t="s">
        <v>2285</v>
      </c>
      <c r="L4130" s="6"/>
      <c r="M4130" s="6"/>
      <c r="N4130" s="6" t="s">
        <v>2285</v>
      </c>
      <c r="O4130" s="29">
        <f t="shared" si="96"/>
        <v>0</v>
      </c>
      <c r="Q4130" s="30" t="s">
        <v>2285</v>
      </c>
      <c r="R4130" s="31">
        <v>0</v>
      </c>
    </row>
    <row r="4131" s="1" customFormat="1" ht="16.35" hidden="1" customHeight="1" spans="1:18">
      <c r="A4131" s="6"/>
      <c r="B4131" s="6" t="s">
        <v>4400</v>
      </c>
      <c r="C4131" s="6" t="s">
        <v>4186</v>
      </c>
      <c r="D4131" s="7">
        <v>53</v>
      </c>
      <c r="E4131" s="6" t="s">
        <v>7388</v>
      </c>
      <c r="F4131" s="6" t="s">
        <v>5631</v>
      </c>
      <c r="G4131" s="6" t="s">
        <v>5632</v>
      </c>
      <c r="H4131" s="8">
        <v>215843</v>
      </c>
      <c r="I4131" s="8"/>
      <c r="J4131" s="6"/>
      <c r="K4131" s="6" t="s">
        <v>2285</v>
      </c>
      <c r="L4131" s="6"/>
      <c r="M4131" s="6"/>
      <c r="N4131" s="6" t="s">
        <v>2285</v>
      </c>
      <c r="O4131" s="29">
        <f t="shared" si="96"/>
        <v>0</v>
      </c>
      <c r="Q4131" s="30" t="s">
        <v>2285</v>
      </c>
      <c r="R4131" s="31">
        <v>0</v>
      </c>
    </row>
    <row r="4132" s="1" customFormat="1" ht="16.35" hidden="1" customHeight="1" spans="1:18">
      <c r="A4132" s="6"/>
      <c r="B4132" s="6" t="s">
        <v>4400</v>
      </c>
      <c r="C4132" s="6" t="s">
        <v>4186</v>
      </c>
      <c r="D4132" s="7">
        <v>21</v>
      </c>
      <c r="E4132" s="6" t="s">
        <v>7431</v>
      </c>
      <c r="F4132" s="6" t="s">
        <v>5631</v>
      </c>
      <c r="G4132" s="6" t="s">
        <v>5632</v>
      </c>
      <c r="H4132" s="8"/>
      <c r="I4132" s="8">
        <v>76988</v>
      </c>
      <c r="J4132" s="6"/>
      <c r="K4132" s="6" t="s">
        <v>2327</v>
      </c>
      <c r="L4132" s="6"/>
      <c r="M4132" s="6"/>
      <c r="N4132" s="6" t="s">
        <v>2327</v>
      </c>
      <c r="O4132" s="29">
        <f t="shared" si="96"/>
        <v>76988</v>
      </c>
      <c r="Q4132" s="30" t="s">
        <v>2327</v>
      </c>
      <c r="R4132" s="31">
        <v>76988</v>
      </c>
    </row>
    <row r="4133" s="1" customFormat="1" ht="16.35" hidden="1" customHeight="1" spans="1:18">
      <c r="A4133" s="6"/>
      <c r="B4133" s="6" t="s">
        <v>4400</v>
      </c>
      <c r="C4133" s="6" t="s">
        <v>4197</v>
      </c>
      <c r="D4133" s="7">
        <v>29</v>
      </c>
      <c r="E4133" s="6" t="s">
        <v>7432</v>
      </c>
      <c r="F4133" s="6" t="s">
        <v>5631</v>
      </c>
      <c r="G4133" s="6" t="s">
        <v>5632</v>
      </c>
      <c r="H4133" s="8"/>
      <c r="I4133" s="8">
        <v>245247</v>
      </c>
      <c r="J4133" s="6"/>
      <c r="K4133" s="6" t="s">
        <v>2350</v>
      </c>
      <c r="L4133" s="6"/>
      <c r="M4133" s="6"/>
      <c r="N4133" s="6" t="s">
        <v>2350</v>
      </c>
      <c r="O4133" s="29">
        <f t="shared" si="96"/>
        <v>245247</v>
      </c>
      <c r="Q4133" s="30" t="s">
        <v>2350</v>
      </c>
      <c r="R4133" s="31">
        <v>245247</v>
      </c>
    </row>
    <row r="4134" s="1" customFormat="1" ht="16.35" hidden="1" customHeight="1" spans="1:18">
      <c r="A4134" s="6"/>
      <c r="B4134" s="6" t="s">
        <v>4400</v>
      </c>
      <c r="C4134" s="6" t="s">
        <v>4197</v>
      </c>
      <c r="D4134" s="7">
        <v>26</v>
      </c>
      <c r="E4134" s="6" t="s">
        <v>7433</v>
      </c>
      <c r="F4134" s="6" t="s">
        <v>5631</v>
      </c>
      <c r="G4134" s="6" t="s">
        <v>5632</v>
      </c>
      <c r="H4134" s="8"/>
      <c r="I4134" s="8">
        <v>204669</v>
      </c>
      <c r="J4134" s="6"/>
      <c r="K4134" s="6" t="s">
        <v>2519</v>
      </c>
      <c r="L4134" s="6"/>
      <c r="M4134" s="6"/>
      <c r="N4134" s="6" t="s">
        <v>2519</v>
      </c>
      <c r="O4134" s="29">
        <f t="shared" si="96"/>
        <v>204669</v>
      </c>
      <c r="Q4134" s="30" t="s">
        <v>2519</v>
      </c>
      <c r="R4134" s="31">
        <v>204669</v>
      </c>
    </row>
    <row r="4135" s="1" customFormat="1" ht="16.35" hidden="1" customHeight="1" spans="1:18">
      <c r="A4135" s="6"/>
      <c r="B4135" s="6" t="s">
        <v>4400</v>
      </c>
      <c r="C4135" s="6" t="s">
        <v>4197</v>
      </c>
      <c r="D4135" s="7">
        <v>1</v>
      </c>
      <c r="E4135" s="6" t="s">
        <v>4121</v>
      </c>
      <c r="F4135" s="6" t="s">
        <v>5631</v>
      </c>
      <c r="G4135" s="6" t="s">
        <v>5632</v>
      </c>
      <c r="H4135" s="8">
        <v>213492</v>
      </c>
      <c r="I4135" s="8"/>
      <c r="J4135" s="6"/>
      <c r="K4135" s="6" t="s">
        <v>2033</v>
      </c>
      <c r="L4135" s="6"/>
      <c r="M4135" s="6"/>
      <c r="N4135" s="6" t="s">
        <v>2033</v>
      </c>
      <c r="O4135" s="29">
        <f t="shared" si="96"/>
        <v>0</v>
      </c>
      <c r="Q4135" s="30" t="s">
        <v>2033</v>
      </c>
      <c r="R4135" s="31">
        <v>0</v>
      </c>
    </row>
    <row r="4136" s="1" customFormat="1" ht="16.35" hidden="1" customHeight="1" spans="1:18">
      <c r="A4136" s="6"/>
      <c r="B4136" s="6" t="s">
        <v>4400</v>
      </c>
      <c r="C4136" s="6" t="s">
        <v>4197</v>
      </c>
      <c r="D4136" s="7">
        <v>23</v>
      </c>
      <c r="E4136" s="6" t="s">
        <v>7434</v>
      </c>
      <c r="F4136" s="6" t="s">
        <v>5631</v>
      </c>
      <c r="G4136" s="6" t="s">
        <v>5632</v>
      </c>
      <c r="H4136" s="8"/>
      <c r="I4136" s="8">
        <v>200000</v>
      </c>
      <c r="J4136" s="6"/>
      <c r="K4136" s="6" t="s">
        <v>7411</v>
      </c>
      <c r="L4136" s="6"/>
      <c r="M4136" s="6"/>
      <c r="N4136" s="6" t="s">
        <v>7411</v>
      </c>
      <c r="O4136" s="29">
        <f t="shared" si="96"/>
        <v>200000</v>
      </c>
      <c r="Q4136" s="30" t="s">
        <v>7411</v>
      </c>
      <c r="R4136" s="31">
        <v>200000</v>
      </c>
    </row>
    <row r="4137" s="1" customFormat="1" ht="16.35" hidden="1" customHeight="1" spans="1:18">
      <c r="A4137" s="6"/>
      <c r="B4137" s="6" t="s">
        <v>4400</v>
      </c>
      <c r="C4137" s="6" t="s">
        <v>4197</v>
      </c>
      <c r="D4137" s="7">
        <v>17</v>
      </c>
      <c r="E4137" s="6" t="s">
        <v>7435</v>
      </c>
      <c r="F4137" s="6" t="s">
        <v>5631</v>
      </c>
      <c r="G4137" s="6" t="s">
        <v>5632</v>
      </c>
      <c r="H4137" s="8"/>
      <c r="I4137" s="8">
        <v>280000</v>
      </c>
      <c r="J4137" s="6"/>
      <c r="K4137" s="6" t="s">
        <v>7436</v>
      </c>
      <c r="L4137" s="6"/>
      <c r="M4137" s="6"/>
      <c r="N4137" s="6" t="s">
        <v>7436</v>
      </c>
      <c r="O4137" s="29">
        <f t="shared" si="96"/>
        <v>280000</v>
      </c>
      <c r="Q4137" s="30" t="s">
        <v>7436</v>
      </c>
      <c r="R4137" s="31">
        <v>280000</v>
      </c>
    </row>
    <row r="4138" s="1" customFormat="1" ht="16.35" hidden="1" customHeight="1" spans="1:18">
      <c r="A4138" s="6"/>
      <c r="B4138" s="6" t="s">
        <v>4400</v>
      </c>
      <c r="C4138" s="6" t="s">
        <v>4197</v>
      </c>
      <c r="D4138" s="7">
        <v>15</v>
      </c>
      <c r="E4138" s="6" t="s">
        <v>7437</v>
      </c>
      <c r="F4138" s="6" t="s">
        <v>5631</v>
      </c>
      <c r="G4138" s="6" t="s">
        <v>5632</v>
      </c>
      <c r="H4138" s="8"/>
      <c r="I4138" s="8">
        <v>364713</v>
      </c>
      <c r="J4138" s="6"/>
      <c r="K4138" s="6" t="s">
        <v>679</v>
      </c>
      <c r="L4138" s="6"/>
      <c r="M4138" s="6"/>
      <c r="N4138" s="6" t="s">
        <v>679</v>
      </c>
      <c r="O4138" s="29">
        <f t="shared" si="96"/>
        <v>364713</v>
      </c>
      <c r="Q4138" s="30" t="s">
        <v>679</v>
      </c>
      <c r="R4138" s="31">
        <v>364713</v>
      </c>
    </row>
    <row r="4139" s="1" customFormat="1" ht="16.35" hidden="1" customHeight="1" spans="1:18">
      <c r="A4139" s="6"/>
      <c r="B4139" s="6" t="s">
        <v>4400</v>
      </c>
      <c r="C4139" s="6" t="s">
        <v>4197</v>
      </c>
      <c r="D4139" s="7">
        <v>31</v>
      </c>
      <c r="E4139" s="6" t="s">
        <v>7438</v>
      </c>
      <c r="F4139" s="6" t="s">
        <v>5631</v>
      </c>
      <c r="G4139" s="6" t="s">
        <v>5632</v>
      </c>
      <c r="H4139" s="8"/>
      <c r="I4139" s="8">
        <v>410000</v>
      </c>
      <c r="J4139" s="6"/>
      <c r="K4139" s="6" t="s">
        <v>679</v>
      </c>
      <c r="L4139" s="6"/>
      <c r="M4139" s="6"/>
      <c r="N4139" s="6" t="s">
        <v>679</v>
      </c>
      <c r="O4139" s="29">
        <f t="shared" si="96"/>
        <v>410000</v>
      </c>
      <c r="Q4139" s="30" t="s">
        <v>679</v>
      </c>
      <c r="R4139" s="31">
        <v>410000</v>
      </c>
    </row>
    <row r="4140" s="1" customFormat="1" ht="16.35" hidden="1" customHeight="1" spans="1:18">
      <c r="A4140" s="6"/>
      <c r="B4140" s="6" t="s">
        <v>4400</v>
      </c>
      <c r="C4140" s="6" t="s">
        <v>4197</v>
      </c>
      <c r="D4140" s="7">
        <v>1</v>
      </c>
      <c r="E4140" s="6" t="s">
        <v>4121</v>
      </c>
      <c r="F4140" s="6" t="s">
        <v>5631</v>
      </c>
      <c r="G4140" s="6" t="s">
        <v>5632</v>
      </c>
      <c r="H4140" s="8">
        <v>292000</v>
      </c>
      <c r="I4140" s="8"/>
      <c r="J4140" s="6"/>
      <c r="K4140" s="6" t="s">
        <v>2251</v>
      </c>
      <c r="L4140" s="6"/>
      <c r="M4140" s="6"/>
      <c r="N4140" s="6" t="s">
        <v>2251</v>
      </c>
      <c r="O4140" s="29">
        <f t="shared" si="96"/>
        <v>0</v>
      </c>
      <c r="Q4140" s="30" t="s">
        <v>2251</v>
      </c>
      <c r="R4140" s="31">
        <v>0</v>
      </c>
    </row>
    <row r="4141" s="1" customFormat="1" ht="16.35" hidden="1" customHeight="1" spans="1:18">
      <c r="A4141" s="6"/>
      <c r="B4141" s="6" t="s">
        <v>4400</v>
      </c>
      <c r="C4141" s="6" t="s">
        <v>4197</v>
      </c>
      <c r="D4141" s="7">
        <v>16</v>
      </c>
      <c r="E4141" s="6" t="s">
        <v>7439</v>
      </c>
      <c r="F4141" s="6" t="s">
        <v>5631</v>
      </c>
      <c r="G4141" s="6" t="s">
        <v>5632</v>
      </c>
      <c r="H4141" s="8"/>
      <c r="I4141" s="8">
        <v>170000</v>
      </c>
      <c r="J4141" s="6"/>
      <c r="K4141" s="6" t="s">
        <v>2348</v>
      </c>
      <c r="L4141" s="6"/>
      <c r="M4141" s="6"/>
      <c r="N4141" s="6" t="s">
        <v>2348</v>
      </c>
      <c r="O4141" s="29">
        <f t="shared" si="96"/>
        <v>170000</v>
      </c>
      <c r="Q4141" s="30" t="s">
        <v>2348</v>
      </c>
      <c r="R4141" s="31">
        <v>170000</v>
      </c>
    </row>
    <row r="4142" s="1" customFormat="1" ht="16.35" hidden="1" customHeight="1" spans="1:18">
      <c r="A4142" s="6"/>
      <c r="B4142" s="6" t="s">
        <v>4400</v>
      </c>
      <c r="C4142" s="6" t="s">
        <v>4197</v>
      </c>
      <c r="D4142" s="7">
        <v>19</v>
      </c>
      <c r="E4142" s="6" t="s">
        <v>7440</v>
      </c>
      <c r="F4142" s="6" t="s">
        <v>5631</v>
      </c>
      <c r="G4142" s="6" t="s">
        <v>5632</v>
      </c>
      <c r="H4142" s="8"/>
      <c r="I4142" s="8">
        <v>2100</v>
      </c>
      <c r="J4142" s="6"/>
      <c r="K4142" s="6" t="s">
        <v>58</v>
      </c>
      <c r="L4142" s="6"/>
      <c r="M4142" s="6"/>
      <c r="N4142" s="6" t="s">
        <v>58</v>
      </c>
      <c r="O4142" s="29">
        <f t="shared" si="96"/>
        <v>2100</v>
      </c>
      <c r="Q4142" s="30" t="s">
        <v>58</v>
      </c>
      <c r="R4142" s="31">
        <v>2100</v>
      </c>
    </row>
    <row r="4143" s="1" customFormat="1" ht="16.35" hidden="1" customHeight="1" spans="1:18">
      <c r="A4143" s="6"/>
      <c r="B4143" s="6" t="s">
        <v>4400</v>
      </c>
      <c r="C4143" s="6" t="s">
        <v>4197</v>
      </c>
      <c r="D4143" s="7">
        <v>1</v>
      </c>
      <c r="E4143" s="6" t="s">
        <v>4121</v>
      </c>
      <c r="F4143" s="6" t="s">
        <v>5631</v>
      </c>
      <c r="G4143" s="6" t="s">
        <v>5632</v>
      </c>
      <c r="H4143" s="8">
        <v>283290</v>
      </c>
      <c r="I4143" s="8"/>
      <c r="J4143" s="6"/>
      <c r="K4143" s="6" t="s">
        <v>2179</v>
      </c>
      <c r="L4143" s="6"/>
      <c r="M4143" s="6"/>
      <c r="N4143" s="6" t="s">
        <v>2179</v>
      </c>
      <c r="O4143" s="29">
        <f t="shared" si="96"/>
        <v>0</v>
      </c>
      <c r="Q4143" s="30" t="s">
        <v>2179</v>
      </c>
      <c r="R4143" s="31">
        <v>0</v>
      </c>
    </row>
    <row r="4144" s="1" customFormat="1" ht="16.35" hidden="1" customHeight="1" spans="1:18">
      <c r="A4144" s="6"/>
      <c r="B4144" s="6" t="s">
        <v>4400</v>
      </c>
      <c r="C4144" s="6" t="s">
        <v>4197</v>
      </c>
      <c r="D4144" s="7">
        <v>22</v>
      </c>
      <c r="E4144" s="6" t="s">
        <v>7441</v>
      </c>
      <c r="F4144" s="6" t="s">
        <v>5631</v>
      </c>
      <c r="G4144" s="6" t="s">
        <v>5632</v>
      </c>
      <c r="H4144" s="8"/>
      <c r="I4144" s="8">
        <v>50000</v>
      </c>
      <c r="J4144" s="6"/>
      <c r="K4144" s="6" t="s">
        <v>29</v>
      </c>
      <c r="L4144" s="6"/>
      <c r="M4144" s="6"/>
      <c r="N4144" s="6" t="s">
        <v>4536</v>
      </c>
      <c r="O4144" s="29">
        <f t="shared" si="96"/>
        <v>50000</v>
      </c>
      <c r="Q4144" s="30" t="s">
        <v>4536</v>
      </c>
      <c r="R4144" s="31">
        <v>50000</v>
      </c>
    </row>
    <row r="4145" s="1" customFormat="1" ht="16.35" hidden="1" customHeight="1" spans="1:18">
      <c r="A4145" s="6"/>
      <c r="B4145" s="6" t="s">
        <v>4400</v>
      </c>
      <c r="C4145" s="6" t="s">
        <v>4217</v>
      </c>
      <c r="D4145" s="7">
        <v>2</v>
      </c>
      <c r="E4145" s="6" t="s">
        <v>4121</v>
      </c>
      <c r="F4145" s="6" t="s">
        <v>5631</v>
      </c>
      <c r="G4145" s="6" t="s">
        <v>5632</v>
      </c>
      <c r="H4145" s="8">
        <v>270216</v>
      </c>
      <c r="I4145" s="8"/>
      <c r="J4145" s="6"/>
      <c r="K4145" s="6" t="s">
        <v>529</v>
      </c>
      <c r="L4145" s="6"/>
      <c r="M4145" s="6"/>
      <c r="N4145" s="6" t="s">
        <v>529</v>
      </c>
      <c r="O4145" s="29">
        <f t="shared" si="96"/>
        <v>0</v>
      </c>
      <c r="Q4145" s="30" t="s">
        <v>529</v>
      </c>
      <c r="R4145" s="31">
        <v>0</v>
      </c>
    </row>
    <row r="4146" s="1" customFormat="1" ht="16.35" hidden="1" customHeight="1" spans="1:18">
      <c r="A4146" s="6"/>
      <c r="B4146" s="6" t="s">
        <v>4400</v>
      </c>
      <c r="C4146" s="6" t="s">
        <v>4217</v>
      </c>
      <c r="D4146" s="7">
        <v>7</v>
      </c>
      <c r="E4146" s="6" t="s">
        <v>7442</v>
      </c>
      <c r="F4146" s="6" t="s">
        <v>5631</v>
      </c>
      <c r="G4146" s="6" t="s">
        <v>5632</v>
      </c>
      <c r="H4146" s="8"/>
      <c r="I4146" s="8">
        <v>1134</v>
      </c>
      <c r="J4146" s="6"/>
      <c r="K4146" s="6" t="s">
        <v>529</v>
      </c>
      <c r="L4146" s="6"/>
      <c r="M4146" s="6"/>
      <c r="N4146" s="6" t="s">
        <v>529</v>
      </c>
      <c r="O4146" s="29">
        <f t="shared" si="96"/>
        <v>1134</v>
      </c>
      <c r="Q4146" s="30" t="s">
        <v>529</v>
      </c>
      <c r="R4146" s="31">
        <v>1134</v>
      </c>
    </row>
    <row r="4147" s="1" customFormat="1" ht="16.35" hidden="1" customHeight="1" spans="1:18">
      <c r="A4147" s="6"/>
      <c r="B4147" s="6" t="s">
        <v>4400</v>
      </c>
      <c r="C4147" s="6" t="s">
        <v>4217</v>
      </c>
      <c r="D4147" s="7">
        <v>10</v>
      </c>
      <c r="E4147" s="6" t="s">
        <v>7443</v>
      </c>
      <c r="F4147" s="6" t="s">
        <v>5631</v>
      </c>
      <c r="G4147" s="6" t="s">
        <v>5632</v>
      </c>
      <c r="H4147" s="8"/>
      <c r="I4147" s="8">
        <v>5000</v>
      </c>
      <c r="J4147" s="6"/>
      <c r="K4147" s="6" t="s">
        <v>2352</v>
      </c>
      <c r="L4147" s="6"/>
      <c r="M4147" s="6"/>
      <c r="N4147" s="6" t="s">
        <v>2352</v>
      </c>
      <c r="O4147" s="29">
        <f t="shared" si="96"/>
        <v>5000</v>
      </c>
      <c r="Q4147" s="30" t="s">
        <v>2352</v>
      </c>
      <c r="R4147" s="31">
        <v>5000</v>
      </c>
    </row>
    <row r="4148" s="1" customFormat="1" ht="16.35" hidden="1" customHeight="1" spans="1:18">
      <c r="A4148" s="6"/>
      <c r="B4148" s="6" t="s">
        <v>4400</v>
      </c>
      <c r="C4148" s="6" t="s">
        <v>4217</v>
      </c>
      <c r="D4148" s="7">
        <v>22</v>
      </c>
      <c r="E4148" s="6" t="s">
        <v>7444</v>
      </c>
      <c r="F4148" s="6" t="s">
        <v>5631</v>
      </c>
      <c r="G4148" s="6" t="s">
        <v>5632</v>
      </c>
      <c r="H4148" s="8"/>
      <c r="I4148" s="8">
        <v>50000</v>
      </c>
      <c r="J4148" s="6"/>
      <c r="K4148" s="6" t="s">
        <v>670</v>
      </c>
      <c r="L4148" s="6"/>
      <c r="M4148" s="6"/>
      <c r="N4148" s="6" t="s">
        <v>670</v>
      </c>
      <c r="O4148" s="29">
        <f t="shared" si="96"/>
        <v>50000</v>
      </c>
      <c r="Q4148" s="30" t="s">
        <v>670</v>
      </c>
      <c r="R4148" s="31">
        <v>50000</v>
      </c>
    </row>
    <row r="4149" s="1" customFormat="1" ht="16.35" hidden="1" customHeight="1" spans="1:18">
      <c r="A4149" s="6"/>
      <c r="B4149" s="6" t="s">
        <v>4400</v>
      </c>
      <c r="C4149" s="6" t="s">
        <v>4217</v>
      </c>
      <c r="D4149" s="7">
        <v>2</v>
      </c>
      <c r="E4149" s="6" t="s">
        <v>4121</v>
      </c>
      <c r="F4149" s="6" t="s">
        <v>5631</v>
      </c>
      <c r="G4149" s="6" t="s">
        <v>5632</v>
      </c>
      <c r="H4149" s="8">
        <v>280000</v>
      </c>
      <c r="I4149" s="8"/>
      <c r="J4149" s="6"/>
      <c r="K4149" s="6" t="s">
        <v>2137</v>
      </c>
      <c r="L4149" s="6"/>
      <c r="M4149" s="6"/>
      <c r="N4149" s="6" t="s">
        <v>2137</v>
      </c>
      <c r="O4149" s="29">
        <f t="shared" si="96"/>
        <v>0</v>
      </c>
      <c r="Q4149" s="30" t="s">
        <v>2137</v>
      </c>
      <c r="R4149" s="31">
        <v>0</v>
      </c>
    </row>
    <row r="4150" s="1" customFormat="1" ht="16.35" hidden="1" customHeight="1" spans="1:18">
      <c r="A4150" s="6"/>
      <c r="B4150" s="6" t="s">
        <v>4400</v>
      </c>
      <c r="C4150" s="6" t="s">
        <v>4217</v>
      </c>
      <c r="D4150" s="7">
        <v>9</v>
      </c>
      <c r="E4150" s="6" t="s">
        <v>7445</v>
      </c>
      <c r="F4150" s="6" t="s">
        <v>5631</v>
      </c>
      <c r="G4150" s="6" t="s">
        <v>5632</v>
      </c>
      <c r="H4150" s="8"/>
      <c r="I4150" s="8">
        <v>145000</v>
      </c>
      <c r="J4150" s="6"/>
      <c r="K4150" s="6" t="s">
        <v>2331</v>
      </c>
      <c r="L4150" s="6"/>
      <c r="M4150" s="6"/>
      <c r="N4150" s="6" t="s">
        <v>2331</v>
      </c>
      <c r="O4150" s="29">
        <f t="shared" si="96"/>
        <v>145000</v>
      </c>
      <c r="Q4150" s="30" t="s">
        <v>2331</v>
      </c>
      <c r="R4150" s="31">
        <v>145000</v>
      </c>
    </row>
    <row r="4151" s="2" customFormat="1" ht="23" hidden="1" customHeight="1" spans="1:19">
      <c r="A4151" s="10"/>
      <c r="B4151" s="10" t="s">
        <v>4400</v>
      </c>
      <c r="C4151" s="10" t="s">
        <v>4217</v>
      </c>
      <c r="D4151" s="11">
        <v>1</v>
      </c>
      <c r="E4151" s="10" t="s">
        <v>7446</v>
      </c>
      <c r="F4151" s="10" t="s">
        <v>5631</v>
      </c>
      <c r="G4151" s="10" t="s">
        <v>5632</v>
      </c>
      <c r="H4151" s="12"/>
      <c r="I4151" s="12">
        <v>1076800</v>
      </c>
      <c r="J4151" s="10"/>
      <c r="K4151" s="10" t="s">
        <v>5079</v>
      </c>
      <c r="L4151" s="10"/>
      <c r="M4151" s="10"/>
      <c r="N4151" s="10" t="s">
        <v>5079</v>
      </c>
      <c r="O4151" s="33">
        <f t="shared" si="96"/>
        <v>1076800</v>
      </c>
      <c r="Q4151" s="30" t="s">
        <v>5079</v>
      </c>
      <c r="R4151" s="31">
        <v>1076800</v>
      </c>
      <c r="S4151" s="2" t="s">
        <v>7447</v>
      </c>
    </row>
    <row r="4152" s="1" customFormat="1" ht="32" hidden="1" customHeight="1" spans="1:18">
      <c r="A4152" s="6"/>
      <c r="B4152" s="6" t="s">
        <v>4400</v>
      </c>
      <c r="C4152" s="6" t="s">
        <v>4217</v>
      </c>
      <c r="D4152" s="7">
        <v>1</v>
      </c>
      <c r="E4152" s="6" t="s">
        <v>7448</v>
      </c>
      <c r="F4152" s="6" t="s">
        <v>5631</v>
      </c>
      <c r="G4152" s="6" t="s">
        <v>5632</v>
      </c>
      <c r="H4152" s="8">
        <v>-900000</v>
      </c>
      <c r="I4152" s="8"/>
      <c r="J4152" s="6"/>
      <c r="K4152" s="6" t="s">
        <v>5079</v>
      </c>
      <c r="L4152" s="6"/>
      <c r="M4152" s="6"/>
      <c r="N4152" s="6" t="s">
        <v>5079</v>
      </c>
      <c r="O4152" s="29">
        <f t="shared" si="96"/>
        <v>0</v>
      </c>
      <c r="Q4152" s="30" t="s">
        <v>5079</v>
      </c>
      <c r="R4152" s="31">
        <v>0</v>
      </c>
    </row>
    <row r="4153" s="2" customFormat="1" ht="16.35" hidden="1" customHeight="1" spans="1:19">
      <c r="A4153" s="10"/>
      <c r="B4153" s="10" t="s">
        <v>4400</v>
      </c>
      <c r="C4153" s="10" t="s">
        <v>4217</v>
      </c>
      <c r="D4153" s="11">
        <v>20</v>
      </c>
      <c r="E4153" s="10" t="s">
        <v>7449</v>
      </c>
      <c r="F4153" s="10" t="s">
        <v>5631</v>
      </c>
      <c r="G4153" s="10" t="s">
        <v>5632</v>
      </c>
      <c r="H4153" s="12"/>
      <c r="I4153" s="12">
        <v>100000</v>
      </c>
      <c r="J4153" s="10"/>
      <c r="K4153" s="10" t="s">
        <v>672</v>
      </c>
      <c r="L4153" s="10"/>
      <c r="M4153" s="10"/>
      <c r="N4153" s="10" t="s">
        <v>672</v>
      </c>
      <c r="O4153" s="33">
        <f t="shared" si="96"/>
        <v>100000</v>
      </c>
      <c r="Q4153" s="30" t="s">
        <v>672</v>
      </c>
      <c r="R4153" s="31">
        <v>100000</v>
      </c>
      <c r="S4153" s="2" t="s">
        <v>7450</v>
      </c>
    </row>
    <row r="4154" s="1" customFormat="1" ht="16.35" hidden="1" customHeight="1" spans="1:18">
      <c r="A4154" s="6"/>
      <c r="B4154" s="6" t="s">
        <v>4400</v>
      </c>
      <c r="C4154" s="6" t="s">
        <v>4217</v>
      </c>
      <c r="D4154" s="7">
        <v>2</v>
      </c>
      <c r="E4154" s="6" t="s">
        <v>4121</v>
      </c>
      <c r="F4154" s="6" t="s">
        <v>5631</v>
      </c>
      <c r="G4154" s="6" t="s">
        <v>5632</v>
      </c>
      <c r="H4154" s="8">
        <v>151000</v>
      </c>
      <c r="I4154" s="8"/>
      <c r="J4154" s="6"/>
      <c r="K4154" s="6" t="s">
        <v>2077</v>
      </c>
      <c r="L4154" s="6"/>
      <c r="M4154" s="6"/>
      <c r="N4154" s="6" t="s">
        <v>2077</v>
      </c>
      <c r="O4154" s="29">
        <f t="shared" si="96"/>
        <v>0</v>
      </c>
      <c r="Q4154" s="30" t="s">
        <v>2077</v>
      </c>
      <c r="R4154" s="31">
        <v>0</v>
      </c>
    </row>
    <row r="4155" s="1" customFormat="1" ht="16.35" hidden="1" customHeight="1" spans="1:18">
      <c r="A4155" s="6"/>
      <c r="B4155" s="6" t="s">
        <v>4400</v>
      </c>
      <c r="C4155" s="6" t="s">
        <v>4217</v>
      </c>
      <c r="D4155" s="7">
        <v>22</v>
      </c>
      <c r="E4155" s="6" t="s">
        <v>7444</v>
      </c>
      <c r="F4155" s="6" t="s">
        <v>5631</v>
      </c>
      <c r="G4155" s="6" t="s">
        <v>5632</v>
      </c>
      <c r="H4155" s="8">
        <v>50000</v>
      </c>
      <c r="I4155" s="8"/>
      <c r="J4155" s="6"/>
      <c r="K4155" s="6" t="s">
        <v>676</v>
      </c>
      <c r="L4155" s="6"/>
      <c r="M4155" s="6"/>
      <c r="N4155" s="6" t="s">
        <v>676</v>
      </c>
      <c r="O4155" s="29">
        <f t="shared" si="96"/>
        <v>0</v>
      </c>
      <c r="Q4155" s="30" t="s">
        <v>676</v>
      </c>
      <c r="R4155" s="31">
        <v>0</v>
      </c>
    </row>
    <row r="4156" s="1" customFormat="1" ht="16.35" hidden="1" customHeight="1" spans="1:18">
      <c r="A4156" s="6"/>
      <c r="B4156" s="6" t="s">
        <v>4400</v>
      </c>
      <c r="C4156" s="6" t="s">
        <v>4217</v>
      </c>
      <c r="D4156" s="7">
        <v>2</v>
      </c>
      <c r="E4156" s="6" t="s">
        <v>4121</v>
      </c>
      <c r="F4156" s="6" t="s">
        <v>5631</v>
      </c>
      <c r="G4156" s="6" t="s">
        <v>5632</v>
      </c>
      <c r="H4156" s="8">
        <v>247950</v>
      </c>
      <c r="I4156" s="8"/>
      <c r="J4156" s="6"/>
      <c r="K4156" s="6" t="s">
        <v>2490</v>
      </c>
      <c r="L4156" s="6"/>
      <c r="M4156" s="6"/>
      <c r="N4156" s="6" t="s">
        <v>2490</v>
      </c>
      <c r="O4156" s="29">
        <f t="shared" si="96"/>
        <v>0</v>
      </c>
      <c r="Q4156" s="30" t="s">
        <v>2490</v>
      </c>
      <c r="R4156" s="31">
        <v>0</v>
      </c>
    </row>
    <row r="4157" s="1" customFormat="1" ht="16.35" hidden="1" customHeight="1" spans="1:18">
      <c r="A4157" s="6"/>
      <c r="B4157" s="6" t="s">
        <v>4400</v>
      </c>
      <c r="C4157" s="6" t="s">
        <v>4217</v>
      </c>
      <c r="D4157" s="7">
        <v>5</v>
      </c>
      <c r="E4157" s="6" t="s">
        <v>7451</v>
      </c>
      <c r="F4157" s="6" t="s">
        <v>5631</v>
      </c>
      <c r="G4157" s="6" t="s">
        <v>5632</v>
      </c>
      <c r="H4157" s="8"/>
      <c r="I4157" s="8">
        <v>140000</v>
      </c>
      <c r="J4157" s="6"/>
      <c r="K4157" s="6" t="s">
        <v>2561</v>
      </c>
      <c r="L4157" s="6"/>
      <c r="M4157" s="6"/>
      <c r="N4157" s="6" t="s">
        <v>2561</v>
      </c>
      <c r="O4157" s="29">
        <f t="shared" si="96"/>
        <v>140000</v>
      </c>
      <c r="Q4157" s="30" t="s">
        <v>2561</v>
      </c>
      <c r="R4157" s="31">
        <v>140000</v>
      </c>
    </row>
    <row r="4158" s="1" customFormat="1" ht="16.35" hidden="1" customHeight="1" spans="1:18">
      <c r="A4158" s="6"/>
      <c r="B4158" s="6" t="s">
        <v>4400</v>
      </c>
      <c r="C4158" s="6" t="s">
        <v>4217</v>
      </c>
      <c r="D4158" s="7">
        <v>2</v>
      </c>
      <c r="E4158" s="6" t="s">
        <v>4121</v>
      </c>
      <c r="F4158" s="6" t="s">
        <v>5631</v>
      </c>
      <c r="G4158" s="6" t="s">
        <v>5632</v>
      </c>
      <c r="H4158" s="8">
        <v>248821</v>
      </c>
      <c r="I4158" s="8"/>
      <c r="J4158" s="6"/>
      <c r="K4158" s="6" t="s">
        <v>2229</v>
      </c>
      <c r="L4158" s="6"/>
      <c r="M4158" s="6"/>
      <c r="N4158" s="6" t="s">
        <v>2229</v>
      </c>
      <c r="O4158" s="29">
        <f t="shared" si="96"/>
        <v>0</v>
      </c>
      <c r="Q4158" s="30" t="s">
        <v>2229</v>
      </c>
      <c r="R4158" s="31">
        <v>0</v>
      </c>
    </row>
    <row r="4159" s="1" customFormat="1" ht="16.35" hidden="1" customHeight="1" spans="1:18">
      <c r="A4159" s="6"/>
      <c r="B4159" s="6" t="s">
        <v>4400</v>
      </c>
      <c r="C4159" s="6" t="s">
        <v>4217</v>
      </c>
      <c r="D4159" s="7">
        <v>2</v>
      </c>
      <c r="E4159" s="6" t="s">
        <v>4121</v>
      </c>
      <c r="F4159" s="6" t="s">
        <v>5631</v>
      </c>
      <c r="G4159" s="6" t="s">
        <v>5632</v>
      </c>
      <c r="H4159" s="8">
        <v>221988</v>
      </c>
      <c r="I4159" s="8"/>
      <c r="J4159" s="6"/>
      <c r="K4159" s="6" t="s">
        <v>2327</v>
      </c>
      <c r="L4159" s="6"/>
      <c r="M4159" s="6"/>
      <c r="N4159" s="6" t="s">
        <v>2327</v>
      </c>
      <c r="O4159" s="29">
        <f t="shared" si="96"/>
        <v>0</v>
      </c>
      <c r="Q4159" s="30" t="s">
        <v>2327</v>
      </c>
      <c r="R4159" s="31">
        <v>0</v>
      </c>
    </row>
    <row r="4160" s="2" customFormat="1" ht="16.35" hidden="1" customHeight="1" spans="1:19">
      <c r="A4160" s="10"/>
      <c r="B4160" s="10" t="s">
        <v>4400</v>
      </c>
      <c r="C4160" s="10" t="s">
        <v>4217</v>
      </c>
      <c r="D4160" s="11">
        <v>1</v>
      </c>
      <c r="E4160" s="10" t="s">
        <v>7452</v>
      </c>
      <c r="F4160" s="10" t="s">
        <v>5631</v>
      </c>
      <c r="G4160" s="10" t="s">
        <v>5632</v>
      </c>
      <c r="H4160" s="12"/>
      <c r="I4160" s="12">
        <v>200000</v>
      </c>
      <c r="J4160" s="10"/>
      <c r="K4160" s="10" t="s">
        <v>5322</v>
      </c>
      <c r="L4160" s="10"/>
      <c r="M4160" s="10"/>
      <c r="N4160" s="10" t="s">
        <v>5322</v>
      </c>
      <c r="O4160" s="33">
        <f t="shared" si="96"/>
        <v>200000</v>
      </c>
      <c r="Q4160" s="30" t="s">
        <v>5322</v>
      </c>
      <c r="R4160" s="31">
        <v>200000</v>
      </c>
      <c r="S4160" s="2" t="s">
        <v>7447</v>
      </c>
    </row>
    <row r="4161" s="1" customFormat="1" ht="24" hidden="1" customHeight="1" spans="1:18">
      <c r="A4161" s="6"/>
      <c r="B4161" s="6" t="s">
        <v>4400</v>
      </c>
      <c r="C4161" s="6" t="s">
        <v>4217</v>
      </c>
      <c r="D4161" s="7">
        <v>1</v>
      </c>
      <c r="E4161" s="6" t="s">
        <v>7453</v>
      </c>
      <c r="F4161" s="6" t="s">
        <v>5631</v>
      </c>
      <c r="G4161" s="6" t="s">
        <v>5632</v>
      </c>
      <c r="H4161" s="8">
        <v>-530000</v>
      </c>
      <c r="I4161" s="8"/>
      <c r="J4161" s="6"/>
      <c r="K4161" s="6" t="s">
        <v>5322</v>
      </c>
      <c r="L4161" s="6"/>
      <c r="M4161" s="6"/>
      <c r="N4161" s="6" t="s">
        <v>5322</v>
      </c>
      <c r="O4161" s="29">
        <f t="shared" si="96"/>
        <v>0</v>
      </c>
      <c r="Q4161" s="30" t="s">
        <v>5322</v>
      </c>
      <c r="R4161" s="31">
        <v>0</v>
      </c>
    </row>
    <row r="4162" s="1" customFormat="1" ht="16.35" hidden="1" customHeight="1" spans="1:18">
      <c r="A4162" s="6"/>
      <c r="B4162" s="6" t="s">
        <v>4400</v>
      </c>
      <c r="C4162" s="6" t="s">
        <v>4217</v>
      </c>
      <c r="D4162" s="7">
        <v>6</v>
      </c>
      <c r="E4162" s="6" t="s">
        <v>7454</v>
      </c>
      <c r="F4162" s="6" t="s">
        <v>5631</v>
      </c>
      <c r="G4162" s="6" t="s">
        <v>5632</v>
      </c>
      <c r="H4162" s="8"/>
      <c r="I4162" s="8">
        <v>50000</v>
      </c>
      <c r="J4162" s="6"/>
      <c r="K4162" s="6" t="s">
        <v>29</v>
      </c>
      <c r="L4162" s="6"/>
      <c r="M4162" s="6"/>
      <c r="N4162" s="6" t="s">
        <v>4536</v>
      </c>
      <c r="O4162" s="29">
        <f t="shared" si="96"/>
        <v>50000</v>
      </c>
      <c r="Q4162" s="30" t="s">
        <v>4536</v>
      </c>
      <c r="R4162" s="31">
        <v>50000</v>
      </c>
    </row>
    <row r="4163" s="1" customFormat="1" ht="16.35" hidden="1" customHeight="1" spans="1:18">
      <c r="A4163" s="6"/>
      <c r="B4163" s="6" t="s">
        <v>4400</v>
      </c>
      <c r="C4163" s="6" t="s">
        <v>4221</v>
      </c>
      <c r="D4163" s="7">
        <v>19</v>
      </c>
      <c r="E4163" s="6" t="s">
        <v>7455</v>
      </c>
      <c r="F4163" s="6" t="s">
        <v>5631</v>
      </c>
      <c r="G4163" s="6" t="s">
        <v>5632</v>
      </c>
      <c r="H4163" s="8"/>
      <c r="I4163" s="8">
        <v>50000</v>
      </c>
      <c r="J4163" s="6"/>
      <c r="K4163" s="6" t="s">
        <v>670</v>
      </c>
      <c r="L4163" s="6"/>
      <c r="M4163" s="6"/>
      <c r="N4163" s="6" t="s">
        <v>670</v>
      </c>
      <c r="O4163" s="29">
        <f>I4163</f>
        <v>50000</v>
      </c>
      <c r="Q4163" s="30" t="s">
        <v>670</v>
      </c>
      <c r="R4163" s="31">
        <v>50000</v>
      </c>
    </row>
    <row r="4164" s="1" customFormat="1" ht="16.35" hidden="1" customHeight="1" spans="1:18">
      <c r="A4164" s="6"/>
      <c r="B4164" s="6" t="s">
        <v>4400</v>
      </c>
      <c r="C4164" s="6" t="s">
        <v>4221</v>
      </c>
      <c r="D4164" s="7">
        <v>21</v>
      </c>
      <c r="E4164" s="6" t="s">
        <v>7456</v>
      </c>
      <c r="F4164" s="6" t="s">
        <v>5631</v>
      </c>
      <c r="G4164" s="6" t="s">
        <v>5632</v>
      </c>
      <c r="H4164" s="8"/>
      <c r="I4164" s="8">
        <v>390000</v>
      </c>
      <c r="J4164" s="6"/>
      <c r="K4164" s="6" t="s">
        <v>670</v>
      </c>
      <c r="L4164" s="6"/>
      <c r="M4164" s="6"/>
      <c r="N4164" s="6" t="s">
        <v>670</v>
      </c>
      <c r="O4164" s="29">
        <f>I4164</f>
        <v>390000</v>
      </c>
      <c r="Q4164" s="30" t="s">
        <v>670</v>
      </c>
      <c r="R4164" s="31">
        <v>390000</v>
      </c>
    </row>
    <row r="4165" s="1" customFormat="1" ht="16.35" hidden="1" customHeight="1" spans="1:18">
      <c r="A4165" s="6"/>
      <c r="B4165" s="6" t="s">
        <v>4400</v>
      </c>
      <c r="C4165" s="6" t="s">
        <v>4221</v>
      </c>
      <c r="D4165" s="7">
        <v>17</v>
      </c>
      <c r="E4165" s="6" t="s">
        <v>7457</v>
      </c>
      <c r="F4165" s="6" t="s">
        <v>5631</v>
      </c>
      <c r="G4165" s="6" t="s">
        <v>5632</v>
      </c>
      <c r="H4165" s="8">
        <v>223750</v>
      </c>
      <c r="I4165" s="8"/>
      <c r="J4165" s="6"/>
      <c r="K4165" s="6" t="s">
        <v>1137</v>
      </c>
      <c r="L4165" s="6"/>
      <c r="M4165" s="6"/>
      <c r="N4165" s="6" t="s">
        <v>1137</v>
      </c>
      <c r="O4165" s="29">
        <f>I4165</f>
        <v>0</v>
      </c>
      <c r="Q4165" s="30" t="s">
        <v>1137</v>
      </c>
      <c r="R4165" s="31">
        <v>0</v>
      </c>
    </row>
    <row r="4166" s="1" customFormat="1" ht="16.35" hidden="1" customHeight="1" spans="1:18">
      <c r="A4166" s="6"/>
      <c r="B4166" s="6" t="s">
        <v>4400</v>
      </c>
      <c r="C4166" s="6" t="s">
        <v>4221</v>
      </c>
      <c r="D4166" s="7">
        <v>18</v>
      </c>
      <c r="E4166" s="6" t="s">
        <v>7458</v>
      </c>
      <c r="F4166" s="6" t="s">
        <v>5631</v>
      </c>
      <c r="G4166" s="6" t="s">
        <v>5632</v>
      </c>
      <c r="H4166" s="8"/>
      <c r="I4166" s="8">
        <v>100000</v>
      </c>
      <c r="J4166" s="6"/>
      <c r="K4166" s="6" t="s">
        <v>7411</v>
      </c>
      <c r="L4166" s="6"/>
      <c r="M4166" s="6"/>
      <c r="N4166" s="6" t="s">
        <v>7411</v>
      </c>
      <c r="O4166" s="29">
        <f>I4166</f>
        <v>100000</v>
      </c>
      <c r="Q4166" s="30" t="s">
        <v>7411</v>
      </c>
      <c r="R4166" s="31">
        <v>100000</v>
      </c>
    </row>
    <row r="4167" s="1" customFormat="1" ht="16.35" hidden="1" customHeight="1" spans="1:18">
      <c r="A4167" s="6"/>
      <c r="B4167" s="6" t="s">
        <v>4400</v>
      </c>
      <c r="C4167" s="6" t="s">
        <v>4221</v>
      </c>
      <c r="D4167" s="7">
        <v>17</v>
      </c>
      <c r="E4167" s="6" t="s">
        <v>7459</v>
      </c>
      <c r="F4167" s="6" t="s">
        <v>5631</v>
      </c>
      <c r="G4167" s="6" t="s">
        <v>5632</v>
      </c>
      <c r="H4167" s="8">
        <v>119070</v>
      </c>
      <c r="I4167" s="8"/>
      <c r="J4167" s="6"/>
      <c r="K4167" s="6" t="s">
        <v>2053</v>
      </c>
      <c r="L4167" s="6"/>
      <c r="M4167" s="6"/>
      <c r="N4167" s="6" t="s">
        <v>2053</v>
      </c>
      <c r="O4167" s="29">
        <f t="shared" ref="O4167:O4179" si="97">I4167</f>
        <v>0</v>
      </c>
      <c r="Q4167" s="30" t="s">
        <v>2053</v>
      </c>
      <c r="R4167" s="31">
        <v>0</v>
      </c>
    </row>
    <row r="4168" s="1" customFormat="1" ht="16.35" hidden="1" customHeight="1" spans="1:18">
      <c r="A4168" s="6"/>
      <c r="B4168" s="6" t="s">
        <v>4400</v>
      </c>
      <c r="C4168" s="6" t="s">
        <v>4221</v>
      </c>
      <c r="D4168" s="7">
        <v>17</v>
      </c>
      <c r="E4168" s="6" t="s">
        <v>7460</v>
      </c>
      <c r="F4168" s="6" t="s">
        <v>5631</v>
      </c>
      <c r="G4168" s="6" t="s">
        <v>5632</v>
      </c>
      <c r="H4168" s="8">
        <v>160970</v>
      </c>
      <c r="I4168" s="8"/>
      <c r="J4168" s="6"/>
      <c r="K4168" s="6" t="s">
        <v>2071</v>
      </c>
      <c r="L4168" s="6"/>
      <c r="M4168" s="6"/>
      <c r="N4168" s="6" t="s">
        <v>2071</v>
      </c>
      <c r="O4168" s="29">
        <f t="shared" si="97"/>
        <v>0</v>
      </c>
      <c r="Q4168" s="30" t="s">
        <v>2071</v>
      </c>
      <c r="R4168" s="31">
        <v>0</v>
      </c>
    </row>
    <row r="4169" s="1" customFormat="1" ht="16.35" hidden="1" customHeight="1" spans="1:18">
      <c r="A4169" s="6"/>
      <c r="B4169" s="6" t="s">
        <v>4400</v>
      </c>
      <c r="C4169" s="6" t="s">
        <v>4221</v>
      </c>
      <c r="D4169" s="7">
        <v>16</v>
      </c>
      <c r="E4169" s="6" t="s">
        <v>7461</v>
      </c>
      <c r="F4169" s="6" t="s">
        <v>5631</v>
      </c>
      <c r="G4169" s="6" t="s">
        <v>5632</v>
      </c>
      <c r="H4169" s="8"/>
      <c r="I4169" s="8">
        <v>70000</v>
      </c>
      <c r="J4169" s="6"/>
      <c r="K4169" s="6" t="s">
        <v>2334</v>
      </c>
      <c r="L4169" s="6"/>
      <c r="M4169" s="6"/>
      <c r="N4169" s="6" t="s">
        <v>2334</v>
      </c>
      <c r="O4169" s="29">
        <f t="shared" si="97"/>
        <v>70000</v>
      </c>
      <c r="Q4169" s="30" t="s">
        <v>2334</v>
      </c>
      <c r="R4169" s="31">
        <v>70000</v>
      </c>
    </row>
    <row r="4170" s="1" customFormat="1" ht="16.35" hidden="1" customHeight="1" spans="1:18">
      <c r="A4170" s="6"/>
      <c r="B4170" s="6" t="s">
        <v>4400</v>
      </c>
      <c r="C4170" s="6" t="s">
        <v>4221</v>
      </c>
      <c r="D4170" s="7">
        <v>17</v>
      </c>
      <c r="E4170" s="6" t="s">
        <v>7462</v>
      </c>
      <c r="F4170" s="6" t="s">
        <v>5631</v>
      </c>
      <c r="G4170" s="6" t="s">
        <v>5632</v>
      </c>
      <c r="H4170" s="8">
        <v>182735</v>
      </c>
      <c r="I4170" s="8"/>
      <c r="J4170" s="6"/>
      <c r="K4170" s="6" t="s">
        <v>2615</v>
      </c>
      <c r="L4170" s="6"/>
      <c r="M4170" s="6"/>
      <c r="N4170" s="6" t="s">
        <v>2615</v>
      </c>
      <c r="O4170" s="29">
        <f t="shared" si="97"/>
        <v>0</v>
      </c>
      <c r="Q4170" s="30" t="s">
        <v>2615</v>
      </c>
      <c r="R4170" s="31">
        <v>0</v>
      </c>
    </row>
    <row r="4171" s="1" customFormat="1" ht="16.35" hidden="1" customHeight="1" spans="1:18">
      <c r="A4171" s="6"/>
      <c r="B4171" s="6" t="s">
        <v>4400</v>
      </c>
      <c r="C4171" s="6" t="s">
        <v>4221</v>
      </c>
      <c r="D4171" s="7">
        <v>17</v>
      </c>
      <c r="E4171" s="6" t="s">
        <v>7463</v>
      </c>
      <c r="F4171" s="6" t="s">
        <v>5631</v>
      </c>
      <c r="G4171" s="6" t="s">
        <v>5632</v>
      </c>
      <c r="H4171" s="8">
        <v>202930</v>
      </c>
      <c r="I4171" s="8"/>
      <c r="J4171" s="6"/>
      <c r="K4171" s="6" t="s">
        <v>2561</v>
      </c>
      <c r="L4171" s="6"/>
      <c r="M4171" s="6"/>
      <c r="N4171" s="6" t="s">
        <v>2561</v>
      </c>
      <c r="O4171" s="29">
        <f t="shared" si="97"/>
        <v>0</v>
      </c>
      <c r="Q4171" s="30" t="s">
        <v>2561</v>
      </c>
      <c r="R4171" s="31">
        <v>0</v>
      </c>
    </row>
    <row r="4172" s="1" customFormat="1" ht="16.35" hidden="1" customHeight="1" spans="1:18">
      <c r="A4172" s="6"/>
      <c r="B4172" s="6" t="s">
        <v>4400</v>
      </c>
      <c r="C4172" s="6" t="s">
        <v>4221</v>
      </c>
      <c r="D4172" s="7">
        <v>17</v>
      </c>
      <c r="E4172" s="6" t="s">
        <v>7464</v>
      </c>
      <c r="F4172" s="6" t="s">
        <v>5631</v>
      </c>
      <c r="G4172" s="6" t="s">
        <v>5632</v>
      </c>
      <c r="H4172" s="8">
        <v>283000</v>
      </c>
      <c r="I4172" s="8"/>
      <c r="J4172" s="6"/>
      <c r="K4172" s="6" t="s">
        <v>2069</v>
      </c>
      <c r="L4172" s="6"/>
      <c r="M4172" s="6"/>
      <c r="N4172" s="6" t="s">
        <v>2069</v>
      </c>
      <c r="O4172" s="29">
        <f t="shared" si="97"/>
        <v>0</v>
      </c>
      <c r="Q4172" s="30" t="s">
        <v>2069</v>
      </c>
      <c r="R4172" s="31">
        <v>0</v>
      </c>
    </row>
    <row r="4173" s="1" customFormat="1" ht="16.35" hidden="1" customHeight="1" spans="1:18">
      <c r="A4173" s="6"/>
      <c r="B4173" s="6" t="s">
        <v>4400</v>
      </c>
      <c r="C4173" s="6" t="s">
        <v>4221</v>
      </c>
      <c r="D4173" s="7">
        <v>17</v>
      </c>
      <c r="E4173" s="6" t="s">
        <v>7465</v>
      </c>
      <c r="F4173" s="6" t="s">
        <v>5631</v>
      </c>
      <c r="G4173" s="6" t="s">
        <v>5632</v>
      </c>
      <c r="H4173" s="8">
        <v>148257</v>
      </c>
      <c r="I4173" s="8"/>
      <c r="J4173" s="6"/>
      <c r="K4173" s="6" t="s">
        <v>2089</v>
      </c>
      <c r="L4173" s="6"/>
      <c r="M4173" s="6"/>
      <c r="N4173" s="6" t="s">
        <v>2089</v>
      </c>
      <c r="O4173" s="29">
        <f t="shared" si="97"/>
        <v>0</v>
      </c>
      <c r="Q4173" s="30" t="s">
        <v>2089</v>
      </c>
      <c r="R4173" s="31">
        <v>0</v>
      </c>
    </row>
    <row r="4174" s="1" customFormat="1" ht="16.35" hidden="1" customHeight="1" spans="1:18">
      <c r="A4174" s="6"/>
      <c r="B4174" s="6" t="s">
        <v>4400</v>
      </c>
      <c r="C4174" s="6" t="s">
        <v>4221</v>
      </c>
      <c r="D4174" s="7">
        <v>19</v>
      </c>
      <c r="E4174" s="6" t="s">
        <v>7455</v>
      </c>
      <c r="F4174" s="6" t="s">
        <v>5631</v>
      </c>
      <c r="G4174" s="6" t="s">
        <v>5632</v>
      </c>
      <c r="H4174" s="8">
        <v>50000</v>
      </c>
      <c r="I4174" s="8"/>
      <c r="J4174" s="6"/>
      <c r="K4174" s="6" t="s">
        <v>662</v>
      </c>
      <c r="L4174" s="6"/>
      <c r="M4174" s="6"/>
      <c r="N4174" s="6" t="s">
        <v>662</v>
      </c>
      <c r="O4174" s="29">
        <f t="shared" si="97"/>
        <v>0</v>
      </c>
      <c r="Q4174" s="30" t="s">
        <v>662</v>
      </c>
      <c r="R4174" s="31">
        <v>0</v>
      </c>
    </row>
    <row r="4175" s="1" customFormat="1" ht="16.35" hidden="1" customHeight="1" spans="1:18">
      <c r="A4175" s="6"/>
      <c r="B4175" s="6" t="s">
        <v>4400</v>
      </c>
      <c r="C4175" s="6" t="s">
        <v>4221</v>
      </c>
      <c r="D4175" s="7">
        <v>20</v>
      </c>
      <c r="E4175" s="6" t="s">
        <v>7466</v>
      </c>
      <c r="F4175" s="6" t="s">
        <v>5631</v>
      </c>
      <c r="G4175" s="6" t="s">
        <v>5632</v>
      </c>
      <c r="H4175" s="8"/>
      <c r="I4175" s="8">
        <v>456859</v>
      </c>
      <c r="J4175" s="6"/>
      <c r="K4175" s="6" t="s">
        <v>662</v>
      </c>
      <c r="L4175" s="6"/>
      <c r="M4175" s="6"/>
      <c r="N4175" s="6" t="s">
        <v>662</v>
      </c>
      <c r="O4175" s="29">
        <f t="shared" si="97"/>
        <v>456859</v>
      </c>
      <c r="Q4175" s="30" t="s">
        <v>662</v>
      </c>
      <c r="R4175" s="31">
        <v>456859</v>
      </c>
    </row>
    <row r="4176" s="1" customFormat="1" ht="16.35" hidden="1" customHeight="1" spans="1:18">
      <c r="A4176" s="6"/>
      <c r="B4176" s="6" t="s">
        <v>4400</v>
      </c>
      <c r="C4176" s="6" t="s">
        <v>4248</v>
      </c>
      <c r="D4176" s="7">
        <v>12</v>
      </c>
      <c r="E4176" s="6" t="s">
        <v>7467</v>
      </c>
      <c r="F4176" s="6" t="s">
        <v>5631</v>
      </c>
      <c r="G4176" s="6" t="s">
        <v>5632</v>
      </c>
      <c r="H4176" s="8">
        <v>-283350</v>
      </c>
      <c r="I4176" s="8"/>
      <c r="J4176" s="6"/>
      <c r="K4176" s="6" t="s">
        <v>2033</v>
      </c>
      <c r="L4176" s="6"/>
      <c r="M4176" s="6"/>
      <c r="N4176" s="6" t="s">
        <v>2033</v>
      </c>
      <c r="O4176" s="29">
        <f t="shared" si="97"/>
        <v>0</v>
      </c>
      <c r="Q4176" s="30" t="s">
        <v>2033</v>
      </c>
      <c r="R4176" s="31">
        <v>0</v>
      </c>
    </row>
    <row r="4177" s="1" customFormat="1" ht="16.35" hidden="1" customHeight="1" spans="1:18">
      <c r="A4177" s="6"/>
      <c r="B4177" s="6" t="s">
        <v>4400</v>
      </c>
      <c r="C4177" s="6" t="s">
        <v>4248</v>
      </c>
      <c r="D4177" s="7">
        <v>12</v>
      </c>
      <c r="E4177" s="6" t="s">
        <v>7467</v>
      </c>
      <c r="F4177" s="6" t="s">
        <v>5631</v>
      </c>
      <c r="G4177" s="6" t="s">
        <v>5632</v>
      </c>
      <c r="H4177" s="8">
        <v>-200382</v>
      </c>
      <c r="I4177" s="8"/>
      <c r="J4177" s="6"/>
      <c r="K4177" s="6" t="s">
        <v>2184</v>
      </c>
      <c r="L4177" s="6"/>
      <c r="M4177" s="6"/>
      <c r="N4177" s="6" t="s">
        <v>2184</v>
      </c>
      <c r="O4177" s="29">
        <f t="shared" si="97"/>
        <v>0</v>
      </c>
      <c r="Q4177" s="30" t="s">
        <v>2184</v>
      </c>
      <c r="R4177" s="31">
        <v>0</v>
      </c>
    </row>
    <row r="4178" s="1" customFormat="1" ht="16.35" hidden="1" customHeight="1" spans="1:18">
      <c r="A4178" s="6"/>
      <c r="B4178" s="6" t="s">
        <v>4400</v>
      </c>
      <c r="C4178" s="6" t="s">
        <v>4248</v>
      </c>
      <c r="D4178" s="7">
        <v>12</v>
      </c>
      <c r="E4178" s="6" t="s">
        <v>7467</v>
      </c>
      <c r="F4178" s="6" t="s">
        <v>5631</v>
      </c>
      <c r="G4178" s="6" t="s">
        <v>5632</v>
      </c>
      <c r="H4178" s="8">
        <v>-633264.93</v>
      </c>
      <c r="I4178" s="8"/>
      <c r="J4178" s="6"/>
      <c r="K4178" s="6" t="s">
        <v>7409</v>
      </c>
      <c r="L4178" s="6"/>
      <c r="M4178" s="6"/>
      <c r="N4178" s="6" t="s">
        <v>7409</v>
      </c>
      <c r="O4178" s="29">
        <f t="shared" si="97"/>
        <v>0</v>
      </c>
      <c r="Q4178" s="30" t="s">
        <v>7409</v>
      </c>
      <c r="R4178" s="31">
        <v>0</v>
      </c>
    </row>
    <row r="4179" s="1" customFormat="1" ht="16.35" hidden="1" customHeight="1" spans="1:18">
      <c r="A4179" s="6"/>
      <c r="B4179" s="6" t="s">
        <v>4400</v>
      </c>
      <c r="C4179" s="6" t="s">
        <v>4248</v>
      </c>
      <c r="D4179" s="7">
        <v>12</v>
      </c>
      <c r="E4179" s="6" t="s">
        <v>7467</v>
      </c>
      <c r="F4179" s="6" t="s">
        <v>5631</v>
      </c>
      <c r="G4179" s="6" t="s">
        <v>5632</v>
      </c>
      <c r="H4179" s="8">
        <v>-641245.07</v>
      </c>
      <c r="I4179" s="8"/>
      <c r="J4179" s="6"/>
      <c r="K4179" s="6" t="s">
        <v>7409</v>
      </c>
      <c r="L4179" s="6"/>
      <c r="M4179" s="6"/>
      <c r="N4179" s="6" t="s">
        <v>7409</v>
      </c>
      <c r="O4179" s="29">
        <f t="shared" si="97"/>
        <v>0</v>
      </c>
      <c r="Q4179" s="30" t="s">
        <v>7409</v>
      </c>
      <c r="R4179" s="31">
        <v>0</v>
      </c>
    </row>
    <row r="4180" s="1" customFormat="1" ht="16.35" hidden="1" customHeight="1" spans="1:18">
      <c r="A4180" s="6"/>
      <c r="B4180" s="6" t="s">
        <v>4400</v>
      </c>
      <c r="C4180" s="6" t="s">
        <v>4248</v>
      </c>
      <c r="D4180" s="7">
        <v>12</v>
      </c>
      <c r="E4180" s="6" t="s">
        <v>7467</v>
      </c>
      <c r="F4180" s="6" t="s">
        <v>5631</v>
      </c>
      <c r="G4180" s="6" t="s">
        <v>5632</v>
      </c>
      <c r="H4180" s="8">
        <v>-248503</v>
      </c>
      <c r="I4180" s="8"/>
      <c r="J4180" s="6"/>
      <c r="K4180" s="6" t="s">
        <v>2438</v>
      </c>
      <c r="L4180" s="6"/>
      <c r="M4180" s="6"/>
      <c r="N4180" s="6" t="s">
        <v>2438</v>
      </c>
      <c r="O4180" s="29">
        <f t="shared" ref="O4180:O4241" si="98">I4180</f>
        <v>0</v>
      </c>
      <c r="Q4180" s="30" t="s">
        <v>2438</v>
      </c>
      <c r="R4180" s="31">
        <v>0</v>
      </c>
    </row>
    <row r="4181" s="1" customFormat="1" ht="16.35" hidden="1" customHeight="1" spans="1:18">
      <c r="A4181" s="6"/>
      <c r="B4181" s="6" t="s">
        <v>4400</v>
      </c>
      <c r="C4181" s="6" t="s">
        <v>4248</v>
      </c>
      <c r="D4181" s="7">
        <v>12</v>
      </c>
      <c r="E4181" s="6" t="s">
        <v>7467</v>
      </c>
      <c r="F4181" s="6" t="s">
        <v>5631</v>
      </c>
      <c r="G4181" s="6" t="s">
        <v>5632</v>
      </c>
      <c r="H4181" s="8">
        <v>-229767</v>
      </c>
      <c r="I4181" s="8"/>
      <c r="J4181" s="6"/>
      <c r="K4181" s="6" t="s">
        <v>2444</v>
      </c>
      <c r="L4181" s="6"/>
      <c r="M4181" s="6"/>
      <c r="N4181" s="6" t="s">
        <v>2444</v>
      </c>
      <c r="O4181" s="29">
        <f t="shared" si="98"/>
        <v>0</v>
      </c>
      <c r="Q4181" s="30" t="s">
        <v>2444</v>
      </c>
      <c r="R4181" s="31">
        <v>0</v>
      </c>
    </row>
    <row r="4182" s="1" customFormat="1" ht="16.35" hidden="1" customHeight="1" spans="1:18">
      <c r="A4182" s="6"/>
      <c r="B4182" s="6" t="s">
        <v>4400</v>
      </c>
      <c r="C4182" s="6" t="s">
        <v>4248</v>
      </c>
      <c r="D4182" s="7">
        <v>12</v>
      </c>
      <c r="E4182" s="6" t="s">
        <v>7467</v>
      </c>
      <c r="F4182" s="6" t="s">
        <v>5631</v>
      </c>
      <c r="G4182" s="6" t="s">
        <v>5632</v>
      </c>
      <c r="H4182" s="8">
        <v>-269000</v>
      </c>
      <c r="I4182" s="8"/>
      <c r="J4182" s="6"/>
      <c r="K4182" s="6" t="s">
        <v>2803</v>
      </c>
      <c r="L4182" s="6"/>
      <c r="M4182" s="6"/>
      <c r="N4182" s="6" t="s">
        <v>2803</v>
      </c>
      <c r="O4182" s="29">
        <f t="shared" si="98"/>
        <v>0</v>
      </c>
      <c r="Q4182" s="30" t="s">
        <v>2803</v>
      </c>
      <c r="R4182" s="31">
        <v>0</v>
      </c>
    </row>
    <row r="4183" s="1" customFormat="1" ht="16.35" hidden="1" customHeight="1" spans="1:18">
      <c r="A4183" s="6"/>
      <c r="B4183" s="6" t="s">
        <v>4400</v>
      </c>
      <c r="C4183" s="6" t="s">
        <v>4248</v>
      </c>
      <c r="D4183" s="7">
        <v>12</v>
      </c>
      <c r="E4183" s="6" t="s">
        <v>7467</v>
      </c>
      <c r="F4183" s="6" t="s">
        <v>5631</v>
      </c>
      <c r="G4183" s="6" t="s">
        <v>5632</v>
      </c>
      <c r="H4183" s="8">
        <v>-393954</v>
      </c>
      <c r="I4183" s="8"/>
      <c r="J4183" s="6"/>
      <c r="K4183" s="6" t="s">
        <v>2572</v>
      </c>
      <c r="L4183" s="6"/>
      <c r="M4183" s="6"/>
      <c r="N4183" s="6" t="s">
        <v>2572</v>
      </c>
      <c r="O4183" s="29">
        <f t="shared" si="98"/>
        <v>0</v>
      </c>
      <c r="Q4183" s="30" t="s">
        <v>2572</v>
      </c>
      <c r="R4183" s="31">
        <v>0</v>
      </c>
    </row>
    <row r="4184" s="1" customFormat="1" ht="16.35" hidden="1" customHeight="1" spans="1:18">
      <c r="A4184" s="6"/>
      <c r="B4184" s="6" t="s">
        <v>4400</v>
      </c>
      <c r="C4184" s="6" t="s">
        <v>4248</v>
      </c>
      <c r="D4184" s="7">
        <v>12</v>
      </c>
      <c r="E4184" s="6" t="s">
        <v>7467</v>
      </c>
      <c r="F4184" s="6" t="s">
        <v>5631</v>
      </c>
      <c r="G4184" s="6" t="s">
        <v>5632</v>
      </c>
      <c r="H4184" s="8">
        <v>-273572</v>
      </c>
      <c r="I4184" s="8"/>
      <c r="J4184" s="6"/>
      <c r="K4184" s="6" t="s">
        <v>2436</v>
      </c>
      <c r="L4184" s="6"/>
      <c r="M4184" s="6"/>
      <c r="N4184" s="6" t="s">
        <v>2436</v>
      </c>
      <c r="O4184" s="29">
        <f t="shared" si="98"/>
        <v>0</v>
      </c>
      <c r="Q4184" s="30" t="s">
        <v>2436</v>
      </c>
      <c r="R4184" s="31">
        <v>0</v>
      </c>
    </row>
    <row r="4185" s="1" customFormat="1" ht="16.35" hidden="1" customHeight="1" spans="1:18">
      <c r="A4185" s="6"/>
      <c r="B4185" s="6" t="s">
        <v>4400</v>
      </c>
      <c r="C4185" s="6" t="s">
        <v>4248</v>
      </c>
      <c r="D4185" s="7">
        <v>12</v>
      </c>
      <c r="E4185" s="6" t="s">
        <v>7467</v>
      </c>
      <c r="F4185" s="6" t="s">
        <v>5631</v>
      </c>
      <c r="G4185" s="6" t="s">
        <v>5632</v>
      </c>
      <c r="H4185" s="8">
        <v>-139212</v>
      </c>
      <c r="I4185" s="8"/>
      <c r="J4185" s="6"/>
      <c r="K4185" s="6" t="s">
        <v>2682</v>
      </c>
      <c r="L4185" s="6"/>
      <c r="M4185" s="6"/>
      <c r="N4185" s="6" t="s">
        <v>2682</v>
      </c>
      <c r="O4185" s="29">
        <f t="shared" si="98"/>
        <v>0</v>
      </c>
      <c r="Q4185" s="30" t="s">
        <v>2682</v>
      </c>
      <c r="R4185" s="31">
        <v>0</v>
      </c>
    </row>
    <row r="4186" s="1" customFormat="1" ht="16.35" hidden="1" customHeight="1" spans="1:18">
      <c r="A4186" s="6"/>
      <c r="B4186" s="6" t="s">
        <v>4400</v>
      </c>
      <c r="C4186" s="6" t="s">
        <v>4248</v>
      </c>
      <c r="D4186" s="7">
        <v>12</v>
      </c>
      <c r="E4186" s="6" t="s">
        <v>7467</v>
      </c>
      <c r="F4186" s="6" t="s">
        <v>5631</v>
      </c>
      <c r="G4186" s="6" t="s">
        <v>5632</v>
      </c>
      <c r="H4186" s="8">
        <v>-250756</v>
      </c>
      <c r="I4186" s="8"/>
      <c r="J4186" s="6"/>
      <c r="K4186" s="6" t="s">
        <v>2612</v>
      </c>
      <c r="L4186" s="6"/>
      <c r="M4186" s="6"/>
      <c r="N4186" s="6" t="s">
        <v>2612</v>
      </c>
      <c r="O4186" s="29">
        <f t="shared" si="98"/>
        <v>0</v>
      </c>
      <c r="Q4186" s="30" t="s">
        <v>2612</v>
      </c>
      <c r="R4186" s="31">
        <v>0</v>
      </c>
    </row>
    <row r="4187" s="1" customFormat="1" ht="16.35" hidden="1" customHeight="1" spans="1:18">
      <c r="A4187" s="6"/>
      <c r="B4187" s="6" t="s">
        <v>4400</v>
      </c>
      <c r="C4187" s="6" t="s">
        <v>4248</v>
      </c>
      <c r="D4187" s="7">
        <v>12</v>
      </c>
      <c r="E4187" s="6" t="s">
        <v>7467</v>
      </c>
      <c r="F4187" s="6" t="s">
        <v>5631</v>
      </c>
      <c r="G4187" s="6" t="s">
        <v>5632</v>
      </c>
      <c r="H4187" s="8">
        <v>-163688</v>
      </c>
      <c r="I4187" s="8"/>
      <c r="J4187" s="6"/>
      <c r="K4187" s="6" t="s">
        <v>2157</v>
      </c>
      <c r="L4187" s="6"/>
      <c r="M4187" s="6"/>
      <c r="N4187" s="6" t="s">
        <v>2157</v>
      </c>
      <c r="O4187" s="29">
        <f t="shared" si="98"/>
        <v>0</v>
      </c>
      <c r="Q4187" s="30" t="s">
        <v>2157</v>
      </c>
      <c r="R4187" s="31">
        <v>0</v>
      </c>
    </row>
    <row r="4188" s="1" customFormat="1" ht="16.35" hidden="1" customHeight="1" spans="1:18">
      <c r="A4188" s="6"/>
      <c r="B4188" s="6" t="s">
        <v>4400</v>
      </c>
      <c r="C4188" s="6" t="s">
        <v>4248</v>
      </c>
      <c r="D4188" s="7">
        <v>12</v>
      </c>
      <c r="E4188" s="6" t="s">
        <v>7467</v>
      </c>
      <c r="F4188" s="6" t="s">
        <v>5631</v>
      </c>
      <c r="G4188" s="6" t="s">
        <v>5632</v>
      </c>
      <c r="H4188" s="8">
        <v>-456813</v>
      </c>
      <c r="I4188" s="8"/>
      <c r="J4188" s="6"/>
      <c r="K4188" s="6" t="s">
        <v>2811</v>
      </c>
      <c r="L4188" s="6"/>
      <c r="M4188" s="6"/>
      <c r="N4188" s="6" t="s">
        <v>2811</v>
      </c>
      <c r="O4188" s="29">
        <f t="shared" si="98"/>
        <v>0</v>
      </c>
      <c r="Q4188" s="30" t="s">
        <v>2811</v>
      </c>
      <c r="R4188" s="31">
        <v>0</v>
      </c>
    </row>
    <row r="4189" s="1" customFormat="1" ht="16.35" hidden="1" customHeight="1" spans="1:18">
      <c r="A4189" s="6"/>
      <c r="B4189" s="6" t="s">
        <v>4400</v>
      </c>
      <c r="C4189" s="6" t="s">
        <v>4248</v>
      </c>
      <c r="D4189" s="7">
        <v>12</v>
      </c>
      <c r="E4189" s="6" t="s">
        <v>7467</v>
      </c>
      <c r="F4189" s="6" t="s">
        <v>5631</v>
      </c>
      <c r="G4189" s="6" t="s">
        <v>5632</v>
      </c>
      <c r="H4189" s="8">
        <v>-242677</v>
      </c>
      <c r="I4189" s="8"/>
      <c r="J4189" s="6"/>
      <c r="K4189" s="6" t="s">
        <v>2251</v>
      </c>
      <c r="L4189" s="6"/>
      <c r="M4189" s="6"/>
      <c r="N4189" s="6" t="s">
        <v>2251</v>
      </c>
      <c r="O4189" s="29">
        <f t="shared" si="98"/>
        <v>0</v>
      </c>
      <c r="Q4189" s="30" t="s">
        <v>2251</v>
      </c>
      <c r="R4189" s="31">
        <v>0</v>
      </c>
    </row>
    <row r="4190" s="1" customFormat="1" ht="16.35" hidden="1" customHeight="1" spans="1:18">
      <c r="A4190" s="6"/>
      <c r="B4190" s="6" t="s">
        <v>4400</v>
      </c>
      <c r="C4190" s="6" t="s">
        <v>4248</v>
      </c>
      <c r="D4190" s="7">
        <v>12</v>
      </c>
      <c r="E4190" s="6" t="s">
        <v>7467</v>
      </c>
      <c r="F4190" s="6" t="s">
        <v>5631</v>
      </c>
      <c r="G4190" s="6" t="s">
        <v>5632</v>
      </c>
      <c r="H4190" s="8">
        <v>-240000</v>
      </c>
      <c r="I4190" s="8"/>
      <c r="J4190" s="6"/>
      <c r="K4190" s="6" t="s">
        <v>2267</v>
      </c>
      <c r="L4190" s="6"/>
      <c r="M4190" s="6"/>
      <c r="N4190" s="6" t="s">
        <v>2267</v>
      </c>
      <c r="O4190" s="29">
        <f t="shared" si="98"/>
        <v>0</v>
      </c>
      <c r="Q4190" s="30" t="s">
        <v>2267</v>
      </c>
      <c r="R4190" s="31">
        <v>0</v>
      </c>
    </row>
    <row r="4191" s="1" customFormat="1" ht="16.35" hidden="1" customHeight="1" spans="1:18">
      <c r="A4191" s="6"/>
      <c r="B4191" s="6" t="s">
        <v>4400</v>
      </c>
      <c r="C4191" s="6" t="s">
        <v>4248</v>
      </c>
      <c r="D4191" s="7">
        <v>12</v>
      </c>
      <c r="E4191" s="6" t="s">
        <v>7467</v>
      </c>
      <c r="F4191" s="6" t="s">
        <v>5631</v>
      </c>
      <c r="G4191" s="6" t="s">
        <v>5632</v>
      </c>
      <c r="H4191" s="8">
        <v>-172293</v>
      </c>
      <c r="I4191" s="8"/>
      <c r="J4191" s="6"/>
      <c r="K4191" s="6" t="s">
        <v>2622</v>
      </c>
      <c r="L4191" s="6"/>
      <c r="M4191" s="6"/>
      <c r="N4191" s="6" t="s">
        <v>2622</v>
      </c>
      <c r="O4191" s="29">
        <f t="shared" si="98"/>
        <v>0</v>
      </c>
      <c r="Q4191" s="30" t="s">
        <v>2622</v>
      </c>
      <c r="R4191" s="31">
        <v>0</v>
      </c>
    </row>
    <row r="4192" s="1" customFormat="1" ht="16.35" hidden="1" customHeight="1" spans="1:18">
      <c r="A4192" s="6"/>
      <c r="B4192" s="6" t="s">
        <v>4400</v>
      </c>
      <c r="C4192" s="6" t="s">
        <v>4248</v>
      </c>
      <c r="D4192" s="7">
        <v>12</v>
      </c>
      <c r="E4192" s="6" t="s">
        <v>7467</v>
      </c>
      <c r="F4192" s="6" t="s">
        <v>5631</v>
      </c>
      <c r="G4192" s="6" t="s">
        <v>5632</v>
      </c>
      <c r="H4192" s="8">
        <v>-245518</v>
      </c>
      <c r="I4192" s="8"/>
      <c r="J4192" s="6"/>
      <c r="K4192" s="6" t="s">
        <v>2179</v>
      </c>
      <c r="L4192" s="6"/>
      <c r="M4192" s="6"/>
      <c r="N4192" s="6" t="s">
        <v>2179</v>
      </c>
      <c r="O4192" s="29">
        <f t="shared" si="98"/>
        <v>0</v>
      </c>
      <c r="Q4192" s="30" t="s">
        <v>2179</v>
      </c>
      <c r="R4192" s="31">
        <v>0</v>
      </c>
    </row>
    <row r="4193" s="1" customFormat="1" ht="16.35" hidden="1" customHeight="1" spans="1:18">
      <c r="A4193" s="6"/>
      <c r="B4193" s="6" t="s">
        <v>4400</v>
      </c>
      <c r="C4193" s="6" t="s">
        <v>4248</v>
      </c>
      <c r="D4193" s="7">
        <v>12</v>
      </c>
      <c r="E4193" s="6" t="s">
        <v>7467</v>
      </c>
      <c r="F4193" s="6" t="s">
        <v>5631</v>
      </c>
      <c r="G4193" s="6" t="s">
        <v>5632</v>
      </c>
      <c r="H4193" s="8">
        <v>-215843</v>
      </c>
      <c r="I4193" s="8"/>
      <c r="J4193" s="6"/>
      <c r="K4193" s="6" t="s">
        <v>2285</v>
      </c>
      <c r="L4193" s="6"/>
      <c r="M4193" s="6"/>
      <c r="N4193" s="6" t="s">
        <v>2285</v>
      </c>
      <c r="O4193" s="29">
        <f t="shared" si="98"/>
        <v>0</v>
      </c>
      <c r="Q4193" s="30" t="s">
        <v>2285</v>
      </c>
      <c r="R4193" s="31">
        <v>0</v>
      </c>
    </row>
    <row r="4194" s="1" customFormat="1" ht="16.35" hidden="1" customHeight="1" spans="1:18">
      <c r="A4194" s="6"/>
      <c r="B4194" s="6" t="s">
        <v>4400</v>
      </c>
      <c r="C4194" s="6" t="s">
        <v>4253</v>
      </c>
      <c r="D4194" s="7">
        <v>18</v>
      </c>
      <c r="E4194" s="6" t="s">
        <v>7468</v>
      </c>
      <c r="F4194" s="6" t="s">
        <v>5631</v>
      </c>
      <c r="G4194" s="6" t="s">
        <v>5632</v>
      </c>
      <c r="H4194" s="8">
        <v>262970.4</v>
      </c>
      <c r="I4194" s="8"/>
      <c r="J4194" s="6"/>
      <c r="K4194" s="6" t="s">
        <v>2314</v>
      </c>
      <c r="L4194" s="6"/>
      <c r="M4194" s="6"/>
      <c r="N4194" s="6" t="s">
        <v>2314</v>
      </c>
      <c r="O4194" s="29">
        <f t="shared" si="98"/>
        <v>0</v>
      </c>
      <c r="Q4194" s="30" t="s">
        <v>2314</v>
      </c>
      <c r="R4194" s="31">
        <v>0</v>
      </c>
    </row>
    <row r="4195" s="1" customFormat="1" ht="16.35" hidden="1" customHeight="1" spans="1:18">
      <c r="A4195" s="6"/>
      <c r="B4195" s="6" t="s">
        <v>4400</v>
      </c>
      <c r="C4195" s="6" t="s">
        <v>4253</v>
      </c>
      <c r="D4195" s="7">
        <v>36</v>
      </c>
      <c r="E4195" s="6" t="s">
        <v>7469</v>
      </c>
      <c r="F4195" s="6" t="s">
        <v>5631</v>
      </c>
      <c r="G4195" s="6" t="s">
        <v>5632</v>
      </c>
      <c r="H4195" s="8">
        <v>5000</v>
      </c>
      <c r="I4195" s="8"/>
      <c r="J4195" s="6"/>
      <c r="K4195" s="6" t="s">
        <v>1942</v>
      </c>
      <c r="L4195" s="6"/>
      <c r="M4195" s="6"/>
      <c r="N4195" s="6" t="s">
        <v>1942</v>
      </c>
      <c r="O4195" s="29">
        <f t="shared" si="98"/>
        <v>0</v>
      </c>
      <c r="Q4195" s="30" t="s">
        <v>1942</v>
      </c>
      <c r="R4195" s="31">
        <v>0</v>
      </c>
    </row>
    <row r="4196" s="1" customFormat="1" ht="16.35" hidden="1" customHeight="1" spans="1:18">
      <c r="A4196" s="6"/>
      <c r="B4196" s="6" t="s">
        <v>4400</v>
      </c>
      <c r="C4196" s="6" t="s">
        <v>4253</v>
      </c>
      <c r="D4196" s="7">
        <v>18</v>
      </c>
      <c r="E4196" s="6" t="s">
        <v>7470</v>
      </c>
      <c r="F4196" s="6" t="s">
        <v>5631</v>
      </c>
      <c r="G4196" s="6" t="s">
        <v>5632</v>
      </c>
      <c r="H4196" s="8">
        <v>264460</v>
      </c>
      <c r="I4196" s="8"/>
      <c r="J4196" s="6"/>
      <c r="K4196" s="6" t="s">
        <v>2051</v>
      </c>
      <c r="L4196" s="6"/>
      <c r="M4196" s="6"/>
      <c r="N4196" s="6" t="s">
        <v>2051</v>
      </c>
      <c r="O4196" s="29">
        <f t="shared" si="98"/>
        <v>0</v>
      </c>
      <c r="Q4196" s="30" t="s">
        <v>2051</v>
      </c>
      <c r="R4196" s="31">
        <v>0</v>
      </c>
    </row>
    <row r="4197" s="1" customFormat="1" ht="16.35" hidden="1" customHeight="1" spans="1:18">
      <c r="A4197" s="6"/>
      <c r="B4197" s="6" t="s">
        <v>4400</v>
      </c>
      <c r="C4197" s="6" t="s">
        <v>4253</v>
      </c>
      <c r="D4197" s="7">
        <v>1</v>
      </c>
      <c r="E4197" s="6" t="s">
        <v>7471</v>
      </c>
      <c r="F4197" s="6" t="s">
        <v>5631</v>
      </c>
      <c r="G4197" s="6" t="s">
        <v>5632</v>
      </c>
      <c r="H4197" s="8"/>
      <c r="I4197" s="8">
        <v>250000</v>
      </c>
      <c r="J4197" s="6"/>
      <c r="K4197" s="6" t="s">
        <v>674</v>
      </c>
      <c r="L4197" s="6"/>
      <c r="M4197" s="6"/>
      <c r="N4197" s="6" t="s">
        <v>674</v>
      </c>
      <c r="O4197" s="29">
        <f t="shared" si="98"/>
        <v>250000</v>
      </c>
      <c r="Q4197" s="30" t="s">
        <v>674</v>
      </c>
      <c r="R4197" s="31">
        <v>250000</v>
      </c>
    </row>
    <row r="4198" s="1" customFormat="1" ht="16.35" hidden="1" customHeight="1" spans="1:18">
      <c r="A4198" s="6"/>
      <c r="B4198" s="6" t="s">
        <v>4400</v>
      </c>
      <c r="C4198" s="6" t="s">
        <v>4253</v>
      </c>
      <c r="D4198" s="7">
        <v>37</v>
      </c>
      <c r="E4198" s="6" t="s">
        <v>7472</v>
      </c>
      <c r="F4198" s="6" t="s">
        <v>5631</v>
      </c>
      <c r="G4198" s="6" t="s">
        <v>5632</v>
      </c>
      <c r="H4198" s="8">
        <v>-207283</v>
      </c>
      <c r="I4198" s="8"/>
      <c r="J4198" s="6"/>
      <c r="K4198" s="6" t="s">
        <v>1950</v>
      </c>
      <c r="L4198" s="6"/>
      <c r="M4198" s="6"/>
      <c r="N4198" s="6" t="s">
        <v>1950</v>
      </c>
      <c r="O4198" s="29">
        <f t="shared" si="98"/>
        <v>0</v>
      </c>
      <c r="Q4198" s="30" t="s">
        <v>1950</v>
      </c>
      <c r="R4198" s="31">
        <v>0</v>
      </c>
    </row>
    <row r="4199" s="1" customFormat="1" ht="16.35" hidden="1" customHeight="1" spans="1:18">
      <c r="A4199" s="6"/>
      <c r="B4199" s="6" t="s">
        <v>4400</v>
      </c>
      <c r="C4199" s="6" t="s">
        <v>4253</v>
      </c>
      <c r="D4199" s="7">
        <v>37</v>
      </c>
      <c r="E4199" s="6" t="s">
        <v>7473</v>
      </c>
      <c r="F4199" s="6" t="s">
        <v>5631</v>
      </c>
      <c r="G4199" s="6" t="s">
        <v>5632</v>
      </c>
      <c r="H4199" s="8"/>
      <c r="I4199" s="8">
        <v>-70059</v>
      </c>
      <c r="J4199" s="6"/>
      <c r="K4199" s="6" t="s">
        <v>1950</v>
      </c>
      <c r="L4199" s="6"/>
      <c r="M4199" s="6"/>
      <c r="N4199" s="6" t="s">
        <v>1950</v>
      </c>
      <c r="O4199" s="29">
        <f t="shared" si="98"/>
        <v>-70059</v>
      </c>
      <c r="Q4199" s="30" t="s">
        <v>1950</v>
      </c>
      <c r="R4199" s="31">
        <v>-70059</v>
      </c>
    </row>
    <row r="4200" s="1" customFormat="1" ht="16.35" hidden="1" customHeight="1" spans="1:18">
      <c r="A4200" s="6"/>
      <c r="B4200" s="6" t="s">
        <v>4400</v>
      </c>
      <c r="C4200" s="6" t="s">
        <v>4253</v>
      </c>
      <c r="D4200" s="7">
        <v>37</v>
      </c>
      <c r="E4200" s="6" t="s">
        <v>7474</v>
      </c>
      <c r="F4200" s="6" t="s">
        <v>5631</v>
      </c>
      <c r="G4200" s="6" t="s">
        <v>5632</v>
      </c>
      <c r="H4200" s="8">
        <v>137224</v>
      </c>
      <c r="I4200" s="8"/>
      <c r="J4200" s="6"/>
      <c r="K4200" s="6" t="s">
        <v>1950</v>
      </c>
      <c r="L4200" s="6"/>
      <c r="M4200" s="6"/>
      <c r="N4200" s="6" t="s">
        <v>1950</v>
      </c>
      <c r="O4200" s="29">
        <f t="shared" si="98"/>
        <v>0</v>
      </c>
      <c r="Q4200" s="30" t="s">
        <v>1950</v>
      </c>
      <c r="R4200" s="31">
        <v>0</v>
      </c>
    </row>
    <row r="4201" s="1" customFormat="1" ht="16.35" hidden="1" customHeight="1" spans="1:18">
      <c r="A4201" s="6"/>
      <c r="B4201" s="6" t="s">
        <v>4442</v>
      </c>
      <c r="C4201" s="6" t="s">
        <v>4124</v>
      </c>
      <c r="D4201" s="7">
        <v>9</v>
      </c>
      <c r="E4201" s="6" t="s">
        <v>7475</v>
      </c>
      <c r="F4201" s="6" t="s">
        <v>5631</v>
      </c>
      <c r="G4201" s="6" t="s">
        <v>5632</v>
      </c>
      <c r="H4201" s="8">
        <v>217110</v>
      </c>
      <c r="I4201" s="8"/>
      <c r="J4201" s="6"/>
      <c r="K4201" s="6" t="s">
        <v>1963</v>
      </c>
      <c r="L4201" s="6"/>
      <c r="M4201" s="6"/>
      <c r="N4201" s="6" t="s">
        <v>1963</v>
      </c>
      <c r="O4201" s="29">
        <f t="shared" si="98"/>
        <v>0</v>
      </c>
      <c r="Q4201" s="30" t="s">
        <v>1963</v>
      </c>
      <c r="R4201" s="31">
        <v>0</v>
      </c>
    </row>
    <row r="4202" s="1" customFormat="1" ht="16.35" hidden="1" customHeight="1" spans="1:18">
      <c r="A4202" s="6"/>
      <c r="B4202" s="6" t="s">
        <v>4442</v>
      </c>
      <c r="C4202" s="6" t="s">
        <v>4279</v>
      </c>
      <c r="D4202" s="7">
        <v>22</v>
      </c>
      <c r="E4202" s="6" t="s">
        <v>7476</v>
      </c>
      <c r="F4202" s="6" t="s">
        <v>5631</v>
      </c>
      <c r="G4202" s="6" t="s">
        <v>5632</v>
      </c>
      <c r="H4202" s="8">
        <v>780000</v>
      </c>
      <c r="I4202" s="8"/>
      <c r="J4202" s="6"/>
      <c r="K4202" s="6" t="s">
        <v>670</v>
      </c>
      <c r="L4202" s="6"/>
      <c r="M4202" s="6"/>
      <c r="N4202" s="6" t="s">
        <v>670</v>
      </c>
      <c r="O4202" s="29">
        <f t="shared" si="98"/>
        <v>0</v>
      </c>
      <c r="Q4202" s="30" t="s">
        <v>670</v>
      </c>
      <c r="R4202" s="31">
        <v>0</v>
      </c>
    </row>
    <row r="4203" s="1" customFormat="1" ht="16.35" hidden="1" customHeight="1" spans="1:18">
      <c r="A4203" s="6"/>
      <c r="B4203" s="6" t="s">
        <v>4442</v>
      </c>
      <c r="C4203" s="6" t="s">
        <v>4279</v>
      </c>
      <c r="D4203" s="7">
        <v>16</v>
      </c>
      <c r="E4203" s="6" t="s">
        <v>7477</v>
      </c>
      <c r="F4203" s="6" t="s">
        <v>5631</v>
      </c>
      <c r="G4203" s="6" t="s">
        <v>5632</v>
      </c>
      <c r="H4203" s="8"/>
      <c r="I4203" s="8">
        <v>6530</v>
      </c>
      <c r="J4203" s="6"/>
      <c r="K4203" s="6" t="s">
        <v>2336</v>
      </c>
      <c r="L4203" s="6"/>
      <c r="M4203" s="6"/>
      <c r="N4203" s="6" t="s">
        <v>2336</v>
      </c>
      <c r="O4203" s="29">
        <f t="shared" si="98"/>
        <v>6530</v>
      </c>
      <c r="Q4203" s="30" t="s">
        <v>2336</v>
      </c>
      <c r="R4203" s="31">
        <v>6530</v>
      </c>
    </row>
    <row r="4204" s="1" customFormat="1" ht="16.35" hidden="1" customHeight="1" spans="1:18">
      <c r="A4204" s="6"/>
      <c r="B4204" s="6" t="s">
        <v>4442</v>
      </c>
      <c r="C4204" s="6" t="s">
        <v>4279</v>
      </c>
      <c r="D4204" s="7">
        <v>22</v>
      </c>
      <c r="E4204" s="6" t="s">
        <v>7478</v>
      </c>
      <c r="F4204" s="6" t="s">
        <v>5631</v>
      </c>
      <c r="G4204" s="6" t="s">
        <v>5632</v>
      </c>
      <c r="H4204" s="8">
        <v>6530</v>
      </c>
      <c r="I4204" s="8"/>
      <c r="J4204" s="6"/>
      <c r="K4204" s="6" t="s">
        <v>2336</v>
      </c>
      <c r="L4204" s="6"/>
      <c r="M4204" s="6"/>
      <c r="N4204" s="6" t="s">
        <v>2336</v>
      </c>
      <c r="O4204" s="29">
        <f t="shared" si="98"/>
        <v>0</v>
      </c>
      <c r="Q4204" s="30" t="s">
        <v>2336</v>
      </c>
      <c r="R4204" s="31">
        <v>0</v>
      </c>
    </row>
    <row r="4205" s="1" customFormat="1" ht="16.35" hidden="1" customHeight="1" spans="1:18">
      <c r="A4205" s="6"/>
      <c r="B4205" s="6" t="s">
        <v>4442</v>
      </c>
      <c r="C4205" s="6" t="s">
        <v>4279</v>
      </c>
      <c r="D4205" s="7">
        <v>23</v>
      </c>
      <c r="E4205" s="6" t="s">
        <v>7479</v>
      </c>
      <c r="F4205" s="6" t="s">
        <v>5631</v>
      </c>
      <c r="G4205" s="6" t="s">
        <v>5632</v>
      </c>
      <c r="H4205" s="8"/>
      <c r="I4205" s="8">
        <v>10000</v>
      </c>
      <c r="J4205" s="6"/>
      <c r="K4205" s="6" t="s">
        <v>2346</v>
      </c>
      <c r="L4205" s="6"/>
      <c r="M4205" s="6"/>
      <c r="N4205" s="6" t="s">
        <v>2346</v>
      </c>
      <c r="O4205" s="29">
        <f t="shared" si="98"/>
        <v>10000</v>
      </c>
      <c r="Q4205" s="30" t="s">
        <v>2346</v>
      </c>
      <c r="R4205" s="31">
        <v>10000</v>
      </c>
    </row>
    <row r="4206" s="1" customFormat="1" ht="16.35" hidden="1" customHeight="1" spans="1:18">
      <c r="A4206" s="6"/>
      <c r="B4206" s="6" t="s">
        <v>4442</v>
      </c>
      <c r="C4206" s="6" t="s">
        <v>4279</v>
      </c>
      <c r="D4206" s="7">
        <v>18</v>
      </c>
      <c r="E4206" s="6" t="s">
        <v>7480</v>
      </c>
      <c r="F4206" s="6" t="s">
        <v>5631</v>
      </c>
      <c r="G4206" s="6" t="s">
        <v>5632</v>
      </c>
      <c r="H4206" s="8"/>
      <c r="I4206" s="8">
        <v>2000</v>
      </c>
      <c r="J4206" s="6"/>
      <c r="K4206" s="6" t="s">
        <v>2223</v>
      </c>
      <c r="L4206" s="6"/>
      <c r="M4206" s="6"/>
      <c r="N4206" s="6" t="s">
        <v>2223</v>
      </c>
      <c r="O4206" s="29">
        <f t="shared" si="98"/>
        <v>2000</v>
      </c>
      <c r="Q4206" s="30" t="s">
        <v>2223</v>
      </c>
      <c r="R4206" s="31">
        <v>2000</v>
      </c>
    </row>
    <row r="4207" s="1" customFormat="1" ht="16.35" hidden="1" customHeight="1" spans="1:18">
      <c r="A4207" s="6"/>
      <c r="B4207" s="6" t="s">
        <v>4442</v>
      </c>
      <c r="C4207" s="6" t="s">
        <v>4279</v>
      </c>
      <c r="D4207" s="7">
        <v>22</v>
      </c>
      <c r="E4207" s="6" t="s">
        <v>7481</v>
      </c>
      <c r="F4207" s="6" t="s">
        <v>5631</v>
      </c>
      <c r="G4207" s="6" t="s">
        <v>5632</v>
      </c>
      <c r="H4207" s="8">
        <v>202644</v>
      </c>
      <c r="I4207" s="8"/>
      <c r="J4207" s="6"/>
      <c r="K4207" s="6" t="s">
        <v>2223</v>
      </c>
      <c r="L4207" s="6"/>
      <c r="M4207" s="6"/>
      <c r="N4207" s="6" t="s">
        <v>2223</v>
      </c>
      <c r="O4207" s="29">
        <f t="shared" si="98"/>
        <v>0</v>
      </c>
      <c r="Q4207" s="30" t="s">
        <v>2223</v>
      </c>
      <c r="R4207" s="31">
        <v>0</v>
      </c>
    </row>
    <row r="4208" s="1" customFormat="1" ht="16.35" hidden="1" customHeight="1" spans="1:18">
      <c r="A4208" s="6"/>
      <c r="B4208" s="6" t="s">
        <v>4442</v>
      </c>
      <c r="C4208" s="6" t="s">
        <v>4279</v>
      </c>
      <c r="D4208" s="7">
        <v>22</v>
      </c>
      <c r="E4208" s="6" t="s">
        <v>7482</v>
      </c>
      <c r="F4208" s="6" t="s">
        <v>5631</v>
      </c>
      <c r="G4208" s="6" t="s">
        <v>5632</v>
      </c>
      <c r="H4208" s="8">
        <v>824713</v>
      </c>
      <c r="I4208" s="8"/>
      <c r="J4208" s="6"/>
      <c r="K4208" s="6" t="s">
        <v>679</v>
      </c>
      <c r="L4208" s="6"/>
      <c r="M4208" s="6"/>
      <c r="N4208" s="6" t="s">
        <v>679</v>
      </c>
      <c r="O4208" s="29">
        <f t="shared" si="98"/>
        <v>0</v>
      </c>
      <c r="Q4208" s="30" t="s">
        <v>679</v>
      </c>
      <c r="R4208" s="31">
        <v>0</v>
      </c>
    </row>
    <row r="4209" s="1" customFormat="1" ht="16.35" hidden="1" customHeight="1" spans="1:18">
      <c r="A4209" s="6"/>
      <c r="B4209" s="6" t="s">
        <v>4442</v>
      </c>
      <c r="C4209" s="6" t="s">
        <v>4279</v>
      </c>
      <c r="D4209" s="7">
        <v>22</v>
      </c>
      <c r="E4209" s="6" t="s">
        <v>7483</v>
      </c>
      <c r="F4209" s="6" t="s">
        <v>5631</v>
      </c>
      <c r="G4209" s="6" t="s">
        <v>5632</v>
      </c>
      <c r="H4209" s="8">
        <v>161985</v>
      </c>
      <c r="I4209" s="8"/>
      <c r="J4209" s="6"/>
      <c r="K4209" s="6" t="s">
        <v>2017</v>
      </c>
      <c r="L4209" s="6"/>
      <c r="M4209" s="6"/>
      <c r="N4209" s="6" t="s">
        <v>2017</v>
      </c>
      <c r="O4209" s="29">
        <f t="shared" si="98"/>
        <v>0</v>
      </c>
      <c r="Q4209" s="30" t="s">
        <v>2017</v>
      </c>
      <c r="R4209" s="31">
        <v>0</v>
      </c>
    </row>
    <row r="4210" s="1" customFormat="1" ht="16.35" hidden="1" customHeight="1" spans="1:18">
      <c r="A4210" s="6"/>
      <c r="B4210" s="6" t="s">
        <v>4442</v>
      </c>
      <c r="C4210" s="6" t="s">
        <v>4279</v>
      </c>
      <c r="D4210" s="7">
        <v>22</v>
      </c>
      <c r="E4210" s="6" t="s">
        <v>7484</v>
      </c>
      <c r="F4210" s="6" t="s">
        <v>5631</v>
      </c>
      <c r="G4210" s="6" t="s">
        <v>5632</v>
      </c>
      <c r="H4210" s="8">
        <v>292000</v>
      </c>
      <c r="I4210" s="8"/>
      <c r="J4210" s="6"/>
      <c r="K4210" s="6" t="s">
        <v>2063</v>
      </c>
      <c r="L4210" s="6"/>
      <c r="M4210" s="6"/>
      <c r="N4210" s="6" t="s">
        <v>2063</v>
      </c>
      <c r="O4210" s="29">
        <f t="shared" si="98"/>
        <v>0</v>
      </c>
      <c r="Q4210" s="30" t="s">
        <v>2063</v>
      </c>
      <c r="R4210" s="31">
        <v>0</v>
      </c>
    </row>
    <row r="4211" s="1" customFormat="1" ht="16.35" hidden="1" customHeight="1" spans="1:18">
      <c r="A4211" s="6"/>
      <c r="B4211" s="6" t="s">
        <v>4442</v>
      </c>
      <c r="C4211" s="6" t="s">
        <v>4279</v>
      </c>
      <c r="D4211" s="7">
        <v>22</v>
      </c>
      <c r="E4211" s="6" t="s">
        <v>7485</v>
      </c>
      <c r="F4211" s="6" t="s">
        <v>5631</v>
      </c>
      <c r="G4211" s="6" t="s">
        <v>5632</v>
      </c>
      <c r="H4211" s="8">
        <v>211997</v>
      </c>
      <c r="I4211" s="8"/>
      <c r="J4211" s="6"/>
      <c r="K4211" s="6" t="s">
        <v>2085</v>
      </c>
      <c r="L4211" s="6"/>
      <c r="M4211" s="6"/>
      <c r="N4211" s="6" t="s">
        <v>2085</v>
      </c>
      <c r="O4211" s="29">
        <f t="shared" si="98"/>
        <v>0</v>
      </c>
      <c r="Q4211" s="30" t="s">
        <v>2085</v>
      </c>
      <c r="R4211" s="31">
        <v>0</v>
      </c>
    </row>
    <row r="4212" s="1" customFormat="1" ht="16.35" hidden="1" customHeight="1" spans="1:18">
      <c r="A4212" s="6"/>
      <c r="B4212" s="6" t="s">
        <v>4442</v>
      </c>
      <c r="C4212" s="6" t="s">
        <v>4279</v>
      </c>
      <c r="D4212" s="7">
        <v>15</v>
      </c>
      <c r="E4212" s="6" t="s">
        <v>7486</v>
      </c>
      <c r="F4212" s="6" t="s">
        <v>5631</v>
      </c>
      <c r="G4212" s="6" t="s">
        <v>5632</v>
      </c>
      <c r="H4212" s="8"/>
      <c r="I4212" s="8">
        <v>4000</v>
      </c>
      <c r="J4212" s="6"/>
      <c r="K4212" s="6" t="s">
        <v>2295</v>
      </c>
      <c r="L4212" s="6"/>
      <c r="M4212" s="6"/>
      <c r="N4212" s="6" t="s">
        <v>2295</v>
      </c>
      <c r="O4212" s="29">
        <f t="shared" si="98"/>
        <v>4000</v>
      </c>
      <c r="Q4212" s="30" t="s">
        <v>2295</v>
      </c>
      <c r="R4212" s="31">
        <v>4000</v>
      </c>
    </row>
    <row r="4213" s="1" customFormat="1" ht="16.35" hidden="1" customHeight="1" spans="1:18">
      <c r="A4213" s="6"/>
      <c r="B4213" s="6" t="s">
        <v>4442</v>
      </c>
      <c r="C4213" s="6" t="s">
        <v>4279</v>
      </c>
      <c r="D4213" s="7">
        <v>22</v>
      </c>
      <c r="E4213" s="6" t="s">
        <v>7487</v>
      </c>
      <c r="F4213" s="6" t="s">
        <v>5631</v>
      </c>
      <c r="G4213" s="6" t="s">
        <v>5632</v>
      </c>
      <c r="H4213" s="8">
        <v>205452</v>
      </c>
      <c r="I4213" s="8"/>
      <c r="J4213" s="6"/>
      <c r="K4213" s="6" t="s">
        <v>1970</v>
      </c>
      <c r="L4213" s="6"/>
      <c r="M4213" s="6"/>
      <c r="N4213" s="6" t="s">
        <v>1970</v>
      </c>
      <c r="O4213" s="29">
        <f t="shared" si="98"/>
        <v>0</v>
      </c>
      <c r="Q4213" s="30" t="s">
        <v>1970</v>
      </c>
      <c r="R4213" s="31">
        <v>0</v>
      </c>
    </row>
    <row r="4214" s="1" customFormat="1" ht="16.35" hidden="1" customHeight="1" spans="1:18">
      <c r="A4214" s="6"/>
      <c r="B4214" s="6" t="s">
        <v>4442</v>
      </c>
      <c r="C4214" s="6" t="s">
        <v>4130</v>
      </c>
      <c r="D4214" s="7">
        <v>43</v>
      </c>
      <c r="E4214" s="6" t="s">
        <v>7488</v>
      </c>
      <c r="F4214" s="6" t="s">
        <v>5631</v>
      </c>
      <c r="G4214" s="6" t="s">
        <v>5632</v>
      </c>
      <c r="H4214" s="8"/>
      <c r="I4214" s="8">
        <v>200000</v>
      </c>
      <c r="J4214" s="6"/>
      <c r="K4214" s="6" t="s">
        <v>7411</v>
      </c>
      <c r="L4214" s="6"/>
      <c r="M4214" s="6"/>
      <c r="N4214" s="6" t="s">
        <v>7411</v>
      </c>
      <c r="O4214" s="29">
        <f t="shared" si="98"/>
        <v>200000</v>
      </c>
      <c r="Q4214" s="30" t="s">
        <v>7411</v>
      </c>
      <c r="R4214" s="31">
        <v>200000</v>
      </c>
    </row>
    <row r="4215" s="1" customFormat="1" ht="16.35" hidden="1" customHeight="1" spans="1:18">
      <c r="A4215" s="6"/>
      <c r="B4215" s="6" t="s">
        <v>4442</v>
      </c>
      <c r="C4215" s="6" t="s">
        <v>4130</v>
      </c>
      <c r="D4215" s="7">
        <v>27</v>
      </c>
      <c r="E4215" s="6" t="s">
        <v>7489</v>
      </c>
      <c r="F4215" s="6" t="s">
        <v>5631</v>
      </c>
      <c r="G4215" s="6" t="s">
        <v>5632</v>
      </c>
      <c r="H4215" s="8"/>
      <c r="I4215" s="8">
        <v>78000</v>
      </c>
      <c r="J4215" s="6"/>
      <c r="K4215" s="6" t="s">
        <v>2336</v>
      </c>
      <c r="L4215" s="6"/>
      <c r="M4215" s="6"/>
      <c r="N4215" s="6" t="s">
        <v>2336</v>
      </c>
      <c r="O4215" s="29">
        <f t="shared" si="98"/>
        <v>78000</v>
      </c>
      <c r="Q4215" s="30" t="s">
        <v>2336</v>
      </c>
      <c r="R4215" s="31">
        <v>78000</v>
      </c>
    </row>
    <row r="4216" s="1" customFormat="1" ht="16.35" hidden="1" customHeight="1" spans="1:18">
      <c r="A4216" s="6"/>
      <c r="B4216" s="6" t="s">
        <v>4442</v>
      </c>
      <c r="C4216" s="6" t="s">
        <v>4130</v>
      </c>
      <c r="D4216" s="7">
        <v>5</v>
      </c>
      <c r="E4216" s="6" t="s">
        <v>7490</v>
      </c>
      <c r="F4216" s="6" t="s">
        <v>5631</v>
      </c>
      <c r="G4216" s="6" t="s">
        <v>5632</v>
      </c>
      <c r="H4216" s="8"/>
      <c r="I4216" s="8">
        <v>180973</v>
      </c>
      <c r="J4216" s="6"/>
      <c r="K4216" s="6" t="s">
        <v>2346</v>
      </c>
      <c r="L4216" s="6"/>
      <c r="M4216" s="6"/>
      <c r="N4216" s="6" t="s">
        <v>2346</v>
      </c>
      <c r="O4216" s="29">
        <f t="shared" si="98"/>
        <v>180973</v>
      </c>
      <c r="Q4216" s="30" t="s">
        <v>2346</v>
      </c>
      <c r="R4216" s="31">
        <v>180973</v>
      </c>
    </row>
    <row r="4217" s="1" customFormat="1" ht="16.35" hidden="1" customHeight="1" spans="1:18">
      <c r="A4217" s="6"/>
      <c r="B4217" s="6" t="s">
        <v>4442</v>
      </c>
      <c r="C4217" s="6" t="s">
        <v>4130</v>
      </c>
      <c r="D4217" s="7">
        <v>1</v>
      </c>
      <c r="E4217" s="6" t="s">
        <v>7491</v>
      </c>
      <c r="F4217" s="6" t="s">
        <v>5631</v>
      </c>
      <c r="G4217" s="6" t="s">
        <v>5632</v>
      </c>
      <c r="H4217" s="8"/>
      <c r="I4217" s="8">
        <v>20000</v>
      </c>
      <c r="J4217" s="6"/>
      <c r="K4217" s="6" t="s">
        <v>7492</v>
      </c>
      <c r="L4217" s="6"/>
      <c r="M4217" s="6"/>
      <c r="N4217" s="6" t="s">
        <v>7492</v>
      </c>
      <c r="O4217" s="29">
        <f t="shared" si="98"/>
        <v>20000</v>
      </c>
      <c r="Q4217" s="30" t="s">
        <v>7492</v>
      </c>
      <c r="R4217" s="31">
        <v>20000</v>
      </c>
    </row>
    <row r="4218" s="1" customFormat="1" ht="16.35" hidden="1" customHeight="1" spans="1:18">
      <c r="A4218" s="6"/>
      <c r="B4218" s="6" t="s">
        <v>4442</v>
      </c>
      <c r="C4218" s="6" t="s">
        <v>4130</v>
      </c>
      <c r="D4218" s="7">
        <v>2</v>
      </c>
      <c r="E4218" s="6" t="s">
        <v>7493</v>
      </c>
      <c r="F4218" s="6" t="s">
        <v>5631</v>
      </c>
      <c r="G4218" s="6" t="s">
        <v>5632</v>
      </c>
      <c r="H4218" s="8">
        <v>225200</v>
      </c>
      <c r="I4218" s="8"/>
      <c r="J4218" s="6"/>
      <c r="K4218" s="6" t="s">
        <v>1487</v>
      </c>
      <c r="L4218" s="6"/>
      <c r="M4218" s="6"/>
      <c r="N4218" s="6" t="s">
        <v>1487</v>
      </c>
      <c r="O4218" s="29">
        <f t="shared" si="98"/>
        <v>0</v>
      </c>
      <c r="Q4218" s="30" t="s">
        <v>1487</v>
      </c>
      <c r="R4218" s="31">
        <v>0</v>
      </c>
    </row>
    <row r="4219" s="1" customFormat="1" ht="16.35" hidden="1" customHeight="1" spans="1:18">
      <c r="A4219" s="6"/>
      <c r="B4219" s="6" t="s">
        <v>4442</v>
      </c>
      <c r="C4219" s="6" t="s">
        <v>4130</v>
      </c>
      <c r="D4219" s="7">
        <v>2</v>
      </c>
      <c r="E4219" s="6" t="s">
        <v>7494</v>
      </c>
      <c r="F4219" s="6" t="s">
        <v>5631</v>
      </c>
      <c r="G4219" s="6" t="s">
        <v>5632</v>
      </c>
      <c r="H4219" s="8">
        <v>305070</v>
      </c>
      <c r="I4219" s="8"/>
      <c r="J4219" s="6"/>
      <c r="K4219" s="6" t="s">
        <v>98</v>
      </c>
      <c r="L4219" s="6"/>
      <c r="M4219" s="6"/>
      <c r="N4219" s="6" t="s">
        <v>98</v>
      </c>
      <c r="O4219" s="29">
        <f t="shared" si="98"/>
        <v>0</v>
      </c>
      <c r="Q4219" s="30" t="s">
        <v>98</v>
      </c>
      <c r="R4219" s="31">
        <v>0</v>
      </c>
    </row>
    <row r="4220" s="1" customFormat="1" ht="16.35" hidden="1" customHeight="1" spans="1:18">
      <c r="A4220" s="6"/>
      <c r="B4220" s="6" t="s">
        <v>4442</v>
      </c>
      <c r="C4220" s="6" t="s">
        <v>4130</v>
      </c>
      <c r="D4220" s="7">
        <v>2</v>
      </c>
      <c r="E4220" s="6" t="s">
        <v>7495</v>
      </c>
      <c r="F4220" s="6" t="s">
        <v>5631</v>
      </c>
      <c r="G4220" s="6" t="s">
        <v>5632</v>
      </c>
      <c r="H4220" s="8">
        <v>262010</v>
      </c>
      <c r="I4220" s="8"/>
      <c r="J4220" s="6"/>
      <c r="K4220" s="6" t="s">
        <v>729</v>
      </c>
      <c r="L4220" s="6"/>
      <c r="M4220" s="6"/>
      <c r="N4220" s="6" t="s">
        <v>729</v>
      </c>
      <c r="O4220" s="29">
        <f t="shared" si="98"/>
        <v>0</v>
      </c>
      <c r="Q4220" s="30" t="s">
        <v>729</v>
      </c>
      <c r="R4220" s="31">
        <v>0</v>
      </c>
    </row>
    <row r="4221" s="1" customFormat="1" ht="16.35" hidden="1" customHeight="1" spans="1:18">
      <c r="A4221" s="6"/>
      <c r="B4221" s="6" t="s">
        <v>4442</v>
      </c>
      <c r="C4221" s="6" t="s">
        <v>4130</v>
      </c>
      <c r="D4221" s="7">
        <v>24</v>
      </c>
      <c r="E4221" s="6" t="s">
        <v>7496</v>
      </c>
      <c r="F4221" s="6" t="s">
        <v>5631</v>
      </c>
      <c r="G4221" s="6" t="s">
        <v>5632</v>
      </c>
      <c r="H4221" s="8"/>
      <c r="I4221" s="8">
        <v>262010</v>
      </c>
      <c r="J4221" s="6"/>
      <c r="K4221" s="6" t="s">
        <v>729</v>
      </c>
      <c r="L4221" s="6"/>
      <c r="M4221" s="6"/>
      <c r="N4221" s="6" t="s">
        <v>729</v>
      </c>
      <c r="O4221" s="29">
        <f t="shared" si="98"/>
        <v>262010</v>
      </c>
      <c r="Q4221" s="30" t="s">
        <v>729</v>
      </c>
      <c r="R4221" s="31">
        <v>262010</v>
      </c>
    </row>
    <row r="4222" s="1" customFormat="1" ht="16.35" hidden="1" customHeight="1" spans="1:18">
      <c r="A4222" s="6"/>
      <c r="B4222" s="6" t="s">
        <v>4442</v>
      </c>
      <c r="C4222" s="6" t="s">
        <v>4130</v>
      </c>
      <c r="D4222" s="7">
        <v>5</v>
      </c>
      <c r="E4222" s="6" t="s">
        <v>7497</v>
      </c>
      <c r="F4222" s="6" t="s">
        <v>5631</v>
      </c>
      <c r="G4222" s="6" t="s">
        <v>5632</v>
      </c>
      <c r="H4222" s="8"/>
      <c r="I4222" s="8">
        <v>273400</v>
      </c>
      <c r="J4222" s="6"/>
      <c r="K4222" s="6" t="s">
        <v>2839</v>
      </c>
      <c r="L4222" s="6"/>
      <c r="M4222" s="6"/>
      <c r="N4222" s="6" t="s">
        <v>2839</v>
      </c>
      <c r="O4222" s="29">
        <f t="shared" si="98"/>
        <v>273400</v>
      </c>
      <c r="Q4222" s="30" t="s">
        <v>2839</v>
      </c>
      <c r="R4222" s="31">
        <v>273400</v>
      </c>
    </row>
    <row r="4223" s="1" customFormat="1" ht="35" hidden="1" customHeight="1" spans="1:18">
      <c r="A4223" s="6"/>
      <c r="B4223" s="6" t="s">
        <v>4442</v>
      </c>
      <c r="C4223" s="6" t="s">
        <v>4130</v>
      </c>
      <c r="D4223" s="7">
        <v>22</v>
      </c>
      <c r="E4223" s="6" t="s">
        <v>7498</v>
      </c>
      <c r="F4223" s="6" t="s">
        <v>5631</v>
      </c>
      <c r="G4223" s="6" t="s">
        <v>5632</v>
      </c>
      <c r="H4223" s="8"/>
      <c r="I4223" s="8">
        <v>108973</v>
      </c>
      <c r="J4223" s="6"/>
      <c r="K4223" s="6" t="s">
        <v>2344</v>
      </c>
      <c r="L4223" s="6"/>
      <c r="M4223" s="6"/>
      <c r="N4223" s="6" t="s">
        <v>2344</v>
      </c>
      <c r="O4223" s="29">
        <f t="shared" si="98"/>
        <v>108973</v>
      </c>
      <c r="Q4223" s="30" t="s">
        <v>2344</v>
      </c>
      <c r="R4223" s="31">
        <v>108973</v>
      </c>
    </row>
    <row r="4224" s="1" customFormat="1" ht="16.35" hidden="1" customHeight="1" spans="1:18">
      <c r="A4224" s="6"/>
      <c r="B4224" s="6" t="s">
        <v>4442</v>
      </c>
      <c r="C4224" s="6" t="s">
        <v>4130</v>
      </c>
      <c r="D4224" s="7">
        <v>23</v>
      </c>
      <c r="E4224" s="6" t="s">
        <v>7499</v>
      </c>
      <c r="F4224" s="6" t="s">
        <v>5631</v>
      </c>
      <c r="G4224" s="6" t="s">
        <v>5632</v>
      </c>
      <c r="H4224" s="8"/>
      <c r="I4224" s="8">
        <v>83124</v>
      </c>
      <c r="J4224" s="6"/>
      <c r="K4224" s="6" t="s">
        <v>2341</v>
      </c>
      <c r="L4224" s="6"/>
      <c r="M4224" s="6"/>
      <c r="N4224" s="6" t="s">
        <v>2341</v>
      </c>
      <c r="O4224" s="29">
        <f t="shared" si="98"/>
        <v>83124</v>
      </c>
      <c r="Q4224" s="30" t="s">
        <v>2341</v>
      </c>
      <c r="R4224" s="31">
        <v>83124</v>
      </c>
    </row>
    <row r="4225" s="1" customFormat="1" ht="16.35" hidden="1" customHeight="1" spans="1:18">
      <c r="A4225" s="6"/>
      <c r="B4225" s="6" t="s">
        <v>4442</v>
      </c>
      <c r="C4225" s="6" t="s">
        <v>4130</v>
      </c>
      <c r="D4225" s="7">
        <v>28</v>
      </c>
      <c r="E4225" s="6" t="s">
        <v>7500</v>
      </c>
      <c r="F4225" s="6" t="s">
        <v>5631</v>
      </c>
      <c r="G4225" s="6" t="s">
        <v>5632</v>
      </c>
      <c r="H4225" s="8"/>
      <c r="I4225" s="8">
        <v>-82850</v>
      </c>
      <c r="J4225" s="6"/>
      <c r="K4225" s="6" t="s">
        <v>1704</v>
      </c>
      <c r="L4225" s="6"/>
      <c r="M4225" s="6"/>
      <c r="N4225" s="6" t="s">
        <v>1704</v>
      </c>
      <c r="O4225" s="29">
        <f t="shared" si="98"/>
        <v>-82850</v>
      </c>
      <c r="Q4225" s="30" t="s">
        <v>1704</v>
      </c>
      <c r="R4225" s="31">
        <v>-82850</v>
      </c>
    </row>
    <row r="4226" s="1" customFormat="1" ht="16.35" hidden="1" customHeight="1" spans="1:18">
      <c r="A4226" s="6"/>
      <c r="B4226" s="6" t="s">
        <v>4442</v>
      </c>
      <c r="C4226" s="6" t="s">
        <v>4130</v>
      </c>
      <c r="D4226" s="7">
        <v>42</v>
      </c>
      <c r="E4226" s="6" t="s">
        <v>7501</v>
      </c>
      <c r="F4226" s="6" t="s">
        <v>5631</v>
      </c>
      <c r="G4226" s="6" t="s">
        <v>5632</v>
      </c>
      <c r="H4226" s="8"/>
      <c r="I4226" s="8">
        <v>20000</v>
      </c>
      <c r="J4226" s="6"/>
      <c r="K4226" s="6" t="s">
        <v>7502</v>
      </c>
      <c r="L4226" s="6"/>
      <c r="M4226" s="6"/>
      <c r="N4226" s="6" t="s">
        <v>7502</v>
      </c>
      <c r="O4226" s="29">
        <f t="shared" si="98"/>
        <v>20000</v>
      </c>
      <c r="Q4226" s="30" t="s">
        <v>7502</v>
      </c>
      <c r="R4226" s="31">
        <v>20000</v>
      </c>
    </row>
    <row r="4227" s="1" customFormat="1" ht="16.35" hidden="1" customHeight="1" spans="1:18">
      <c r="A4227" s="6"/>
      <c r="B4227" s="6" t="s">
        <v>4442</v>
      </c>
      <c r="C4227" s="6" t="s">
        <v>4130</v>
      </c>
      <c r="D4227" s="7">
        <v>2</v>
      </c>
      <c r="E4227" s="6" t="s">
        <v>7503</v>
      </c>
      <c r="F4227" s="6" t="s">
        <v>5631</v>
      </c>
      <c r="G4227" s="6" t="s">
        <v>5632</v>
      </c>
      <c r="H4227" s="8">
        <v>229404</v>
      </c>
      <c r="I4227" s="8"/>
      <c r="J4227" s="6"/>
      <c r="K4227" s="6" t="s">
        <v>2303</v>
      </c>
      <c r="L4227" s="6"/>
      <c r="M4227" s="6"/>
      <c r="N4227" s="6" t="s">
        <v>2303</v>
      </c>
      <c r="O4227" s="29">
        <f t="shared" si="98"/>
        <v>0</v>
      </c>
      <c r="Q4227" s="30" t="s">
        <v>2303</v>
      </c>
      <c r="R4227" s="31">
        <v>0</v>
      </c>
    </row>
    <row r="4228" s="1" customFormat="1" ht="16.35" hidden="1" customHeight="1" spans="1:18">
      <c r="A4228" s="6"/>
      <c r="B4228" s="6" t="s">
        <v>4442</v>
      </c>
      <c r="C4228" s="6" t="s">
        <v>4130</v>
      </c>
      <c r="D4228" s="7">
        <v>25</v>
      </c>
      <c r="E4228" s="6" t="s">
        <v>7504</v>
      </c>
      <c r="F4228" s="6" t="s">
        <v>5631</v>
      </c>
      <c r="G4228" s="6" t="s">
        <v>5632</v>
      </c>
      <c r="H4228" s="8"/>
      <c r="I4228" s="8">
        <v>706564</v>
      </c>
      <c r="J4228" s="6"/>
      <c r="K4228" s="6" t="s">
        <v>2889</v>
      </c>
      <c r="L4228" s="6"/>
      <c r="M4228" s="6"/>
      <c r="N4228" s="6" t="s">
        <v>2889</v>
      </c>
      <c r="O4228" s="29">
        <f t="shared" si="98"/>
        <v>706564</v>
      </c>
      <c r="Q4228" s="30" t="s">
        <v>2889</v>
      </c>
      <c r="R4228" s="31">
        <v>706564</v>
      </c>
    </row>
    <row r="4229" s="1" customFormat="1" ht="16.35" hidden="1" customHeight="1" spans="1:18">
      <c r="A4229" s="6"/>
      <c r="B4229" s="6" t="s">
        <v>4442</v>
      </c>
      <c r="C4229" s="6" t="s">
        <v>4130</v>
      </c>
      <c r="D4229" s="7">
        <v>26</v>
      </c>
      <c r="E4229" s="6" t="s">
        <v>7505</v>
      </c>
      <c r="F4229" s="6" t="s">
        <v>5631</v>
      </c>
      <c r="G4229" s="6" t="s">
        <v>5632</v>
      </c>
      <c r="H4229" s="8"/>
      <c r="I4229" s="8">
        <v>250000</v>
      </c>
      <c r="J4229" s="6"/>
      <c r="K4229" s="6" t="s">
        <v>674</v>
      </c>
      <c r="L4229" s="6"/>
      <c r="M4229" s="6"/>
      <c r="N4229" s="6" t="s">
        <v>674</v>
      </c>
      <c r="O4229" s="29">
        <f t="shared" si="98"/>
        <v>250000</v>
      </c>
      <c r="Q4229" s="30" t="s">
        <v>674</v>
      </c>
      <c r="R4229" s="31">
        <v>250000</v>
      </c>
    </row>
    <row r="4230" s="1" customFormat="1" ht="16.35" hidden="1" customHeight="1" spans="1:18">
      <c r="A4230" s="6"/>
      <c r="B4230" s="6" t="s">
        <v>4442</v>
      </c>
      <c r="C4230" s="6" t="s">
        <v>4130</v>
      </c>
      <c r="D4230" s="7">
        <v>2</v>
      </c>
      <c r="E4230" s="6" t="s">
        <v>7506</v>
      </c>
      <c r="F4230" s="6" t="s">
        <v>5631</v>
      </c>
      <c r="G4230" s="6" t="s">
        <v>5632</v>
      </c>
      <c r="H4230" s="8">
        <v>229404</v>
      </c>
      <c r="I4230" s="8"/>
      <c r="J4230" s="6"/>
      <c r="K4230" s="6" t="s">
        <v>2198</v>
      </c>
      <c r="L4230" s="6"/>
      <c r="M4230" s="6"/>
      <c r="N4230" s="6" t="s">
        <v>2198</v>
      </c>
      <c r="O4230" s="29">
        <f t="shared" si="98"/>
        <v>0</v>
      </c>
      <c r="Q4230" s="30" t="s">
        <v>2198</v>
      </c>
      <c r="R4230" s="31">
        <v>0</v>
      </c>
    </row>
    <row r="4231" s="1" customFormat="1" ht="16.35" hidden="1" customHeight="1" spans="1:18">
      <c r="A4231" s="6"/>
      <c r="B4231" s="6" t="s">
        <v>4442</v>
      </c>
      <c r="C4231" s="6" t="s">
        <v>4150</v>
      </c>
      <c r="D4231" s="7">
        <v>23</v>
      </c>
      <c r="E4231" s="6" t="s">
        <v>7507</v>
      </c>
      <c r="F4231" s="6" t="s">
        <v>5631</v>
      </c>
      <c r="G4231" s="6" t="s">
        <v>5632</v>
      </c>
      <c r="H4231" s="8"/>
      <c r="I4231" s="8">
        <v>100000</v>
      </c>
      <c r="J4231" s="6"/>
      <c r="K4231" s="6" t="s">
        <v>7411</v>
      </c>
      <c r="L4231" s="6"/>
      <c r="M4231" s="6"/>
      <c r="N4231" s="6" t="s">
        <v>7411</v>
      </c>
      <c r="O4231" s="29">
        <f t="shared" si="98"/>
        <v>100000</v>
      </c>
      <c r="Q4231" s="30" t="s">
        <v>7411</v>
      </c>
      <c r="R4231" s="31">
        <v>100000</v>
      </c>
    </row>
    <row r="4232" s="2" customFormat="1" ht="20" hidden="1" customHeight="1" spans="1:19">
      <c r="A4232" s="10"/>
      <c r="B4232" s="10" t="s">
        <v>4442</v>
      </c>
      <c r="C4232" s="10" t="s">
        <v>4150</v>
      </c>
      <c r="D4232" s="11">
        <v>23</v>
      </c>
      <c r="E4232" s="10" t="s">
        <v>7508</v>
      </c>
      <c r="F4232" s="10" t="s">
        <v>5631</v>
      </c>
      <c r="G4232" s="10" t="s">
        <v>5632</v>
      </c>
      <c r="H4232" s="12"/>
      <c r="I4232" s="12">
        <v>400000</v>
      </c>
      <c r="J4232" s="10"/>
      <c r="K4232" s="10" t="s">
        <v>7411</v>
      </c>
      <c r="L4232" s="10"/>
      <c r="M4232" s="10"/>
      <c r="N4232" s="10" t="s">
        <v>7411</v>
      </c>
      <c r="O4232" s="33">
        <f t="shared" si="98"/>
        <v>400000</v>
      </c>
      <c r="Q4232" s="30" t="s">
        <v>7411</v>
      </c>
      <c r="R4232" s="31">
        <v>400000</v>
      </c>
      <c r="S4232" s="2" t="s">
        <v>7509</v>
      </c>
    </row>
    <row r="4233" s="1" customFormat="1" ht="16.35" hidden="1" customHeight="1" spans="1:18">
      <c r="A4233" s="6"/>
      <c r="B4233" s="6" t="s">
        <v>4442</v>
      </c>
      <c r="C4233" s="6" t="s">
        <v>4150</v>
      </c>
      <c r="D4233" s="7">
        <v>28</v>
      </c>
      <c r="E4233" s="6" t="s">
        <v>7510</v>
      </c>
      <c r="F4233" s="6" t="s">
        <v>5631</v>
      </c>
      <c r="G4233" s="6" t="s">
        <v>5632</v>
      </c>
      <c r="H4233" s="8"/>
      <c r="I4233" s="8">
        <v>190000</v>
      </c>
      <c r="J4233" s="6"/>
      <c r="K4233" s="6" t="s">
        <v>2336</v>
      </c>
      <c r="L4233" s="6"/>
      <c r="M4233" s="6"/>
      <c r="N4233" s="6" t="s">
        <v>2336</v>
      </c>
      <c r="O4233" s="29">
        <f t="shared" si="98"/>
        <v>190000</v>
      </c>
      <c r="Q4233" s="30" t="s">
        <v>2336</v>
      </c>
      <c r="R4233" s="31">
        <v>190000</v>
      </c>
    </row>
    <row r="4234" s="1" customFormat="1" ht="16.35" hidden="1" customHeight="1" spans="1:18">
      <c r="A4234" s="6"/>
      <c r="B4234" s="6" t="s">
        <v>4442</v>
      </c>
      <c r="C4234" s="6" t="s">
        <v>4150</v>
      </c>
      <c r="D4234" s="7">
        <v>30</v>
      </c>
      <c r="E4234" s="6" t="s">
        <v>7511</v>
      </c>
      <c r="F4234" s="6" t="s">
        <v>5631</v>
      </c>
      <c r="G4234" s="6" t="s">
        <v>5632</v>
      </c>
      <c r="H4234" s="8">
        <v>-225200</v>
      </c>
      <c r="I4234" s="8"/>
      <c r="J4234" s="6"/>
      <c r="K4234" s="6" t="s">
        <v>1487</v>
      </c>
      <c r="L4234" s="6"/>
      <c r="M4234" s="6"/>
      <c r="N4234" s="6" t="s">
        <v>1487</v>
      </c>
      <c r="O4234" s="29">
        <f t="shared" si="98"/>
        <v>0</v>
      </c>
      <c r="Q4234" s="30" t="s">
        <v>1487</v>
      </c>
      <c r="R4234" s="31">
        <v>0</v>
      </c>
    </row>
    <row r="4235" s="2" customFormat="1" ht="20" hidden="1" customHeight="1" spans="1:19">
      <c r="A4235" s="10"/>
      <c r="B4235" s="10" t="s">
        <v>4442</v>
      </c>
      <c r="C4235" s="10" t="s">
        <v>4150</v>
      </c>
      <c r="D4235" s="11">
        <v>23</v>
      </c>
      <c r="E4235" s="10" t="s">
        <v>7508</v>
      </c>
      <c r="F4235" s="10" t="s">
        <v>5631</v>
      </c>
      <c r="G4235" s="10" t="s">
        <v>5632</v>
      </c>
      <c r="H4235" s="12">
        <v>400000</v>
      </c>
      <c r="I4235" s="12"/>
      <c r="J4235" s="10"/>
      <c r="K4235" s="10" t="s">
        <v>7411</v>
      </c>
      <c r="L4235" s="10"/>
      <c r="M4235" s="10"/>
      <c r="N4235" s="10" t="s">
        <v>7411</v>
      </c>
      <c r="O4235" s="33">
        <f t="shared" si="98"/>
        <v>0</v>
      </c>
      <c r="Q4235" s="30" t="s">
        <v>7411</v>
      </c>
      <c r="R4235" s="31">
        <v>0</v>
      </c>
      <c r="S4235" s="2" t="s">
        <v>7509</v>
      </c>
    </row>
    <row r="4236" s="1" customFormat="1" ht="16.35" hidden="1" customHeight="1" spans="1:18">
      <c r="A4236" s="6"/>
      <c r="B4236" s="6" t="s">
        <v>4442</v>
      </c>
      <c r="C4236" s="6" t="s">
        <v>4150</v>
      </c>
      <c r="D4236" s="7">
        <v>13</v>
      </c>
      <c r="E4236" s="6" t="s">
        <v>7512</v>
      </c>
      <c r="F4236" s="6" t="s">
        <v>5631</v>
      </c>
      <c r="G4236" s="6" t="s">
        <v>5632</v>
      </c>
      <c r="H4236" s="8"/>
      <c r="I4236" s="8">
        <v>139955</v>
      </c>
      <c r="J4236" s="6"/>
      <c r="K4236" s="6" t="s">
        <v>2338</v>
      </c>
      <c r="L4236" s="6"/>
      <c r="M4236" s="6"/>
      <c r="N4236" s="6" t="s">
        <v>2338</v>
      </c>
      <c r="O4236" s="29">
        <f t="shared" si="98"/>
        <v>139955</v>
      </c>
      <c r="Q4236" s="30" t="s">
        <v>2338</v>
      </c>
      <c r="R4236" s="31">
        <v>139955</v>
      </c>
    </row>
    <row r="4237" s="1" customFormat="1" ht="16.35" hidden="1" customHeight="1" spans="1:18">
      <c r="A4237" s="6"/>
      <c r="B4237" s="6" t="s">
        <v>4442</v>
      </c>
      <c r="C4237" s="6" t="s">
        <v>4150</v>
      </c>
      <c r="D4237" s="7">
        <v>29</v>
      </c>
      <c r="E4237" s="6" t="s">
        <v>7513</v>
      </c>
      <c r="F4237" s="6" t="s">
        <v>5631</v>
      </c>
      <c r="G4237" s="6" t="s">
        <v>5632</v>
      </c>
      <c r="H4237" s="8"/>
      <c r="I4237" s="8">
        <v>150000</v>
      </c>
      <c r="J4237" s="6"/>
      <c r="K4237" s="6" t="s">
        <v>2073</v>
      </c>
      <c r="L4237" s="6"/>
      <c r="M4237" s="6"/>
      <c r="N4237" s="6" t="s">
        <v>2073</v>
      </c>
      <c r="O4237" s="29">
        <f t="shared" si="98"/>
        <v>150000</v>
      </c>
      <c r="Q4237" s="30" t="s">
        <v>2073</v>
      </c>
      <c r="R4237" s="31">
        <v>150000</v>
      </c>
    </row>
    <row r="4238" s="1" customFormat="1" ht="16.35" hidden="1" customHeight="1" spans="1:18">
      <c r="A4238" s="6"/>
      <c r="B4238" s="6" t="s">
        <v>4442</v>
      </c>
      <c r="C4238" s="6" t="s">
        <v>4150</v>
      </c>
      <c r="D4238" s="7">
        <v>30</v>
      </c>
      <c r="E4238" s="6" t="s">
        <v>7514</v>
      </c>
      <c r="F4238" s="6" t="s">
        <v>5631</v>
      </c>
      <c r="G4238" s="6" t="s">
        <v>5632</v>
      </c>
      <c r="H4238" s="8">
        <v>232206</v>
      </c>
      <c r="I4238" s="8"/>
      <c r="J4238" s="6"/>
      <c r="K4238" s="6" t="s">
        <v>2153</v>
      </c>
      <c r="L4238" s="6"/>
      <c r="M4238" s="6"/>
      <c r="N4238" s="6" t="s">
        <v>2153</v>
      </c>
      <c r="O4238" s="29">
        <f t="shared" si="98"/>
        <v>0</v>
      </c>
      <c r="Q4238" s="30" t="s">
        <v>2153</v>
      </c>
      <c r="R4238" s="31">
        <v>0</v>
      </c>
    </row>
    <row r="4239" s="1" customFormat="1" ht="16.35" hidden="1" customHeight="1" spans="1:18">
      <c r="A4239" s="6"/>
      <c r="B4239" s="6" t="s">
        <v>4442</v>
      </c>
      <c r="C4239" s="6" t="s">
        <v>4171</v>
      </c>
      <c r="D4239" s="7">
        <v>22</v>
      </c>
      <c r="E4239" s="6" t="s">
        <v>7515</v>
      </c>
      <c r="F4239" s="6" t="s">
        <v>5631</v>
      </c>
      <c r="G4239" s="6" t="s">
        <v>5632</v>
      </c>
      <c r="H4239" s="8"/>
      <c r="I4239" s="8">
        <v>200000</v>
      </c>
      <c r="J4239" s="6"/>
      <c r="K4239" s="6" t="s">
        <v>2822</v>
      </c>
      <c r="L4239" s="6"/>
      <c r="M4239" s="6"/>
      <c r="N4239" s="6" t="s">
        <v>2822</v>
      </c>
      <c r="O4239" s="29">
        <f t="shared" si="98"/>
        <v>200000</v>
      </c>
      <c r="Q4239" s="30" t="s">
        <v>2822</v>
      </c>
      <c r="R4239" s="31">
        <v>200000</v>
      </c>
    </row>
    <row r="4240" s="1" customFormat="1" ht="16.35" hidden="1" customHeight="1" spans="1:18">
      <c r="A4240" s="6"/>
      <c r="B4240" s="6" t="s">
        <v>4442</v>
      </c>
      <c r="C4240" s="6" t="s">
        <v>4171</v>
      </c>
      <c r="D4240" s="7">
        <v>8</v>
      </c>
      <c r="E4240" s="6" t="s">
        <v>7516</v>
      </c>
      <c r="F4240" s="6" t="s">
        <v>5631</v>
      </c>
      <c r="G4240" s="6" t="s">
        <v>5632</v>
      </c>
      <c r="H4240" s="8">
        <v>204669</v>
      </c>
      <c r="I4240" s="8"/>
      <c r="J4240" s="6"/>
      <c r="K4240" s="6" t="s">
        <v>2519</v>
      </c>
      <c r="L4240" s="6"/>
      <c r="M4240" s="6"/>
      <c r="N4240" s="6" t="s">
        <v>2519</v>
      </c>
      <c r="O4240" s="29">
        <f t="shared" si="98"/>
        <v>0</v>
      </c>
      <c r="Q4240" s="30" t="s">
        <v>2519</v>
      </c>
      <c r="R4240" s="31">
        <v>0</v>
      </c>
    </row>
    <row r="4241" s="1" customFormat="1" ht="21" hidden="1" customHeight="1" spans="1:18">
      <c r="A4241" s="6"/>
      <c r="B4241" s="6" t="s">
        <v>4442</v>
      </c>
      <c r="C4241" s="6" t="s">
        <v>4171</v>
      </c>
      <c r="D4241" s="7">
        <v>17</v>
      </c>
      <c r="E4241" s="6" t="s">
        <v>7517</v>
      </c>
      <c r="F4241" s="6" t="s">
        <v>5631</v>
      </c>
      <c r="G4241" s="6" t="s">
        <v>5632</v>
      </c>
      <c r="H4241" s="8"/>
      <c r="I4241" s="8">
        <v>100000</v>
      </c>
      <c r="J4241" s="6"/>
      <c r="K4241" s="6" t="s">
        <v>7411</v>
      </c>
      <c r="L4241" s="6"/>
      <c r="M4241" s="6"/>
      <c r="N4241" s="6" t="s">
        <v>7411</v>
      </c>
      <c r="O4241" s="29">
        <f t="shared" si="98"/>
        <v>100000</v>
      </c>
      <c r="Q4241" s="30" t="s">
        <v>7411</v>
      </c>
      <c r="R4241" s="31">
        <v>100000</v>
      </c>
    </row>
    <row r="4242" s="1" customFormat="1" ht="16.35" hidden="1" customHeight="1" spans="1:18">
      <c r="A4242" s="6"/>
      <c r="B4242" s="6" t="s">
        <v>4442</v>
      </c>
      <c r="C4242" s="6" t="s">
        <v>4171</v>
      </c>
      <c r="D4242" s="7">
        <v>8</v>
      </c>
      <c r="E4242" s="6" t="s">
        <v>7518</v>
      </c>
      <c r="F4242" s="6" t="s">
        <v>5631</v>
      </c>
      <c r="G4242" s="6" t="s">
        <v>5632</v>
      </c>
      <c r="H4242" s="8">
        <v>83124</v>
      </c>
      <c r="I4242" s="8"/>
      <c r="J4242" s="6"/>
      <c r="K4242" s="6" t="s">
        <v>2341</v>
      </c>
      <c r="L4242" s="6"/>
      <c r="M4242" s="6"/>
      <c r="N4242" s="6" t="s">
        <v>2341</v>
      </c>
      <c r="O4242" s="29">
        <f t="shared" ref="O4242:O4259" si="99">I4242</f>
        <v>0</v>
      </c>
      <c r="Q4242" s="30" t="s">
        <v>2341</v>
      </c>
      <c r="R4242" s="31">
        <v>0</v>
      </c>
    </row>
    <row r="4243" s="1" customFormat="1" ht="27" hidden="1" customHeight="1" spans="1:18">
      <c r="A4243" s="6"/>
      <c r="B4243" s="6" t="s">
        <v>4442</v>
      </c>
      <c r="C4243" s="6" t="s">
        <v>4171</v>
      </c>
      <c r="D4243" s="7">
        <v>5</v>
      </c>
      <c r="E4243" s="6" t="s">
        <v>7519</v>
      </c>
      <c r="F4243" s="6" t="s">
        <v>5631</v>
      </c>
      <c r="G4243" s="6" t="s">
        <v>5632</v>
      </c>
      <c r="H4243" s="8"/>
      <c r="I4243" s="8">
        <v>-110000</v>
      </c>
      <c r="J4243" s="6"/>
      <c r="K4243" s="6" t="s">
        <v>2002</v>
      </c>
      <c r="L4243" s="6"/>
      <c r="M4243" s="6"/>
      <c r="N4243" s="6" t="s">
        <v>2002</v>
      </c>
      <c r="O4243" s="29">
        <f t="shared" si="99"/>
        <v>-110000</v>
      </c>
      <c r="Q4243" s="30" t="s">
        <v>2002</v>
      </c>
      <c r="R4243" s="31">
        <v>-110000</v>
      </c>
    </row>
    <row r="4244" s="1" customFormat="1" ht="16.35" hidden="1" customHeight="1" spans="1:18">
      <c r="A4244" s="6"/>
      <c r="B4244" s="6" t="s">
        <v>4442</v>
      </c>
      <c r="C4244" s="6" t="s">
        <v>4171</v>
      </c>
      <c r="D4244" s="7">
        <v>8</v>
      </c>
      <c r="E4244" s="6" t="s">
        <v>7520</v>
      </c>
      <c r="F4244" s="6" t="s">
        <v>5631</v>
      </c>
      <c r="G4244" s="6" t="s">
        <v>5632</v>
      </c>
      <c r="H4244" s="8">
        <v>225730</v>
      </c>
      <c r="I4244" s="8"/>
      <c r="J4244" s="6"/>
      <c r="K4244" s="6" t="s">
        <v>2557</v>
      </c>
      <c r="L4244" s="6"/>
      <c r="M4244" s="6"/>
      <c r="N4244" s="6" t="s">
        <v>2557</v>
      </c>
      <c r="O4244" s="29">
        <f t="shared" si="99"/>
        <v>0</v>
      </c>
      <c r="Q4244" s="30" t="s">
        <v>2557</v>
      </c>
      <c r="R4244" s="31">
        <v>0</v>
      </c>
    </row>
    <row r="4245" s="1" customFormat="1" ht="16.35" hidden="1" customHeight="1" spans="1:18">
      <c r="A4245" s="6"/>
      <c r="B4245" s="6" t="s">
        <v>4442</v>
      </c>
      <c r="C4245" s="6" t="s">
        <v>4171</v>
      </c>
      <c r="D4245" s="7">
        <v>8</v>
      </c>
      <c r="E4245" s="6" t="s">
        <v>7521</v>
      </c>
      <c r="F4245" s="6" t="s">
        <v>5631</v>
      </c>
      <c r="G4245" s="6" t="s">
        <v>5632</v>
      </c>
      <c r="H4245" s="8">
        <v>139955</v>
      </c>
      <c r="I4245" s="8"/>
      <c r="J4245" s="6"/>
      <c r="K4245" s="6" t="s">
        <v>2338</v>
      </c>
      <c r="L4245" s="6"/>
      <c r="M4245" s="6"/>
      <c r="N4245" s="6" t="s">
        <v>2338</v>
      </c>
      <c r="O4245" s="29">
        <f t="shared" si="99"/>
        <v>0</v>
      </c>
      <c r="Q4245" s="30" t="s">
        <v>2338</v>
      </c>
      <c r="R4245" s="31">
        <v>0</v>
      </c>
    </row>
    <row r="4246" s="1" customFormat="1" ht="16.35" hidden="1" customHeight="1" spans="1:18">
      <c r="A4246" s="6"/>
      <c r="B4246" s="6" t="s">
        <v>4442</v>
      </c>
      <c r="C4246" s="6" t="s">
        <v>4171</v>
      </c>
      <c r="D4246" s="7">
        <v>18</v>
      </c>
      <c r="E4246" s="6" t="s">
        <v>7522</v>
      </c>
      <c r="F4246" s="6" t="s">
        <v>5631</v>
      </c>
      <c r="G4246" s="6" t="s">
        <v>5632</v>
      </c>
      <c r="H4246" s="8"/>
      <c r="I4246" s="8">
        <v>22356</v>
      </c>
      <c r="J4246" s="6"/>
      <c r="K4246" s="6" t="s">
        <v>2889</v>
      </c>
      <c r="L4246" s="6"/>
      <c r="M4246" s="6"/>
      <c r="N4246" s="6" t="s">
        <v>2889</v>
      </c>
      <c r="O4246" s="29">
        <f t="shared" si="99"/>
        <v>22356</v>
      </c>
      <c r="Q4246" s="30" t="s">
        <v>2889</v>
      </c>
      <c r="R4246" s="31">
        <v>22356</v>
      </c>
    </row>
    <row r="4247" s="1" customFormat="1" ht="16.35" hidden="1" customHeight="1" spans="1:18">
      <c r="A4247" s="6"/>
      <c r="B4247" s="6" t="s">
        <v>4442</v>
      </c>
      <c r="C4247" s="6" t="s">
        <v>4171</v>
      </c>
      <c r="D4247" s="7">
        <v>8</v>
      </c>
      <c r="E4247" s="6" t="s">
        <v>7523</v>
      </c>
      <c r="F4247" s="6" t="s">
        <v>5631</v>
      </c>
      <c r="G4247" s="6" t="s">
        <v>5632</v>
      </c>
      <c r="H4247" s="8">
        <v>218232</v>
      </c>
      <c r="I4247" s="8"/>
      <c r="J4247" s="6"/>
      <c r="K4247" s="6" t="s">
        <v>2219</v>
      </c>
      <c r="L4247" s="6"/>
      <c r="M4247" s="6"/>
      <c r="N4247" s="6" t="s">
        <v>2219</v>
      </c>
      <c r="O4247" s="29">
        <f t="shared" si="99"/>
        <v>0</v>
      </c>
      <c r="Q4247" s="30" t="s">
        <v>2219</v>
      </c>
      <c r="R4247" s="31">
        <v>0</v>
      </c>
    </row>
    <row r="4248" s="1" customFormat="1" ht="16.35" hidden="1" customHeight="1" spans="1:18">
      <c r="A4248" s="6"/>
      <c r="B4248" s="6" t="s">
        <v>4442</v>
      </c>
      <c r="C4248" s="6" t="s">
        <v>4171</v>
      </c>
      <c r="D4248" s="7">
        <v>16</v>
      </c>
      <c r="E4248" s="6" t="s">
        <v>7524</v>
      </c>
      <c r="F4248" s="6" t="s">
        <v>5631</v>
      </c>
      <c r="G4248" s="6" t="s">
        <v>5632</v>
      </c>
      <c r="H4248" s="8"/>
      <c r="I4248" s="8">
        <v>10000</v>
      </c>
      <c r="J4248" s="6"/>
      <c r="K4248" s="6" t="s">
        <v>2827</v>
      </c>
      <c r="L4248" s="6"/>
      <c r="M4248" s="6"/>
      <c r="N4248" s="6" t="s">
        <v>2827</v>
      </c>
      <c r="O4248" s="29">
        <f t="shared" si="99"/>
        <v>10000</v>
      </c>
      <c r="Q4248" s="30" t="s">
        <v>2827</v>
      </c>
      <c r="R4248" s="31">
        <v>10000</v>
      </c>
    </row>
    <row r="4249" s="1" customFormat="1" ht="16.35" hidden="1" customHeight="1" spans="1:18">
      <c r="A4249" s="6"/>
      <c r="B4249" s="6" t="s">
        <v>4442</v>
      </c>
      <c r="C4249" s="6" t="s">
        <v>4186</v>
      </c>
      <c r="D4249" s="7">
        <v>1</v>
      </c>
      <c r="E4249" s="6" t="s">
        <v>7525</v>
      </c>
      <c r="F4249" s="6" t="s">
        <v>5631</v>
      </c>
      <c r="G4249" s="6" t="s">
        <v>5632</v>
      </c>
      <c r="H4249" s="8"/>
      <c r="I4249" s="8">
        <v>4672</v>
      </c>
      <c r="J4249" s="6"/>
      <c r="K4249" s="6" t="s">
        <v>2822</v>
      </c>
      <c r="L4249" s="6"/>
      <c r="M4249" s="6"/>
      <c r="N4249" s="6" t="s">
        <v>2822</v>
      </c>
      <c r="O4249" s="29">
        <f t="shared" si="99"/>
        <v>4672</v>
      </c>
      <c r="Q4249" s="30" t="s">
        <v>2822</v>
      </c>
      <c r="R4249" s="31">
        <v>4672</v>
      </c>
    </row>
    <row r="4250" s="1" customFormat="1" ht="16.35" hidden="1" customHeight="1" spans="1:18">
      <c r="A4250" s="6"/>
      <c r="B4250" s="6" t="s">
        <v>4442</v>
      </c>
      <c r="C4250" s="6" t="s">
        <v>4186</v>
      </c>
      <c r="D4250" s="7">
        <v>12</v>
      </c>
      <c r="E4250" s="6" t="s">
        <v>7526</v>
      </c>
      <c r="F4250" s="6" t="s">
        <v>5631</v>
      </c>
      <c r="G4250" s="6" t="s">
        <v>5632</v>
      </c>
      <c r="H4250" s="8"/>
      <c r="I4250" s="8">
        <v>13000</v>
      </c>
      <c r="J4250" s="6"/>
      <c r="K4250" s="6" t="s">
        <v>2842</v>
      </c>
      <c r="L4250" s="6"/>
      <c r="M4250" s="6"/>
      <c r="N4250" s="6" t="s">
        <v>2842</v>
      </c>
      <c r="O4250" s="29">
        <f t="shared" si="99"/>
        <v>13000</v>
      </c>
      <c r="Q4250" s="30" t="s">
        <v>2842</v>
      </c>
      <c r="R4250" s="31">
        <v>13000</v>
      </c>
    </row>
    <row r="4251" s="1" customFormat="1" ht="16.35" hidden="1" customHeight="1" spans="1:18">
      <c r="A4251" s="6"/>
      <c r="B4251" s="6" t="s">
        <v>4442</v>
      </c>
      <c r="C4251" s="6" t="s">
        <v>4186</v>
      </c>
      <c r="D4251" s="7">
        <v>13</v>
      </c>
      <c r="E4251" s="6" t="s">
        <v>7527</v>
      </c>
      <c r="F4251" s="6" t="s">
        <v>5631</v>
      </c>
      <c r="G4251" s="6" t="s">
        <v>5632</v>
      </c>
      <c r="H4251" s="8"/>
      <c r="I4251" s="8">
        <v>72926</v>
      </c>
      <c r="J4251" s="6"/>
      <c r="K4251" s="6" t="s">
        <v>2354</v>
      </c>
      <c r="L4251" s="6"/>
      <c r="M4251" s="6"/>
      <c r="N4251" s="6" t="s">
        <v>2354</v>
      </c>
      <c r="O4251" s="29">
        <f t="shared" si="99"/>
        <v>72926</v>
      </c>
      <c r="Q4251" s="30" t="s">
        <v>2354</v>
      </c>
      <c r="R4251" s="31">
        <v>72926</v>
      </c>
    </row>
    <row r="4252" s="1" customFormat="1" ht="16.35" hidden="1" customHeight="1" spans="1:18">
      <c r="A4252" s="6"/>
      <c r="B4252" s="6" t="s">
        <v>4442</v>
      </c>
      <c r="C4252" s="6" t="s">
        <v>4186</v>
      </c>
      <c r="D4252" s="7">
        <v>27</v>
      </c>
      <c r="E4252" s="6" t="s">
        <v>7528</v>
      </c>
      <c r="F4252" s="6" t="s">
        <v>5631</v>
      </c>
      <c r="G4252" s="6" t="s">
        <v>5632</v>
      </c>
      <c r="H4252" s="8"/>
      <c r="I4252" s="8">
        <v>-72926</v>
      </c>
      <c r="J4252" s="6"/>
      <c r="K4252" s="6" t="s">
        <v>2354</v>
      </c>
      <c r="L4252" s="6"/>
      <c r="M4252" s="6"/>
      <c r="N4252" s="6" t="s">
        <v>2354</v>
      </c>
      <c r="O4252" s="29">
        <f t="shared" si="99"/>
        <v>-72926</v>
      </c>
      <c r="Q4252" s="30" t="s">
        <v>2354</v>
      </c>
      <c r="R4252" s="31">
        <v>-72926</v>
      </c>
    </row>
    <row r="4253" s="1" customFormat="1" ht="16.35" hidden="1" customHeight="1" spans="1:18">
      <c r="A4253" s="6"/>
      <c r="B4253" s="6" t="s">
        <v>4442</v>
      </c>
      <c r="C4253" s="6" t="s">
        <v>4186</v>
      </c>
      <c r="D4253" s="7">
        <v>14</v>
      </c>
      <c r="E4253" s="6" t="s">
        <v>7529</v>
      </c>
      <c r="F4253" s="6" t="s">
        <v>5631</v>
      </c>
      <c r="G4253" s="6" t="s">
        <v>5632</v>
      </c>
      <c r="H4253" s="8"/>
      <c r="I4253" s="8">
        <v>20000</v>
      </c>
      <c r="J4253" s="6"/>
      <c r="K4253" s="6" t="s">
        <v>2837</v>
      </c>
      <c r="L4253" s="6"/>
      <c r="M4253" s="6"/>
      <c r="N4253" s="6" t="s">
        <v>2837</v>
      </c>
      <c r="O4253" s="29">
        <f t="shared" si="99"/>
        <v>20000</v>
      </c>
      <c r="Q4253" s="30" t="s">
        <v>2837</v>
      </c>
      <c r="R4253" s="31">
        <v>20000</v>
      </c>
    </row>
    <row r="4254" s="1" customFormat="1" ht="16.35" hidden="1" customHeight="1" spans="1:18">
      <c r="A4254" s="6"/>
      <c r="B4254" s="6" t="s">
        <v>4442</v>
      </c>
      <c r="C4254" s="6" t="s">
        <v>4186</v>
      </c>
      <c r="D4254" s="7">
        <v>15</v>
      </c>
      <c r="E4254" s="6" t="s">
        <v>7530</v>
      </c>
      <c r="F4254" s="6" t="s">
        <v>5631</v>
      </c>
      <c r="G4254" s="6" t="s">
        <v>5632</v>
      </c>
      <c r="H4254" s="8"/>
      <c r="I4254" s="8">
        <v>195068</v>
      </c>
      <c r="J4254" s="6"/>
      <c r="K4254" s="6" t="s">
        <v>7492</v>
      </c>
      <c r="L4254" s="6"/>
      <c r="M4254" s="6"/>
      <c r="N4254" s="6" t="s">
        <v>7492</v>
      </c>
      <c r="O4254" s="29">
        <f t="shared" si="99"/>
        <v>195068</v>
      </c>
      <c r="Q4254" s="30" t="s">
        <v>7492</v>
      </c>
      <c r="R4254" s="31">
        <v>195068</v>
      </c>
    </row>
    <row r="4255" s="1" customFormat="1" ht="16.35" hidden="1" customHeight="1" spans="1:18">
      <c r="A4255" s="6"/>
      <c r="B4255" s="6" t="s">
        <v>4442</v>
      </c>
      <c r="C4255" s="6" t="s">
        <v>4186</v>
      </c>
      <c r="D4255" s="7">
        <v>24</v>
      </c>
      <c r="E4255" s="6" t="s">
        <v>7531</v>
      </c>
      <c r="F4255" s="6" t="s">
        <v>5631</v>
      </c>
      <c r="G4255" s="6" t="s">
        <v>5632</v>
      </c>
      <c r="H4255" s="8"/>
      <c r="I4255" s="8">
        <v>120000</v>
      </c>
      <c r="J4255" s="6"/>
      <c r="K4255" s="6" t="s">
        <v>7492</v>
      </c>
      <c r="L4255" s="6"/>
      <c r="M4255" s="6"/>
      <c r="N4255" s="6" t="s">
        <v>7492</v>
      </c>
      <c r="O4255" s="29">
        <f t="shared" si="99"/>
        <v>120000</v>
      </c>
      <c r="Q4255" s="30" t="s">
        <v>7492</v>
      </c>
      <c r="R4255" s="31">
        <v>120000</v>
      </c>
    </row>
    <row r="4256" s="1" customFormat="1" ht="16.35" hidden="1" customHeight="1" spans="1:18">
      <c r="A4256" s="6"/>
      <c r="B4256" s="6" t="s">
        <v>4442</v>
      </c>
      <c r="C4256" s="6" t="s">
        <v>4186</v>
      </c>
      <c r="D4256" s="7">
        <v>35</v>
      </c>
      <c r="E4256" s="6" t="s">
        <v>7532</v>
      </c>
      <c r="F4256" s="6" t="s">
        <v>5631</v>
      </c>
      <c r="G4256" s="6" t="s">
        <v>5632</v>
      </c>
      <c r="H4256" s="8"/>
      <c r="I4256" s="8">
        <v>-20000</v>
      </c>
      <c r="J4256" s="6"/>
      <c r="K4256" s="6" t="s">
        <v>7492</v>
      </c>
      <c r="L4256" s="6"/>
      <c r="M4256" s="6"/>
      <c r="N4256" s="6" t="s">
        <v>7492</v>
      </c>
      <c r="O4256" s="29">
        <f t="shared" si="99"/>
        <v>-20000</v>
      </c>
      <c r="Q4256" s="30" t="s">
        <v>7492</v>
      </c>
      <c r="R4256" s="31">
        <v>-20000</v>
      </c>
    </row>
    <row r="4257" s="1" customFormat="1" ht="16.35" hidden="1" customHeight="1" spans="1:18">
      <c r="A4257" s="6"/>
      <c r="B4257" s="6" t="s">
        <v>4442</v>
      </c>
      <c r="C4257" s="6" t="s">
        <v>4186</v>
      </c>
      <c r="D4257" s="7">
        <v>23</v>
      </c>
      <c r="E4257" s="6" t="s">
        <v>7533</v>
      </c>
      <c r="F4257" s="6" t="s">
        <v>5631</v>
      </c>
      <c r="G4257" s="6" t="s">
        <v>5632</v>
      </c>
      <c r="H4257" s="8"/>
      <c r="I4257" s="8">
        <v>52700</v>
      </c>
      <c r="J4257" s="6"/>
      <c r="K4257" s="6" t="s">
        <v>2334</v>
      </c>
      <c r="L4257" s="6"/>
      <c r="M4257" s="6"/>
      <c r="N4257" s="6" t="s">
        <v>2334</v>
      </c>
      <c r="O4257" s="29">
        <f t="shared" si="99"/>
        <v>52700</v>
      </c>
      <c r="Q4257" s="30" t="s">
        <v>2334</v>
      </c>
      <c r="R4257" s="31">
        <v>52700</v>
      </c>
    </row>
    <row r="4258" s="1" customFormat="1" ht="16.35" hidden="1" customHeight="1" spans="1:18">
      <c r="A4258" s="6"/>
      <c r="B4258" s="6" t="s">
        <v>4442</v>
      </c>
      <c r="C4258" s="6" t="s">
        <v>4186</v>
      </c>
      <c r="D4258" s="7">
        <v>2</v>
      </c>
      <c r="E4258" s="6" t="s">
        <v>7534</v>
      </c>
      <c r="F4258" s="6" t="s">
        <v>5631</v>
      </c>
      <c r="G4258" s="6" t="s">
        <v>5632</v>
      </c>
      <c r="H4258" s="8"/>
      <c r="I4258" s="8">
        <v>40000</v>
      </c>
      <c r="J4258" s="6"/>
      <c r="K4258" s="6" t="s">
        <v>2553</v>
      </c>
      <c r="L4258" s="6"/>
      <c r="M4258" s="6"/>
      <c r="N4258" s="6" t="s">
        <v>2553</v>
      </c>
      <c r="O4258" s="29">
        <f t="shared" si="99"/>
        <v>40000</v>
      </c>
      <c r="Q4258" s="30" t="s">
        <v>2553</v>
      </c>
      <c r="R4258" s="31">
        <v>40000</v>
      </c>
    </row>
    <row r="4259" s="1" customFormat="1" ht="16.35" hidden="1" customHeight="1" spans="1:18">
      <c r="A4259" s="6"/>
      <c r="B4259" s="6" t="s">
        <v>4442</v>
      </c>
      <c r="C4259" s="6" t="s">
        <v>4186</v>
      </c>
      <c r="D4259" s="7">
        <v>3</v>
      </c>
      <c r="E4259" s="6" t="s">
        <v>7535</v>
      </c>
      <c r="F4259" s="6" t="s">
        <v>5631</v>
      </c>
      <c r="G4259" s="6" t="s">
        <v>5632</v>
      </c>
      <c r="H4259" s="8"/>
      <c r="I4259" s="8">
        <v>350000</v>
      </c>
      <c r="J4259" s="6"/>
      <c r="K4259" s="6" t="s">
        <v>674</v>
      </c>
      <c r="L4259" s="6"/>
      <c r="M4259" s="6"/>
      <c r="N4259" s="6" t="s">
        <v>674</v>
      </c>
      <c r="O4259" s="29">
        <f t="shared" si="99"/>
        <v>350000</v>
      </c>
      <c r="Q4259" s="30" t="s">
        <v>674</v>
      </c>
      <c r="R4259" s="31">
        <v>350000</v>
      </c>
    </row>
    <row r="4260" s="1" customFormat="1" ht="16.35" hidden="1" customHeight="1" spans="1:18">
      <c r="A4260" s="6"/>
      <c r="B4260" s="6" t="s">
        <v>4442</v>
      </c>
      <c r="C4260" s="6" t="s">
        <v>4197</v>
      </c>
      <c r="D4260" s="7">
        <v>8</v>
      </c>
      <c r="E4260" s="6" t="s">
        <v>7536</v>
      </c>
      <c r="F4260" s="6" t="s">
        <v>5631</v>
      </c>
      <c r="G4260" s="6" t="s">
        <v>5632</v>
      </c>
      <c r="H4260" s="8"/>
      <c r="I4260" s="8">
        <v>5000</v>
      </c>
      <c r="J4260" s="6"/>
      <c r="K4260" s="6" t="s">
        <v>2354</v>
      </c>
      <c r="L4260" s="6"/>
      <c r="M4260" s="6"/>
      <c r="N4260" s="6" t="s">
        <v>2354</v>
      </c>
      <c r="O4260" s="29">
        <f t="shared" ref="O4260:O4282" si="100">I4260</f>
        <v>5000</v>
      </c>
      <c r="Q4260" s="30" t="s">
        <v>2354</v>
      </c>
      <c r="R4260" s="31">
        <v>5000</v>
      </c>
    </row>
    <row r="4261" s="1" customFormat="1" ht="16.35" hidden="1" customHeight="1" spans="1:18">
      <c r="A4261" s="6"/>
      <c r="B4261" s="6" t="s">
        <v>4442</v>
      </c>
      <c r="C4261" s="6" t="s">
        <v>4197</v>
      </c>
      <c r="D4261" s="7">
        <v>9</v>
      </c>
      <c r="E4261" s="6" t="s">
        <v>7537</v>
      </c>
      <c r="F4261" s="6" t="s">
        <v>5631</v>
      </c>
      <c r="G4261" s="6" t="s">
        <v>5632</v>
      </c>
      <c r="H4261" s="8"/>
      <c r="I4261" s="8">
        <v>20000</v>
      </c>
      <c r="J4261" s="6"/>
      <c r="K4261" s="6" t="s">
        <v>2856</v>
      </c>
      <c r="L4261" s="6"/>
      <c r="M4261" s="6"/>
      <c r="N4261" s="6" t="s">
        <v>2856</v>
      </c>
      <c r="O4261" s="29">
        <f t="shared" si="100"/>
        <v>20000</v>
      </c>
      <c r="Q4261" s="30" t="s">
        <v>2856</v>
      </c>
      <c r="R4261" s="31">
        <v>20000</v>
      </c>
    </row>
    <row r="4262" s="1" customFormat="1" ht="16.35" hidden="1" customHeight="1" spans="1:18">
      <c r="A4262" s="6"/>
      <c r="B4262" s="6" t="s">
        <v>4442</v>
      </c>
      <c r="C4262" s="6" t="s">
        <v>4197</v>
      </c>
      <c r="D4262" s="7">
        <v>15</v>
      </c>
      <c r="E4262" s="6" t="s">
        <v>7538</v>
      </c>
      <c r="F4262" s="6" t="s">
        <v>5631</v>
      </c>
      <c r="G4262" s="6" t="s">
        <v>5632</v>
      </c>
      <c r="H4262" s="8"/>
      <c r="I4262" s="8">
        <v>30000</v>
      </c>
      <c r="J4262" s="6"/>
      <c r="K4262" s="6" t="s">
        <v>2871</v>
      </c>
      <c r="L4262" s="6"/>
      <c r="M4262" s="6"/>
      <c r="N4262" s="6" t="s">
        <v>2871</v>
      </c>
      <c r="O4262" s="29">
        <f t="shared" si="100"/>
        <v>30000</v>
      </c>
      <c r="Q4262" s="30" t="s">
        <v>2871</v>
      </c>
      <c r="R4262" s="31">
        <v>30000</v>
      </c>
    </row>
    <row r="4263" s="1" customFormat="1" ht="16.35" hidden="1" customHeight="1" spans="1:18">
      <c r="A4263" s="6"/>
      <c r="B4263" s="6" t="s">
        <v>4442</v>
      </c>
      <c r="C4263" s="6" t="s">
        <v>4197</v>
      </c>
      <c r="D4263" s="7">
        <v>15</v>
      </c>
      <c r="E4263" s="6" t="s">
        <v>7539</v>
      </c>
      <c r="F4263" s="6" t="s">
        <v>5631</v>
      </c>
      <c r="G4263" s="6" t="s">
        <v>5632</v>
      </c>
      <c r="H4263" s="8"/>
      <c r="I4263" s="8">
        <v>30000</v>
      </c>
      <c r="J4263" s="6"/>
      <c r="K4263" s="6" t="s">
        <v>2865</v>
      </c>
      <c r="L4263" s="6"/>
      <c r="M4263" s="6"/>
      <c r="N4263" s="6" t="s">
        <v>2865</v>
      </c>
      <c r="O4263" s="29">
        <f t="shared" si="100"/>
        <v>30000</v>
      </c>
      <c r="Q4263" s="30" t="s">
        <v>2865</v>
      </c>
      <c r="R4263" s="31">
        <v>30000</v>
      </c>
    </row>
    <row r="4264" s="1" customFormat="1" ht="16.35" hidden="1" customHeight="1" spans="1:18">
      <c r="A4264" s="6"/>
      <c r="B4264" s="6" t="s">
        <v>4442</v>
      </c>
      <c r="C4264" s="6" t="s">
        <v>4197</v>
      </c>
      <c r="D4264" s="7">
        <v>15</v>
      </c>
      <c r="E4264" s="6" t="s">
        <v>7540</v>
      </c>
      <c r="F4264" s="6" t="s">
        <v>5631</v>
      </c>
      <c r="G4264" s="6" t="s">
        <v>5632</v>
      </c>
      <c r="H4264" s="8"/>
      <c r="I4264" s="8">
        <v>20000</v>
      </c>
      <c r="J4264" s="6"/>
      <c r="K4264" s="6" t="s">
        <v>2846</v>
      </c>
      <c r="L4264" s="6"/>
      <c r="M4264" s="6"/>
      <c r="N4264" s="6" t="s">
        <v>2846</v>
      </c>
      <c r="O4264" s="29">
        <f t="shared" si="100"/>
        <v>20000</v>
      </c>
      <c r="Q4264" s="30" t="s">
        <v>2846</v>
      </c>
      <c r="R4264" s="31">
        <v>20000</v>
      </c>
    </row>
    <row r="4265" s="1" customFormat="1" ht="16.35" hidden="1" customHeight="1" spans="1:18">
      <c r="A4265" s="6"/>
      <c r="B4265" s="6" t="s">
        <v>4442</v>
      </c>
      <c r="C4265" s="6" t="s">
        <v>4197</v>
      </c>
      <c r="D4265" s="7">
        <v>15</v>
      </c>
      <c r="E4265" s="6" t="s">
        <v>7541</v>
      </c>
      <c r="F4265" s="6" t="s">
        <v>5631</v>
      </c>
      <c r="G4265" s="6" t="s">
        <v>5632</v>
      </c>
      <c r="H4265" s="8"/>
      <c r="I4265" s="8">
        <v>20000</v>
      </c>
      <c r="J4265" s="6"/>
      <c r="K4265" s="6" t="s">
        <v>2848</v>
      </c>
      <c r="L4265" s="6"/>
      <c r="M4265" s="6"/>
      <c r="N4265" s="6" t="s">
        <v>2848</v>
      </c>
      <c r="O4265" s="29">
        <f t="shared" si="100"/>
        <v>20000</v>
      </c>
      <c r="Q4265" s="30" t="s">
        <v>2848</v>
      </c>
      <c r="R4265" s="31">
        <v>20000</v>
      </c>
    </row>
    <row r="4266" s="1" customFormat="1" ht="16.35" hidden="1" customHeight="1" spans="1:18">
      <c r="A4266" s="6"/>
      <c r="B4266" s="6" t="s">
        <v>4442</v>
      </c>
      <c r="C4266" s="6" t="s">
        <v>4197</v>
      </c>
      <c r="D4266" s="7">
        <v>15</v>
      </c>
      <c r="E4266" s="6" t="s">
        <v>7542</v>
      </c>
      <c r="F4266" s="6" t="s">
        <v>5631</v>
      </c>
      <c r="G4266" s="6" t="s">
        <v>5632</v>
      </c>
      <c r="H4266" s="8"/>
      <c r="I4266" s="8">
        <v>20000</v>
      </c>
      <c r="J4266" s="6"/>
      <c r="K4266" s="6" t="s">
        <v>2851</v>
      </c>
      <c r="L4266" s="6"/>
      <c r="M4266" s="6"/>
      <c r="N4266" s="6" t="s">
        <v>2851</v>
      </c>
      <c r="O4266" s="29">
        <f t="shared" si="100"/>
        <v>20000</v>
      </c>
      <c r="Q4266" s="30" t="s">
        <v>2851</v>
      </c>
      <c r="R4266" s="31">
        <v>20000</v>
      </c>
    </row>
    <row r="4267" s="1" customFormat="1" ht="16.35" hidden="1" customHeight="1" spans="1:18">
      <c r="A4267" s="6"/>
      <c r="B4267" s="6" t="s">
        <v>4442</v>
      </c>
      <c r="C4267" s="6" t="s">
        <v>4197</v>
      </c>
      <c r="D4267" s="7">
        <v>15</v>
      </c>
      <c r="E4267" s="6" t="s">
        <v>7543</v>
      </c>
      <c r="F4267" s="6" t="s">
        <v>5631</v>
      </c>
      <c r="G4267" s="6" t="s">
        <v>5632</v>
      </c>
      <c r="H4267" s="8"/>
      <c r="I4267" s="8">
        <v>20000</v>
      </c>
      <c r="J4267" s="6"/>
      <c r="K4267" s="6" t="s">
        <v>2852</v>
      </c>
      <c r="L4267" s="6"/>
      <c r="M4267" s="6"/>
      <c r="N4267" s="6" t="s">
        <v>2852</v>
      </c>
      <c r="O4267" s="29">
        <f t="shared" si="100"/>
        <v>20000</v>
      </c>
      <c r="Q4267" s="30" t="s">
        <v>2852</v>
      </c>
      <c r="R4267" s="31">
        <v>20000</v>
      </c>
    </row>
    <row r="4268" s="1" customFormat="1" ht="16.35" hidden="1" customHeight="1" spans="1:18">
      <c r="A4268" s="6"/>
      <c r="B4268" s="6" t="s">
        <v>4442</v>
      </c>
      <c r="C4268" s="6" t="s">
        <v>4197</v>
      </c>
      <c r="D4268" s="7">
        <v>15</v>
      </c>
      <c r="E4268" s="6" t="s">
        <v>7544</v>
      </c>
      <c r="F4268" s="6" t="s">
        <v>5631</v>
      </c>
      <c r="G4268" s="6" t="s">
        <v>5632</v>
      </c>
      <c r="H4268" s="8"/>
      <c r="I4268" s="8">
        <v>20000</v>
      </c>
      <c r="J4268" s="6"/>
      <c r="K4268" s="6" t="s">
        <v>2855</v>
      </c>
      <c r="L4268" s="6"/>
      <c r="M4268" s="6"/>
      <c r="N4268" s="6" t="s">
        <v>2855</v>
      </c>
      <c r="O4268" s="29">
        <f t="shared" si="100"/>
        <v>20000</v>
      </c>
      <c r="Q4268" s="30" t="s">
        <v>2855</v>
      </c>
      <c r="R4268" s="31">
        <v>20000</v>
      </c>
    </row>
    <row r="4269" s="1" customFormat="1" ht="16.35" hidden="1" customHeight="1" spans="1:18">
      <c r="A4269" s="6"/>
      <c r="B4269" s="6" t="s">
        <v>4442</v>
      </c>
      <c r="C4269" s="6" t="s">
        <v>4197</v>
      </c>
      <c r="D4269" s="7">
        <v>15</v>
      </c>
      <c r="E4269" s="6" t="s">
        <v>7545</v>
      </c>
      <c r="F4269" s="6" t="s">
        <v>5631</v>
      </c>
      <c r="G4269" s="6" t="s">
        <v>5632</v>
      </c>
      <c r="H4269" s="8"/>
      <c r="I4269" s="8">
        <v>20000</v>
      </c>
      <c r="J4269" s="6"/>
      <c r="K4269" s="6" t="s">
        <v>2861</v>
      </c>
      <c r="L4269" s="6"/>
      <c r="M4269" s="6"/>
      <c r="N4269" s="6" t="s">
        <v>2861</v>
      </c>
      <c r="O4269" s="29">
        <f t="shared" si="100"/>
        <v>20000</v>
      </c>
      <c r="Q4269" s="30" t="s">
        <v>2861</v>
      </c>
      <c r="R4269" s="31">
        <v>20000</v>
      </c>
    </row>
    <row r="4270" s="1" customFormat="1" ht="16.35" hidden="1" customHeight="1" spans="1:18">
      <c r="A4270" s="6"/>
      <c r="B4270" s="6" t="s">
        <v>4442</v>
      </c>
      <c r="C4270" s="6" t="s">
        <v>4197</v>
      </c>
      <c r="D4270" s="7">
        <v>15</v>
      </c>
      <c r="E4270" s="6" t="s">
        <v>7546</v>
      </c>
      <c r="F4270" s="6" t="s">
        <v>5631</v>
      </c>
      <c r="G4270" s="6" t="s">
        <v>5632</v>
      </c>
      <c r="H4270" s="8"/>
      <c r="I4270" s="8">
        <v>20000</v>
      </c>
      <c r="J4270" s="6"/>
      <c r="K4270" s="6" t="s">
        <v>2864</v>
      </c>
      <c r="L4270" s="6"/>
      <c r="M4270" s="6"/>
      <c r="N4270" s="6" t="s">
        <v>2864</v>
      </c>
      <c r="O4270" s="29">
        <f t="shared" si="100"/>
        <v>20000</v>
      </c>
      <c r="Q4270" s="30" t="s">
        <v>2864</v>
      </c>
      <c r="R4270" s="31">
        <v>20000</v>
      </c>
    </row>
    <row r="4271" s="1" customFormat="1" ht="16.35" hidden="1" customHeight="1" spans="1:18">
      <c r="A4271" s="6"/>
      <c r="B4271" s="6" t="s">
        <v>4442</v>
      </c>
      <c r="C4271" s="6" t="s">
        <v>4197</v>
      </c>
      <c r="D4271" s="7">
        <v>15</v>
      </c>
      <c r="E4271" s="6" t="s">
        <v>7547</v>
      </c>
      <c r="F4271" s="6" t="s">
        <v>5631</v>
      </c>
      <c r="G4271" s="6" t="s">
        <v>5632</v>
      </c>
      <c r="H4271" s="8"/>
      <c r="I4271" s="8">
        <v>20000</v>
      </c>
      <c r="J4271" s="6"/>
      <c r="K4271" s="6" t="s">
        <v>2866</v>
      </c>
      <c r="L4271" s="6"/>
      <c r="M4271" s="6"/>
      <c r="N4271" s="6" t="s">
        <v>2866</v>
      </c>
      <c r="O4271" s="29">
        <f t="shared" si="100"/>
        <v>20000</v>
      </c>
      <c r="Q4271" s="30" t="s">
        <v>2866</v>
      </c>
      <c r="R4271" s="31">
        <v>20000</v>
      </c>
    </row>
    <row r="4272" s="1" customFormat="1" ht="16.35" hidden="1" customHeight="1" spans="1:18">
      <c r="A4272" s="6"/>
      <c r="B4272" s="6" t="s">
        <v>4442</v>
      </c>
      <c r="C4272" s="6" t="s">
        <v>4197</v>
      </c>
      <c r="D4272" s="7">
        <v>15</v>
      </c>
      <c r="E4272" s="6" t="s">
        <v>7548</v>
      </c>
      <c r="F4272" s="6" t="s">
        <v>5631</v>
      </c>
      <c r="G4272" s="6" t="s">
        <v>5632</v>
      </c>
      <c r="H4272" s="8"/>
      <c r="I4272" s="8">
        <v>20000</v>
      </c>
      <c r="J4272" s="6"/>
      <c r="K4272" s="6" t="s">
        <v>2869</v>
      </c>
      <c r="L4272" s="6"/>
      <c r="M4272" s="6"/>
      <c r="N4272" s="6" t="s">
        <v>2869</v>
      </c>
      <c r="O4272" s="29">
        <f t="shared" si="100"/>
        <v>20000</v>
      </c>
      <c r="Q4272" s="30" t="s">
        <v>2869</v>
      </c>
      <c r="R4272" s="31">
        <v>20000</v>
      </c>
    </row>
    <row r="4273" s="1" customFormat="1" ht="16.35" hidden="1" customHeight="1" spans="1:18">
      <c r="A4273" s="6"/>
      <c r="B4273" s="6" t="s">
        <v>4442</v>
      </c>
      <c r="C4273" s="6" t="s">
        <v>4197</v>
      </c>
      <c r="D4273" s="7">
        <v>15</v>
      </c>
      <c r="E4273" s="6" t="s">
        <v>7549</v>
      </c>
      <c r="F4273" s="6" t="s">
        <v>5631</v>
      </c>
      <c r="G4273" s="6" t="s">
        <v>5632</v>
      </c>
      <c r="H4273" s="8"/>
      <c r="I4273" s="8">
        <v>20000</v>
      </c>
      <c r="J4273" s="6"/>
      <c r="K4273" s="6" t="s">
        <v>2872</v>
      </c>
      <c r="L4273" s="6"/>
      <c r="M4273" s="6"/>
      <c r="N4273" s="6" t="s">
        <v>2872</v>
      </c>
      <c r="O4273" s="29">
        <f t="shared" si="100"/>
        <v>20000</v>
      </c>
      <c r="Q4273" s="30" t="s">
        <v>2872</v>
      </c>
      <c r="R4273" s="31">
        <v>20000</v>
      </c>
    </row>
    <row r="4274" s="1" customFormat="1" ht="16.35" hidden="1" customHeight="1" spans="1:18">
      <c r="A4274" s="6"/>
      <c r="B4274" s="6" t="s">
        <v>4442</v>
      </c>
      <c r="C4274" s="6" t="s">
        <v>4197</v>
      </c>
      <c r="D4274" s="7">
        <v>13</v>
      </c>
      <c r="E4274" s="6" t="s">
        <v>7550</v>
      </c>
      <c r="F4274" s="6" t="s">
        <v>5631</v>
      </c>
      <c r="G4274" s="6" t="s">
        <v>5632</v>
      </c>
      <c r="H4274" s="8"/>
      <c r="I4274" s="8">
        <v>5000</v>
      </c>
      <c r="J4274" s="6"/>
      <c r="K4274" s="6" t="s">
        <v>2352</v>
      </c>
      <c r="L4274" s="6"/>
      <c r="M4274" s="6"/>
      <c r="N4274" s="6" t="s">
        <v>2352</v>
      </c>
      <c r="O4274" s="29">
        <f t="shared" si="100"/>
        <v>5000</v>
      </c>
      <c r="Q4274" s="30" t="s">
        <v>2352</v>
      </c>
      <c r="R4274" s="31">
        <v>5000</v>
      </c>
    </row>
    <row r="4275" s="1" customFormat="1" ht="16.35" hidden="1" customHeight="1" spans="1:18">
      <c r="A4275" s="6"/>
      <c r="B4275" s="6" t="s">
        <v>4442</v>
      </c>
      <c r="C4275" s="6" t="s">
        <v>4197</v>
      </c>
      <c r="D4275" s="7">
        <v>7</v>
      </c>
      <c r="E4275" s="6" t="s">
        <v>7551</v>
      </c>
      <c r="F4275" s="6" t="s">
        <v>5631</v>
      </c>
      <c r="G4275" s="6" t="s">
        <v>5632</v>
      </c>
      <c r="H4275" s="8"/>
      <c r="I4275" s="8">
        <v>5000</v>
      </c>
      <c r="J4275" s="6"/>
      <c r="K4275" s="6" t="s">
        <v>7492</v>
      </c>
      <c r="L4275" s="6"/>
      <c r="M4275" s="6"/>
      <c r="N4275" s="6" t="s">
        <v>7492</v>
      </c>
      <c r="O4275" s="29">
        <f t="shared" si="100"/>
        <v>5000</v>
      </c>
      <c r="Q4275" s="30" t="s">
        <v>7492</v>
      </c>
      <c r="R4275" s="31">
        <v>5000</v>
      </c>
    </row>
    <row r="4276" s="1" customFormat="1" ht="16.35" hidden="1" customHeight="1" spans="1:18">
      <c r="A4276" s="6"/>
      <c r="B4276" s="6" t="s">
        <v>4442</v>
      </c>
      <c r="C4276" s="6" t="s">
        <v>4197</v>
      </c>
      <c r="D4276" s="7">
        <v>10</v>
      </c>
      <c r="E4276" s="6" t="s">
        <v>7552</v>
      </c>
      <c r="F4276" s="6" t="s">
        <v>5631</v>
      </c>
      <c r="G4276" s="6" t="s">
        <v>5632</v>
      </c>
      <c r="H4276" s="8">
        <v>273400</v>
      </c>
      <c r="I4276" s="8"/>
      <c r="J4276" s="6"/>
      <c r="K4276" s="6" t="s">
        <v>2839</v>
      </c>
      <c r="L4276" s="6"/>
      <c r="M4276" s="6"/>
      <c r="N4276" s="6" t="s">
        <v>2839</v>
      </c>
      <c r="O4276" s="29">
        <f t="shared" si="100"/>
        <v>0</v>
      </c>
      <c r="Q4276" s="30" t="s">
        <v>2839</v>
      </c>
      <c r="R4276" s="31">
        <v>0</v>
      </c>
    </row>
    <row r="4277" s="1" customFormat="1" ht="16.35" hidden="1" customHeight="1" spans="1:18">
      <c r="A4277" s="6"/>
      <c r="B4277" s="6" t="s">
        <v>4442</v>
      </c>
      <c r="C4277" s="6" t="s">
        <v>4197</v>
      </c>
      <c r="D4277" s="7">
        <v>19</v>
      </c>
      <c r="E4277" s="6" t="s">
        <v>7553</v>
      </c>
      <c r="F4277" s="6" t="s">
        <v>5631</v>
      </c>
      <c r="G4277" s="6" t="s">
        <v>5632</v>
      </c>
      <c r="H4277" s="8"/>
      <c r="I4277" s="8">
        <v>82850</v>
      </c>
      <c r="J4277" s="6"/>
      <c r="K4277" s="6" t="s">
        <v>1704</v>
      </c>
      <c r="L4277" s="6"/>
      <c r="M4277" s="6"/>
      <c r="N4277" s="6" t="s">
        <v>1704</v>
      </c>
      <c r="O4277" s="29">
        <f t="shared" si="100"/>
        <v>82850</v>
      </c>
      <c r="Q4277" s="30" t="s">
        <v>1704</v>
      </c>
      <c r="R4277" s="31">
        <v>82850</v>
      </c>
    </row>
    <row r="4278" s="1" customFormat="1" ht="16.35" hidden="1" customHeight="1" spans="1:18">
      <c r="A4278" s="6"/>
      <c r="B4278" s="6" t="s">
        <v>4442</v>
      </c>
      <c r="C4278" s="6" t="s">
        <v>4197</v>
      </c>
      <c r="D4278" s="7">
        <v>11</v>
      </c>
      <c r="E4278" s="6" t="s">
        <v>7554</v>
      </c>
      <c r="F4278" s="6" t="s">
        <v>5631</v>
      </c>
      <c r="G4278" s="6" t="s">
        <v>5632</v>
      </c>
      <c r="H4278" s="8"/>
      <c r="I4278" s="8">
        <v>-20000</v>
      </c>
      <c r="J4278" s="6"/>
      <c r="K4278" s="6" t="s">
        <v>7502</v>
      </c>
      <c r="L4278" s="6"/>
      <c r="M4278" s="6"/>
      <c r="N4278" s="6" t="s">
        <v>7502</v>
      </c>
      <c r="O4278" s="29">
        <f t="shared" si="100"/>
        <v>-20000</v>
      </c>
      <c r="Q4278" s="30" t="s">
        <v>7502</v>
      </c>
      <c r="R4278" s="31">
        <v>-20000</v>
      </c>
    </row>
    <row r="4279" s="1" customFormat="1" ht="16.35" hidden="1" customHeight="1" spans="1:18">
      <c r="A4279" s="6"/>
      <c r="B4279" s="6" t="s">
        <v>4442</v>
      </c>
      <c r="C4279" s="6" t="s">
        <v>4197</v>
      </c>
      <c r="D4279" s="7">
        <v>10</v>
      </c>
      <c r="E4279" s="6" t="s">
        <v>7555</v>
      </c>
      <c r="F4279" s="6" t="s">
        <v>5631</v>
      </c>
      <c r="G4279" s="6" t="s">
        <v>5632</v>
      </c>
      <c r="H4279" s="8">
        <v>277000</v>
      </c>
      <c r="I4279" s="8"/>
      <c r="J4279" s="6"/>
      <c r="K4279" s="6" t="s">
        <v>2841</v>
      </c>
      <c r="L4279" s="6"/>
      <c r="M4279" s="6"/>
      <c r="N4279" s="6" t="s">
        <v>2841</v>
      </c>
      <c r="O4279" s="29">
        <f t="shared" si="100"/>
        <v>0</v>
      </c>
      <c r="Q4279" s="30" t="s">
        <v>2841</v>
      </c>
      <c r="R4279" s="31">
        <v>0</v>
      </c>
    </row>
    <row r="4280" s="1" customFormat="1" ht="16.35" hidden="1" customHeight="1" spans="1:18">
      <c r="A4280" s="6"/>
      <c r="B4280" s="6" t="s">
        <v>4442</v>
      </c>
      <c r="C4280" s="6" t="s">
        <v>4197</v>
      </c>
      <c r="D4280" s="7">
        <v>10</v>
      </c>
      <c r="E4280" s="6" t="s">
        <v>7556</v>
      </c>
      <c r="F4280" s="6" t="s">
        <v>5631</v>
      </c>
      <c r="G4280" s="6" t="s">
        <v>5632</v>
      </c>
      <c r="H4280" s="8">
        <v>275873</v>
      </c>
      <c r="I4280" s="8"/>
      <c r="J4280" s="6"/>
      <c r="K4280" s="6" t="s">
        <v>2406</v>
      </c>
      <c r="L4280" s="6"/>
      <c r="M4280" s="6"/>
      <c r="N4280" s="6" t="s">
        <v>2406</v>
      </c>
      <c r="O4280" s="29">
        <f t="shared" si="100"/>
        <v>0</v>
      </c>
      <c r="Q4280" s="30" t="s">
        <v>2406</v>
      </c>
      <c r="R4280" s="31">
        <v>0</v>
      </c>
    </row>
    <row r="4281" s="1" customFormat="1" ht="16.35" hidden="1" customHeight="1" spans="1:18">
      <c r="A4281" s="6"/>
      <c r="B4281" s="6" t="s">
        <v>4442</v>
      </c>
      <c r="C4281" s="6" t="s">
        <v>4197</v>
      </c>
      <c r="D4281" s="7">
        <v>14</v>
      </c>
      <c r="E4281" s="6" t="s">
        <v>7557</v>
      </c>
      <c r="F4281" s="6" t="s">
        <v>5631</v>
      </c>
      <c r="G4281" s="6" t="s">
        <v>5632</v>
      </c>
      <c r="H4281" s="8"/>
      <c r="I4281" s="8">
        <v>108728</v>
      </c>
      <c r="J4281" s="6"/>
      <c r="K4281" s="6" t="s">
        <v>2553</v>
      </c>
      <c r="L4281" s="6"/>
      <c r="M4281" s="6"/>
      <c r="N4281" s="6" t="s">
        <v>2553</v>
      </c>
      <c r="O4281" s="29">
        <f t="shared" si="100"/>
        <v>108728</v>
      </c>
      <c r="Q4281" s="30" t="s">
        <v>2553</v>
      </c>
      <c r="R4281" s="31">
        <v>108728</v>
      </c>
    </row>
    <row r="4282" s="1" customFormat="1" ht="17" hidden="1" customHeight="1" spans="1:18">
      <c r="A4282" s="6"/>
      <c r="B4282" s="6" t="s">
        <v>4442</v>
      </c>
      <c r="C4282" s="6" t="s">
        <v>4197</v>
      </c>
      <c r="D4282" s="7">
        <v>10</v>
      </c>
      <c r="E4282" s="6" t="s">
        <v>7558</v>
      </c>
      <c r="F4282" s="6" t="s">
        <v>5631</v>
      </c>
      <c r="G4282" s="6" t="s">
        <v>5632</v>
      </c>
      <c r="H4282" s="8">
        <v>245790</v>
      </c>
      <c r="I4282" s="8"/>
      <c r="J4282" s="6"/>
      <c r="K4282" s="6" t="s">
        <v>2190</v>
      </c>
      <c r="L4282" s="6"/>
      <c r="M4282" s="6"/>
      <c r="N4282" s="6" t="s">
        <v>2190</v>
      </c>
      <c r="O4282" s="29">
        <f t="shared" si="100"/>
        <v>0</v>
      </c>
      <c r="Q4282" s="30" t="s">
        <v>2190</v>
      </c>
      <c r="R4282" s="31">
        <v>0</v>
      </c>
    </row>
    <row r="4283" hidden="1"/>
    <row r="4284" hidden="1"/>
    <row r="4285" hidden="1"/>
    <row r="4286" hidden="1" spans="8:8">
      <c r="H4286" s="29">
        <f>H1888*0.05</f>
        <v>36372.4</v>
      </c>
    </row>
    <row r="4287" hidden="1"/>
    <row r="4288" hidden="1"/>
    <row r="4289" hidden="1"/>
    <row r="4290" hidden="1" spans="14:14">
      <c r="N4290" s="1">
        <f>28000/1.05*0.01*337*0.05%</f>
        <v>44.9333333333333</v>
      </c>
    </row>
    <row r="4291" hidden="1" spans="9:9">
      <c r="I4291" s="29">
        <f>SUBTOTAL(9,I131:I972)</f>
        <v>0</v>
      </c>
    </row>
    <row r="4292" hidden="1" spans="9:9">
      <c r="I4292" s="29">
        <v>1600000</v>
      </c>
    </row>
    <row r="4293" hidden="1" spans="9:9">
      <c r="I4293" s="29">
        <v>2048000</v>
      </c>
    </row>
    <row r="4294" hidden="1" spans="9:9">
      <c r="I4294" s="29">
        <v>858000</v>
      </c>
    </row>
    <row r="4295" hidden="1" spans="9:9">
      <c r="I4295" s="29">
        <v>6848000</v>
      </c>
    </row>
    <row r="4296" hidden="1" spans="9:9">
      <c r="I4296" s="29">
        <v>13130000</v>
      </c>
    </row>
    <row r="4297" hidden="1" spans="9:9">
      <c r="I4297" s="1">
        <f>I4296-I4295-I4294-I4293-I4292</f>
        <v>1776000</v>
      </c>
    </row>
    <row r="4298" hidden="1"/>
    <row r="4299" hidden="1"/>
    <row r="4300" hidden="1"/>
    <row r="4301" hidden="1" spans="9:9">
      <c r="I4301" s="1">
        <f>H1790*1.05</f>
        <v>302800.05</v>
      </c>
    </row>
  </sheetData>
  <autoFilter ref="A1:XFC4301">
    <filterColumn colId="16">
      <customFilters>
        <customFilter operator="equal" val="A7-2-301"/>
        <customFilter operator="equal" val="7-2-301"/>
      </customFilters>
    </filterColumn>
    <extLst/>
  </autoFilter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27"/>
  <sheetViews>
    <sheetView workbookViewId="0">
      <selection activeCell="N30" sqref="N30"/>
    </sheetView>
  </sheetViews>
  <sheetFormatPr defaultColWidth="9" defaultRowHeight="13.5" outlineLevelCol="1"/>
  <cols>
    <col min="1" max="1" width="19.3833333333333"/>
    <col min="2" max="2" width="30.6333333333333" style="18"/>
  </cols>
  <sheetData>
    <row r="1" spans="1:2">
      <c r="A1" t="s">
        <v>2904</v>
      </c>
      <c r="B1" s="18" t="s">
        <v>7559</v>
      </c>
    </row>
    <row r="2" spans="1:2">
      <c r="A2" s="27" t="s">
        <v>4832</v>
      </c>
      <c r="B2" s="18">
        <v>1788150</v>
      </c>
    </row>
    <row r="3" spans="1:2">
      <c r="A3" t="s">
        <v>4536</v>
      </c>
      <c r="B3" s="18">
        <v>8134089.4</v>
      </c>
    </row>
    <row r="4" spans="1:2">
      <c r="A4" t="s">
        <v>5079</v>
      </c>
      <c r="B4" s="18">
        <f>2743001.4-'预收账款2013-2023年接表明细'!R4151-'预收账款2013-2023年接表明细'!R2179</f>
        <v>1663820.4</v>
      </c>
    </row>
    <row r="5" spans="1:2">
      <c r="A5" t="s">
        <v>5322</v>
      </c>
      <c r="B5" s="18">
        <f>929999.8-'预收账款2013-2023年接表明细'!R4160</f>
        <v>729999.8</v>
      </c>
    </row>
    <row r="6" spans="1:2">
      <c r="A6" t="s">
        <v>7411</v>
      </c>
      <c r="B6" s="18">
        <f>1300000-'预收账款2013-2023年接表明细'!R4232</f>
        <v>900000</v>
      </c>
    </row>
    <row r="7" spans="1:2">
      <c r="A7" t="s">
        <v>5007</v>
      </c>
      <c r="B7" s="18">
        <v>10000.2</v>
      </c>
    </row>
    <row r="8" spans="1:2">
      <c r="A8" t="s">
        <v>7492</v>
      </c>
      <c r="B8" s="18">
        <v>320068</v>
      </c>
    </row>
    <row r="9" spans="1:2">
      <c r="A9" t="s">
        <v>5034</v>
      </c>
      <c r="B9" s="18">
        <v>0</v>
      </c>
    </row>
    <row r="10" spans="1:2">
      <c r="A10" t="s">
        <v>5071</v>
      </c>
      <c r="B10" s="18">
        <v>569999.997</v>
      </c>
    </row>
    <row r="11" spans="1:2">
      <c r="A11" t="s">
        <v>5186</v>
      </c>
      <c r="B11" s="18">
        <v>0</v>
      </c>
    </row>
    <row r="12" spans="1:2">
      <c r="A12" t="s">
        <v>5230</v>
      </c>
      <c r="B12" s="18">
        <v>10000.2</v>
      </c>
    </row>
    <row r="13" spans="1:2">
      <c r="A13" t="s">
        <v>86</v>
      </c>
      <c r="B13" s="18">
        <v>292154.1</v>
      </c>
    </row>
    <row r="14" spans="1:2">
      <c r="A14" t="s">
        <v>88</v>
      </c>
      <c r="B14" s="18">
        <v>274963.5</v>
      </c>
    </row>
    <row r="15" spans="1:2">
      <c r="A15" t="s">
        <v>4569</v>
      </c>
      <c r="B15" s="18">
        <v>0</v>
      </c>
    </row>
    <row r="16" spans="1:2">
      <c r="A16" t="s">
        <v>7409</v>
      </c>
      <c r="B16" s="18">
        <v>1274510</v>
      </c>
    </row>
    <row r="17" spans="1:2">
      <c r="A17" t="s">
        <v>90</v>
      </c>
      <c r="B17" s="18">
        <v>246949.5</v>
      </c>
    </row>
    <row r="18" spans="1:2">
      <c r="A18" t="s">
        <v>92</v>
      </c>
      <c r="B18" s="18">
        <v>270394.95</v>
      </c>
    </row>
    <row r="19" spans="1:2">
      <c r="A19" t="s">
        <v>51</v>
      </c>
      <c r="B19" s="18">
        <v>274688.4</v>
      </c>
    </row>
    <row r="20" spans="1:2">
      <c r="A20" t="s">
        <v>54</v>
      </c>
      <c r="B20" s="18">
        <v>273899.85</v>
      </c>
    </row>
    <row r="21" spans="1:2">
      <c r="A21" t="s">
        <v>56</v>
      </c>
      <c r="B21" s="18">
        <v>312656.4</v>
      </c>
    </row>
    <row r="22" spans="1:2">
      <c r="A22" t="s">
        <v>58</v>
      </c>
      <c r="B22" s="18">
        <v>278125.05</v>
      </c>
    </row>
    <row r="23" spans="1:2">
      <c r="A23" t="s">
        <v>61</v>
      </c>
      <c r="B23" s="18">
        <v>277775.4</v>
      </c>
    </row>
    <row r="24" spans="1:2">
      <c r="A24" t="s">
        <v>63</v>
      </c>
      <c r="B24" s="18">
        <v>280124.25</v>
      </c>
    </row>
    <row r="25" spans="1:2">
      <c r="A25" t="s">
        <v>65</v>
      </c>
      <c r="B25" s="18">
        <v>280862.4</v>
      </c>
    </row>
    <row r="26" spans="1:2">
      <c r="A26" t="s">
        <v>67</v>
      </c>
      <c r="B26" s="18">
        <v>284274.9</v>
      </c>
    </row>
    <row r="27" spans="1:2">
      <c r="A27" t="s">
        <v>69</v>
      </c>
      <c r="B27" s="18">
        <v>269601.15</v>
      </c>
    </row>
    <row r="28" spans="1:2">
      <c r="A28" t="s">
        <v>71</v>
      </c>
      <c r="B28" s="18">
        <v>296725</v>
      </c>
    </row>
    <row r="29" spans="1:2">
      <c r="A29" t="s">
        <v>73</v>
      </c>
      <c r="B29" s="18">
        <v>294204.75</v>
      </c>
    </row>
    <row r="30" spans="1:2">
      <c r="A30" t="s">
        <v>75</v>
      </c>
      <c r="B30" s="18">
        <v>291592</v>
      </c>
    </row>
    <row r="31" spans="1:2">
      <c r="A31" t="s">
        <v>78</v>
      </c>
      <c r="B31" s="18">
        <v>287028</v>
      </c>
    </row>
    <row r="32" spans="1:2">
      <c r="A32" t="s">
        <v>80</v>
      </c>
      <c r="B32" s="18">
        <v>322823.65</v>
      </c>
    </row>
    <row r="33" spans="1:2">
      <c r="A33" t="s">
        <v>82</v>
      </c>
      <c r="B33" s="18">
        <v>292154.1</v>
      </c>
    </row>
    <row r="34" spans="1:2">
      <c r="A34" t="s">
        <v>84</v>
      </c>
      <c r="B34" s="18">
        <v>269776.2</v>
      </c>
    </row>
    <row r="35" spans="1:2">
      <c r="A35" t="s">
        <v>94</v>
      </c>
      <c r="B35" s="18">
        <v>323373.75</v>
      </c>
    </row>
    <row r="36" spans="1:2">
      <c r="A36" t="s">
        <v>96</v>
      </c>
      <c r="B36" s="18">
        <v>314556.9</v>
      </c>
    </row>
    <row r="37" spans="1:2">
      <c r="A37" t="s">
        <v>98</v>
      </c>
      <c r="B37" s="18">
        <v>305071.2</v>
      </c>
    </row>
    <row r="38" spans="1:2">
      <c r="A38" t="s">
        <v>100</v>
      </c>
      <c r="B38" s="18">
        <v>299337.15</v>
      </c>
    </row>
    <row r="39" spans="1:2">
      <c r="A39" t="s">
        <v>102</v>
      </c>
      <c r="B39" s="18">
        <v>284731.65</v>
      </c>
    </row>
    <row r="40" spans="1:2">
      <c r="A40" t="s">
        <v>104</v>
      </c>
      <c r="B40" s="18">
        <v>284116.35</v>
      </c>
    </row>
    <row r="41" spans="1:2">
      <c r="A41" t="s">
        <v>106</v>
      </c>
      <c r="B41" s="18">
        <v>262360.35</v>
      </c>
    </row>
    <row r="42" spans="1:2">
      <c r="A42" t="s">
        <v>108</v>
      </c>
      <c r="B42" s="18">
        <v>321456.7</v>
      </c>
    </row>
    <row r="43" spans="1:2">
      <c r="A43" t="s">
        <v>110</v>
      </c>
      <c r="B43" s="18">
        <v>205016.7</v>
      </c>
    </row>
    <row r="44" spans="1:2">
      <c r="A44" t="s">
        <v>112</v>
      </c>
      <c r="B44" s="18">
        <v>207944.1</v>
      </c>
    </row>
    <row r="45" spans="1:2">
      <c r="A45" t="s">
        <v>114</v>
      </c>
      <c r="B45" s="18">
        <v>319631.55</v>
      </c>
    </row>
    <row r="46" spans="1:2">
      <c r="A46" t="s">
        <v>116</v>
      </c>
      <c r="B46" s="18">
        <v>319294.4475</v>
      </c>
    </row>
    <row r="47" spans="1:2">
      <c r="A47" t="s">
        <v>118</v>
      </c>
      <c r="B47" s="18">
        <v>317663.85</v>
      </c>
    </row>
    <row r="48" spans="1:2">
      <c r="A48" t="s">
        <v>120</v>
      </c>
      <c r="B48" s="18">
        <v>319694.55</v>
      </c>
    </row>
    <row r="49" spans="1:2">
      <c r="A49" t="s">
        <v>122</v>
      </c>
      <c r="B49" s="18">
        <v>297350.55</v>
      </c>
    </row>
    <row r="50" spans="1:2">
      <c r="A50" t="s">
        <v>124</v>
      </c>
      <c r="B50" s="18">
        <v>284760</v>
      </c>
    </row>
    <row r="51" spans="1:2">
      <c r="A51" t="s">
        <v>126</v>
      </c>
      <c r="B51" s="18">
        <v>261844.8</v>
      </c>
    </row>
    <row r="52" spans="1:2">
      <c r="A52" t="s">
        <v>128</v>
      </c>
      <c r="B52" s="18">
        <v>268949.1</v>
      </c>
    </row>
    <row r="53" spans="1:2">
      <c r="A53" t="s">
        <v>130</v>
      </c>
      <c r="B53" s="18">
        <v>207988.2</v>
      </c>
    </row>
    <row r="54" spans="1:2">
      <c r="A54" t="s">
        <v>132</v>
      </c>
      <c r="B54" s="18">
        <v>207988.2</v>
      </c>
    </row>
    <row r="55" spans="1:2">
      <c r="A55" t="s">
        <v>134</v>
      </c>
      <c r="B55" s="18">
        <v>316662.15</v>
      </c>
    </row>
    <row r="56" spans="1:2">
      <c r="A56" t="s">
        <v>136</v>
      </c>
      <c r="B56" s="18">
        <v>340373.25</v>
      </c>
    </row>
    <row r="57" spans="1:2">
      <c r="A57" t="s">
        <v>138</v>
      </c>
      <c r="B57" s="18">
        <v>328803.3</v>
      </c>
    </row>
    <row r="58" spans="1:2">
      <c r="A58" t="s">
        <v>140</v>
      </c>
      <c r="B58" s="18">
        <v>320099.85</v>
      </c>
    </row>
    <row r="59" spans="1:2">
      <c r="A59" t="s">
        <v>142</v>
      </c>
      <c r="B59" s="18">
        <v>280039.2</v>
      </c>
    </row>
    <row r="60" spans="1:2">
      <c r="A60" t="s">
        <v>144</v>
      </c>
      <c r="B60" s="18">
        <v>298760.7</v>
      </c>
    </row>
    <row r="61" spans="1:2">
      <c r="A61" t="s">
        <v>146</v>
      </c>
      <c r="B61" s="18">
        <v>261793.35</v>
      </c>
    </row>
    <row r="62" spans="1:2">
      <c r="A62" t="s">
        <v>148</v>
      </c>
      <c r="B62" s="18">
        <v>275285.85</v>
      </c>
    </row>
    <row r="63" spans="1:2">
      <c r="A63" t="s">
        <v>150</v>
      </c>
      <c r="B63" s="18">
        <v>207327.75</v>
      </c>
    </row>
    <row r="64" spans="1:2">
      <c r="A64" t="s">
        <v>152</v>
      </c>
      <c r="B64" s="18">
        <v>217499.1</v>
      </c>
    </row>
    <row r="65" spans="1:2">
      <c r="A65" t="s">
        <v>224</v>
      </c>
      <c r="B65" s="18">
        <v>452967</v>
      </c>
    </row>
    <row r="66" spans="1:2">
      <c r="A66" t="s">
        <v>226</v>
      </c>
      <c r="B66" s="18">
        <v>431074</v>
      </c>
    </row>
    <row r="67" spans="1:2">
      <c r="A67" t="s">
        <v>228</v>
      </c>
      <c r="B67" s="18">
        <v>458720</v>
      </c>
    </row>
    <row r="68" spans="1:2">
      <c r="A68" t="s">
        <v>230</v>
      </c>
      <c r="B68" s="18">
        <v>457253</v>
      </c>
    </row>
    <row r="69" spans="1:2">
      <c r="A69" t="s">
        <v>232</v>
      </c>
      <c r="B69" s="18">
        <v>453718</v>
      </c>
    </row>
    <row r="70" spans="1:2">
      <c r="A70" t="s">
        <v>234</v>
      </c>
      <c r="B70" s="18">
        <v>452266</v>
      </c>
    </row>
    <row r="71" spans="1:2">
      <c r="A71" t="s">
        <v>236</v>
      </c>
      <c r="B71" s="18">
        <v>444963</v>
      </c>
    </row>
    <row r="72" spans="1:2">
      <c r="A72" t="s">
        <v>238</v>
      </c>
      <c r="B72" s="18">
        <v>431074</v>
      </c>
    </row>
    <row r="73" spans="1:2">
      <c r="A73" t="s">
        <v>240</v>
      </c>
      <c r="B73" s="18">
        <v>390437</v>
      </c>
    </row>
    <row r="74" spans="1:2">
      <c r="A74" t="s">
        <v>242</v>
      </c>
      <c r="B74" s="18">
        <v>394923</v>
      </c>
    </row>
    <row r="75" spans="1:2">
      <c r="A75" t="s">
        <v>244</v>
      </c>
      <c r="B75" s="18">
        <v>294600</v>
      </c>
    </row>
    <row r="76" spans="1:2">
      <c r="A76" t="s">
        <v>246</v>
      </c>
      <c r="B76" s="18">
        <v>230182</v>
      </c>
    </row>
    <row r="77" spans="1:2">
      <c r="A77" t="s">
        <v>248</v>
      </c>
      <c r="B77" s="18">
        <v>453513</v>
      </c>
    </row>
    <row r="78" spans="1:2">
      <c r="A78" t="s">
        <v>250</v>
      </c>
      <c r="B78" s="18">
        <v>453513</v>
      </c>
    </row>
    <row r="79" spans="1:2">
      <c r="A79" t="s">
        <v>252</v>
      </c>
      <c r="B79" s="18">
        <v>457253</v>
      </c>
    </row>
    <row r="80" spans="1:2">
      <c r="A80" t="s">
        <v>254</v>
      </c>
      <c r="B80" s="18">
        <v>457253</v>
      </c>
    </row>
    <row r="81" spans="1:2">
      <c r="A81" t="s">
        <v>256</v>
      </c>
      <c r="B81" s="18">
        <v>452266</v>
      </c>
    </row>
    <row r="82" spans="1:2">
      <c r="A82" t="s">
        <v>258</v>
      </c>
      <c r="B82" s="18">
        <v>411378</v>
      </c>
    </row>
    <row r="83" spans="1:2">
      <c r="A83" t="s">
        <v>260</v>
      </c>
      <c r="B83" s="18">
        <v>443540</v>
      </c>
    </row>
    <row r="84" spans="1:2">
      <c r="A84" t="s">
        <v>262</v>
      </c>
      <c r="B84" s="18">
        <v>443540</v>
      </c>
    </row>
    <row r="85" spans="1:2">
      <c r="A85" t="s">
        <v>264</v>
      </c>
      <c r="B85" s="18">
        <v>394923</v>
      </c>
    </row>
    <row r="86" spans="1:2">
      <c r="A86" t="s">
        <v>266</v>
      </c>
      <c r="B86" s="18">
        <v>391183</v>
      </c>
    </row>
    <row r="87" spans="1:2">
      <c r="A87" t="s">
        <v>268</v>
      </c>
      <c r="B87" s="18">
        <v>345391</v>
      </c>
    </row>
    <row r="88" spans="1:2">
      <c r="A88" t="s">
        <v>270</v>
      </c>
      <c r="B88" s="18">
        <v>343864</v>
      </c>
    </row>
    <row r="89" spans="1:2">
      <c r="A89" t="s">
        <v>272</v>
      </c>
      <c r="B89" s="18">
        <v>324116.4</v>
      </c>
    </row>
    <row r="90" spans="1:2">
      <c r="A90" t="s">
        <v>274</v>
      </c>
      <c r="B90" s="18">
        <v>404069</v>
      </c>
    </row>
    <row r="91" spans="1:2">
      <c r="A91" t="s">
        <v>276</v>
      </c>
      <c r="B91" s="18">
        <v>434814</v>
      </c>
    </row>
    <row r="92" spans="1:2">
      <c r="A92" t="s">
        <v>278</v>
      </c>
      <c r="B92" s="18">
        <v>436209.55</v>
      </c>
    </row>
    <row r="93" spans="1:2">
      <c r="A93" t="s">
        <v>281</v>
      </c>
      <c r="B93" s="18">
        <v>429828</v>
      </c>
    </row>
    <row r="94" spans="1:2">
      <c r="A94" t="s">
        <v>283</v>
      </c>
      <c r="B94" s="18">
        <v>431207</v>
      </c>
    </row>
    <row r="95" spans="1:2">
      <c r="A95" t="s">
        <v>285</v>
      </c>
      <c r="B95" s="18">
        <v>430987.26</v>
      </c>
    </row>
    <row r="96" spans="1:2">
      <c r="A96" t="s">
        <v>287</v>
      </c>
      <c r="B96" s="18">
        <v>441212</v>
      </c>
    </row>
    <row r="97" spans="1:2">
      <c r="A97" t="s">
        <v>289</v>
      </c>
      <c r="B97" s="18">
        <v>394923</v>
      </c>
    </row>
    <row r="98" spans="1:2">
      <c r="A98" t="s">
        <v>291</v>
      </c>
      <c r="B98" s="18">
        <v>402443</v>
      </c>
    </row>
    <row r="99" spans="1:2">
      <c r="A99" t="s">
        <v>293</v>
      </c>
      <c r="B99" s="18">
        <v>347388</v>
      </c>
    </row>
    <row r="100" spans="1:2">
      <c r="A100" t="s">
        <v>295</v>
      </c>
      <c r="B100" s="18">
        <v>340322</v>
      </c>
    </row>
    <row r="101" spans="1:2">
      <c r="A101" t="s">
        <v>297</v>
      </c>
      <c r="B101" s="18">
        <v>355652.45</v>
      </c>
    </row>
    <row r="102" spans="1:2">
      <c r="A102" t="s">
        <v>299</v>
      </c>
      <c r="B102" s="18">
        <v>354416.45</v>
      </c>
    </row>
    <row r="103" spans="1:2">
      <c r="A103" t="s">
        <v>301</v>
      </c>
      <c r="B103" s="18">
        <v>355652.45</v>
      </c>
    </row>
    <row r="104" spans="1:2">
      <c r="A104" t="s">
        <v>303</v>
      </c>
      <c r="B104" s="18">
        <v>366106.3</v>
      </c>
    </row>
    <row r="105" spans="1:2">
      <c r="A105" t="s">
        <v>305</v>
      </c>
      <c r="B105" s="18">
        <v>354674.5</v>
      </c>
    </row>
    <row r="106" spans="1:2">
      <c r="A106" t="s">
        <v>307</v>
      </c>
      <c r="B106" s="18">
        <v>350519.85</v>
      </c>
    </row>
    <row r="107" spans="1:2">
      <c r="A107" t="s">
        <v>309</v>
      </c>
      <c r="B107" s="18">
        <v>347832.2</v>
      </c>
    </row>
    <row r="108" spans="1:2">
      <c r="A108" t="s">
        <v>311</v>
      </c>
      <c r="B108" s="18">
        <v>346622.2</v>
      </c>
    </row>
    <row r="109" spans="1:2">
      <c r="A109" t="s">
        <v>313</v>
      </c>
      <c r="B109" s="18">
        <v>309705.95</v>
      </c>
    </row>
    <row r="110" spans="1:2">
      <c r="A110" t="s">
        <v>315</v>
      </c>
      <c r="B110" s="18">
        <v>308627.9</v>
      </c>
    </row>
    <row r="111" spans="1:2">
      <c r="A111" t="s">
        <v>317</v>
      </c>
      <c r="B111" s="18">
        <v>350449.05</v>
      </c>
    </row>
    <row r="112" spans="1:2">
      <c r="A112" t="s">
        <v>320</v>
      </c>
      <c r="B112" s="18">
        <v>267022.4</v>
      </c>
    </row>
    <row r="113" spans="1:2">
      <c r="A113" t="s">
        <v>322</v>
      </c>
      <c r="B113" s="18">
        <v>160000.05</v>
      </c>
    </row>
    <row r="114" spans="1:2">
      <c r="A114" t="s">
        <v>325</v>
      </c>
      <c r="B114" s="18">
        <v>356378</v>
      </c>
    </row>
    <row r="115" spans="1:2">
      <c r="A115" t="s">
        <v>328</v>
      </c>
      <c r="B115" s="18">
        <v>357372.8</v>
      </c>
    </row>
    <row r="116" spans="1:2">
      <c r="A116" t="s">
        <v>330</v>
      </c>
      <c r="B116" s="18">
        <v>358621</v>
      </c>
    </row>
    <row r="117" spans="1:2">
      <c r="A117" t="s">
        <v>332</v>
      </c>
      <c r="B117" s="18">
        <v>350554</v>
      </c>
    </row>
    <row r="118" spans="1:2">
      <c r="A118" t="s">
        <v>334</v>
      </c>
      <c r="B118" s="18">
        <v>354710</v>
      </c>
    </row>
    <row r="119" spans="1:2">
      <c r="A119" t="s">
        <v>336</v>
      </c>
      <c r="B119" s="18">
        <v>343733</v>
      </c>
    </row>
    <row r="120" spans="1:2">
      <c r="A120" t="s">
        <v>338</v>
      </c>
      <c r="B120" s="18">
        <v>347866</v>
      </c>
    </row>
    <row r="121" spans="1:2">
      <c r="A121" t="s">
        <v>340</v>
      </c>
      <c r="B121" s="18">
        <v>305736</v>
      </c>
    </row>
    <row r="122" spans="1:2">
      <c r="A122" t="s">
        <v>342</v>
      </c>
      <c r="B122" s="18">
        <v>307780</v>
      </c>
    </row>
    <row r="123" spans="1:2">
      <c r="A123" t="s">
        <v>344</v>
      </c>
      <c r="B123" s="18">
        <v>260728</v>
      </c>
    </row>
    <row r="124" spans="1:2">
      <c r="A124" t="s">
        <v>346</v>
      </c>
      <c r="B124" s="18">
        <v>265335</v>
      </c>
    </row>
    <row r="125" spans="1:2">
      <c r="A125" t="s">
        <v>348</v>
      </c>
      <c r="B125" s="18">
        <v>345901</v>
      </c>
    </row>
    <row r="126" spans="1:2">
      <c r="A126" t="s">
        <v>350</v>
      </c>
      <c r="B126" s="18">
        <v>269582</v>
      </c>
    </row>
    <row r="127" spans="1:2">
      <c r="A127" t="s">
        <v>352</v>
      </c>
      <c r="B127" s="18">
        <v>348130</v>
      </c>
    </row>
    <row r="128" spans="1:2">
      <c r="A128" t="s">
        <v>354</v>
      </c>
      <c r="B128" s="18">
        <v>346956</v>
      </c>
    </row>
    <row r="129" spans="1:2">
      <c r="A129" t="s">
        <v>356</v>
      </c>
      <c r="B129" s="18">
        <v>344333</v>
      </c>
    </row>
    <row r="130" spans="1:2">
      <c r="A130" t="s">
        <v>358</v>
      </c>
      <c r="B130" s="18">
        <v>343172</v>
      </c>
    </row>
    <row r="131" spans="1:2">
      <c r="A131" t="s">
        <v>360</v>
      </c>
      <c r="B131" s="18">
        <v>312998</v>
      </c>
    </row>
    <row r="132" spans="1:2">
      <c r="A132" t="s">
        <v>362</v>
      </c>
      <c r="B132" s="18">
        <v>294999.6</v>
      </c>
    </row>
    <row r="133" spans="1:2">
      <c r="A133" t="s">
        <v>365</v>
      </c>
      <c r="B133" s="18">
        <v>425908</v>
      </c>
    </row>
    <row r="134" spans="1:2">
      <c r="A134" t="s">
        <v>367</v>
      </c>
      <c r="B134" s="18">
        <v>445169.55</v>
      </c>
    </row>
    <row r="135" spans="1:2">
      <c r="A135" t="s">
        <v>369</v>
      </c>
      <c r="B135" s="18">
        <v>463936.2</v>
      </c>
    </row>
    <row r="136" spans="1:2">
      <c r="A136" t="s">
        <v>372</v>
      </c>
      <c r="B136" s="18">
        <v>445131</v>
      </c>
    </row>
    <row r="137" spans="1:2">
      <c r="A137" t="s">
        <v>374</v>
      </c>
      <c r="B137" s="18">
        <v>479146.5</v>
      </c>
    </row>
    <row r="138" spans="1:2">
      <c r="A138" t="s">
        <v>376</v>
      </c>
      <c r="B138" s="18">
        <v>452590</v>
      </c>
    </row>
    <row r="139" spans="1:2">
      <c r="A139" t="s">
        <v>378</v>
      </c>
      <c r="B139" s="18">
        <v>400223</v>
      </c>
    </row>
    <row r="140" spans="1:2">
      <c r="A140" t="s">
        <v>380</v>
      </c>
      <c r="B140" s="18">
        <v>142900</v>
      </c>
    </row>
    <row r="141" spans="1:2">
      <c r="A141" t="s">
        <v>382</v>
      </c>
      <c r="B141" s="18">
        <v>451225</v>
      </c>
    </row>
    <row r="142" spans="1:2">
      <c r="A142" t="s">
        <v>384</v>
      </c>
      <c r="B142" s="18">
        <v>324246</v>
      </c>
    </row>
    <row r="143" spans="1:2">
      <c r="A143" t="s">
        <v>386</v>
      </c>
      <c r="B143" s="18">
        <v>134382.15</v>
      </c>
    </row>
    <row r="144" spans="1:2">
      <c r="A144" t="s">
        <v>388</v>
      </c>
      <c r="B144" s="18">
        <v>354277</v>
      </c>
    </row>
    <row r="145" spans="1:2">
      <c r="A145" t="s">
        <v>390</v>
      </c>
      <c r="B145" s="18">
        <v>367299</v>
      </c>
    </row>
    <row r="146" spans="1:2">
      <c r="A146" t="s">
        <v>392</v>
      </c>
      <c r="B146" s="18">
        <v>106848</v>
      </c>
    </row>
    <row r="147" spans="1:2">
      <c r="A147" t="s">
        <v>394</v>
      </c>
      <c r="B147" s="18">
        <v>310264</v>
      </c>
    </row>
    <row r="148" spans="1:2">
      <c r="A148" t="s">
        <v>396</v>
      </c>
      <c r="B148" s="18">
        <v>459999.75</v>
      </c>
    </row>
    <row r="149" spans="1:2">
      <c r="A149" t="s">
        <v>398</v>
      </c>
      <c r="B149" s="18">
        <v>360017.9</v>
      </c>
    </row>
    <row r="150" spans="1:2">
      <c r="A150" t="s">
        <v>400</v>
      </c>
      <c r="B150" s="18">
        <v>481971</v>
      </c>
    </row>
    <row r="151" spans="1:2">
      <c r="A151" t="s">
        <v>402</v>
      </c>
      <c r="B151" s="18">
        <v>457320.15</v>
      </c>
    </row>
    <row r="152" spans="1:2">
      <c r="A152" t="s">
        <v>404</v>
      </c>
      <c r="B152" s="18">
        <v>452589.9</v>
      </c>
    </row>
    <row r="153" spans="1:2">
      <c r="A153" t="s">
        <v>406</v>
      </c>
      <c r="B153" s="18">
        <v>495125.4</v>
      </c>
    </row>
    <row r="154" spans="1:2">
      <c r="A154" t="s">
        <v>408</v>
      </c>
      <c r="B154" s="18">
        <v>453733</v>
      </c>
    </row>
    <row r="155" spans="1:2">
      <c r="A155" t="s">
        <v>410</v>
      </c>
      <c r="B155" s="18">
        <v>141988</v>
      </c>
    </row>
    <row r="156" spans="1:2">
      <c r="A156" t="s">
        <v>412</v>
      </c>
      <c r="B156" s="18">
        <v>400069.95</v>
      </c>
    </row>
    <row r="157" spans="1:2">
      <c r="A157" t="s">
        <v>414</v>
      </c>
      <c r="B157" s="18">
        <v>376639</v>
      </c>
    </row>
    <row r="158" spans="1:2">
      <c r="A158" t="s">
        <v>416</v>
      </c>
      <c r="B158" s="18">
        <v>130831.05</v>
      </c>
    </row>
    <row r="159" spans="1:2">
      <c r="A159" t="s">
        <v>418</v>
      </c>
      <c r="B159" s="18">
        <v>415035.5</v>
      </c>
    </row>
    <row r="160" spans="1:2">
      <c r="A160" t="s">
        <v>420</v>
      </c>
      <c r="B160" s="18">
        <v>303810</v>
      </c>
    </row>
    <row r="161" spans="1:2">
      <c r="A161" t="s">
        <v>422</v>
      </c>
      <c r="B161" s="18">
        <v>114479.74</v>
      </c>
    </row>
    <row r="162" spans="1:2">
      <c r="A162" t="s">
        <v>423</v>
      </c>
      <c r="B162" s="18">
        <v>266754</v>
      </c>
    </row>
    <row r="163" spans="1:2">
      <c r="A163" t="s">
        <v>660</v>
      </c>
      <c r="B163" s="18">
        <v>1207989.3</v>
      </c>
    </row>
    <row r="164" spans="1:2">
      <c r="A164" t="s">
        <v>662</v>
      </c>
      <c r="B164" s="18">
        <v>506859</v>
      </c>
    </row>
    <row r="165" spans="1:2">
      <c r="A165" t="s">
        <v>665</v>
      </c>
      <c r="B165" s="18">
        <v>1186358.25</v>
      </c>
    </row>
    <row r="166" spans="1:2">
      <c r="A166" t="s">
        <v>666</v>
      </c>
      <c r="B166" s="18">
        <v>534712.15</v>
      </c>
    </row>
    <row r="167" spans="1:2">
      <c r="A167" t="s">
        <v>670</v>
      </c>
      <c r="B167" s="18">
        <f>490000+'预收账款2013-2023年接表明细'!O4153</f>
        <v>590000</v>
      </c>
    </row>
    <row r="168" spans="1:2">
      <c r="A168" t="s">
        <v>672</v>
      </c>
      <c r="B168" s="18">
        <v>1714766</v>
      </c>
    </row>
    <row r="169" spans="1:2">
      <c r="A169" t="s">
        <v>674</v>
      </c>
      <c r="B169" s="18">
        <v>900000</v>
      </c>
    </row>
    <row r="170" spans="1:2">
      <c r="A170" t="s">
        <v>676</v>
      </c>
      <c r="B170" s="18">
        <v>899999.15</v>
      </c>
    </row>
    <row r="171" spans="1:2">
      <c r="A171" t="s">
        <v>679</v>
      </c>
      <c r="B171" s="18">
        <v>824713</v>
      </c>
    </row>
    <row r="172" spans="1:2">
      <c r="A172" t="s">
        <v>752</v>
      </c>
      <c r="B172" s="18">
        <v>213620.4</v>
      </c>
    </row>
    <row r="173" spans="1:2">
      <c r="A173" t="s">
        <v>754</v>
      </c>
      <c r="B173" s="18">
        <v>206313.45</v>
      </c>
    </row>
    <row r="174" spans="1:2">
      <c r="A174" t="s">
        <v>757</v>
      </c>
      <c r="B174" s="18">
        <v>192810.45</v>
      </c>
    </row>
    <row r="175" spans="1:2">
      <c r="A175" t="s">
        <v>681</v>
      </c>
      <c r="B175" s="18">
        <v>83829.9</v>
      </c>
    </row>
    <row r="176" spans="1:2">
      <c r="A176" t="s">
        <v>759</v>
      </c>
      <c r="B176" s="18">
        <v>183851.85</v>
      </c>
    </row>
    <row r="177" spans="1:2">
      <c r="A177" t="s">
        <v>761</v>
      </c>
      <c r="B177" s="18">
        <v>185530.8</v>
      </c>
    </row>
    <row r="178" spans="1:2">
      <c r="A178" t="s">
        <v>763</v>
      </c>
      <c r="B178" s="18">
        <v>186020.1</v>
      </c>
    </row>
    <row r="179" spans="1:2">
      <c r="A179" t="s">
        <v>765</v>
      </c>
      <c r="B179" s="18">
        <v>171471.3</v>
      </c>
    </row>
    <row r="180" spans="1:2">
      <c r="A180" t="s">
        <v>687</v>
      </c>
      <c r="B180" s="18">
        <v>206730.3</v>
      </c>
    </row>
    <row r="181" spans="1:2">
      <c r="A181" t="s">
        <v>689</v>
      </c>
      <c r="B181" s="18">
        <v>206464.65</v>
      </c>
    </row>
    <row r="182" spans="1:2">
      <c r="A182" t="s">
        <v>691</v>
      </c>
      <c r="B182" s="18">
        <v>206959.2</v>
      </c>
    </row>
    <row r="183" spans="1:2">
      <c r="A183" t="s">
        <v>693</v>
      </c>
      <c r="B183" s="18">
        <v>185098.2</v>
      </c>
    </row>
    <row r="184" spans="1:2">
      <c r="A184" t="s">
        <v>695</v>
      </c>
      <c r="B184" s="18">
        <v>188124.3</v>
      </c>
    </row>
    <row r="185" spans="1:2">
      <c r="A185" t="s">
        <v>697</v>
      </c>
      <c r="B185" s="18">
        <v>217094.85</v>
      </c>
    </row>
    <row r="186" spans="1:2">
      <c r="A186" t="s">
        <v>699</v>
      </c>
      <c r="B186" s="18">
        <v>202308.6975</v>
      </c>
    </row>
    <row r="187" spans="1:2">
      <c r="A187" t="s">
        <v>701</v>
      </c>
      <c r="B187" s="18">
        <v>171472.35</v>
      </c>
    </row>
    <row r="188" spans="1:2">
      <c r="A188" t="s">
        <v>703</v>
      </c>
      <c r="B188" s="18">
        <v>199839.15</v>
      </c>
    </row>
    <row r="189" spans="1:2">
      <c r="A189" t="s">
        <v>705</v>
      </c>
      <c r="B189" s="18">
        <v>192091.2</v>
      </c>
    </row>
    <row r="190" spans="1:2">
      <c r="A190" t="s">
        <v>707</v>
      </c>
      <c r="B190" s="18">
        <v>200356.8</v>
      </c>
    </row>
    <row r="191" spans="1:2">
      <c r="A191" t="s">
        <v>709</v>
      </c>
      <c r="B191" s="18">
        <v>175457.1</v>
      </c>
    </row>
    <row r="192" spans="1:2">
      <c r="A192" t="s">
        <v>711</v>
      </c>
      <c r="B192" s="18">
        <v>201768</v>
      </c>
    </row>
    <row r="193" spans="1:2">
      <c r="A193" t="s">
        <v>713</v>
      </c>
      <c r="B193" s="18">
        <v>205865.1</v>
      </c>
    </row>
    <row r="194" spans="1:2">
      <c r="A194" t="s">
        <v>715</v>
      </c>
      <c r="B194" s="18">
        <v>219805</v>
      </c>
    </row>
    <row r="195" spans="1:2">
      <c r="A195" t="s">
        <v>717</v>
      </c>
      <c r="B195" s="18">
        <v>179956.35</v>
      </c>
    </row>
    <row r="196" spans="1:2">
      <c r="A196" t="s">
        <v>719</v>
      </c>
      <c r="B196" s="18">
        <v>194325.6</v>
      </c>
    </row>
    <row r="197" spans="1:2">
      <c r="A197" t="s">
        <v>721</v>
      </c>
      <c r="B197" s="18">
        <v>205865.1</v>
      </c>
    </row>
    <row r="198" spans="1:2">
      <c r="A198" t="s">
        <v>723</v>
      </c>
      <c r="B198" s="18">
        <v>208310.55</v>
      </c>
    </row>
    <row r="199" spans="1:2">
      <c r="A199" t="s">
        <v>725</v>
      </c>
      <c r="B199" s="18">
        <v>194094.6</v>
      </c>
    </row>
    <row r="200" spans="1:2">
      <c r="A200" t="s">
        <v>727</v>
      </c>
      <c r="B200" s="18">
        <v>203285.25</v>
      </c>
    </row>
    <row r="201" spans="1:2">
      <c r="A201" t="s">
        <v>729</v>
      </c>
      <c r="B201" s="18">
        <v>262010</v>
      </c>
    </row>
    <row r="202" spans="1:2">
      <c r="A202" t="s">
        <v>731</v>
      </c>
      <c r="B202" s="18">
        <v>210561.75</v>
      </c>
    </row>
    <row r="203" spans="1:2">
      <c r="A203" t="s">
        <v>733</v>
      </c>
      <c r="B203" s="18">
        <v>150000</v>
      </c>
    </row>
    <row r="204" spans="1:2">
      <c r="A204" t="s">
        <v>735</v>
      </c>
      <c r="B204" s="18">
        <v>201906.6</v>
      </c>
    </row>
    <row r="205" spans="1:2">
      <c r="A205" t="s">
        <v>737</v>
      </c>
      <c r="B205" s="18">
        <v>202818</v>
      </c>
    </row>
    <row r="206" spans="1:2">
      <c r="A206" t="s">
        <v>740</v>
      </c>
      <c r="B206" s="18">
        <v>207559.8</v>
      </c>
    </row>
    <row r="207" spans="1:2">
      <c r="A207" t="s">
        <v>742</v>
      </c>
      <c r="B207" s="18">
        <v>126000</v>
      </c>
    </row>
    <row r="208" spans="1:2">
      <c r="A208" t="s">
        <v>744</v>
      </c>
      <c r="B208" s="18">
        <v>203285.25</v>
      </c>
    </row>
    <row r="209" spans="1:2">
      <c r="A209" t="s">
        <v>746</v>
      </c>
      <c r="B209" s="18">
        <v>204817.2</v>
      </c>
    </row>
    <row r="210" spans="1:2">
      <c r="A210" t="s">
        <v>748</v>
      </c>
      <c r="B210" s="18">
        <v>205308.6</v>
      </c>
    </row>
    <row r="211" spans="1:2">
      <c r="A211" t="s">
        <v>801</v>
      </c>
      <c r="B211" s="18">
        <v>309574.65</v>
      </c>
    </row>
    <row r="212" spans="1:2">
      <c r="A212" t="s">
        <v>802</v>
      </c>
      <c r="B212" s="18">
        <v>309574.65</v>
      </c>
    </row>
    <row r="213" spans="1:2">
      <c r="A213" t="s">
        <v>767</v>
      </c>
      <c r="B213" s="18">
        <v>377378.05</v>
      </c>
    </row>
    <row r="214" spans="1:2">
      <c r="A214" t="s">
        <v>803</v>
      </c>
      <c r="B214" s="18">
        <v>256359.6</v>
      </c>
    </row>
    <row r="215" spans="1:2">
      <c r="A215" t="s">
        <v>805</v>
      </c>
      <c r="B215" s="18">
        <v>256359.6</v>
      </c>
    </row>
    <row r="216" spans="1:2">
      <c r="A216" t="s">
        <v>769</v>
      </c>
      <c r="B216" s="18">
        <v>293102.25</v>
      </c>
    </row>
    <row r="217" spans="1:2">
      <c r="A217" t="s">
        <v>773</v>
      </c>
      <c r="B217" s="18">
        <v>294350.7</v>
      </c>
    </row>
    <row r="218" spans="1:2">
      <c r="A218" t="s">
        <v>775</v>
      </c>
      <c r="B218" s="18">
        <v>274050</v>
      </c>
    </row>
    <row r="219" spans="1:2">
      <c r="A219" t="s">
        <v>777</v>
      </c>
      <c r="B219" s="18">
        <v>284199.3</v>
      </c>
    </row>
    <row r="220" spans="1:2">
      <c r="A220" t="s">
        <v>779</v>
      </c>
      <c r="B220" s="18">
        <v>24061</v>
      </c>
    </row>
    <row r="221" spans="1:2">
      <c r="A221" t="s">
        <v>782</v>
      </c>
      <c r="B221" s="18">
        <v>284199.3</v>
      </c>
    </row>
    <row r="222" spans="1:2">
      <c r="A222" t="s">
        <v>784</v>
      </c>
      <c r="B222" s="18">
        <v>285215.7</v>
      </c>
    </row>
    <row r="223" spans="1:2">
      <c r="A223" t="s">
        <v>786</v>
      </c>
      <c r="B223" s="18">
        <v>287245.35</v>
      </c>
    </row>
    <row r="224" spans="1:2">
      <c r="A224" t="s">
        <v>788</v>
      </c>
      <c r="B224" s="18">
        <v>290086.65</v>
      </c>
    </row>
    <row r="225" spans="1:2">
      <c r="A225" t="s">
        <v>790</v>
      </c>
      <c r="B225" s="18">
        <v>298003.65</v>
      </c>
    </row>
    <row r="226" spans="1:2">
      <c r="A226" t="s">
        <v>792</v>
      </c>
      <c r="B226" s="18">
        <v>298410</v>
      </c>
    </row>
    <row r="227" spans="1:2">
      <c r="A227" t="s">
        <v>794</v>
      </c>
      <c r="B227" s="18">
        <v>296177.7</v>
      </c>
    </row>
    <row r="228" spans="1:2">
      <c r="A228" t="s">
        <v>796</v>
      </c>
      <c r="B228" s="18">
        <v>309574.65</v>
      </c>
    </row>
    <row r="229" spans="1:2">
      <c r="A229" t="s">
        <v>798</v>
      </c>
      <c r="B229" s="18">
        <v>309574.65</v>
      </c>
    </row>
    <row r="230" spans="1:2">
      <c r="A230" t="s">
        <v>799</v>
      </c>
      <c r="B230" s="18">
        <v>309574.65</v>
      </c>
    </row>
    <row r="231" spans="1:2">
      <c r="A231" t="s">
        <v>800</v>
      </c>
      <c r="B231" s="18">
        <v>309574.65</v>
      </c>
    </row>
    <row r="232" spans="1:2">
      <c r="A232" t="s">
        <v>838</v>
      </c>
      <c r="B232" s="18">
        <v>303274.65</v>
      </c>
    </row>
    <row r="233" spans="1:2">
      <c r="A233" t="s">
        <v>840</v>
      </c>
      <c r="B233" s="18">
        <v>297167.85</v>
      </c>
    </row>
    <row r="234" spans="1:2">
      <c r="A234" t="s">
        <v>842</v>
      </c>
      <c r="B234" s="18">
        <v>271055.4</v>
      </c>
    </row>
    <row r="235" spans="1:2">
      <c r="A235" t="s">
        <v>844</v>
      </c>
      <c r="B235" s="18">
        <v>249506.25</v>
      </c>
    </row>
    <row r="236" spans="1:2">
      <c r="A236" t="s">
        <v>806</v>
      </c>
      <c r="B236" s="18">
        <v>280070.7</v>
      </c>
    </row>
    <row r="237" spans="1:2">
      <c r="A237" t="s">
        <v>808</v>
      </c>
      <c r="B237" s="18">
        <v>293099.1</v>
      </c>
    </row>
    <row r="238" spans="1:2">
      <c r="A238" t="s">
        <v>810</v>
      </c>
      <c r="B238" s="18">
        <v>277832.1</v>
      </c>
    </row>
    <row r="239" spans="1:2">
      <c r="A239" t="s">
        <v>812</v>
      </c>
      <c r="B239" s="18">
        <v>274576.05</v>
      </c>
    </row>
    <row r="240" spans="1:2">
      <c r="A240" t="s">
        <v>814</v>
      </c>
      <c r="B240" s="18">
        <v>286991.25</v>
      </c>
    </row>
    <row r="241" spans="1:2">
      <c r="A241" t="s">
        <v>816</v>
      </c>
      <c r="B241" s="18">
        <v>289027.2</v>
      </c>
    </row>
    <row r="242" spans="1:2">
      <c r="A242" t="s">
        <v>818</v>
      </c>
      <c r="B242" s="18">
        <v>291062.1</v>
      </c>
    </row>
    <row r="243" spans="1:2">
      <c r="A243" t="s">
        <v>820</v>
      </c>
      <c r="B243" s="18">
        <v>288008.7</v>
      </c>
    </row>
    <row r="244" spans="1:2">
      <c r="A244" t="s">
        <v>822</v>
      </c>
      <c r="B244" s="18">
        <v>288008.7</v>
      </c>
    </row>
    <row r="245" spans="1:2">
      <c r="A245" t="s">
        <v>824</v>
      </c>
      <c r="B245" s="18">
        <v>284956.35</v>
      </c>
    </row>
    <row r="246" spans="1:2">
      <c r="A246" t="s">
        <v>826</v>
      </c>
      <c r="B246" s="18">
        <v>292079.55</v>
      </c>
    </row>
    <row r="247" spans="1:2">
      <c r="A247" t="s">
        <v>828</v>
      </c>
      <c r="B247" s="18">
        <v>290043.6</v>
      </c>
    </row>
    <row r="248" spans="1:2">
      <c r="A248" t="s">
        <v>830</v>
      </c>
      <c r="B248" s="18">
        <v>300220.2</v>
      </c>
    </row>
    <row r="249" spans="1:2">
      <c r="A249" t="s">
        <v>832</v>
      </c>
      <c r="B249" s="18">
        <v>300221.25</v>
      </c>
    </row>
    <row r="250" spans="1:2">
      <c r="A250" t="s">
        <v>834</v>
      </c>
      <c r="B250" s="18">
        <v>302257.2</v>
      </c>
    </row>
    <row r="251" spans="1:2">
      <c r="A251" t="s">
        <v>836</v>
      </c>
      <c r="B251" s="18">
        <v>298186.35</v>
      </c>
    </row>
    <row r="252" spans="1:2">
      <c r="A252" t="s">
        <v>882</v>
      </c>
      <c r="B252" s="18">
        <v>302267.7</v>
      </c>
    </row>
    <row r="253" spans="1:2">
      <c r="A253" t="s">
        <v>884</v>
      </c>
      <c r="B253" s="18">
        <v>301453.95</v>
      </c>
    </row>
    <row r="254" spans="1:2">
      <c r="A254" t="s">
        <v>846</v>
      </c>
      <c r="B254" s="18">
        <v>115829.7</v>
      </c>
    </row>
    <row r="255" spans="1:2">
      <c r="A255" t="s">
        <v>886</v>
      </c>
      <c r="B255" s="18">
        <v>254474.85</v>
      </c>
    </row>
    <row r="256" spans="1:2">
      <c r="A256" t="s">
        <v>888</v>
      </c>
      <c r="B256" s="18">
        <v>254474.85</v>
      </c>
    </row>
    <row r="257" spans="1:2">
      <c r="A257" t="s">
        <v>848</v>
      </c>
      <c r="B257" s="18">
        <v>290289.3</v>
      </c>
    </row>
    <row r="258" spans="1:2">
      <c r="A258" t="s">
        <v>850</v>
      </c>
      <c r="B258" s="18">
        <v>293131.65</v>
      </c>
    </row>
    <row r="259" spans="1:2">
      <c r="A259" t="s">
        <v>852</v>
      </c>
      <c r="B259" s="18">
        <v>277095</v>
      </c>
    </row>
    <row r="260" spans="1:2">
      <c r="A260" t="s">
        <v>854</v>
      </c>
      <c r="B260" s="18">
        <v>263847.15</v>
      </c>
    </row>
    <row r="261" spans="1:2">
      <c r="A261" t="s">
        <v>858</v>
      </c>
      <c r="B261" s="18">
        <v>291305.7</v>
      </c>
    </row>
    <row r="262" spans="1:2">
      <c r="A262" t="s">
        <v>860</v>
      </c>
      <c r="B262" s="18">
        <v>296989.35</v>
      </c>
    </row>
    <row r="263" spans="1:2">
      <c r="A263" t="s">
        <v>862</v>
      </c>
      <c r="B263" s="18">
        <v>303484.65</v>
      </c>
    </row>
    <row r="264" spans="1:2">
      <c r="A264" t="s">
        <v>864</v>
      </c>
      <c r="B264" s="18">
        <v>287245.35</v>
      </c>
    </row>
    <row r="265" spans="1:2">
      <c r="A265" t="s">
        <v>866</v>
      </c>
      <c r="B265" s="18">
        <v>290290.35</v>
      </c>
    </row>
    <row r="266" spans="1:2">
      <c r="A266" t="s">
        <v>868</v>
      </c>
      <c r="B266" s="18">
        <v>284200.35</v>
      </c>
    </row>
    <row r="267" spans="1:2">
      <c r="A267" t="s">
        <v>870</v>
      </c>
      <c r="B267" s="18">
        <v>292320</v>
      </c>
    </row>
    <row r="268" spans="1:2">
      <c r="A268" t="s">
        <v>872</v>
      </c>
      <c r="B268" s="18">
        <v>287041.65</v>
      </c>
    </row>
    <row r="269" spans="1:2">
      <c r="A269" t="s">
        <v>874</v>
      </c>
      <c r="B269" s="18">
        <v>292321.05</v>
      </c>
    </row>
    <row r="270" spans="1:2">
      <c r="A270" t="s">
        <v>876</v>
      </c>
      <c r="B270" s="18">
        <v>286026.3</v>
      </c>
    </row>
    <row r="271" spans="1:2">
      <c r="A271" t="s">
        <v>878</v>
      </c>
      <c r="B271" s="18">
        <v>298410</v>
      </c>
    </row>
    <row r="272" spans="1:2">
      <c r="A272" t="s">
        <v>880</v>
      </c>
      <c r="B272" s="18">
        <v>294350.7</v>
      </c>
    </row>
    <row r="273" spans="1:2">
      <c r="A273" t="s">
        <v>951</v>
      </c>
      <c r="B273" s="18">
        <v>127263.15</v>
      </c>
    </row>
    <row r="274" spans="1:2">
      <c r="A274" t="s">
        <v>953</v>
      </c>
      <c r="B274" s="18">
        <v>171130.05</v>
      </c>
    </row>
    <row r="275" spans="1:2">
      <c r="A275" t="s">
        <v>954</v>
      </c>
      <c r="B275" s="18">
        <v>164014.75</v>
      </c>
    </row>
    <row r="276" spans="1:2">
      <c r="A276" t="s">
        <v>955</v>
      </c>
      <c r="B276" s="18">
        <v>125364.75</v>
      </c>
    </row>
    <row r="277" spans="1:2">
      <c r="A277" t="s">
        <v>890</v>
      </c>
      <c r="B277" s="18">
        <v>200000</v>
      </c>
    </row>
    <row r="278" spans="1:2">
      <c r="A278" t="s">
        <v>957</v>
      </c>
      <c r="B278" s="18">
        <v>118635.3</v>
      </c>
    </row>
    <row r="279" spans="1:2">
      <c r="A279" t="s">
        <v>959</v>
      </c>
      <c r="B279" s="18">
        <v>159527.55</v>
      </c>
    </row>
    <row r="280" spans="1:2">
      <c r="A280" t="s">
        <v>960</v>
      </c>
      <c r="B280" s="18">
        <v>158757.9</v>
      </c>
    </row>
    <row r="281" spans="1:2">
      <c r="A281" t="s">
        <v>962</v>
      </c>
      <c r="B281" s="18">
        <v>117254.55</v>
      </c>
    </row>
    <row r="282" spans="1:2">
      <c r="A282" t="s">
        <v>892</v>
      </c>
      <c r="B282" s="18">
        <v>800.100000000006</v>
      </c>
    </row>
    <row r="283" spans="1:2">
      <c r="A283" t="s">
        <v>895</v>
      </c>
      <c r="B283" s="18">
        <v>161731.5</v>
      </c>
    </row>
    <row r="284" spans="1:2">
      <c r="A284" t="s">
        <v>897</v>
      </c>
      <c r="B284" s="18">
        <v>162847.65</v>
      </c>
    </row>
    <row r="285" spans="1:2">
      <c r="A285" t="s">
        <v>899</v>
      </c>
      <c r="B285" s="18">
        <v>125105.4</v>
      </c>
    </row>
    <row r="286" spans="1:2">
      <c r="A286" t="s">
        <v>901</v>
      </c>
      <c r="B286" s="18">
        <v>118635.3</v>
      </c>
    </row>
    <row r="287" spans="1:2">
      <c r="A287" t="s">
        <v>903</v>
      </c>
      <c r="B287" s="18">
        <v>176931.3</v>
      </c>
    </row>
    <row r="288" spans="1:2">
      <c r="A288" t="s">
        <v>904</v>
      </c>
      <c r="B288" s="18">
        <v>165000.15</v>
      </c>
    </row>
    <row r="289" spans="1:2">
      <c r="A289" t="s">
        <v>906</v>
      </c>
      <c r="B289" s="18">
        <v>116478.6</v>
      </c>
    </row>
    <row r="290" spans="1:2">
      <c r="A290" t="s">
        <v>4944</v>
      </c>
      <c r="B290" s="18">
        <v>291313.05</v>
      </c>
    </row>
    <row r="291" spans="1:2">
      <c r="A291" t="s">
        <v>916</v>
      </c>
      <c r="B291" s="18">
        <v>125536.95</v>
      </c>
    </row>
    <row r="292" spans="1:2">
      <c r="A292" t="s">
        <v>918</v>
      </c>
      <c r="B292" s="18">
        <v>168808.5</v>
      </c>
    </row>
    <row r="293" spans="1:2">
      <c r="A293" t="s">
        <v>919</v>
      </c>
      <c r="B293" s="18">
        <v>164716.65</v>
      </c>
    </row>
    <row r="294" spans="1:2">
      <c r="A294" t="s">
        <v>921</v>
      </c>
      <c r="B294" s="18">
        <v>125106.45</v>
      </c>
    </row>
    <row r="295" spans="1:2">
      <c r="A295" t="s">
        <v>923</v>
      </c>
      <c r="B295" s="18">
        <v>122517.15</v>
      </c>
    </row>
    <row r="296" spans="1:2">
      <c r="A296" t="s">
        <v>925</v>
      </c>
      <c r="B296" s="18">
        <v>164748.15</v>
      </c>
    </row>
    <row r="297" spans="1:2">
      <c r="A297" t="s">
        <v>926</v>
      </c>
      <c r="B297" s="18">
        <v>0</v>
      </c>
    </row>
    <row r="298" spans="1:2">
      <c r="A298" t="s">
        <v>928</v>
      </c>
      <c r="B298" s="18">
        <v>125105.4</v>
      </c>
    </row>
    <row r="299" spans="1:2">
      <c r="A299" t="s">
        <v>930</v>
      </c>
      <c r="B299" s="18">
        <v>125536.95</v>
      </c>
    </row>
    <row r="300" spans="1:2">
      <c r="A300" t="s">
        <v>932</v>
      </c>
      <c r="B300" s="18">
        <v>168808.5</v>
      </c>
    </row>
    <row r="301" spans="1:2">
      <c r="A301" t="s">
        <v>933</v>
      </c>
      <c r="B301" s="18">
        <v>168220.5</v>
      </c>
    </row>
    <row r="302" spans="1:2">
      <c r="A302" t="s">
        <v>935</v>
      </c>
      <c r="B302" s="18">
        <v>125538</v>
      </c>
    </row>
    <row r="303" spans="1:2">
      <c r="A303" t="s">
        <v>5013</v>
      </c>
      <c r="B303" s="18">
        <v>140393.4</v>
      </c>
    </row>
    <row r="304" spans="1:2">
      <c r="A304" t="s">
        <v>939</v>
      </c>
      <c r="B304" s="18">
        <v>157999.8</v>
      </c>
    </row>
    <row r="305" spans="1:2">
      <c r="A305" t="s">
        <v>940</v>
      </c>
      <c r="B305" s="18">
        <v>168571.2</v>
      </c>
    </row>
    <row r="306" spans="1:2">
      <c r="A306" t="s">
        <v>942</v>
      </c>
      <c r="B306" s="18">
        <v>126400.05</v>
      </c>
    </row>
    <row r="307" spans="1:2">
      <c r="A307" t="s">
        <v>944</v>
      </c>
      <c r="B307" s="18">
        <v>124674.9</v>
      </c>
    </row>
    <row r="308" spans="1:2">
      <c r="A308" t="s">
        <v>946</v>
      </c>
      <c r="B308" s="18">
        <v>167649.3</v>
      </c>
    </row>
    <row r="309" spans="1:2">
      <c r="A309" t="s">
        <v>947</v>
      </c>
      <c r="B309" s="18">
        <v>168571.2</v>
      </c>
    </row>
    <row r="310" spans="1:2">
      <c r="A310" t="s">
        <v>949</v>
      </c>
      <c r="B310" s="18">
        <v>126831.6</v>
      </c>
    </row>
    <row r="311" spans="1:2">
      <c r="A311" t="s">
        <v>425</v>
      </c>
      <c r="B311" s="18">
        <v>364268.1</v>
      </c>
    </row>
    <row r="312" spans="1:2">
      <c r="A312" t="s">
        <v>427</v>
      </c>
      <c r="B312" s="18">
        <v>301072</v>
      </c>
    </row>
    <row r="313" spans="1:2">
      <c r="A313" t="s">
        <v>429</v>
      </c>
      <c r="B313" s="18">
        <v>392528.85</v>
      </c>
    </row>
    <row r="314" spans="1:2">
      <c r="A314" t="s">
        <v>431</v>
      </c>
      <c r="B314" s="18">
        <v>391183</v>
      </c>
    </row>
    <row r="315" spans="1:2">
      <c r="A315" t="s">
        <v>433</v>
      </c>
      <c r="B315" s="18">
        <v>392528.85</v>
      </c>
    </row>
    <row r="316" spans="1:2">
      <c r="A316" t="s">
        <v>435</v>
      </c>
      <c r="B316" s="18">
        <v>345552.9</v>
      </c>
    </row>
    <row r="317" spans="1:2">
      <c r="A317" t="s">
        <v>437</v>
      </c>
      <c r="B317" s="18">
        <v>352575</v>
      </c>
    </row>
    <row r="318" spans="1:2">
      <c r="A318" t="s">
        <v>439</v>
      </c>
      <c r="B318" s="18">
        <v>351381</v>
      </c>
    </row>
    <row r="319" spans="1:2">
      <c r="A319" t="s">
        <v>441</v>
      </c>
      <c r="B319" s="18">
        <v>321585</v>
      </c>
    </row>
    <row r="320" spans="1:2">
      <c r="A320" t="s">
        <v>443</v>
      </c>
      <c r="B320" s="18">
        <v>259699.65</v>
      </c>
    </row>
    <row r="321" spans="1:2">
      <c r="A321" t="s">
        <v>445</v>
      </c>
      <c r="B321" s="18">
        <v>198726.15</v>
      </c>
    </row>
    <row r="322" spans="1:2">
      <c r="A322" t="s">
        <v>447</v>
      </c>
      <c r="B322" s="18">
        <v>196177.8</v>
      </c>
    </row>
    <row r="323" spans="1:2">
      <c r="A323" t="s">
        <v>449</v>
      </c>
      <c r="B323" s="18">
        <v>303986.55</v>
      </c>
    </row>
    <row r="324" spans="1:2">
      <c r="A324" t="s">
        <v>451</v>
      </c>
      <c r="B324" s="18">
        <v>296216</v>
      </c>
    </row>
    <row r="325" spans="1:2">
      <c r="A325" t="s">
        <v>453</v>
      </c>
      <c r="B325" s="18">
        <v>296216.55</v>
      </c>
    </row>
    <row r="326" spans="1:2">
      <c r="A326" t="s">
        <v>455</v>
      </c>
      <c r="B326" s="18">
        <v>310784.25</v>
      </c>
    </row>
    <row r="327" spans="1:2">
      <c r="A327" t="s">
        <v>457</v>
      </c>
      <c r="B327" s="18">
        <v>393142</v>
      </c>
    </row>
    <row r="328" spans="1:2">
      <c r="A328" t="s">
        <v>459</v>
      </c>
      <c r="B328" s="18">
        <v>345553</v>
      </c>
    </row>
    <row r="329" spans="1:2">
      <c r="A329" t="s">
        <v>461</v>
      </c>
      <c r="B329" s="18">
        <v>351381</v>
      </c>
    </row>
    <row r="330" spans="1:2">
      <c r="A330" t="s">
        <v>463</v>
      </c>
      <c r="B330" s="18">
        <v>351380.4</v>
      </c>
    </row>
    <row r="331" spans="1:2">
      <c r="A331" t="s">
        <v>465</v>
      </c>
      <c r="B331" s="18">
        <v>320497</v>
      </c>
    </row>
    <row r="332" spans="1:2">
      <c r="A332" t="s">
        <v>467</v>
      </c>
      <c r="B332" s="18">
        <v>323215</v>
      </c>
    </row>
    <row r="333" spans="1:2">
      <c r="A333" t="s">
        <v>469</v>
      </c>
      <c r="B333" s="18">
        <v>189598.5</v>
      </c>
    </row>
    <row r="334" spans="1:2">
      <c r="A334" t="s">
        <v>471</v>
      </c>
      <c r="B334" s="18">
        <v>196177.8</v>
      </c>
    </row>
    <row r="335" spans="1:2">
      <c r="A335" t="s">
        <v>473</v>
      </c>
      <c r="B335" s="18">
        <v>305928</v>
      </c>
    </row>
    <row r="336" spans="1:2">
      <c r="A336" t="s">
        <v>475</v>
      </c>
      <c r="B336" s="18">
        <v>305928</v>
      </c>
    </row>
    <row r="337" spans="1:2">
      <c r="A337" t="s">
        <v>477</v>
      </c>
      <c r="B337" s="18">
        <v>389257</v>
      </c>
    </row>
    <row r="338" spans="1:2">
      <c r="A338" t="s">
        <v>479</v>
      </c>
      <c r="B338" s="18">
        <v>301072</v>
      </c>
    </row>
    <row r="339" spans="1:2">
      <c r="A339" t="s">
        <v>481</v>
      </c>
      <c r="B339" s="18">
        <v>393142</v>
      </c>
    </row>
    <row r="340" spans="1:2">
      <c r="A340" t="s">
        <v>483</v>
      </c>
      <c r="B340" s="18">
        <v>345529.85</v>
      </c>
    </row>
    <row r="341" spans="1:2">
      <c r="A341" t="s">
        <v>485</v>
      </c>
      <c r="B341" s="18">
        <v>351356.45</v>
      </c>
    </row>
    <row r="342" spans="1:2">
      <c r="A342" t="s">
        <v>487</v>
      </c>
      <c r="B342" s="18">
        <v>351356.45</v>
      </c>
    </row>
    <row r="343" spans="1:2">
      <c r="A343" t="s">
        <v>489</v>
      </c>
      <c r="B343" s="18">
        <v>319331</v>
      </c>
    </row>
    <row r="344" spans="1:2">
      <c r="A344" t="s">
        <v>491</v>
      </c>
      <c r="B344" s="18">
        <v>319331</v>
      </c>
    </row>
    <row r="345" spans="1:2">
      <c r="A345" t="s">
        <v>493</v>
      </c>
      <c r="B345" s="18">
        <v>298567.1</v>
      </c>
    </row>
    <row r="346" spans="1:2">
      <c r="A346" t="s">
        <v>495</v>
      </c>
      <c r="B346" s="18">
        <v>292289</v>
      </c>
    </row>
    <row r="347" spans="1:2">
      <c r="A347" t="s">
        <v>497</v>
      </c>
      <c r="B347" s="18">
        <v>307676.25</v>
      </c>
    </row>
    <row r="348" spans="1:2">
      <c r="A348" t="s">
        <v>499</v>
      </c>
      <c r="B348" s="18">
        <v>306967.5</v>
      </c>
    </row>
    <row r="349" spans="1:2">
      <c r="A349" t="s">
        <v>501</v>
      </c>
      <c r="B349" s="18">
        <v>391172.8</v>
      </c>
    </row>
    <row r="350" spans="1:2">
      <c r="A350" t="s">
        <v>503</v>
      </c>
      <c r="B350" s="18">
        <v>392500.8</v>
      </c>
    </row>
    <row r="351" spans="1:2">
      <c r="A351" t="s">
        <v>505</v>
      </c>
      <c r="B351" s="18">
        <v>382459.35</v>
      </c>
    </row>
    <row r="352" spans="1:2">
      <c r="A352" t="s">
        <v>507</v>
      </c>
      <c r="B352" s="18">
        <v>394477</v>
      </c>
    </row>
    <row r="353" spans="1:2">
      <c r="A353" t="s">
        <v>509</v>
      </c>
      <c r="B353" s="18">
        <v>299130.3</v>
      </c>
    </row>
    <row r="354" spans="1:2">
      <c r="A354" t="s">
        <v>511</v>
      </c>
      <c r="B354" s="18">
        <v>352548.65</v>
      </c>
    </row>
    <row r="355" spans="1:2">
      <c r="A355" t="s">
        <v>513</v>
      </c>
      <c r="B355" s="18">
        <v>320474.55</v>
      </c>
    </row>
    <row r="356" spans="1:2">
      <c r="A356" t="s">
        <v>515</v>
      </c>
      <c r="B356" s="18">
        <v>316713.6</v>
      </c>
    </row>
    <row r="357" spans="1:2">
      <c r="A357" t="s">
        <v>517</v>
      </c>
      <c r="B357" s="18">
        <v>215976.6</v>
      </c>
    </row>
    <row r="358" spans="1:2">
      <c r="A358" t="s">
        <v>519</v>
      </c>
      <c r="B358" s="18">
        <v>275144.1</v>
      </c>
    </row>
    <row r="359" spans="1:2">
      <c r="A359" t="s">
        <v>523</v>
      </c>
      <c r="B359" s="18">
        <v>337311.45</v>
      </c>
    </row>
    <row r="360" spans="1:2">
      <c r="A360" t="s">
        <v>525</v>
      </c>
      <c r="B360" s="18">
        <v>268214</v>
      </c>
    </row>
    <row r="361" spans="1:2">
      <c r="A361" t="s">
        <v>527</v>
      </c>
      <c r="B361" s="18">
        <v>339320</v>
      </c>
    </row>
    <row r="362" spans="1:2">
      <c r="A362" t="s">
        <v>529</v>
      </c>
      <c r="B362" s="18">
        <v>270216</v>
      </c>
    </row>
    <row r="363" spans="1:2">
      <c r="A363" t="s">
        <v>531</v>
      </c>
      <c r="B363" s="18">
        <v>308382.8475</v>
      </c>
    </row>
    <row r="364" spans="1:2">
      <c r="A364" t="s">
        <v>533</v>
      </c>
      <c r="B364" s="18">
        <v>250200.3</v>
      </c>
    </row>
    <row r="365" spans="1:2">
      <c r="A365" t="s">
        <v>535</v>
      </c>
      <c r="B365" s="18">
        <v>281260</v>
      </c>
    </row>
    <row r="366" spans="1:2">
      <c r="A366" t="s">
        <v>537</v>
      </c>
      <c r="B366" s="18">
        <v>281225.2</v>
      </c>
    </row>
    <row r="367" spans="1:2">
      <c r="A367" t="s">
        <v>539</v>
      </c>
      <c r="B367" s="18">
        <v>345347.1</v>
      </c>
    </row>
    <row r="368" spans="1:2">
      <c r="A368" t="s">
        <v>541</v>
      </c>
      <c r="B368" s="18">
        <v>273017.85</v>
      </c>
    </row>
    <row r="369" spans="1:2">
      <c r="A369" t="s">
        <v>543</v>
      </c>
      <c r="B369" s="18">
        <v>355391.4</v>
      </c>
    </row>
    <row r="370" spans="1:2">
      <c r="A370" t="s">
        <v>545</v>
      </c>
      <c r="B370" s="18">
        <v>280224</v>
      </c>
    </row>
    <row r="371" spans="1:2">
      <c r="A371" t="s">
        <v>547</v>
      </c>
      <c r="B371" s="18">
        <v>305368.35</v>
      </c>
    </row>
    <row r="372" spans="1:2">
      <c r="A372" t="s">
        <v>549</v>
      </c>
      <c r="B372" s="18">
        <v>275220</v>
      </c>
    </row>
    <row r="373" spans="1:2">
      <c r="A373" t="s">
        <v>551</v>
      </c>
      <c r="B373" s="18">
        <v>276931.2</v>
      </c>
    </row>
    <row r="374" spans="1:2">
      <c r="A374" t="s">
        <v>553</v>
      </c>
      <c r="B374" s="18">
        <v>241762</v>
      </c>
    </row>
    <row r="375" spans="1:2">
      <c r="A375" t="s">
        <v>557</v>
      </c>
      <c r="B375" s="18">
        <v>304243.2</v>
      </c>
    </row>
    <row r="376" spans="1:2">
      <c r="A376" t="s">
        <v>559</v>
      </c>
      <c r="B376" s="18">
        <v>300202.15</v>
      </c>
    </row>
    <row r="377" spans="1:2">
      <c r="A377" t="s">
        <v>561</v>
      </c>
      <c r="B377" s="18">
        <v>0</v>
      </c>
    </row>
    <row r="378" spans="1:2">
      <c r="A378" t="s">
        <v>565</v>
      </c>
      <c r="B378" s="18">
        <v>259115.85</v>
      </c>
    </row>
    <row r="379" spans="1:2">
      <c r="A379" t="s">
        <v>567</v>
      </c>
      <c r="B379" s="18">
        <v>249999.75</v>
      </c>
    </row>
    <row r="380" spans="1:2">
      <c r="A380" t="s">
        <v>569</v>
      </c>
      <c r="B380" s="18">
        <v>250200.3</v>
      </c>
    </row>
    <row r="381" spans="1:2">
      <c r="A381" t="s">
        <v>571</v>
      </c>
      <c r="B381" s="18">
        <v>272217.75</v>
      </c>
    </row>
    <row r="382" spans="1:2">
      <c r="A382" t="s">
        <v>573</v>
      </c>
      <c r="B382" s="18">
        <v>273217.35</v>
      </c>
    </row>
    <row r="383" spans="1:2">
      <c r="A383" t="s">
        <v>575</v>
      </c>
      <c r="B383" s="18">
        <v>265211.6</v>
      </c>
    </row>
    <row r="384" spans="1:2">
      <c r="A384" t="s">
        <v>577</v>
      </c>
      <c r="B384" s="18">
        <v>265211.6</v>
      </c>
    </row>
    <row r="385" spans="1:2">
      <c r="A385" t="s">
        <v>579</v>
      </c>
      <c r="B385" s="18">
        <v>296237</v>
      </c>
    </row>
    <row r="386" spans="1:2">
      <c r="A386" t="s">
        <v>583</v>
      </c>
      <c r="B386" s="18">
        <v>280224</v>
      </c>
    </row>
    <row r="387" spans="1:2">
      <c r="A387" t="s">
        <v>585</v>
      </c>
      <c r="B387" s="18">
        <v>270216.45</v>
      </c>
    </row>
    <row r="388" spans="1:2">
      <c r="A388" t="s">
        <v>587</v>
      </c>
      <c r="B388" s="18">
        <v>343212</v>
      </c>
    </row>
    <row r="389" spans="1:2">
      <c r="A389" t="s">
        <v>589</v>
      </c>
      <c r="B389" s="18">
        <v>343212</v>
      </c>
    </row>
    <row r="390" spans="1:2">
      <c r="A390" t="s">
        <v>593</v>
      </c>
      <c r="B390" s="18">
        <v>303243.15</v>
      </c>
    </row>
    <row r="391" spans="1:2">
      <c r="A391" t="s">
        <v>595</v>
      </c>
      <c r="B391" s="18">
        <v>303243.15</v>
      </c>
    </row>
    <row r="392" spans="1:2">
      <c r="A392" t="s">
        <v>597</v>
      </c>
      <c r="B392" s="18">
        <v>267231.3</v>
      </c>
    </row>
    <row r="393" spans="1:2">
      <c r="A393" t="s">
        <v>599</v>
      </c>
      <c r="B393" s="18">
        <v>268215</v>
      </c>
    </row>
    <row r="394" spans="1:2">
      <c r="A394" t="s">
        <v>601</v>
      </c>
      <c r="B394" s="18">
        <v>269215.8</v>
      </c>
    </row>
    <row r="395" spans="1:2">
      <c r="A395" t="s">
        <v>603</v>
      </c>
      <c r="B395" s="18">
        <v>250200.3</v>
      </c>
    </row>
    <row r="396" spans="1:2">
      <c r="A396" t="s">
        <v>605</v>
      </c>
      <c r="B396" s="18">
        <v>249999.75</v>
      </c>
    </row>
    <row r="397" spans="1:2">
      <c r="A397" t="s">
        <v>607</v>
      </c>
      <c r="B397" s="18">
        <v>289230.6</v>
      </c>
    </row>
    <row r="398" spans="1:2">
      <c r="A398" t="s">
        <v>609</v>
      </c>
      <c r="B398" s="18">
        <v>270216.45</v>
      </c>
    </row>
    <row r="399" spans="1:2">
      <c r="A399" t="s">
        <v>611</v>
      </c>
      <c r="B399" s="18">
        <v>270081</v>
      </c>
    </row>
    <row r="400" spans="1:2">
      <c r="A400" t="s">
        <v>613</v>
      </c>
      <c r="B400" s="18">
        <v>270216</v>
      </c>
    </row>
    <row r="401" spans="1:2">
      <c r="A401" t="s">
        <v>615</v>
      </c>
      <c r="B401" s="18">
        <v>310390.5</v>
      </c>
    </row>
    <row r="402" spans="1:2">
      <c r="A402" t="s">
        <v>617</v>
      </c>
      <c r="B402" s="18">
        <v>216352.5</v>
      </c>
    </row>
    <row r="403" spans="1:2">
      <c r="A403" t="s">
        <v>619</v>
      </c>
      <c r="B403" s="18">
        <v>281260</v>
      </c>
    </row>
    <row r="404" spans="1:2">
      <c r="A404" t="s">
        <v>621</v>
      </c>
      <c r="B404" s="18">
        <v>240656</v>
      </c>
    </row>
    <row r="405" spans="1:2">
      <c r="A405" t="s">
        <v>622</v>
      </c>
      <c r="B405" s="18">
        <v>240038</v>
      </c>
    </row>
    <row r="406" spans="1:2">
      <c r="A406" t="s">
        <v>624</v>
      </c>
      <c r="B406" s="18">
        <v>364337.95</v>
      </c>
    </row>
    <row r="407" spans="1:2">
      <c r="A407" t="s">
        <v>626</v>
      </c>
      <c r="B407" s="18">
        <v>302994.3</v>
      </c>
    </row>
    <row r="408" spans="1:2">
      <c r="A408" t="s">
        <v>628</v>
      </c>
      <c r="B408" s="18">
        <v>289309.65</v>
      </c>
    </row>
    <row r="409" spans="1:2">
      <c r="A409" t="s">
        <v>630</v>
      </c>
      <c r="B409" s="18">
        <v>299866.35</v>
      </c>
    </row>
    <row r="410" spans="1:2">
      <c r="A410" t="s">
        <v>632</v>
      </c>
      <c r="B410" s="18">
        <v>365353.8</v>
      </c>
    </row>
    <row r="411" spans="1:2">
      <c r="A411" t="s">
        <v>634</v>
      </c>
      <c r="B411" s="18">
        <v>293221</v>
      </c>
    </row>
    <row r="412" spans="1:2">
      <c r="A412" t="s">
        <v>636</v>
      </c>
      <c r="B412" s="18">
        <v>347758.95</v>
      </c>
    </row>
    <row r="413" spans="1:2">
      <c r="A413" t="s">
        <v>638</v>
      </c>
      <c r="B413" s="18">
        <v>347794.65</v>
      </c>
    </row>
    <row r="414" spans="1:2">
      <c r="A414" t="s">
        <v>640</v>
      </c>
      <c r="B414" s="18">
        <v>314096.35</v>
      </c>
    </row>
    <row r="415" spans="1:2">
      <c r="A415" t="s">
        <v>642</v>
      </c>
      <c r="B415" s="18">
        <v>297970</v>
      </c>
    </row>
    <row r="416" spans="1:2">
      <c r="A416" t="s">
        <v>644</v>
      </c>
      <c r="B416" s="18">
        <v>302800.05</v>
      </c>
    </row>
    <row r="417" spans="1:2">
      <c r="A417" t="s">
        <v>646</v>
      </c>
      <c r="B417" s="18">
        <v>303852.15</v>
      </c>
    </row>
    <row r="418" spans="1:2">
      <c r="A418" t="s">
        <v>648</v>
      </c>
      <c r="B418" s="18">
        <v>299866.35</v>
      </c>
    </row>
    <row r="419" spans="1:2">
      <c r="A419" t="s">
        <v>650</v>
      </c>
      <c r="B419" s="22">
        <v>370584</v>
      </c>
    </row>
    <row r="420" spans="1:2">
      <c r="A420" t="s">
        <v>652</v>
      </c>
      <c r="B420" s="22">
        <v>365352.75</v>
      </c>
    </row>
    <row r="421" spans="1:2">
      <c r="A421" t="s">
        <v>654</v>
      </c>
      <c r="B421" s="22">
        <v>366623.25</v>
      </c>
    </row>
    <row r="422" spans="1:2">
      <c r="A422" t="s">
        <v>656</v>
      </c>
      <c r="B422" s="18">
        <v>329494.2</v>
      </c>
    </row>
    <row r="423" spans="1:2">
      <c r="A423" t="s">
        <v>658</v>
      </c>
      <c r="B423" s="18">
        <v>333421.25</v>
      </c>
    </row>
    <row r="424" spans="1:2">
      <c r="A424" t="s">
        <v>4701</v>
      </c>
      <c r="B424" s="20">
        <v>-13602.75</v>
      </c>
    </row>
    <row r="425" spans="1:2">
      <c r="A425" s="19" t="s">
        <v>964</v>
      </c>
      <c r="B425" s="24">
        <f>SUM(B2:B424)</f>
        <v>138587379.6395</v>
      </c>
    </row>
    <row r="426" spans="1:2">
      <c r="A426" t="s">
        <v>7560</v>
      </c>
      <c r="B426" s="18">
        <f>泰康小区!J521</f>
        <v>139060982.6395</v>
      </c>
    </row>
    <row r="427" spans="2:2">
      <c r="B427" s="18">
        <f>B425-B426</f>
        <v>-473603.00000003</v>
      </c>
    </row>
  </sheetData>
  <autoFilter ref="A1:B427">
    <extLst/>
  </autoFilter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0"/>
  <sheetViews>
    <sheetView topLeftCell="E1" workbookViewId="0">
      <selection activeCell="W305" sqref="W305:X305"/>
    </sheetView>
  </sheetViews>
  <sheetFormatPr defaultColWidth="9" defaultRowHeight="13.5"/>
  <cols>
    <col min="1" max="1" width="7" style="13" customWidth="1"/>
    <col min="2" max="2" width="29.6333333333333" style="13" customWidth="1"/>
    <col min="3" max="3" width="19.3833333333333" style="13" customWidth="1"/>
    <col min="4" max="4" width="33.5" style="13" customWidth="1"/>
    <col min="5" max="5" width="58.3833333333333" style="13" customWidth="1"/>
    <col min="6" max="6" width="11.5" style="13" customWidth="1"/>
    <col min="7" max="7" width="7" style="13" customWidth="1"/>
    <col min="8" max="8" width="9" style="13"/>
    <col min="9" max="9" width="52.75" style="13" customWidth="1"/>
    <col min="10" max="11" width="13.75" style="13" customWidth="1"/>
    <col min="12" max="12" width="9" style="13"/>
    <col min="13" max="13" width="14.8833333333333" style="13"/>
    <col min="14" max="16384" width="9" style="13"/>
  </cols>
  <sheetData>
    <row r="1" s="13" customFormat="1" ht="15" customHeight="1" spans="1:13">
      <c r="A1" s="13" t="s">
        <v>7561</v>
      </c>
      <c r="B1" s="13" t="s">
        <v>2893</v>
      </c>
      <c r="C1" s="13" t="s">
        <v>7562</v>
      </c>
      <c r="D1" s="13" t="s">
        <v>7563</v>
      </c>
      <c r="E1" s="13" t="s">
        <v>7564</v>
      </c>
      <c r="F1" s="13" t="s">
        <v>4488</v>
      </c>
      <c r="G1" s="13" t="s">
        <v>4489</v>
      </c>
      <c r="H1" s="13" t="s">
        <v>2896</v>
      </c>
      <c r="I1" s="13" t="s">
        <v>2897</v>
      </c>
      <c r="J1" s="13" t="s">
        <v>4490</v>
      </c>
      <c r="K1" s="13" t="s">
        <v>4491</v>
      </c>
      <c r="L1" s="13" t="s">
        <v>7565</v>
      </c>
      <c r="M1" s="13" t="s">
        <v>7566</v>
      </c>
    </row>
    <row r="2" s="13" customFormat="1" ht="15" customHeight="1" spans="1:13">
      <c r="A2" s="13" t="s">
        <v>7567</v>
      </c>
      <c r="B2" s="13" t="s">
        <v>4506</v>
      </c>
      <c r="C2" s="13" t="s">
        <v>7568</v>
      </c>
      <c r="D2" s="13" t="s">
        <v>7569</v>
      </c>
      <c r="E2" s="13" t="s">
        <v>7570</v>
      </c>
      <c r="F2" s="13" t="s">
        <v>4492</v>
      </c>
      <c r="G2" s="13" t="s">
        <v>4493</v>
      </c>
      <c r="H2" s="26">
        <v>20</v>
      </c>
      <c r="I2" s="13" t="s">
        <v>7571</v>
      </c>
      <c r="K2" s="15">
        <v>17585</v>
      </c>
      <c r="L2" s="13" t="s">
        <v>2901</v>
      </c>
      <c r="M2" s="15">
        <v>47585</v>
      </c>
    </row>
    <row r="3" s="13" customFormat="1" ht="15" customHeight="1" spans="1:13">
      <c r="A3" s="13" t="s">
        <v>7567</v>
      </c>
      <c r="B3" s="13" t="s">
        <v>4506</v>
      </c>
      <c r="C3" s="13" t="s">
        <v>7568</v>
      </c>
      <c r="D3" s="13" t="s">
        <v>7569</v>
      </c>
      <c r="E3" s="13" t="s">
        <v>7572</v>
      </c>
      <c r="F3" s="13" t="s">
        <v>4492</v>
      </c>
      <c r="G3" s="13" t="s">
        <v>4493</v>
      </c>
      <c r="H3" s="26">
        <v>21</v>
      </c>
      <c r="I3" s="13" t="s">
        <v>7573</v>
      </c>
      <c r="K3" s="15">
        <v>50000</v>
      </c>
      <c r="L3" s="13" t="s">
        <v>2901</v>
      </c>
      <c r="M3" s="15">
        <v>950000</v>
      </c>
    </row>
    <row r="4" s="13" customFormat="1" ht="15" customHeight="1" spans="1:13">
      <c r="A4" s="13" t="s">
        <v>7567</v>
      </c>
      <c r="B4" s="13" t="s">
        <v>4506</v>
      </c>
      <c r="C4" s="13" t="s">
        <v>7568</v>
      </c>
      <c r="D4" s="13" t="s">
        <v>7569</v>
      </c>
      <c r="E4" s="13" t="s">
        <v>7574</v>
      </c>
      <c r="F4" s="13" t="s">
        <v>4492</v>
      </c>
      <c r="G4" s="13" t="s">
        <v>4493</v>
      </c>
      <c r="H4" s="26">
        <v>20</v>
      </c>
      <c r="I4" s="13" t="s">
        <v>7575</v>
      </c>
      <c r="K4" s="15">
        <v>2415</v>
      </c>
      <c r="L4" s="13" t="s">
        <v>2901</v>
      </c>
      <c r="M4" s="15">
        <v>12415</v>
      </c>
    </row>
    <row r="5" s="13" customFormat="1" ht="15" customHeight="1" spans="1:13">
      <c r="A5" s="13" t="s">
        <v>7567</v>
      </c>
      <c r="B5" s="13" t="s">
        <v>4506</v>
      </c>
      <c r="C5" s="13" t="s">
        <v>7568</v>
      </c>
      <c r="D5" s="13" t="s">
        <v>7569</v>
      </c>
      <c r="E5" s="13" t="s">
        <v>7576</v>
      </c>
      <c r="F5" s="13" t="s">
        <v>7577</v>
      </c>
      <c r="G5" s="13" t="s">
        <v>4493</v>
      </c>
      <c r="H5" s="26">
        <v>12</v>
      </c>
      <c r="I5" s="13" t="s">
        <v>7578</v>
      </c>
      <c r="K5" s="15">
        <v>190000</v>
      </c>
      <c r="L5" s="13" t="s">
        <v>2901</v>
      </c>
      <c r="M5" s="15">
        <v>-100000</v>
      </c>
    </row>
    <row r="6" s="13" customFormat="1" ht="15" customHeight="1" spans="1:12">
      <c r="A6" s="13" t="s">
        <v>7567</v>
      </c>
      <c r="B6" s="13" t="s">
        <v>4506</v>
      </c>
      <c r="C6" s="13" t="s">
        <v>7568</v>
      </c>
      <c r="D6" s="13" t="s">
        <v>7569</v>
      </c>
      <c r="E6" s="13" t="s">
        <v>7576</v>
      </c>
      <c r="F6" s="13" t="s">
        <v>7577</v>
      </c>
      <c r="G6" s="13" t="s">
        <v>4493</v>
      </c>
      <c r="H6" s="26">
        <v>12</v>
      </c>
      <c r="I6" s="13" t="s">
        <v>7579</v>
      </c>
      <c r="K6" s="15">
        <v>100000</v>
      </c>
      <c r="L6" s="13" t="s">
        <v>7580</v>
      </c>
    </row>
    <row r="7" s="13" customFormat="1" ht="15" customHeight="1" spans="1:12">
      <c r="A7" s="13" t="s">
        <v>7567</v>
      </c>
      <c r="B7" s="13" t="s">
        <v>4506</v>
      </c>
      <c r="C7" s="13" t="s">
        <v>7568</v>
      </c>
      <c r="D7" s="13" t="s">
        <v>7569</v>
      </c>
      <c r="E7" s="13" t="s">
        <v>7581</v>
      </c>
      <c r="F7" s="13" t="s">
        <v>7577</v>
      </c>
      <c r="G7" s="13" t="s">
        <v>4493</v>
      </c>
      <c r="H7" s="26">
        <v>12</v>
      </c>
      <c r="I7" s="13" t="s">
        <v>7579</v>
      </c>
      <c r="K7" s="15">
        <v>-100000</v>
      </c>
      <c r="L7" s="13" t="s">
        <v>7580</v>
      </c>
    </row>
    <row r="8" s="13" customFormat="1" ht="15" customHeight="1" spans="1:13">
      <c r="A8" s="13" t="s">
        <v>7567</v>
      </c>
      <c r="B8" s="13" t="s">
        <v>4506</v>
      </c>
      <c r="C8" s="13" t="s">
        <v>7568</v>
      </c>
      <c r="D8" s="13" t="s">
        <v>7569</v>
      </c>
      <c r="E8" s="13" t="s">
        <v>7582</v>
      </c>
      <c r="F8" s="13" t="s">
        <v>7577</v>
      </c>
      <c r="G8" s="13" t="s">
        <v>4493</v>
      </c>
      <c r="H8" s="26">
        <v>12</v>
      </c>
      <c r="I8" s="13" t="s">
        <v>7578</v>
      </c>
      <c r="K8" s="15">
        <v>-190000</v>
      </c>
      <c r="L8" s="13" t="s">
        <v>2901</v>
      </c>
      <c r="M8" s="15">
        <v>266859</v>
      </c>
    </row>
    <row r="9" s="13" customFormat="1" ht="15" customHeight="1" spans="1:13">
      <c r="A9" s="13" t="s">
        <v>7567</v>
      </c>
      <c r="B9" s="13" t="s">
        <v>4506</v>
      </c>
      <c r="C9" s="13" t="s">
        <v>7568</v>
      </c>
      <c r="D9" s="13" t="s">
        <v>7569</v>
      </c>
      <c r="E9" s="13" t="s">
        <v>7583</v>
      </c>
      <c r="F9" s="13" t="s">
        <v>7584</v>
      </c>
      <c r="G9" s="13" t="s">
        <v>4493</v>
      </c>
      <c r="H9" s="26">
        <v>10</v>
      </c>
      <c r="I9" s="13" t="s">
        <v>7585</v>
      </c>
      <c r="K9" s="15">
        <v>2501.5</v>
      </c>
      <c r="L9" s="13" t="s">
        <v>2901</v>
      </c>
      <c r="M9" s="15">
        <v>62501.5</v>
      </c>
    </row>
    <row r="10" s="13" customFormat="1" ht="15" customHeight="1" spans="1:13">
      <c r="A10" s="13" t="s">
        <v>7567</v>
      </c>
      <c r="B10" s="13" t="s">
        <v>4506</v>
      </c>
      <c r="C10" s="13" t="s">
        <v>7568</v>
      </c>
      <c r="D10" s="13" t="s">
        <v>7569</v>
      </c>
      <c r="E10" s="13" t="s">
        <v>7586</v>
      </c>
      <c r="F10" s="13" t="s">
        <v>7584</v>
      </c>
      <c r="G10" s="13" t="s">
        <v>4493</v>
      </c>
      <c r="H10" s="26">
        <v>8</v>
      </c>
      <c r="I10" s="13" t="s">
        <v>7587</v>
      </c>
      <c r="K10" s="15">
        <v>55767</v>
      </c>
      <c r="L10" s="13" t="s">
        <v>2901</v>
      </c>
      <c r="M10" s="15">
        <v>204495</v>
      </c>
    </row>
    <row r="11" s="13" customFormat="1" ht="15" customHeight="1" spans="1:12">
      <c r="A11" s="13" t="s">
        <v>7567</v>
      </c>
      <c r="B11" s="13" t="s">
        <v>4506</v>
      </c>
      <c r="C11" s="13" t="s">
        <v>7568</v>
      </c>
      <c r="D11" s="13" t="s">
        <v>7569</v>
      </c>
      <c r="E11" s="13" t="s">
        <v>7588</v>
      </c>
      <c r="F11" s="13" t="s">
        <v>7589</v>
      </c>
      <c r="G11" s="13" t="s">
        <v>4493</v>
      </c>
      <c r="H11" s="26">
        <v>19</v>
      </c>
      <c r="I11" s="13" t="s">
        <v>7590</v>
      </c>
      <c r="K11" s="15">
        <v>310000</v>
      </c>
      <c r="L11" s="13" t="s">
        <v>7580</v>
      </c>
    </row>
    <row r="12" s="13" customFormat="1" ht="15" customHeight="1" spans="1:13">
      <c r="A12" s="13" t="s">
        <v>7567</v>
      </c>
      <c r="B12" s="13" t="s">
        <v>4506</v>
      </c>
      <c r="C12" s="13" t="s">
        <v>7568</v>
      </c>
      <c r="D12" s="13" t="s">
        <v>7569</v>
      </c>
      <c r="E12" s="13" t="s">
        <v>7591</v>
      </c>
      <c r="F12" s="13" t="s">
        <v>7592</v>
      </c>
      <c r="G12" s="13" t="s">
        <v>4493</v>
      </c>
      <c r="H12" s="26">
        <v>15</v>
      </c>
      <c r="I12" s="13" t="s">
        <v>7593</v>
      </c>
      <c r="K12" s="15">
        <v>110000</v>
      </c>
      <c r="L12" s="13" t="s">
        <v>2901</v>
      </c>
      <c r="M12" s="15">
        <v>110000</v>
      </c>
    </row>
    <row r="13" s="13" customFormat="1" ht="15" customHeight="1" spans="1:13">
      <c r="A13" s="13" t="s">
        <v>7567</v>
      </c>
      <c r="B13" s="13" t="s">
        <v>4506</v>
      </c>
      <c r="C13" s="13" t="s">
        <v>7568</v>
      </c>
      <c r="D13" s="13" t="s">
        <v>7569</v>
      </c>
      <c r="E13" s="13" t="s">
        <v>7583</v>
      </c>
      <c r="F13" s="13" t="s">
        <v>7594</v>
      </c>
      <c r="G13" s="13" t="s">
        <v>4493</v>
      </c>
      <c r="H13" s="26">
        <v>10</v>
      </c>
      <c r="I13" s="13" t="s">
        <v>7595</v>
      </c>
      <c r="K13" s="15">
        <v>55000</v>
      </c>
      <c r="L13" s="13" t="s">
        <v>2901</v>
      </c>
      <c r="M13" s="15">
        <v>60000</v>
      </c>
    </row>
    <row r="14" s="13" customFormat="1" ht="15" customHeight="1" spans="1:13">
      <c r="A14" s="13" t="s">
        <v>7567</v>
      </c>
      <c r="B14" s="13" t="s">
        <v>4506</v>
      </c>
      <c r="C14" s="13" t="s">
        <v>7568</v>
      </c>
      <c r="D14" s="13" t="s">
        <v>7569</v>
      </c>
      <c r="E14" s="13" t="s">
        <v>7588</v>
      </c>
      <c r="F14" s="13" t="s">
        <v>7594</v>
      </c>
      <c r="G14" s="13" t="s">
        <v>4493</v>
      </c>
      <c r="H14" s="26">
        <v>9</v>
      </c>
      <c r="I14" s="13" t="s">
        <v>7596</v>
      </c>
      <c r="J14" s="15">
        <v>630068</v>
      </c>
      <c r="L14" s="13" t="s">
        <v>2901</v>
      </c>
      <c r="M14" s="15">
        <v>-310000</v>
      </c>
    </row>
    <row r="15" s="13" customFormat="1" ht="15" customHeight="1" spans="1:12">
      <c r="A15" s="13" t="s">
        <v>7567</v>
      </c>
      <c r="B15" s="13" t="s">
        <v>4506</v>
      </c>
      <c r="C15" s="13" t="s">
        <v>7568</v>
      </c>
      <c r="D15" s="13" t="s">
        <v>7569</v>
      </c>
      <c r="E15" s="13" t="s">
        <v>7597</v>
      </c>
      <c r="F15" s="13" t="s">
        <v>7594</v>
      </c>
      <c r="G15" s="13" t="s">
        <v>4493</v>
      </c>
      <c r="H15" s="26">
        <v>9</v>
      </c>
      <c r="I15" s="13" t="s">
        <v>7598</v>
      </c>
      <c r="J15" s="15">
        <v>267990</v>
      </c>
      <c r="L15" s="13" t="s">
        <v>7580</v>
      </c>
    </row>
    <row r="16" s="13" customFormat="1" ht="15" customHeight="1" spans="1:13">
      <c r="A16" s="13" t="s">
        <v>7567</v>
      </c>
      <c r="B16" s="13" t="s">
        <v>4506</v>
      </c>
      <c r="C16" s="13" t="s">
        <v>7568</v>
      </c>
      <c r="D16" s="13" t="s">
        <v>7569</v>
      </c>
      <c r="E16" s="13" t="s">
        <v>7599</v>
      </c>
      <c r="F16" s="13" t="s">
        <v>7594</v>
      </c>
      <c r="G16" s="13" t="s">
        <v>4493</v>
      </c>
      <c r="H16" s="26">
        <v>9</v>
      </c>
      <c r="I16" s="13" t="s">
        <v>7600</v>
      </c>
      <c r="J16" s="15">
        <v>705111</v>
      </c>
      <c r="L16" s="13" t="s">
        <v>2901</v>
      </c>
      <c r="M16" s="15">
        <v>762730</v>
      </c>
    </row>
    <row r="17" s="13" customFormat="1" ht="15" customHeight="1" spans="1:13">
      <c r="A17" s="13" t="s">
        <v>7567</v>
      </c>
      <c r="B17" s="13" t="s">
        <v>4506</v>
      </c>
      <c r="C17" s="13" t="s">
        <v>7568</v>
      </c>
      <c r="D17" s="13" t="s">
        <v>7569</v>
      </c>
      <c r="E17" s="13" t="s">
        <v>7599</v>
      </c>
      <c r="F17" s="13" t="s">
        <v>7594</v>
      </c>
      <c r="G17" s="13" t="s">
        <v>4493</v>
      </c>
      <c r="H17" s="26">
        <v>9</v>
      </c>
      <c r="I17" s="13" t="s">
        <v>7601</v>
      </c>
      <c r="J17" s="15">
        <v>752730</v>
      </c>
      <c r="L17" s="13" t="s">
        <v>2901</v>
      </c>
      <c r="M17" s="15">
        <v>10000</v>
      </c>
    </row>
    <row r="18" s="13" customFormat="1" ht="15" customHeight="1" spans="1:12">
      <c r="A18" s="13" t="s">
        <v>7567</v>
      </c>
      <c r="B18" s="13" t="s">
        <v>4506</v>
      </c>
      <c r="C18" s="13" t="s">
        <v>7568</v>
      </c>
      <c r="D18" s="13" t="s">
        <v>7569</v>
      </c>
      <c r="E18" s="13" t="s">
        <v>7602</v>
      </c>
      <c r="F18" s="13" t="s">
        <v>7594</v>
      </c>
      <c r="G18" s="13" t="s">
        <v>4493</v>
      </c>
      <c r="H18" s="26">
        <v>9</v>
      </c>
      <c r="I18" s="13" t="s">
        <v>7603</v>
      </c>
      <c r="J18" s="15">
        <v>215796</v>
      </c>
      <c r="L18" s="13" t="s">
        <v>7580</v>
      </c>
    </row>
    <row r="19" s="13" customFormat="1" ht="15" customHeight="1" spans="1:12">
      <c r="A19" s="13" t="s">
        <v>7567</v>
      </c>
      <c r="B19" s="13" t="s">
        <v>4506</v>
      </c>
      <c r="C19" s="13" t="s">
        <v>7568</v>
      </c>
      <c r="D19" s="13" t="s">
        <v>7569</v>
      </c>
      <c r="E19" s="13" t="s">
        <v>7604</v>
      </c>
      <c r="F19" s="13" t="s">
        <v>7594</v>
      </c>
      <c r="G19" s="13" t="s">
        <v>4493</v>
      </c>
      <c r="H19" s="26">
        <v>9</v>
      </c>
      <c r="I19" s="13" t="s">
        <v>7605</v>
      </c>
      <c r="J19" s="15">
        <v>220060</v>
      </c>
      <c r="L19" s="13" t="s">
        <v>7580</v>
      </c>
    </row>
    <row r="20" s="13" customFormat="1" ht="15" customHeight="1" spans="1:13">
      <c r="A20" s="13" t="s">
        <v>7567</v>
      </c>
      <c r="B20" s="13" t="s">
        <v>4506</v>
      </c>
      <c r="C20" s="13" t="s">
        <v>7568</v>
      </c>
      <c r="D20" s="13" t="s">
        <v>7569</v>
      </c>
      <c r="E20" s="13" t="s">
        <v>7570</v>
      </c>
      <c r="F20" s="13" t="s">
        <v>7606</v>
      </c>
      <c r="G20" s="13" t="s">
        <v>4493</v>
      </c>
      <c r="H20" s="26">
        <v>2</v>
      </c>
      <c r="I20" s="13" t="s">
        <v>7607</v>
      </c>
      <c r="K20" s="15">
        <v>20000</v>
      </c>
      <c r="L20" s="13" t="s">
        <v>2901</v>
      </c>
      <c r="M20" s="15">
        <v>30000</v>
      </c>
    </row>
    <row r="21" s="13" customFormat="1" ht="15" customHeight="1" spans="1:13">
      <c r="A21" s="13" t="s">
        <v>7567</v>
      </c>
      <c r="B21" s="13" t="s">
        <v>4506</v>
      </c>
      <c r="C21" s="13" t="s">
        <v>7568</v>
      </c>
      <c r="D21" s="13" t="s">
        <v>7569</v>
      </c>
      <c r="E21" s="13" t="s">
        <v>7570</v>
      </c>
      <c r="F21" s="13" t="s">
        <v>7608</v>
      </c>
      <c r="G21" s="13" t="s">
        <v>4493</v>
      </c>
      <c r="H21" s="26">
        <v>22</v>
      </c>
      <c r="I21" s="13" t="s">
        <v>7609</v>
      </c>
      <c r="J21" s="15">
        <v>341</v>
      </c>
      <c r="L21" s="13" t="s">
        <v>2901</v>
      </c>
      <c r="M21" s="15">
        <v>47585</v>
      </c>
    </row>
    <row r="22" s="13" customFormat="1" ht="15" customHeight="1" spans="1:13">
      <c r="A22" s="13" t="s">
        <v>7567</v>
      </c>
      <c r="B22" s="13" t="s">
        <v>4506</v>
      </c>
      <c r="C22" s="13" t="s">
        <v>7568</v>
      </c>
      <c r="D22" s="13" t="s">
        <v>7569</v>
      </c>
      <c r="E22" s="13" t="s">
        <v>7610</v>
      </c>
      <c r="F22" s="13" t="s">
        <v>7608</v>
      </c>
      <c r="G22" s="13" t="s">
        <v>4493</v>
      </c>
      <c r="H22" s="26">
        <v>22</v>
      </c>
      <c r="I22" s="13" t="s">
        <v>7609</v>
      </c>
      <c r="J22" s="15">
        <v>150000</v>
      </c>
      <c r="L22" s="13" t="s">
        <v>2901</v>
      </c>
      <c r="M22" s="15">
        <v>108973</v>
      </c>
    </row>
    <row r="23" s="13" customFormat="1" ht="15" customHeight="1" spans="1:13">
      <c r="A23" s="13" t="s">
        <v>7567</v>
      </c>
      <c r="B23" s="13" t="s">
        <v>4506</v>
      </c>
      <c r="C23" s="13" t="s">
        <v>7568</v>
      </c>
      <c r="D23" s="13" t="s">
        <v>7569</v>
      </c>
      <c r="E23" s="13" t="s">
        <v>7591</v>
      </c>
      <c r="F23" s="13" t="s">
        <v>7608</v>
      </c>
      <c r="G23" s="13" t="s">
        <v>4493</v>
      </c>
      <c r="H23" s="26">
        <v>22</v>
      </c>
      <c r="I23" s="13" t="s">
        <v>7609</v>
      </c>
      <c r="J23" s="15">
        <v>2921.2</v>
      </c>
      <c r="L23" s="13" t="s">
        <v>2901</v>
      </c>
      <c r="M23" s="15">
        <v>110000</v>
      </c>
    </row>
    <row r="24" s="13" customFormat="1" ht="15" customHeight="1" spans="1:12">
      <c r="A24" s="13" t="s">
        <v>7567</v>
      </c>
      <c r="B24" s="13" t="s">
        <v>4506</v>
      </c>
      <c r="C24" s="13" t="s">
        <v>7568</v>
      </c>
      <c r="D24" s="13" t="s">
        <v>7569</v>
      </c>
      <c r="E24" s="13" t="s">
        <v>7611</v>
      </c>
      <c r="F24" s="13" t="s">
        <v>7608</v>
      </c>
      <c r="G24" s="13" t="s">
        <v>4493</v>
      </c>
      <c r="H24" s="26">
        <v>22</v>
      </c>
      <c r="I24" s="13" t="s">
        <v>7612</v>
      </c>
      <c r="J24" s="15">
        <v>263035</v>
      </c>
      <c r="L24" s="13" t="s">
        <v>7580</v>
      </c>
    </row>
    <row r="25" s="13" customFormat="1" ht="15" customHeight="1" spans="1:12">
      <c r="A25" s="13" t="s">
        <v>7567</v>
      </c>
      <c r="B25" s="13" t="s">
        <v>4506</v>
      </c>
      <c r="C25" s="13" t="s">
        <v>7568</v>
      </c>
      <c r="D25" s="13" t="s">
        <v>7569</v>
      </c>
      <c r="E25" s="13" t="s">
        <v>7613</v>
      </c>
      <c r="F25" s="13" t="s">
        <v>7608</v>
      </c>
      <c r="G25" s="13" t="s">
        <v>4493</v>
      </c>
      <c r="H25" s="26">
        <v>22</v>
      </c>
      <c r="I25" s="13" t="s">
        <v>7612</v>
      </c>
      <c r="J25" s="15">
        <v>272700</v>
      </c>
      <c r="L25" s="13" t="s">
        <v>7580</v>
      </c>
    </row>
    <row r="26" s="13" customFormat="1" ht="15" customHeight="1" spans="1:13">
      <c r="A26" s="13" t="s">
        <v>7567</v>
      </c>
      <c r="B26" s="13" t="s">
        <v>4506</v>
      </c>
      <c r="C26" s="13" t="s">
        <v>7568</v>
      </c>
      <c r="D26" s="13" t="s">
        <v>7569</v>
      </c>
      <c r="E26" s="13" t="s">
        <v>7570</v>
      </c>
      <c r="F26" s="13" t="s">
        <v>7614</v>
      </c>
      <c r="G26" s="13" t="s">
        <v>4493</v>
      </c>
      <c r="H26" s="26">
        <v>7</v>
      </c>
      <c r="I26" s="13" t="s">
        <v>7615</v>
      </c>
      <c r="K26" s="15">
        <v>341</v>
      </c>
      <c r="L26" s="13" t="s">
        <v>2901</v>
      </c>
      <c r="M26" s="15">
        <v>47926</v>
      </c>
    </row>
    <row r="27" s="13" customFormat="1" ht="15" customHeight="1" spans="1:13">
      <c r="A27" s="13" t="s">
        <v>7567</v>
      </c>
      <c r="B27" s="13" t="s">
        <v>4506</v>
      </c>
      <c r="C27" s="13" t="s">
        <v>7568</v>
      </c>
      <c r="D27" s="13" t="s">
        <v>7569</v>
      </c>
      <c r="E27" s="13" t="s">
        <v>7591</v>
      </c>
      <c r="F27" s="13" t="s">
        <v>7614</v>
      </c>
      <c r="G27" s="13" t="s">
        <v>4493</v>
      </c>
      <c r="H27" s="26">
        <v>7</v>
      </c>
      <c r="I27" s="13" t="s">
        <v>7616</v>
      </c>
      <c r="K27" s="15">
        <v>2921.2</v>
      </c>
      <c r="L27" s="13" t="s">
        <v>2901</v>
      </c>
      <c r="M27" s="15">
        <v>112921.2</v>
      </c>
    </row>
    <row r="28" s="13" customFormat="1" ht="15" customHeight="1" spans="1:13">
      <c r="A28" s="13" t="s">
        <v>7567</v>
      </c>
      <c r="B28" s="13" t="s">
        <v>4506</v>
      </c>
      <c r="C28" s="13" t="s">
        <v>7568</v>
      </c>
      <c r="D28" s="13" t="s">
        <v>7569</v>
      </c>
      <c r="E28" s="13" t="s">
        <v>7610</v>
      </c>
      <c r="F28" s="13" t="s">
        <v>7617</v>
      </c>
      <c r="G28" s="13" t="s">
        <v>4493</v>
      </c>
      <c r="H28" s="26">
        <v>15</v>
      </c>
      <c r="I28" s="13" t="s">
        <v>7618</v>
      </c>
      <c r="K28" s="15">
        <v>150000</v>
      </c>
      <c r="L28" s="13" t="s">
        <v>2901</v>
      </c>
      <c r="M28" s="15">
        <v>258973</v>
      </c>
    </row>
    <row r="29" spans="4:11">
      <c r="D29" s="13" t="s">
        <v>7569</v>
      </c>
      <c r="E29" s="13" t="s">
        <v>7619</v>
      </c>
      <c r="I29" s="13" t="s">
        <v>7619</v>
      </c>
      <c r="J29" s="15"/>
      <c r="K29" s="15">
        <v>-13000</v>
      </c>
    </row>
    <row r="30" spans="4:11">
      <c r="D30" s="13" t="s">
        <v>7569</v>
      </c>
      <c r="E30" s="13" t="s">
        <v>7620</v>
      </c>
      <c r="I30" s="13" t="s">
        <v>7620</v>
      </c>
      <c r="J30" s="15">
        <v>242501.5</v>
      </c>
      <c r="K30" s="15">
        <v>180000</v>
      </c>
    </row>
    <row r="31" spans="4:11">
      <c r="D31" s="13" t="s">
        <v>7569</v>
      </c>
      <c r="E31" s="13" t="s">
        <v>7621</v>
      </c>
      <c r="I31" s="13" t="s">
        <v>7621</v>
      </c>
      <c r="J31" s="15">
        <v>70000</v>
      </c>
      <c r="K31" s="15">
        <v>50000</v>
      </c>
    </row>
    <row r="32" spans="4:11">
      <c r="D32" s="13" t="s">
        <v>7569</v>
      </c>
      <c r="E32" s="13" t="s">
        <v>7622</v>
      </c>
      <c r="I32" s="13" t="s">
        <v>7622</v>
      </c>
      <c r="J32" s="15">
        <v>237585</v>
      </c>
      <c r="K32" s="15">
        <v>190000</v>
      </c>
    </row>
    <row r="33" spans="4:11">
      <c r="D33" s="13" t="s">
        <v>7569</v>
      </c>
      <c r="E33" s="13" t="s">
        <v>7623</v>
      </c>
      <c r="I33" s="13" t="s">
        <v>7623</v>
      </c>
      <c r="J33" s="15">
        <v>258973</v>
      </c>
      <c r="K33" s="15">
        <v>68000</v>
      </c>
    </row>
    <row r="34" spans="4:11">
      <c r="D34" s="13" t="s">
        <v>7569</v>
      </c>
      <c r="E34" s="13" t="s">
        <v>7624</v>
      </c>
      <c r="I34" s="13" t="s">
        <v>7624</v>
      </c>
      <c r="J34" s="15">
        <v>108973.3</v>
      </c>
      <c r="K34" s="15"/>
    </row>
    <row r="35" spans="4:11">
      <c r="D35" s="13" t="s">
        <v>7569</v>
      </c>
      <c r="E35" s="13" t="s">
        <v>7625</v>
      </c>
      <c r="I35" s="13" t="s">
        <v>7625</v>
      </c>
      <c r="J35" s="15">
        <v>206255</v>
      </c>
      <c r="K35" s="15"/>
    </row>
    <row r="36" spans="4:11">
      <c r="D36" s="13" t="s">
        <v>7569</v>
      </c>
      <c r="E36" s="13" t="s">
        <v>7626</v>
      </c>
      <c r="I36" s="13" t="s">
        <v>7626</v>
      </c>
      <c r="J36" s="15"/>
      <c r="K36" s="15">
        <v>-216300</v>
      </c>
    </row>
    <row r="37" spans="4:11">
      <c r="D37" s="13" t="s">
        <v>7569</v>
      </c>
      <c r="E37" s="13" t="s">
        <v>7627</v>
      </c>
      <c r="I37" s="13" t="s">
        <v>7627</v>
      </c>
      <c r="J37" s="15">
        <v>136275</v>
      </c>
      <c r="K37" s="15"/>
    </row>
    <row r="38" spans="4:11">
      <c r="D38" s="13" t="s">
        <v>7569</v>
      </c>
      <c r="E38" s="13" t="s">
        <v>7628</v>
      </c>
      <c r="I38" s="13" t="s">
        <v>7628</v>
      </c>
      <c r="J38" s="15">
        <v>238979</v>
      </c>
      <c r="K38" s="15"/>
    </row>
    <row r="39" spans="4:11">
      <c r="D39" s="13" t="s">
        <v>7569</v>
      </c>
      <c r="E39" s="13" t="s">
        <v>7629</v>
      </c>
      <c r="I39" s="13" t="s">
        <v>7629</v>
      </c>
      <c r="J39" s="15">
        <v>1000000</v>
      </c>
      <c r="K39" s="15">
        <v>100000</v>
      </c>
    </row>
    <row r="40" spans="4:11">
      <c r="D40" s="13" t="s">
        <v>7569</v>
      </c>
      <c r="E40" s="13" t="s">
        <v>7630</v>
      </c>
      <c r="I40" s="13" t="s">
        <v>7630</v>
      </c>
      <c r="J40" s="15"/>
      <c r="K40" s="15"/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C355"/>
  <sheetViews>
    <sheetView workbookViewId="0">
      <selection activeCell="W305" sqref="W305:X305"/>
    </sheetView>
  </sheetViews>
  <sheetFormatPr defaultColWidth="9" defaultRowHeight="13.5" outlineLevelCol="2"/>
  <cols>
    <col min="2" max="2" width="10.3833333333333" customWidth="1"/>
    <col min="3" max="3" width="12.6333333333333" customWidth="1"/>
  </cols>
  <sheetData>
    <row r="1" spans="2:3">
      <c r="B1" t="s">
        <v>3</v>
      </c>
      <c r="C1" t="s">
        <v>7631</v>
      </c>
    </row>
    <row r="2" spans="2:3">
      <c r="B2" t="s">
        <v>5079</v>
      </c>
      <c r="C2">
        <v>0</v>
      </c>
    </row>
    <row r="3" spans="2:3">
      <c r="B3" t="s">
        <v>5322</v>
      </c>
      <c r="C3">
        <v>0</v>
      </c>
    </row>
    <row r="4" spans="2:3">
      <c r="B4" t="s">
        <v>7411</v>
      </c>
      <c r="C4">
        <v>400000</v>
      </c>
    </row>
    <row r="5" spans="2:3">
      <c r="B5" t="s">
        <v>7409</v>
      </c>
      <c r="C5">
        <v>1274510</v>
      </c>
    </row>
    <row r="6" spans="2:3">
      <c r="B6" t="s">
        <v>98</v>
      </c>
      <c r="C6">
        <v>305070</v>
      </c>
    </row>
    <row r="7" spans="2:3">
      <c r="B7" t="s">
        <v>285</v>
      </c>
      <c r="C7">
        <v>410986.86</v>
      </c>
    </row>
    <row r="8" spans="2:3">
      <c r="B8" t="s">
        <v>662</v>
      </c>
      <c r="C8">
        <v>50000</v>
      </c>
    </row>
    <row r="9" spans="2:3">
      <c r="B9" t="s">
        <v>666</v>
      </c>
      <c r="C9">
        <v>70000</v>
      </c>
    </row>
    <row r="10" spans="2:3">
      <c r="B10" t="s">
        <v>670</v>
      </c>
      <c r="C10">
        <v>780000</v>
      </c>
    </row>
    <row r="11" spans="2:3">
      <c r="B11" t="s">
        <v>672</v>
      </c>
      <c r="C11">
        <v>670000</v>
      </c>
    </row>
    <row r="12" spans="2:3">
      <c r="B12" t="s">
        <v>676</v>
      </c>
      <c r="C12">
        <v>50000</v>
      </c>
    </row>
    <row r="13" spans="2:3">
      <c r="B13" t="s">
        <v>679</v>
      </c>
      <c r="C13">
        <v>824713</v>
      </c>
    </row>
    <row r="14" spans="2:3">
      <c r="B14" t="s">
        <v>729</v>
      </c>
      <c r="C14">
        <v>262010</v>
      </c>
    </row>
    <row r="15" spans="2:3">
      <c r="B15" t="s">
        <v>748</v>
      </c>
      <c r="C15">
        <v>21000</v>
      </c>
    </row>
    <row r="16" spans="2:3">
      <c r="B16" t="s">
        <v>767</v>
      </c>
      <c r="C16">
        <v>70000</v>
      </c>
    </row>
    <row r="17" spans="2:3">
      <c r="B17" t="s">
        <v>954</v>
      </c>
      <c r="C17">
        <v>88769</v>
      </c>
    </row>
    <row r="18" spans="2:3">
      <c r="B18" t="s">
        <v>890</v>
      </c>
      <c r="C18">
        <v>200000</v>
      </c>
    </row>
    <row r="19" spans="2:3">
      <c r="B19" t="s">
        <v>529</v>
      </c>
      <c r="C19">
        <v>270216</v>
      </c>
    </row>
    <row r="20" spans="2:3">
      <c r="B20" t="s">
        <v>650</v>
      </c>
      <c r="C20">
        <v>370546</v>
      </c>
    </row>
    <row r="21" spans="2:3">
      <c r="B21" t="s">
        <v>2738</v>
      </c>
      <c r="C21">
        <v>134877</v>
      </c>
    </row>
    <row r="22" spans="2:3">
      <c r="B22" t="s">
        <v>2740</v>
      </c>
      <c r="C22">
        <v>428000</v>
      </c>
    </row>
    <row r="23" spans="2:3">
      <c r="B23" t="s">
        <v>2748</v>
      </c>
      <c r="C23">
        <v>426230</v>
      </c>
    </row>
    <row r="24" spans="2:3">
      <c r="B24" t="s">
        <v>2750</v>
      </c>
      <c r="C24">
        <v>400000</v>
      </c>
    </row>
    <row r="25" spans="2:3">
      <c r="B25" t="s">
        <v>2752</v>
      </c>
      <c r="C25">
        <v>131435</v>
      </c>
    </row>
    <row r="26" spans="2:3">
      <c r="B26" t="s">
        <v>2758</v>
      </c>
      <c r="C26">
        <v>428736</v>
      </c>
    </row>
    <row r="27" spans="2:3">
      <c r="B27" t="s">
        <v>2759</v>
      </c>
      <c r="C27">
        <v>129954</v>
      </c>
    </row>
    <row r="28" spans="2:3">
      <c r="B28" t="s">
        <v>1938</v>
      </c>
      <c r="C28">
        <v>231750</v>
      </c>
    </row>
    <row r="29" spans="2:3">
      <c r="B29" t="s">
        <v>1940</v>
      </c>
      <c r="C29">
        <v>215663</v>
      </c>
    </row>
    <row r="30" spans="2:3">
      <c r="B30" t="s">
        <v>1942</v>
      </c>
      <c r="C30">
        <v>229025</v>
      </c>
    </row>
    <row r="31" spans="2:3">
      <c r="B31" t="s">
        <v>1946</v>
      </c>
      <c r="C31">
        <v>216300</v>
      </c>
    </row>
    <row r="32" spans="2:3">
      <c r="B32" t="s">
        <v>1950</v>
      </c>
      <c r="C32">
        <v>137224</v>
      </c>
    </row>
    <row r="33" spans="2:3">
      <c r="B33" t="s">
        <v>1955</v>
      </c>
      <c r="C33">
        <v>200850</v>
      </c>
    </row>
    <row r="34" spans="2:3">
      <c r="B34" t="s">
        <v>1963</v>
      </c>
      <c r="C34">
        <v>217110</v>
      </c>
    </row>
    <row r="35" spans="2:3">
      <c r="B35" t="s">
        <v>1965</v>
      </c>
      <c r="C35">
        <v>217110</v>
      </c>
    </row>
    <row r="36" spans="2:3">
      <c r="B36" t="s">
        <v>1137</v>
      </c>
      <c r="C36">
        <v>223750</v>
      </c>
    </row>
    <row r="37" spans="2:3">
      <c r="B37" t="s">
        <v>1968</v>
      </c>
      <c r="C37">
        <v>209873</v>
      </c>
    </row>
    <row r="38" spans="2:3">
      <c r="B38" t="s">
        <v>1970</v>
      </c>
      <c r="C38">
        <v>205452</v>
      </c>
    </row>
    <row r="39" spans="2:3">
      <c r="B39" t="s">
        <v>1974</v>
      </c>
      <c r="C39">
        <v>194675</v>
      </c>
    </row>
    <row r="40" spans="2:3">
      <c r="B40" t="s">
        <v>1978</v>
      </c>
      <c r="C40">
        <v>195399</v>
      </c>
    </row>
    <row r="41" spans="2:3">
      <c r="B41" t="s">
        <v>2692</v>
      </c>
      <c r="C41">
        <v>264000</v>
      </c>
    </row>
    <row r="42" spans="2:3">
      <c r="B42" t="s">
        <v>2694</v>
      </c>
      <c r="C42">
        <v>264966</v>
      </c>
    </row>
    <row r="43" spans="2:3">
      <c r="B43" t="s">
        <v>2696</v>
      </c>
      <c r="C43">
        <v>276000</v>
      </c>
    </row>
    <row r="44" spans="2:3">
      <c r="B44" t="s">
        <v>2698</v>
      </c>
      <c r="C44">
        <v>266776</v>
      </c>
    </row>
    <row r="45" spans="2:3">
      <c r="B45" t="s">
        <v>2700</v>
      </c>
      <c r="C45">
        <v>274000</v>
      </c>
    </row>
    <row r="46" spans="2:3">
      <c r="B46" t="s">
        <v>2702</v>
      </c>
      <c r="C46">
        <v>264165</v>
      </c>
    </row>
    <row r="47" spans="2:3">
      <c r="B47" t="s">
        <v>2704</v>
      </c>
      <c r="C47">
        <v>270996</v>
      </c>
    </row>
    <row r="48" spans="2:3">
      <c r="B48" t="s">
        <v>2706</v>
      </c>
      <c r="C48">
        <v>240150</v>
      </c>
    </row>
    <row r="49" spans="2:3">
      <c r="B49" t="s">
        <v>2708</v>
      </c>
      <c r="C49">
        <v>244718</v>
      </c>
    </row>
    <row r="50" spans="2:3">
      <c r="B50" t="s">
        <v>2710</v>
      </c>
      <c r="C50">
        <v>225741</v>
      </c>
    </row>
    <row r="51" spans="2:3">
      <c r="B51" t="s">
        <v>2712</v>
      </c>
      <c r="C51">
        <v>234042</v>
      </c>
    </row>
    <row r="52" spans="2:3">
      <c r="B52" t="s">
        <v>1980</v>
      </c>
      <c r="C52">
        <v>215583</v>
      </c>
    </row>
    <row r="53" spans="2:3">
      <c r="B53" t="s">
        <v>1982</v>
      </c>
      <c r="C53">
        <v>234299</v>
      </c>
    </row>
    <row r="54" spans="2:3">
      <c r="B54" t="s">
        <v>2714</v>
      </c>
      <c r="C54">
        <v>262784</v>
      </c>
    </row>
    <row r="55" spans="2:3">
      <c r="B55" t="s">
        <v>2716</v>
      </c>
      <c r="C55">
        <v>250763</v>
      </c>
    </row>
    <row r="56" spans="2:3">
      <c r="B56" t="s">
        <v>2718</v>
      </c>
      <c r="C56">
        <v>275102</v>
      </c>
    </row>
    <row r="57" spans="2:3">
      <c r="B57" t="s">
        <v>2720</v>
      </c>
      <c r="C57">
        <v>264000</v>
      </c>
    </row>
    <row r="58" spans="2:3">
      <c r="B58" t="s">
        <v>2722</v>
      </c>
      <c r="C58">
        <v>270996</v>
      </c>
    </row>
    <row r="59" spans="2:3">
      <c r="B59" t="s">
        <v>2724</v>
      </c>
      <c r="C59">
        <v>262564</v>
      </c>
    </row>
    <row r="60" spans="2:3">
      <c r="B60" t="s">
        <v>2726</v>
      </c>
      <c r="C60">
        <v>275102</v>
      </c>
    </row>
    <row r="61" spans="2:3">
      <c r="B61" t="s">
        <v>2728</v>
      </c>
      <c r="C61">
        <v>264165</v>
      </c>
    </row>
    <row r="62" spans="2:3">
      <c r="B62" t="s">
        <v>2730</v>
      </c>
      <c r="C62">
        <v>250466</v>
      </c>
    </row>
    <row r="63" spans="2:3">
      <c r="B63" t="s">
        <v>2732</v>
      </c>
      <c r="C63">
        <v>237749</v>
      </c>
    </row>
    <row r="64" spans="2:3">
      <c r="B64" t="s">
        <v>2734</v>
      </c>
      <c r="C64">
        <v>234042</v>
      </c>
    </row>
    <row r="65" spans="2:3">
      <c r="B65" t="s">
        <v>2736</v>
      </c>
      <c r="C65">
        <v>228143</v>
      </c>
    </row>
    <row r="66" spans="2:3">
      <c r="B66" t="s">
        <v>1990</v>
      </c>
      <c r="C66">
        <v>208426</v>
      </c>
    </row>
    <row r="67" spans="2:3">
      <c r="B67" t="s">
        <v>2000</v>
      </c>
      <c r="C67">
        <v>200850</v>
      </c>
    </row>
    <row r="68" spans="2:3">
      <c r="B68" t="s">
        <v>2873</v>
      </c>
      <c r="C68">
        <v>367540</v>
      </c>
    </row>
    <row r="69" spans="2:3">
      <c r="B69" t="s">
        <v>2877</v>
      </c>
      <c r="C69">
        <v>375000</v>
      </c>
    </row>
    <row r="70" spans="2:3">
      <c r="B70" t="s">
        <v>2879</v>
      </c>
      <c r="C70">
        <v>414800</v>
      </c>
    </row>
    <row r="71" spans="2:3">
      <c r="B71" t="s">
        <v>2881</v>
      </c>
      <c r="C71">
        <v>411818</v>
      </c>
    </row>
    <row r="72" spans="2:3">
      <c r="B72" t="s">
        <v>2887</v>
      </c>
      <c r="C72">
        <v>1050000</v>
      </c>
    </row>
    <row r="73" spans="2:3">
      <c r="B73" t="s">
        <v>2760</v>
      </c>
      <c r="C73">
        <v>481932</v>
      </c>
    </row>
    <row r="74" spans="2:3">
      <c r="B74" t="s">
        <v>2761</v>
      </c>
      <c r="C74">
        <v>133782</v>
      </c>
    </row>
    <row r="75" spans="2:3">
      <c r="B75" t="s">
        <v>2766</v>
      </c>
      <c r="C75">
        <v>586105</v>
      </c>
    </row>
    <row r="76" spans="2:3">
      <c r="B76" t="s">
        <v>2772</v>
      </c>
      <c r="C76">
        <v>463000</v>
      </c>
    </row>
    <row r="77" spans="2:3">
      <c r="B77" t="s">
        <v>2778</v>
      </c>
      <c r="C77">
        <v>142500</v>
      </c>
    </row>
    <row r="78" spans="2:3">
      <c r="B78" t="s">
        <v>2789</v>
      </c>
      <c r="C78">
        <v>370202</v>
      </c>
    </row>
    <row r="79" spans="2:3">
      <c r="B79" t="s">
        <v>2007</v>
      </c>
      <c r="C79">
        <v>223782</v>
      </c>
    </row>
    <row r="80" spans="2:3">
      <c r="B80" t="s">
        <v>2009</v>
      </c>
      <c r="C80">
        <v>294314</v>
      </c>
    </row>
    <row r="81" spans="2:3">
      <c r="B81" t="s">
        <v>2015</v>
      </c>
      <c r="C81">
        <v>284820</v>
      </c>
    </row>
    <row r="82" spans="2:3">
      <c r="B82" t="s">
        <v>2017</v>
      </c>
      <c r="C82">
        <v>161985</v>
      </c>
    </row>
    <row r="83" spans="2:3">
      <c r="B83" t="s">
        <v>2021</v>
      </c>
      <c r="C83">
        <v>265000</v>
      </c>
    </row>
    <row r="84" spans="2:3">
      <c r="B84" t="s">
        <v>2025</v>
      </c>
      <c r="C84">
        <v>219856</v>
      </c>
    </row>
    <row r="85" spans="2:3">
      <c r="B85" t="s">
        <v>2031</v>
      </c>
      <c r="C85">
        <v>204152</v>
      </c>
    </row>
    <row r="86" spans="2:3">
      <c r="B86" t="s">
        <v>2033</v>
      </c>
      <c r="C86">
        <v>496842</v>
      </c>
    </row>
    <row r="87" spans="2:3">
      <c r="B87" t="s">
        <v>2037</v>
      </c>
      <c r="C87">
        <v>263000</v>
      </c>
    </row>
    <row r="88" spans="2:3">
      <c r="B88" t="s">
        <v>2039</v>
      </c>
      <c r="C88">
        <v>283000</v>
      </c>
    </row>
    <row r="89" spans="2:3">
      <c r="B89" t="s">
        <v>2043</v>
      </c>
      <c r="C89">
        <v>267990</v>
      </c>
    </row>
    <row r="90" spans="2:3">
      <c r="B90" t="s">
        <v>2047</v>
      </c>
      <c r="C90">
        <v>123480</v>
      </c>
    </row>
    <row r="91" spans="2:3">
      <c r="B91" t="s">
        <v>2051</v>
      </c>
      <c r="C91">
        <v>264460</v>
      </c>
    </row>
    <row r="92" spans="2:3">
      <c r="B92" t="s">
        <v>2053</v>
      </c>
      <c r="C92">
        <v>119070</v>
      </c>
    </row>
    <row r="93" spans="2:3">
      <c r="B93" t="s">
        <v>2055</v>
      </c>
      <c r="C93">
        <v>248000</v>
      </c>
    </row>
    <row r="94" spans="2:3">
      <c r="B94" t="s">
        <v>2061</v>
      </c>
      <c r="C94">
        <v>232258</v>
      </c>
    </row>
    <row r="95" spans="2:3">
      <c r="B95" t="s">
        <v>2063</v>
      </c>
      <c r="C95">
        <v>292000</v>
      </c>
    </row>
    <row r="96" spans="2:3">
      <c r="B96" t="s">
        <v>2065</v>
      </c>
      <c r="C96">
        <v>163138</v>
      </c>
    </row>
    <row r="97" spans="2:3">
      <c r="B97" t="s">
        <v>2067</v>
      </c>
      <c r="C97">
        <v>229000</v>
      </c>
    </row>
    <row r="98" spans="2:3">
      <c r="B98" t="s">
        <v>2069</v>
      </c>
      <c r="C98">
        <v>283000</v>
      </c>
    </row>
    <row r="99" spans="2:3">
      <c r="B99" t="s">
        <v>2071</v>
      </c>
      <c r="C99">
        <v>160970</v>
      </c>
    </row>
    <row r="100" spans="2:3">
      <c r="B100" t="s">
        <v>2077</v>
      </c>
      <c r="C100">
        <v>151000</v>
      </c>
    </row>
    <row r="101" spans="2:3">
      <c r="B101" t="s">
        <v>2079</v>
      </c>
      <c r="C101">
        <v>217394</v>
      </c>
    </row>
    <row r="102" spans="2:3">
      <c r="B102" t="s">
        <v>2081</v>
      </c>
      <c r="C102">
        <v>264460</v>
      </c>
    </row>
    <row r="103" spans="2:3">
      <c r="B103" t="s">
        <v>2083</v>
      </c>
      <c r="C103">
        <v>145022</v>
      </c>
    </row>
    <row r="104" spans="2:3">
      <c r="B104" t="s">
        <v>2085</v>
      </c>
      <c r="C104">
        <v>211997</v>
      </c>
    </row>
    <row r="105" spans="2:3">
      <c r="B105" t="s">
        <v>2087</v>
      </c>
      <c r="C105">
        <v>250293</v>
      </c>
    </row>
    <row r="106" spans="2:3">
      <c r="B106" t="s">
        <v>2089</v>
      </c>
      <c r="C106">
        <v>148257</v>
      </c>
    </row>
    <row r="107" spans="2:3">
      <c r="B107" t="s">
        <v>2793</v>
      </c>
      <c r="C107">
        <v>450000</v>
      </c>
    </row>
    <row r="108" spans="2:3">
      <c r="B108" t="s">
        <v>2801</v>
      </c>
      <c r="C108">
        <v>456057</v>
      </c>
    </row>
    <row r="109" spans="2:3">
      <c r="B109" t="s">
        <v>2803</v>
      </c>
      <c r="C109">
        <v>269000</v>
      </c>
    </row>
    <row r="110" spans="2:3">
      <c r="B110" t="s">
        <v>2805</v>
      </c>
      <c r="C110">
        <v>568638</v>
      </c>
    </row>
    <row r="111" spans="2:3">
      <c r="B111" t="s">
        <v>2809</v>
      </c>
      <c r="C111">
        <v>146727</v>
      </c>
    </row>
    <row r="112" spans="2:3">
      <c r="B112" t="s">
        <v>2811</v>
      </c>
      <c r="C112">
        <v>456813</v>
      </c>
    </row>
    <row r="113" spans="2:3">
      <c r="B113" t="s">
        <v>2813</v>
      </c>
      <c r="C113">
        <v>288728</v>
      </c>
    </row>
    <row r="114" spans="2:3">
      <c r="B114" t="s">
        <v>2093</v>
      </c>
      <c r="C114">
        <v>280014</v>
      </c>
    </row>
    <row r="115" spans="2:3">
      <c r="B115" t="s">
        <v>2095</v>
      </c>
      <c r="C115">
        <v>162166</v>
      </c>
    </row>
    <row r="116" spans="2:3">
      <c r="B116" t="s">
        <v>2099</v>
      </c>
      <c r="C116">
        <v>292354</v>
      </c>
    </row>
    <row r="117" spans="2:3">
      <c r="B117" t="s">
        <v>2101</v>
      </c>
      <c r="C117">
        <v>160973</v>
      </c>
    </row>
    <row r="118" spans="2:3">
      <c r="B118" t="s">
        <v>2103</v>
      </c>
      <c r="C118">
        <v>227650</v>
      </c>
    </row>
    <row r="119" spans="2:3">
      <c r="B119" t="s">
        <v>2105</v>
      </c>
      <c r="C119">
        <v>280014</v>
      </c>
    </row>
    <row r="120" spans="2:3">
      <c r="B120" t="s">
        <v>2107</v>
      </c>
      <c r="C120">
        <v>155000</v>
      </c>
    </row>
    <row r="121" spans="2:3">
      <c r="B121" t="s">
        <v>2111</v>
      </c>
      <c r="C121">
        <v>265776</v>
      </c>
    </row>
    <row r="122" spans="2:3">
      <c r="B122" t="s">
        <v>2113</v>
      </c>
      <c r="C122">
        <v>148257</v>
      </c>
    </row>
    <row r="123" spans="2:3">
      <c r="B123" t="s">
        <v>2115</v>
      </c>
      <c r="C123">
        <v>219800</v>
      </c>
    </row>
    <row r="124" spans="2:3">
      <c r="B124" t="s">
        <v>2117</v>
      </c>
      <c r="C124">
        <v>246792</v>
      </c>
    </row>
    <row r="125" spans="2:3">
      <c r="B125" t="s">
        <v>2121</v>
      </c>
      <c r="C125">
        <v>204100</v>
      </c>
    </row>
    <row r="126" spans="2:3">
      <c r="B126" t="s">
        <v>2125</v>
      </c>
      <c r="C126">
        <v>133725</v>
      </c>
    </row>
    <row r="127" spans="2:3">
      <c r="B127" t="s">
        <v>2127</v>
      </c>
      <c r="C127">
        <v>276861</v>
      </c>
    </row>
    <row r="128" spans="2:3">
      <c r="B128" t="s">
        <v>2133</v>
      </c>
      <c r="C128">
        <v>132000</v>
      </c>
    </row>
    <row r="129" spans="2:3">
      <c r="B129" t="s">
        <v>2137</v>
      </c>
      <c r="C129">
        <v>280000</v>
      </c>
    </row>
    <row r="130" spans="2:3">
      <c r="B130" t="s">
        <v>2141</v>
      </c>
      <c r="C130">
        <v>254534</v>
      </c>
    </row>
    <row r="131" spans="2:3">
      <c r="B131" t="s">
        <v>2143</v>
      </c>
      <c r="C131">
        <v>264404</v>
      </c>
    </row>
    <row r="132" spans="2:3">
      <c r="B132" t="s">
        <v>2145</v>
      </c>
      <c r="C132">
        <v>117279</v>
      </c>
    </row>
    <row r="133" spans="2:3">
      <c r="B133" t="s">
        <v>2147</v>
      </c>
      <c r="C133">
        <v>250000</v>
      </c>
    </row>
    <row r="134" spans="2:3">
      <c r="B134" t="s">
        <v>2149</v>
      </c>
      <c r="C134">
        <v>245518</v>
      </c>
    </row>
    <row r="135" spans="2:3">
      <c r="B135" t="s">
        <v>2153</v>
      </c>
      <c r="C135">
        <v>232206</v>
      </c>
    </row>
    <row r="136" spans="2:3">
      <c r="B136" t="s">
        <v>2155</v>
      </c>
      <c r="C136">
        <v>316341</v>
      </c>
    </row>
    <row r="137" spans="2:3">
      <c r="B137" t="s">
        <v>2157</v>
      </c>
      <c r="C137">
        <v>163688</v>
      </c>
    </row>
    <row r="138" spans="2:3">
      <c r="B138" t="s">
        <v>2161</v>
      </c>
      <c r="C138">
        <v>292000</v>
      </c>
    </row>
    <row r="139" spans="2:3">
      <c r="B139" t="s">
        <v>2163</v>
      </c>
      <c r="C139">
        <v>164700</v>
      </c>
    </row>
    <row r="140" spans="2:3">
      <c r="B140" t="s">
        <v>2165</v>
      </c>
      <c r="C140">
        <v>242771</v>
      </c>
    </row>
    <row r="141" spans="2:3">
      <c r="B141" t="s">
        <v>2167</v>
      </c>
      <c r="C141">
        <v>278569</v>
      </c>
    </row>
    <row r="142" spans="2:3">
      <c r="B142" t="s">
        <v>2169</v>
      </c>
      <c r="C142">
        <v>155453</v>
      </c>
    </row>
    <row r="143" spans="2:3">
      <c r="B143" t="s">
        <v>2173</v>
      </c>
      <c r="C143">
        <v>264404</v>
      </c>
    </row>
    <row r="144" spans="2:3">
      <c r="B144" t="s">
        <v>2177</v>
      </c>
      <c r="C144">
        <v>208089</v>
      </c>
    </row>
    <row r="145" spans="2:3">
      <c r="B145" t="s">
        <v>2179</v>
      </c>
      <c r="C145">
        <v>528808</v>
      </c>
    </row>
    <row r="146" spans="2:3">
      <c r="B146" t="s">
        <v>2181</v>
      </c>
      <c r="C146">
        <v>145485</v>
      </c>
    </row>
    <row r="147" spans="2:3">
      <c r="B147" t="s">
        <v>2184</v>
      </c>
      <c r="C147">
        <v>200382</v>
      </c>
    </row>
    <row r="148" spans="2:3">
      <c r="B148" t="s">
        <v>2831</v>
      </c>
      <c r="C148">
        <v>92064</v>
      </c>
    </row>
    <row r="149" spans="2:3">
      <c r="B149" t="s">
        <v>2833</v>
      </c>
      <c r="C149">
        <v>95900</v>
      </c>
    </row>
    <row r="150" spans="2:3">
      <c r="B150" t="s">
        <v>2839</v>
      </c>
      <c r="C150">
        <v>273400</v>
      </c>
    </row>
    <row r="151" spans="2:3">
      <c r="B151" t="s">
        <v>2841</v>
      </c>
      <c r="C151">
        <v>277000</v>
      </c>
    </row>
    <row r="152" spans="2:3">
      <c r="B152" t="s">
        <v>2190</v>
      </c>
      <c r="C152">
        <v>245790</v>
      </c>
    </row>
    <row r="153" spans="2:3">
      <c r="B153" t="s">
        <v>2192</v>
      </c>
      <c r="C153">
        <v>241614</v>
      </c>
    </row>
    <row r="154" spans="2:3">
      <c r="B154" t="s">
        <v>2195</v>
      </c>
      <c r="C154">
        <v>232433</v>
      </c>
    </row>
    <row r="155" spans="2:3">
      <c r="B155" t="s">
        <v>2198</v>
      </c>
      <c r="C155">
        <v>229404</v>
      </c>
    </row>
    <row r="156" spans="2:3">
      <c r="B156" t="s">
        <v>2202</v>
      </c>
      <c r="C156">
        <v>213018</v>
      </c>
    </row>
    <row r="157" spans="2:3">
      <c r="B157" t="s">
        <v>2204</v>
      </c>
      <c r="C157">
        <v>202644</v>
      </c>
    </row>
    <row r="158" spans="2:3">
      <c r="B158" t="s">
        <v>2211</v>
      </c>
      <c r="C158">
        <v>232261</v>
      </c>
    </row>
    <row r="159" spans="2:3">
      <c r="B159" t="s">
        <v>2213</v>
      </c>
      <c r="C159">
        <v>236205</v>
      </c>
    </row>
    <row r="160" spans="2:3">
      <c r="B160" t="s">
        <v>2215</v>
      </c>
      <c r="C160">
        <v>221739</v>
      </c>
    </row>
    <row r="161" spans="2:3">
      <c r="B161" t="s">
        <v>2217</v>
      </c>
      <c r="C161">
        <v>244000</v>
      </c>
    </row>
    <row r="162" spans="2:3">
      <c r="B162" t="s">
        <v>2219</v>
      </c>
      <c r="C162">
        <v>218232</v>
      </c>
    </row>
    <row r="163" spans="2:3">
      <c r="B163" t="s">
        <v>2221</v>
      </c>
      <c r="C163">
        <v>228060</v>
      </c>
    </row>
    <row r="164" spans="2:3">
      <c r="B164" t="s">
        <v>2223</v>
      </c>
      <c r="C164">
        <v>202644</v>
      </c>
    </row>
    <row r="165" spans="2:3">
      <c r="B165" t="s">
        <v>2225</v>
      </c>
      <c r="C165">
        <v>219915</v>
      </c>
    </row>
    <row r="166" spans="2:3">
      <c r="B166" t="s">
        <v>2227</v>
      </c>
      <c r="C166">
        <v>230223</v>
      </c>
    </row>
    <row r="167" spans="2:3">
      <c r="B167" t="s">
        <v>2229</v>
      </c>
      <c r="C167">
        <v>248821</v>
      </c>
    </row>
    <row r="168" spans="2:3">
      <c r="B168" t="s">
        <v>2231</v>
      </c>
      <c r="C168">
        <v>229000</v>
      </c>
    </row>
    <row r="169" spans="2:3">
      <c r="B169" t="s">
        <v>2233</v>
      </c>
      <c r="C169">
        <v>240055</v>
      </c>
    </row>
    <row r="170" spans="2:3">
      <c r="B170" t="s">
        <v>2235</v>
      </c>
      <c r="C170">
        <v>220000</v>
      </c>
    </row>
    <row r="171" spans="2:3">
      <c r="B171" t="s">
        <v>2239</v>
      </c>
      <c r="C171">
        <v>217453</v>
      </c>
    </row>
    <row r="172" spans="2:3">
      <c r="B172" t="s">
        <v>2241</v>
      </c>
      <c r="C172">
        <v>229404</v>
      </c>
    </row>
    <row r="173" spans="2:3">
      <c r="B173" t="s">
        <v>2251</v>
      </c>
      <c r="C173">
        <v>534677</v>
      </c>
    </row>
    <row r="174" spans="2:3">
      <c r="B174" t="s">
        <v>2253</v>
      </c>
      <c r="C174">
        <v>241614</v>
      </c>
    </row>
    <row r="175" spans="2:3">
      <c r="B175" t="s">
        <v>2257</v>
      </c>
      <c r="C175">
        <v>233820</v>
      </c>
    </row>
    <row r="176" spans="2:3">
      <c r="B176" t="s">
        <v>2259</v>
      </c>
      <c r="C176">
        <v>229404</v>
      </c>
    </row>
    <row r="177" spans="2:3">
      <c r="B177" t="s">
        <v>2263</v>
      </c>
      <c r="C177">
        <v>217115</v>
      </c>
    </row>
    <row r="178" spans="2:3">
      <c r="B178" t="s">
        <v>2265</v>
      </c>
      <c r="C178">
        <v>202644</v>
      </c>
    </row>
    <row r="179" spans="2:3">
      <c r="B179" t="s">
        <v>2267</v>
      </c>
      <c r="C179">
        <v>240000</v>
      </c>
    </row>
    <row r="180" spans="2:3">
      <c r="B180" t="s">
        <v>2271</v>
      </c>
      <c r="C180">
        <v>230000</v>
      </c>
    </row>
    <row r="181" spans="2:3">
      <c r="B181" t="s">
        <v>2273</v>
      </c>
      <c r="C181">
        <v>244350</v>
      </c>
    </row>
    <row r="182" spans="2:3">
      <c r="B182" t="s">
        <v>2275</v>
      </c>
      <c r="C182">
        <v>233820</v>
      </c>
    </row>
    <row r="183" spans="2:3">
      <c r="B183" t="s">
        <v>2277</v>
      </c>
      <c r="C183">
        <v>242721</v>
      </c>
    </row>
    <row r="184" spans="2:3">
      <c r="B184" t="s">
        <v>2279</v>
      </c>
      <c r="C184">
        <v>229923</v>
      </c>
    </row>
    <row r="185" spans="2:3">
      <c r="B185" t="s">
        <v>2281</v>
      </c>
      <c r="C185">
        <v>228060</v>
      </c>
    </row>
    <row r="186" spans="2:3">
      <c r="B186" t="s">
        <v>2283</v>
      </c>
      <c r="C186">
        <v>202644</v>
      </c>
    </row>
    <row r="187" spans="2:3">
      <c r="B187" t="s">
        <v>2285</v>
      </c>
      <c r="C187">
        <v>215843</v>
      </c>
    </row>
    <row r="188" spans="2:3">
      <c r="B188" t="s">
        <v>2287</v>
      </c>
      <c r="C188">
        <v>233820</v>
      </c>
    </row>
    <row r="189" spans="2:3">
      <c r="B189" t="s">
        <v>2289</v>
      </c>
      <c r="C189">
        <v>241000</v>
      </c>
    </row>
    <row r="190" spans="2:3">
      <c r="B190" t="s">
        <v>2293</v>
      </c>
      <c r="C190">
        <v>237597</v>
      </c>
    </row>
    <row r="191" spans="2:3">
      <c r="B191" t="s">
        <v>2295</v>
      </c>
      <c r="C191">
        <v>229423</v>
      </c>
    </row>
    <row r="192" spans="2:3">
      <c r="B192" t="s">
        <v>2301</v>
      </c>
      <c r="C192">
        <v>207620</v>
      </c>
    </row>
    <row r="193" spans="2:3">
      <c r="B193" t="s">
        <v>2303</v>
      </c>
      <c r="C193">
        <v>229404</v>
      </c>
    </row>
    <row r="194" spans="2:3">
      <c r="B194" t="s">
        <v>2305</v>
      </c>
      <c r="C194">
        <v>208879</v>
      </c>
    </row>
    <row r="195" spans="2:3">
      <c r="B195" t="s">
        <v>2860</v>
      </c>
      <c r="C195">
        <v>249312</v>
      </c>
    </row>
    <row r="196" spans="2:3">
      <c r="B196" t="s">
        <v>2312</v>
      </c>
      <c r="C196">
        <v>271520</v>
      </c>
    </row>
    <row r="197" spans="2:3">
      <c r="B197" t="s">
        <v>2314</v>
      </c>
      <c r="C197">
        <v>262970.4</v>
      </c>
    </row>
    <row r="198" spans="2:3">
      <c r="B198" t="s">
        <v>2316</v>
      </c>
      <c r="C198">
        <v>261338</v>
      </c>
    </row>
    <row r="199" spans="2:3">
      <c r="B199" t="s">
        <v>2322</v>
      </c>
      <c r="C199">
        <v>239064</v>
      </c>
    </row>
    <row r="200" spans="2:3">
      <c r="B200" t="s">
        <v>2325</v>
      </c>
      <c r="C200">
        <v>237580</v>
      </c>
    </row>
    <row r="201" spans="2:3">
      <c r="B201" t="s">
        <v>2327</v>
      </c>
      <c r="C201">
        <v>221988</v>
      </c>
    </row>
    <row r="202" spans="2:3">
      <c r="B202" t="s">
        <v>2331</v>
      </c>
      <c r="C202">
        <v>224853</v>
      </c>
    </row>
    <row r="203" spans="2:3">
      <c r="B203" t="s">
        <v>2336</v>
      </c>
      <c r="C203">
        <v>6530</v>
      </c>
    </row>
    <row r="204" spans="2:3">
      <c r="B204" t="s">
        <v>2338</v>
      </c>
      <c r="C204">
        <v>139955</v>
      </c>
    </row>
    <row r="205" spans="2:3">
      <c r="B205" t="s">
        <v>2341</v>
      </c>
      <c r="C205">
        <v>83124</v>
      </c>
    </row>
    <row r="206" spans="2:3">
      <c r="B206" t="s">
        <v>2358</v>
      </c>
      <c r="C206">
        <v>273216</v>
      </c>
    </row>
    <row r="207" spans="2:3">
      <c r="B207" t="s">
        <v>2360</v>
      </c>
      <c r="C207">
        <v>261338</v>
      </c>
    </row>
    <row r="208" spans="2:3">
      <c r="B208" t="s">
        <v>2362</v>
      </c>
      <c r="C208">
        <v>260409</v>
      </c>
    </row>
    <row r="209" spans="2:3">
      <c r="B209" t="s">
        <v>2364</v>
      </c>
      <c r="C209">
        <v>254550</v>
      </c>
    </row>
    <row r="210" spans="2:3">
      <c r="B210" t="s">
        <v>2366</v>
      </c>
      <c r="C210">
        <v>254432</v>
      </c>
    </row>
    <row r="211" spans="2:3">
      <c r="B211" t="s">
        <v>2368</v>
      </c>
      <c r="C211">
        <v>237580</v>
      </c>
    </row>
    <row r="212" spans="2:3">
      <c r="B212" t="s">
        <v>2370</v>
      </c>
      <c r="C212">
        <v>243333</v>
      </c>
    </row>
    <row r="213" spans="2:3">
      <c r="B213" t="s">
        <v>2372</v>
      </c>
      <c r="C213">
        <v>220610</v>
      </c>
    </row>
    <row r="214" spans="2:3">
      <c r="B214" t="s">
        <v>2376</v>
      </c>
      <c r="C214">
        <v>267000</v>
      </c>
    </row>
    <row r="215" spans="2:3">
      <c r="B215" t="s">
        <v>2378</v>
      </c>
      <c r="C215">
        <v>235230</v>
      </c>
    </row>
    <row r="216" spans="2:3">
      <c r="B216" t="s">
        <v>2380</v>
      </c>
      <c r="C216">
        <v>275873</v>
      </c>
    </row>
    <row r="217" spans="2:3">
      <c r="B217" t="s">
        <v>2382</v>
      </c>
      <c r="C217">
        <v>249262</v>
      </c>
    </row>
    <row r="218" spans="2:3">
      <c r="B218" t="s">
        <v>2384</v>
      </c>
      <c r="C218">
        <v>275873</v>
      </c>
    </row>
    <row r="219" spans="2:3">
      <c r="B219" t="s">
        <v>2386</v>
      </c>
      <c r="C219">
        <v>246396</v>
      </c>
    </row>
    <row r="220" spans="2:3">
      <c r="B220" t="s">
        <v>2388</v>
      </c>
      <c r="C220">
        <v>275873</v>
      </c>
    </row>
    <row r="221" spans="2:3">
      <c r="B221" t="s">
        <v>2390</v>
      </c>
      <c r="C221">
        <v>245652</v>
      </c>
    </row>
    <row r="222" spans="2:3">
      <c r="B222" t="s">
        <v>2392</v>
      </c>
      <c r="C222">
        <v>247050</v>
      </c>
    </row>
    <row r="223" spans="2:3">
      <c r="B223" t="s">
        <v>2394</v>
      </c>
      <c r="C223">
        <v>222576</v>
      </c>
    </row>
    <row r="224" spans="2:3">
      <c r="B224" t="s">
        <v>2396</v>
      </c>
      <c r="C224">
        <v>238815</v>
      </c>
    </row>
    <row r="225" spans="2:3">
      <c r="B225" t="s">
        <v>2398</v>
      </c>
      <c r="C225">
        <v>212154</v>
      </c>
    </row>
    <row r="226" spans="2:3">
      <c r="B226" t="s">
        <v>2400</v>
      </c>
      <c r="C226">
        <v>238208</v>
      </c>
    </row>
    <row r="227" spans="2:3">
      <c r="B227" t="s">
        <v>2402</v>
      </c>
      <c r="C227">
        <v>263520</v>
      </c>
    </row>
    <row r="228" spans="2:3">
      <c r="B228" t="s">
        <v>2406</v>
      </c>
      <c r="C228">
        <v>275873</v>
      </c>
    </row>
    <row r="229" spans="2:3">
      <c r="B229" t="s">
        <v>2408</v>
      </c>
      <c r="C229">
        <v>247000</v>
      </c>
    </row>
    <row r="230" spans="2:3">
      <c r="B230" t="s">
        <v>2410</v>
      </c>
      <c r="C230">
        <v>275873</v>
      </c>
    </row>
    <row r="231" spans="2:3">
      <c r="B231" t="s">
        <v>2412</v>
      </c>
      <c r="C231">
        <v>245652</v>
      </c>
    </row>
    <row r="232" spans="2:3">
      <c r="B232" t="s">
        <v>2416</v>
      </c>
      <c r="C232">
        <v>227042</v>
      </c>
    </row>
    <row r="233" spans="2:3">
      <c r="B233" t="s">
        <v>2418</v>
      </c>
      <c r="C233">
        <v>251168</v>
      </c>
    </row>
    <row r="234" spans="2:3">
      <c r="B234" t="s">
        <v>2420</v>
      </c>
      <c r="C234">
        <v>208432</v>
      </c>
    </row>
    <row r="235" spans="2:3">
      <c r="B235" t="s">
        <v>2422</v>
      </c>
      <c r="C235">
        <v>230580</v>
      </c>
    </row>
    <row r="236" spans="2:3">
      <c r="B236" t="s">
        <v>2424</v>
      </c>
      <c r="C236">
        <v>259463.97</v>
      </c>
    </row>
    <row r="237" spans="2:3">
      <c r="B237" t="s">
        <v>2426</v>
      </c>
      <c r="C237">
        <v>237000</v>
      </c>
    </row>
    <row r="238" spans="2:3">
      <c r="B238" t="s">
        <v>2428</v>
      </c>
      <c r="C238">
        <v>275225</v>
      </c>
    </row>
    <row r="239" spans="2:3">
      <c r="B239" t="s">
        <v>2432</v>
      </c>
      <c r="C239">
        <v>281010</v>
      </c>
    </row>
    <row r="240" spans="2:3">
      <c r="B240" t="s">
        <v>2434</v>
      </c>
      <c r="C240">
        <v>248000</v>
      </c>
    </row>
    <row r="241" spans="2:3">
      <c r="B241" t="s">
        <v>2436</v>
      </c>
      <c r="C241">
        <v>273572</v>
      </c>
    </row>
    <row r="242" spans="2:3">
      <c r="B242" t="s">
        <v>2438</v>
      </c>
      <c r="C242">
        <v>248503</v>
      </c>
    </row>
    <row r="243" spans="2:3">
      <c r="B243" t="s">
        <v>2442</v>
      </c>
      <c r="C243">
        <v>221798</v>
      </c>
    </row>
    <row r="244" spans="2:3">
      <c r="B244" t="s">
        <v>2444</v>
      </c>
      <c r="C244">
        <v>229767</v>
      </c>
    </row>
    <row r="245" spans="2:3">
      <c r="B245" t="s">
        <v>2446</v>
      </c>
      <c r="C245">
        <v>207704</v>
      </c>
    </row>
    <row r="246" spans="2:3">
      <c r="B246" t="s">
        <v>2448</v>
      </c>
      <c r="C246">
        <v>245992</v>
      </c>
    </row>
    <row r="247" spans="2:3">
      <c r="B247" t="s">
        <v>2450</v>
      </c>
      <c r="C247">
        <v>247544</v>
      </c>
    </row>
    <row r="248" spans="2:3">
      <c r="B248" t="s">
        <v>2452</v>
      </c>
      <c r="C248">
        <v>260000</v>
      </c>
    </row>
    <row r="249" spans="2:3">
      <c r="B249" t="s">
        <v>2454</v>
      </c>
      <c r="C249">
        <v>259184</v>
      </c>
    </row>
    <row r="250" spans="2:3">
      <c r="B250" t="s">
        <v>2456</v>
      </c>
      <c r="C250">
        <v>258098</v>
      </c>
    </row>
    <row r="251" spans="2:3">
      <c r="B251" t="s">
        <v>2458</v>
      </c>
      <c r="C251">
        <v>236680</v>
      </c>
    </row>
    <row r="252" spans="2:3">
      <c r="B252" t="s">
        <v>2460</v>
      </c>
      <c r="C252">
        <v>256080</v>
      </c>
    </row>
    <row r="253" spans="2:3">
      <c r="B253" t="s">
        <v>2462</v>
      </c>
      <c r="C253">
        <v>259960</v>
      </c>
    </row>
    <row r="254" spans="2:3">
      <c r="B254" t="s">
        <v>2464</v>
      </c>
      <c r="C254">
        <v>232800</v>
      </c>
    </row>
    <row r="255" spans="2:3">
      <c r="B255" t="s">
        <v>2468</v>
      </c>
      <c r="C255">
        <v>221160</v>
      </c>
    </row>
    <row r="256" spans="2:3">
      <c r="B256" t="s">
        <v>2470</v>
      </c>
      <c r="C256">
        <v>221160</v>
      </c>
    </row>
    <row r="257" spans="2:3">
      <c r="B257" t="s">
        <v>2472</v>
      </c>
      <c r="C257">
        <v>236000</v>
      </c>
    </row>
    <row r="258" spans="2:3">
      <c r="B258" t="s">
        <v>2474</v>
      </c>
      <c r="C258">
        <v>268613</v>
      </c>
    </row>
    <row r="259" spans="2:3">
      <c r="B259" t="s">
        <v>2476</v>
      </c>
      <c r="C259">
        <v>247761</v>
      </c>
    </row>
    <row r="260" spans="2:3">
      <c r="B260" t="s">
        <v>2478</v>
      </c>
      <c r="C260">
        <v>278000</v>
      </c>
    </row>
    <row r="261" spans="2:3">
      <c r="B261" t="s">
        <v>2480</v>
      </c>
      <c r="C261">
        <v>244794</v>
      </c>
    </row>
    <row r="262" spans="2:3">
      <c r="B262" t="s">
        <v>2482</v>
      </c>
      <c r="C262">
        <v>272745</v>
      </c>
    </row>
    <row r="263" spans="2:3">
      <c r="B263" t="s">
        <v>2484</v>
      </c>
      <c r="C263">
        <v>244794</v>
      </c>
    </row>
    <row r="264" spans="2:3">
      <c r="B264" t="s">
        <v>2486</v>
      </c>
      <c r="C264">
        <v>276878</v>
      </c>
    </row>
    <row r="265" spans="2:3">
      <c r="B265" t="s">
        <v>2488</v>
      </c>
      <c r="C265">
        <v>224024</v>
      </c>
    </row>
    <row r="266" spans="2:3">
      <c r="B266" t="s">
        <v>2490</v>
      </c>
      <c r="C266">
        <v>247950</v>
      </c>
    </row>
    <row r="267" spans="2:3">
      <c r="B267" t="s">
        <v>2492</v>
      </c>
      <c r="C267">
        <v>207704</v>
      </c>
    </row>
    <row r="268" spans="2:3">
      <c r="B268" t="s">
        <v>2494</v>
      </c>
      <c r="C268">
        <v>235553</v>
      </c>
    </row>
    <row r="269" spans="2:3">
      <c r="B269" t="s">
        <v>2496</v>
      </c>
      <c r="C269">
        <v>221000</v>
      </c>
    </row>
    <row r="270" spans="2:3">
      <c r="B270" t="s">
        <v>2498</v>
      </c>
      <c r="C270">
        <v>215510</v>
      </c>
    </row>
    <row r="271" spans="2:3">
      <c r="B271" t="s">
        <v>2500</v>
      </c>
      <c r="C271">
        <v>193500</v>
      </c>
    </row>
    <row r="272" spans="2:3">
      <c r="B272" t="s">
        <v>2504</v>
      </c>
      <c r="C272">
        <v>231968</v>
      </c>
    </row>
    <row r="273" spans="2:3">
      <c r="B273" t="s">
        <v>2509</v>
      </c>
      <c r="C273">
        <v>988</v>
      </c>
    </row>
    <row r="274" spans="2:3">
      <c r="B274" t="s">
        <v>2511</v>
      </c>
      <c r="C274">
        <v>190174</v>
      </c>
    </row>
    <row r="275" spans="2:3">
      <c r="B275" t="s">
        <v>2513</v>
      </c>
      <c r="C275">
        <v>229900</v>
      </c>
    </row>
    <row r="276" spans="2:3">
      <c r="B276" t="s">
        <v>2515</v>
      </c>
      <c r="C276">
        <v>218016</v>
      </c>
    </row>
    <row r="277" spans="2:3">
      <c r="B277" t="s">
        <v>2517</v>
      </c>
      <c r="C277">
        <v>214988</v>
      </c>
    </row>
    <row r="278" spans="2:3">
      <c r="B278" t="s">
        <v>2519</v>
      </c>
      <c r="C278">
        <v>204669</v>
      </c>
    </row>
    <row r="279" spans="2:3">
      <c r="B279" t="s">
        <v>2521</v>
      </c>
      <c r="C279">
        <v>224928</v>
      </c>
    </row>
    <row r="280" spans="2:3">
      <c r="B280" t="s">
        <v>2523</v>
      </c>
      <c r="C280">
        <v>224829</v>
      </c>
    </row>
    <row r="281" spans="2:3">
      <c r="B281" t="s">
        <v>2525</v>
      </c>
      <c r="C281">
        <v>205904</v>
      </c>
    </row>
    <row r="282" spans="2:3">
      <c r="B282" t="s">
        <v>2527</v>
      </c>
      <c r="C282">
        <v>194233</v>
      </c>
    </row>
    <row r="283" spans="2:3">
      <c r="B283" t="s">
        <v>2529</v>
      </c>
      <c r="C283">
        <v>208092</v>
      </c>
    </row>
    <row r="284" spans="2:3">
      <c r="B284" t="s">
        <v>2531</v>
      </c>
      <c r="C284">
        <v>200000</v>
      </c>
    </row>
    <row r="285" spans="2:3">
      <c r="B285" t="s">
        <v>2533</v>
      </c>
      <c r="C285">
        <v>181680</v>
      </c>
    </row>
    <row r="286" spans="2:3">
      <c r="B286" t="s">
        <v>2535</v>
      </c>
      <c r="C286">
        <v>179738</v>
      </c>
    </row>
    <row r="287" spans="2:3">
      <c r="B287" t="s">
        <v>2537</v>
      </c>
      <c r="C287">
        <v>189485</v>
      </c>
    </row>
    <row r="288" spans="2:3">
      <c r="B288" t="s">
        <v>2539</v>
      </c>
      <c r="C288">
        <v>202000</v>
      </c>
    </row>
    <row r="289" spans="2:3">
      <c r="B289" t="s">
        <v>2541</v>
      </c>
      <c r="C289">
        <v>172596</v>
      </c>
    </row>
    <row r="290" spans="2:3">
      <c r="B290" t="s">
        <v>2543</v>
      </c>
      <c r="C290">
        <v>164084</v>
      </c>
    </row>
    <row r="291" spans="2:3">
      <c r="B291" t="s">
        <v>2545</v>
      </c>
      <c r="C291">
        <v>188000</v>
      </c>
    </row>
    <row r="292" spans="2:3">
      <c r="B292" t="s">
        <v>2547</v>
      </c>
      <c r="C292">
        <v>193792</v>
      </c>
    </row>
    <row r="293" spans="2:3">
      <c r="B293" t="s">
        <v>2549</v>
      </c>
      <c r="C293">
        <v>221000</v>
      </c>
    </row>
    <row r="294" spans="2:3">
      <c r="B294" t="s">
        <v>2551</v>
      </c>
      <c r="C294">
        <v>220838</v>
      </c>
    </row>
    <row r="295" spans="2:3">
      <c r="B295" t="s">
        <v>2555</v>
      </c>
      <c r="C295">
        <v>208932</v>
      </c>
    </row>
    <row r="296" spans="2:3">
      <c r="B296" t="s">
        <v>2557</v>
      </c>
      <c r="C296">
        <v>225730</v>
      </c>
    </row>
    <row r="297" spans="2:3">
      <c r="B297" t="s">
        <v>2561</v>
      </c>
      <c r="C297">
        <v>202930</v>
      </c>
    </row>
    <row r="298" spans="2:3">
      <c r="B298" t="s">
        <v>2564</v>
      </c>
      <c r="C298">
        <v>203171</v>
      </c>
    </row>
    <row r="299" spans="2:3">
      <c r="B299" t="s">
        <v>2566</v>
      </c>
      <c r="C299">
        <v>228917</v>
      </c>
    </row>
    <row r="300" spans="2:3">
      <c r="B300" t="s">
        <v>2568</v>
      </c>
      <c r="C300">
        <v>229000</v>
      </c>
    </row>
    <row r="301" spans="2:3">
      <c r="B301" t="s">
        <v>2570</v>
      </c>
      <c r="C301">
        <v>190754</v>
      </c>
    </row>
    <row r="302" spans="2:3">
      <c r="B302" t="s">
        <v>2572</v>
      </c>
      <c r="C302">
        <v>593802</v>
      </c>
    </row>
    <row r="303" spans="2:3">
      <c r="B303" t="s">
        <v>2574</v>
      </c>
      <c r="C303">
        <v>224829</v>
      </c>
    </row>
    <row r="304" spans="2:3">
      <c r="B304" t="s">
        <v>2576</v>
      </c>
      <c r="C304">
        <v>226291</v>
      </c>
    </row>
    <row r="305" spans="2:3">
      <c r="B305" t="s">
        <v>2578</v>
      </c>
      <c r="C305">
        <v>173940</v>
      </c>
    </row>
    <row r="306" spans="2:3">
      <c r="B306" t="s">
        <v>2580</v>
      </c>
      <c r="C306">
        <v>178652</v>
      </c>
    </row>
    <row r="307" spans="2:3">
      <c r="B307" t="s">
        <v>2582</v>
      </c>
      <c r="C307">
        <v>200984</v>
      </c>
    </row>
    <row r="308" spans="2:3">
      <c r="B308" t="s">
        <v>2584</v>
      </c>
      <c r="C308">
        <v>211296</v>
      </c>
    </row>
    <row r="309" spans="2:3">
      <c r="B309" t="s">
        <v>2588</v>
      </c>
      <c r="C309">
        <v>166540</v>
      </c>
    </row>
    <row r="310" spans="2:3">
      <c r="B310" t="s">
        <v>2590</v>
      </c>
      <c r="C310">
        <v>189600</v>
      </c>
    </row>
    <row r="311" spans="2:3">
      <c r="B311" t="s">
        <v>2594</v>
      </c>
      <c r="C311">
        <v>219204</v>
      </c>
    </row>
    <row r="312" spans="2:3">
      <c r="B312" t="s">
        <v>2596</v>
      </c>
      <c r="C312">
        <v>248463</v>
      </c>
    </row>
    <row r="313" spans="2:3">
      <c r="B313" t="s">
        <v>2598</v>
      </c>
      <c r="C313">
        <v>169683</v>
      </c>
    </row>
    <row r="314" spans="2:3">
      <c r="B314" t="s">
        <v>2602</v>
      </c>
      <c r="C314">
        <v>233578</v>
      </c>
    </row>
    <row r="315" spans="2:3">
      <c r="B315" t="s">
        <v>2604</v>
      </c>
      <c r="C315">
        <v>256108</v>
      </c>
    </row>
    <row r="316" spans="2:3">
      <c r="B316" t="s">
        <v>2608</v>
      </c>
      <c r="C316">
        <v>170000</v>
      </c>
    </row>
    <row r="317" spans="2:3">
      <c r="B317" t="s">
        <v>2610</v>
      </c>
      <c r="C317">
        <v>228547</v>
      </c>
    </row>
    <row r="318" spans="2:3">
      <c r="B318" t="s">
        <v>2612</v>
      </c>
      <c r="C318">
        <v>250756</v>
      </c>
    </row>
    <row r="319" spans="2:3">
      <c r="B319" t="s">
        <v>2615</v>
      </c>
      <c r="C319">
        <v>182735</v>
      </c>
    </row>
    <row r="320" spans="2:3">
      <c r="B320" t="s">
        <v>2617</v>
      </c>
      <c r="C320">
        <v>170148</v>
      </c>
    </row>
    <row r="321" spans="2:3">
      <c r="B321" t="s">
        <v>2618</v>
      </c>
      <c r="C321">
        <v>218557</v>
      </c>
    </row>
    <row r="322" spans="2:3">
      <c r="B322" t="s">
        <v>2620</v>
      </c>
      <c r="C322">
        <v>252285</v>
      </c>
    </row>
    <row r="323" spans="2:3">
      <c r="B323" t="s">
        <v>2622</v>
      </c>
      <c r="C323">
        <v>172293</v>
      </c>
    </row>
    <row r="324" spans="2:3">
      <c r="B324" t="s">
        <v>2624</v>
      </c>
      <c r="C324">
        <v>165000</v>
      </c>
    </row>
    <row r="325" spans="2:3">
      <c r="B325" t="s">
        <v>2626</v>
      </c>
      <c r="C325">
        <v>215610</v>
      </c>
    </row>
    <row r="326" spans="2:3">
      <c r="B326" t="s">
        <v>2628</v>
      </c>
      <c r="C326">
        <v>229350</v>
      </c>
    </row>
    <row r="327" spans="2:3">
      <c r="B327" t="s">
        <v>2630</v>
      </c>
      <c r="C327">
        <v>156630</v>
      </c>
    </row>
    <row r="328" spans="2:3">
      <c r="B328" t="s">
        <v>2634</v>
      </c>
      <c r="C328">
        <v>200579</v>
      </c>
    </row>
    <row r="329" spans="2:3">
      <c r="B329" t="s">
        <v>2636</v>
      </c>
      <c r="C329">
        <v>217000</v>
      </c>
    </row>
    <row r="330" spans="2:3">
      <c r="B330" t="s">
        <v>2638</v>
      </c>
      <c r="C330">
        <v>148799</v>
      </c>
    </row>
    <row r="331" spans="2:3">
      <c r="B331" t="s">
        <v>2642</v>
      </c>
      <c r="C331">
        <v>160350</v>
      </c>
    </row>
    <row r="332" spans="2:3">
      <c r="B332" t="s">
        <v>2644</v>
      </c>
      <c r="C332">
        <v>169683</v>
      </c>
    </row>
    <row r="333" spans="2:3">
      <c r="B333" t="s">
        <v>2646</v>
      </c>
      <c r="C333">
        <v>241582</v>
      </c>
    </row>
    <row r="334" spans="2:3">
      <c r="B334" t="s">
        <v>2648</v>
      </c>
      <c r="C334">
        <v>225000</v>
      </c>
    </row>
    <row r="335" spans="2:3">
      <c r="B335" t="s">
        <v>2650</v>
      </c>
      <c r="C335">
        <v>167570</v>
      </c>
    </row>
    <row r="336" spans="2:3">
      <c r="B336" t="s">
        <v>2652</v>
      </c>
      <c r="C336">
        <v>182735</v>
      </c>
    </row>
    <row r="337" spans="2:3">
      <c r="B337" t="s">
        <v>2654</v>
      </c>
      <c r="C337">
        <v>255343</v>
      </c>
    </row>
    <row r="338" spans="2:3">
      <c r="B338" t="s">
        <v>2656</v>
      </c>
      <c r="C338">
        <v>240000</v>
      </c>
    </row>
    <row r="339" spans="2:3">
      <c r="B339" t="s">
        <v>2658</v>
      </c>
      <c r="C339">
        <v>170148</v>
      </c>
    </row>
    <row r="340" spans="2:3">
      <c r="B340" t="s">
        <v>2660</v>
      </c>
      <c r="C340">
        <v>182735</v>
      </c>
    </row>
    <row r="341" spans="2:3">
      <c r="B341" t="s">
        <v>2662</v>
      </c>
      <c r="C341">
        <v>252285</v>
      </c>
    </row>
    <row r="342" spans="2:3">
      <c r="B342" t="s">
        <v>2664</v>
      </c>
      <c r="C342">
        <v>220713</v>
      </c>
    </row>
    <row r="343" spans="2:3">
      <c r="B343" t="s">
        <v>2666</v>
      </c>
      <c r="C343">
        <v>165000</v>
      </c>
    </row>
    <row r="344" spans="2:3">
      <c r="B344" t="s">
        <v>2668</v>
      </c>
      <c r="C344">
        <v>177400</v>
      </c>
    </row>
    <row r="345" spans="2:3">
      <c r="B345" t="s">
        <v>2670</v>
      </c>
      <c r="C345">
        <v>256000</v>
      </c>
    </row>
    <row r="346" spans="2:3">
      <c r="B346" t="s">
        <v>2672</v>
      </c>
      <c r="C346">
        <v>226391</v>
      </c>
    </row>
    <row r="347" spans="2:3">
      <c r="B347" t="s">
        <v>2674</v>
      </c>
      <c r="C347">
        <v>149524</v>
      </c>
    </row>
    <row r="348" spans="2:3">
      <c r="B348" t="s">
        <v>2676</v>
      </c>
      <c r="C348">
        <v>156600</v>
      </c>
    </row>
    <row r="349" spans="2:3">
      <c r="B349" t="s">
        <v>2678</v>
      </c>
      <c r="C349">
        <v>229350</v>
      </c>
    </row>
    <row r="350" spans="2:3">
      <c r="B350" t="s">
        <v>2682</v>
      </c>
      <c r="C350">
        <v>139212</v>
      </c>
    </row>
    <row r="351" spans="2:3">
      <c r="B351" t="s">
        <v>2684</v>
      </c>
      <c r="C351">
        <v>149241</v>
      </c>
    </row>
    <row r="352" spans="2:3">
      <c r="B352" t="s">
        <v>2688</v>
      </c>
      <c r="C352">
        <v>197000</v>
      </c>
    </row>
    <row r="353" spans="2:3">
      <c r="B353" t="s">
        <v>1487</v>
      </c>
      <c r="C353">
        <v>0</v>
      </c>
    </row>
    <row r="354" spans="2:2">
      <c r="B354" t="s">
        <v>7632</v>
      </c>
    </row>
    <row r="355" spans="2:3">
      <c r="B355" t="s">
        <v>7633</v>
      </c>
      <c r="C355">
        <v>85169562.23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79"/>
  <sheetViews>
    <sheetView topLeftCell="A409" workbookViewId="0">
      <selection activeCell="K478" sqref="K478"/>
    </sheetView>
  </sheetViews>
  <sheetFormatPr defaultColWidth="9" defaultRowHeight="13.5"/>
  <cols>
    <col min="1" max="1" width="19.3833333333333" customWidth="1"/>
    <col min="2" max="2" width="28.6333333333333" style="22" customWidth="1"/>
    <col min="3" max="4" width="9" style="23"/>
    <col min="9" max="10" width="11.25" customWidth="1"/>
    <col min="11" max="11" width="12.625"/>
  </cols>
  <sheetData>
    <row r="1" spans="1:2">
      <c r="A1" t="s">
        <v>2904</v>
      </c>
      <c r="B1" s="22" t="s">
        <v>7559</v>
      </c>
    </row>
    <row r="2" spans="1:4">
      <c r="A2" t="s">
        <v>5146</v>
      </c>
      <c r="B2" s="20">
        <v>98095</v>
      </c>
      <c r="C2" s="23" t="e">
        <f>VLOOKUP(A2,多浪小镇一期!$B$5:$B$517,1,0)</f>
        <v>#N/A</v>
      </c>
      <c r="D2" s="23" t="e">
        <f>VLOOKUP(A2,多浪小镇二期!$B$4:$B$490,1,0)</f>
        <v>#N/A</v>
      </c>
    </row>
    <row r="3" spans="1:4">
      <c r="A3" t="s">
        <v>2738</v>
      </c>
      <c r="B3" s="22">
        <v>36782</v>
      </c>
      <c r="C3" s="23" t="e">
        <f>VLOOKUP(A3,多浪小镇一期!$B$5:$B$517,1,0)</f>
        <v>#N/A</v>
      </c>
      <c r="D3" s="23" t="str">
        <f>VLOOKUP(A3,多浪小镇二期!$B$4:$B$490,1,0)</f>
        <v>A1-101</v>
      </c>
    </row>
    <row r="4" spans="1:4">
      <c r="A4" t="s">
        <v>2740</v>
      </c>
      <c r="B4" s="22">
        <v>428000</v>
      </c>
      <c r="C4" s="23" t="e">
        <f>VLOOKUP(A4,多浪小镇一期!$B$5:$B$517,1,0)</f>
        <v>#N/A</v>
      </c>
      <c r="D4" s="23" t="str">
        <f>VLOOKUP(A4,多浪小镇二期!$B$4:$B$490,1,0)</f>
        <v>A1-102</v>
      </c>
    </row>
    <row r="5" spans="1:4">
      <c r="A5" t="s">
        <v>2742</v>
      </c>
      <c r="B5" s="22">
        <v>415000</v>
      </c>
      <c r="C5" s="23" t="e">
        <f>VLOOKUP(A5,多浪小镇一期!$B$5:$B$517,1,0)</f>
        <v>#N/A</v>
      </c>
      <c r="D5" s="23" t="str">
        <f>VLOOKUP(A5,多浪小镇二期!$B$4:$B$490,1,0)</f>
        <v>A1-103</v>
      </c>
    </row>
    <row r="6" spans="1:4">
      <c r="A6" t="s">
        <v>2744</v>
      </c>
      <c r="B6" s="22">
        <v>135000</v>
      </c>
      <c r="C6" s="23" t="e">
        <f>VLOOKUP(A6,多浪小镇一期!$B$5:$B$517,1,0)</f>
        <v>#N/A</v>
      </c>
      <c r="D6" s="23" t="str">
        <f>VLOOKUP(A6,多浪小镇二期!$B$4:$B$490,1,0)</f>
        <v>A1-104</v>
      </c>
    </row>
    <row r="7" spans="1:4">
      <c r="A7" t="s">
        <v>2746</v>
      </c>
      <c r="B7" s="22">
        <v>133000</v>
      </c>
      <c r="C7" s="23" t="e">
        <f>VLOOKUP(A7,多浪小镇一期!$B$5:$B$517,1,0)</f>
        <v>#N/A</v>
      </c>
      <c r="D7" s="23" t="str">
        <f>VLOOKUP(A7,多浪小镇二期!$B$4:$B$490,1,0)</f>
        <v>A1-105</v>
      </c>
    </row>
    <row r="8" spans="1:4">
      <c r="A8" t="s">
        <v>2748</v>
      </c>
      <c r="B8" s="22">
        <v>426230</v>
      </c>
      <c r="C8" s="23" t="e">
        <f>VLOOKUP(A8,多浪小镇一期!$B$5:$B$517,1,0)</f>
        <v>#N/A</v>
      </c>
      <c r="D8" s="23" t="str">
        <f>VLOOKUP(A8,多浪小镇二期!$B$4:$B$490,1,0)</f>
        <v>A1-106</v>
      </c>
    </row>
    <row r="9" spans="1:4">
      <c r="A9" t="s">
        <v>2750</v>
      </c>
      <c r="B9" s="22">
        <v>400000</v>
      </c>
      <c r="C9" s="23" t="e">
        <f>VLOOKUP(A9,多浪小镇一期!$B$5:$B$517,1,0)</f>
        <v>#N/A</v>
      </c>
      <c r="D9" s="23" t="str">
        <f>VLOOKUP(A9,多浪小镇二期!$B$4:$B$490,1,0)</f>
        <v>A1-107</v>
      </c>
    </row>
    <row r="10" spans="1:4">
      <c r="A10" t="s">
        <v>2752</v>
      </c>
      <c r="B10" s="22">
        <v>131435</v>
      </c>
      <c r="C10" s="23" t="e">
        <f>VLOOKUP(A10,多浪小镇一期!$B$5:$B$517,1,0)</f>
        <v>#N/A</v>
      </c>
      <c r="D10" s="23" t="str">
        <f>VLOOKUP(A10,多浪小镇二期!$B$4:$B$490,1,0)</f>
        <v>A1-108</v>
      </c>
    </row>
    <row r="11" spans="1:4">
      <c r="A11" t="s">
        <v>2754</v>
      </c>
      <c r="B11" s="22">
        <v>128040</v>
      </c>
      <c r="C11" s="23" t="e">
        <f>VLOOKUP(A11,多浪小镇一期!$B$5:$B$517,1,0)</f>
        <v>#N/A</v>
      </c>
      <c r="D11" s="23" t="str">
        <f>VLOOKUP(A11,多浪小镇二期!$B$4:$B$490,1,0)</f>
        <v>A1-109</v>
      </c>
    </row>
    <row r="12" spans="1:4">
      <c r="A12" t="s">
        <v>2756</v>
      </c>
      <c r="B12" s="22">
        <v>418923</v>
      </c>
      <c r="C12" s="23" t="e">
        <f>VLOOKUP(A12,多浪小镇一期!$B$5:$B$517,1,0)</f>
        <v>#N/A</v>
      </c>
      <c r="D12" s="23" t="str">
        <f>VLOOKUP(A12,多浪小镇二期!$B$4:$B$490,1,0)</f>
        <v>A1-110</v>
      </c>
    </row>
    <row r="13" spans="1:4">
      <c r="A13" t="s">
        <v>2758</v>
      </c>
      <c r="B13" s="22">
        <v>428736</v>
      </c>
      <c r="C13" s="23" t="e">
        <f>VLOOKUP(A13,多浪小镇一期!$B$5:$B$517,1,0)</f>
        <v>#N/A</v>
      </c>
      <c r="D13" s="23" t="str">
        <f>VLOOKUP(A13,多浪小镇二期!$B$4:$B$490,1,0)</f>
        <v>A1-111</v>
      </c>
    </row>
    <row r="14" spans="1:4">
      <c r="A14" t="s">
        <v>2759</v>
      </c>
      <c r="B14" s="22">
        <v>129954</v>
      </c>
      <c r="C14" s="23" t="e">
        <f>VLOOKUP(A14,多浪小镇一期!$B$5:$B$517,1,0)</f>
        <v>#N/A</v>
      </c>
      <c r="D14" s="23" t="str">
        <f>VLOOKUP(A14,多浪小镇二期!$B$4:$B$490,1,0)</f>
        <v>A1-112</v>
      </c>
    </row>
    <row r="15" spans="1:4">
      <c r="A15" t="s">
        <v>1938</v>
      </c>
      <c r="B15" s="22">
        <v>231750</v>
      </c>
      <c r="C15" s="23" t="e">
        <f>VLOOKUP(A15,多浪小镇一期!$B$5:$B$517,1,0)</f>
        <v>#N/A</v>
      </c>
      <c r="D15" s="23" t="str">
        <f>VLOOKUP(A15,多浪小镇二期!$B$4:$B$490,1,0)</f>
        <v>A1-1-201</v>
      </c>
    </row>
    <row r="16" spans="1:4">
      <c r="A16" t="s">
        <v>1940</v>
      </c>
      <c r="B16" s="22">
        <v>215663</v>
      </c>
      <c r="C16" s="23" t="e">
        <f>VLOOKUP(A16,多浪小镇一期!$B$5:$B$517,1,0)</f>
        <v>#N/A</v>
      </c>
      <c r="D16" s="23" t="str">
        <f>VLOOKUP(A16,多浪小镇二期!$B$4:$B$490,1,0)</f>
        <v>A1-1-202</v>
      </c>
    </row>
    <row r="17" spans="1:4">
      <c r="A17" t="s">
        <v>1942</v>
      </c>
      <c r="B17" s="22">
        <v>224025</v>
      </c>
      <c r="C17" s="23" t="e">
        <f>VLOOKUP(A17,多浪小镇一期!$B$5:$B$517,1,0)</f>
        <v>#N/A</v>
      </c>
      <c r="D17" s="23" t="str">
        <f>VLOOKUP(A17,多浪小镇二期!$B$4:$B$490,1,0)</f>
        <v>A1-1-301</v>
      </c>
    </row>
    <row r="18" spans="1:4">
      <c r="A18" t="s">
        <v>1944</v>
      </c>
      <c r="B18" s="22">
        <v>217110</v>
      </c>
      <c r="C18" s="23" t="e">
        <f>VLOOKUP(A18,多浪小镇一期!$B$5:$B$517,1,0)</f>
        <v>#N/A</v>
      </c>
      <c r="D18" s="23" t="str">
        <f>VLOOKUP(A18,多浪小镇二期!$B$4:$B$490,1,0)</f>
        <v>A1-1-302</v>
      </c>
    </row>
    <row r="19" spans="1:4">
      <c r="A19" t="s">
        <v>1946</v>
      </c>
      <c r="B19" s="22">
        <v>216300</v>
      </c>
      <c r="C19" s="23" t="e">
        <f>VLOOKUP(A19,多浪小镇一期!$B$5:$B$517,1,0)</f>
        <v>#N/A</v>
      </c>
      <c r="D19" s="23" t="str">
        <f>VLOOKUP(A19,多浪小镇二期!$B$4:$B$490,1,0)</f>
        <v>A1-1-401</v>
      </c>
    </row>
    <row r="20" spans="1:4">
      <c r="A20" t="s">
        <v>1948</v>
      </c>
      <c r="B20" s="22">
        <v>206255</v>
      </c>
      <c r="C20" s="23" t="e">
        <f>VLOOKUP(A20,多浪小镇一期!$B$5:$B$517,1,0)</f>
        <v>#N/A</v>
      </c>
      <c r="D20" s="23" t="str">
        <f>VLOOKUP(A20,多浪小镇二期!$B$4:$B$490,1,0)</f>
        <v>A1-1-402</v>
      </c>
    </row>
    <row r="21" spans="1:4">
      <c r="A21" t="s">
        <v>1950</v>
      </c>
      <c r="B21" s="22">
        <v>137224</v>
      </c>
      <c r="C21" s="23" t="e">
        <f>VLOOKUP(A21,多浪小镇一期!$B$5:$B$517,1,0)</f>
        <v>#N/A</v>
      </c>
      <c r="D21" s="23" t="str">
        <f>VLOOKUP(A21,多浪小镇二期!$B$4:$B$490,1,0)</f>
        <v>A1-1-501</v>
      </c>
    </row>
    <row r="22" spans="1:4">
      <c r="A22" t="s">
        <v>1953</v>
      </c>
      <c r="B22" s="22">
        <v>191781</v>
      </c>
      <c r="C22" s="23" t="e">
        <f>VLOOKUP(A22,多浪小镇一期!$B$5:$B$517,1,0)</f>
        <v>#N/A</v>
      </c>
      <c r="D22" s="23" t="str">
        <f>VLOOKUP(A22,多浪小镇二期!$B$4:$B$490,1,0)</f>
        <v>A1-1-502</v>
      </c>
    </row>
    <row r="23" spans="1:4">
      <c r="A23" t="s">
        <v>1955</v>
      </c>
      <c r="B23" s="22">
        <v>200850</v>
      </c>
      <c r="C23" s="23" t="e">
        <f>VLOOKUP(A23,多浪小镇一期!$B$5:$B$517,1,0)</f>
        <v>#N/A</v>
      </c>
      <c r="D23" s="23" t="str">
        <f>VLOOKUP(A23,多浪小镇二期!$B$4:$B$490,1,0)</f>
        <v>A1-1-601</v>
      </c>
    </row>
    <row r="24" spans="1:4">
      <c r="A24" t="s">
        <v>1957</v>
      </c>
      <c r="B24" s="22">
        <v>195399</v>
      </c>
      <c r="C24" s="23" t="e">
        <f>VLOOKUP(A24,多浪小镇一期!$B$5:$B$517,1,0)</f>
        <v>#N/A</v>
      </c>
      <c r="D24" s="23" t="str">
        <f>VLOOKUP(A24,多浪小镇二期!$B$4:$B$490,1,0)</f>
        <v>A1-1-602</v>
      </c>
    </row>
    <row r="25" spans="1:4">
      <c r="A25" t="s">
        <v>1959</v>
      </c>
      <c r="B25" s="22">
        <v>175925</v>
      </c>
      <c r="C25" s="23" t="e">
        <f>VLOOKUP(A25,多浪小镇一期!$B$5:$B$517,1,0)</f>
        <v>#N/A</v>
      </c>
      <c r="D25" s="23" t="str">
        <f>VLOOKUP(A25,多浪小镇二期!$B$4:$B$490,1,0)</f>
        <v>A1-2-201</v>
      </c>
    </row>
    <row r="26" spans="1:4">
      <c r="A26" t="s">
        <v>1961</v>
      </c>
      <c r="B26" s="22">
        <v>216000</v>
      </c>
      <c r="C26" s="23" t="e">
        <f>VLOOKUP(A26,多浪小镇一期!$B$5:$B$517,1,0)</f>
        <v>#N/A</v>
      </c>
      <c r="D26" s="23" t="str">
        <f>VLOOKUP(A26,多浪小镇二期!$B$4:$B$490,1,0)</f>
        <v>A1-2-202</v>
      </c>
    </row>
    <row r="27" spans="1:4">
      <c r="A27" t="s">
        <v>1963</v>
      </c>
      <c r="B27" s="22">
        <v>217110</v>
      </c>
      <c r="C27" s="23" t="e">
        <f>VLOOKUP(A27,多浪小镇一期!$B$5:$B$517,1,0)</f>
        <v>#N/A</v>
      </c>
      <c r="D27" s="23" t="str">
        <f>VLOOKUP(A27,多浪小镇二期!$B$4:$B$490,1,0)</f>
        <v>A1-2-301</v>
      </c>
    </row>
    <row r="28" spans="1:4">
      <c r="A28" t="s">
        <v>1965</v>
      </c>
      <c r="B28" s="22">
        <v>217220</v>
      </c>
      <c r="C28" s="23" t="e">
        <f>VLOOKUP(A28,多浪小镇一期!$B$5:$B$517,1,0)</f>
        <v>#N/A</v>
      </c>
      <c r="D28" s="23" t="str">
        <f>VLOOKUP(A28,多浪小镇二期!$B$4:$B$490,1,0)</f>
        <v>A1-2-302</v>
      </c>
    </row>
    <row r="29" spans="1:4">
      <c r="A29" t="s">
        <v>1968</v>
      </c>
      <c r="B29" s="22">
        <v>209873</v>
      </c>
      <c r="C29" s="23" t="e">
        <f>VLOOKUP(A29,多浪小镇一期!$B$5:$B$517,1,0)</f>
        <v>#N/A</v>
      </c>
      <c r="D29" s="23" t="str">
        <f>VLOOKUP(A29,多浪小镇二期!$B$4:$B$490,1,0)</f>
        <v>A1-2-401</v>
      </c>
    </row>
    <row r="30" spans="1:4">
      <c r="A30" t="s">
        <v>1970</v>
      </c>
      <c r="B30" s="22">
        <v>205452</v>
      </c>
      <c r="C30" s="23" t="e">
        <f>VLOOKUP(A30,多浪小镇一期!$B$5:$B$517,1,0)</f>
        <v>#N/A</v>
      </c>
      <c r="D30" s="23" t="str">
        <f>VLOOKUP(A30,多浪小镇二期!$B$4:$B$490,1,0)</f>
        <v>A1-2-402</v>
      </c>
    </row>
    <row r="31" spans="1:4">
      <c r="A31" t="s">
        <v>1972</v>
      </c>
      <c r="B31" s="22">
        <v>195399</v>
      </c>
      <c r="C31" s="23" t="e">
        <f>VLOOKUP(A31,多浪小镇一期!$B$5:$B$517,1,0)</f>
        <v>#N/A</v>
      </c>
      <c r="D31" s="23" t="str">
        <f>VLOOKUP(A31,多浪小镇二期!$B$4:$B$490,1,0)</f>
        <v>A1-2-501</v>
      </c>
    </row>
    <row r="32" spans="1:4">
      <c r="A32" t="s">
        <v>1974</v>
      </c>
      <c r="B32" s="22">
        <v>194675</v>
      </c>
      <c r="C32" s="23" t="e">
        <f>VLOOKUP(A32,多浪小镇一期!$B$5:$B$517,1,0)</f>
        <v>#N/A</v>
      </c>
      <c r="D32" s="23" t="str">
        <f>VLOOKUP(A32,多浪小镇二期!$B$4:$B$490,1,0)</f>
        <v>A1-2-502</v>
      </c>
    </row>
    <row r="33" spans="1:4">
      <c r="A33" t="s">
        <v>1976</v>
      </c>
      <c r="B33" s="22">
        <v>193952</v>
      </c>
      <c r="C33" s="23" t="e">
        <f>VLOOKUP(A33,多浪小镇一期!$B$5:$B$517,1,0)</f>
        <v>#N/A</v>
      </c>
      <c r="D33" s="23" t="str">
        <f>VLOOKUP(A33,多浪小镇二期!$B$4:$B$490,1,0)</f>
        <v>A1-2-601</v>
      </c>
    </row>
    <row r="34" spans="1:4">
      <c r="A34" t="s">
        <v>1978</v>
      </c>
      <c r="B34" s="22">
        <v>195400</v>
      </c>
      <c r="C34" s="23" t="e">
        <f>VLOOKUP(A34,多浪小镇一期!$B$5:$B$517,1,0)</f>
        <v>#N/A</v>
      </c>
      <c r="D34" s="23" t="str">
        <f>VLOOKUP(A34,多浪小镇二期!$B$4:$B$490,1,0)</f>
        <v>A1-2-602</v>
      </c>
    </row>
    <row r="35" spans="1:4">
      <c r="A35" t="s">
        <v>2690</v>
      </c>
      <c r="B35" s="22">
        <v>252958</v>
      </c>
      <c r="C35" s="23" t="e">
        <f>VLOOKUP(A35,多浪小镇一期!$B$5:$B$517,1,0)</f>
        <v>#N/A</v>
      </c>
      <c r="D35" s="23" t="str">
        <f>VLOOKUP(A35,多浪小镇二期!$B$4:$B$490,1,0)</f>
        <v>A13-1-101</v>
      </c>
    </row>
    <row r="36" spans="1:4">
      <c r="A36" t="s">
        <v>2692</v>
      </c>
      <c r="B36" s="22">
        <v>264000</v>
      </c>
      <c r="C36" s="23" t="e">
        <f>VLOOKUP(A36,多浪小镇一期!$B$5:$B$517,1,0)</f>
        <v>#N/A</v>
      </c>
      <c r="D36" s="23" t="str">
        <f>VLOOKUP(A36,多浪小镇二期!$B$4:$B$490,1,0)</f>
        <v>A13-1-102</v>
      </c>
    </row>
    <row r="37" spans="1:4">
      <c r="A37" t="s">
        <v>2694</v>
      </c>
      <c r="B37" s="22">
        <v>264966</v>
      </c>
      <c r="C37" s="23" t="e">
        <f>VLOOKUP(A37,多浪小镇一期!$B$5:$B$517,1,0)</f>
        <v>#N/A</v>
      </c>
      <c r="D37" s="23" t="str">
        <f>VLOOKUP(A37,多浪小镇二期!$B$4:$B$490,1,0)</f>
        <v>A13-1-201</v>
      </c>
    </row>
    <row r="38" spans="1:4">
      <c r="A38" t="s">
        <v>2696</v>
      </c>
      <c r="B38" s="22">
        <v>276000</v>
      </c>
      <c r="C38" s="23" t="e">
        <f>VLOOKUP(A38,多浪小镇一期!$B$5:$B$517,1,0)</f>
        <v>#N/A</v>
      </c>
      <c r="D38" s="23" t="str">
        <f>VLOOKUP(A38,多浪小镇二期!$B$4:$B$490,1,0)</f>
        <v>A13-1-202</v>
      </c>
    </row>
    <row r="39" spans="1:4">
      <c r="A39" t="s">
        <v>2698</v>
      </c>
      <c r="B39" s="22">
        <v>266776</v>
      </c>
      <c r="C39" s="23" t="e">
        <f>VLOOKUP(A39,多浪小镇一期!$B$5:$B$517,1,0)</f>
        <v>#N/A</v>
      </c>
      <c r="D39" s="23" t="str">
        <f>VLOOKUP(A39,多浪小镇二期!$B$4:$B$490,1,0)</f>
        <v>A13-1-301</v>
      </c>
    </row>
    <row r="40" spans="1:4">
      <c r="A40" t="s">
        <v>2700</v>
      </c>
      <c r="B40" s="22">
        <v>274000</v>
      </c>
      <c r="C40" s="23" t="e">
        <f>VLOOKUP(A40,多浪小镇一期!$B$5:$B$517,1,0)</f>
        <v>#N/A</v>
      </c>
      <c r="D40" s="23" t="str">
        <f>VLOOKUP(A40,多浪小镇二期!$B$4:$B$490,1,0)</f>
        <v>A13-1-302</v>
      </c>
    </row>
    <row r="41" spans="1:4">
      <c r="A41" t="s">
        <v>2702</v>
      </c>
      <c r="B41" s="22">
        <v>264165</v>
      </c>
      <c r="C41" s="23" t="e">
        <f>VLOOKUP(A41,多浪小镇一期!$B$5:$B$517,1,0)</f>
        <v>#N/A</v>
      </c>
      <c r="D41" s="23" t="str">
        <f>VLOOKUP(A41,多浪小镇二期!$B$4:$B$490,1,0)</f>
        <v>A13-1-401</v>
      </c>
    </row>
    <row r="42" spans="1:4">
      <c r="A42" t="s">
        <v>2704</v>
      </c>
      <c r="B42" s="22">
        <v>270996</v>
      </c>
      <c r="C42" s="23" t="e">
        <f>VLOOKUP(A42,多浪小镇一期!$B$5:$B$517,1,0)</f>
        <v>#N/A</v>
      </c>
      <c r="D42" s="23" t="str">
        <f>VLOOKUP(A42,多浪小镇二期!$B$4:$B$490,1,0)</f>
        <v>A13-1-402</v>
      </c>
    </row>
    <row r="43" spans="1:4">
      <c r="A43" t="s">
        <v>2706</v>
      </c>
      <c r="B43" s="22">
        <v>240150</v>
      </c>
      <c r="C43" s="23" t="e">
        <f>VLOOKUP(A43,多浪小镇一期!$B$5:$B$517,1,0)</f>
        <v>#N/A</v>
      </c>
      <c r="D43" s="23" t="str">
        <f>VLOOKUP(A43,多浪小镇二期!$B$4:$B$490,1,0)</f>
        <v>A13-1-501</v>
      </c>
    </row>
    <row r="44" spans="1:4">
      <c r="A44" t="s">
        <v>2708</v>
      </c>
      <c r="B44" s="22">
        <v>244718</v>
      </c>
      <c r="C44" s="23" t="e">
        <f>VLOOKUP(A44,多浪小镇一期!$B$5:$B$517,1,0)</f>
        <v>#N/A</v>
      </c>
      <c r="D44" s="23" t="str">
        <f>VLOOKUP(A44,多浪小镇二期!$B$4:$B$490,1,0)</f>
        <v>A13-1-502</v>
      </c>
    </row>
    <row r="45" spans="1:4">
      <c r="A45" t="s">
        <v>2710</v>
      </c>
      <c r="B45" s="22">
        <v>225741</v>
      </c>
      <c r="C45" s="23" t="e">
        <f>VLOOKUP(A45,多浪小镇一期!$B$5:$B$517,1,0)</f>
        <v>#N/A</v>
      </c>
      <c r="D45" s="23" t="str">
        <f>VLOOKUP(A45,多浪小镇二期!$B$4:$B$490,1,0)</f>
        <v>A13-1-601</v>
      </c>
    </row>
    <row r="46" spans="1:4">
      <c r="A46" t="s">
        <v>2712</v>
      </c>
      <c r="B46" s="22">
        <v>234042</v>
      </c>
      <c r="C46" s="23" t="e">
        <f>VLOOKUP(A46,多浪小镇一期!$B$5:$B$517,1,0)</f>
        <v>#N/A</v>
      </c>
      <c r="D46" s="23" t="str">
        <f>VLOOKUP(A46,多浪小镇二期!$B$4:$B$490,1,0)</f>
        <v>A13-1-602</v>
      </c>
    </row>
    <row r="47" spans="1:4">
      <c r="A47" t="s">
        <v>1980</v>
      </c>
      <c r="B47" s="22">
        <v>215583</v>
      </c>
      <c r="C47" s="23" t="e">
        <f>VLOOKUP(A47,多浪小镇一期!$B$5:$B$517,1,0)</f>
        <v>#N/A</v>
      </c>
      <c r="D47" s="23" t="str">
        <f>VLOOKUP(A47,多浪小镇二期!$B$4:$B$490,1,0)</f>
        <v>A1-3-201</v>
      </c>
    </row>
    <row r="48" spans="1:4">
      <c r="A48" t="s">
        <v>1982</v>
      </c>
      <c r="B48" s="22">
        <v>234299</v>
      </c>
      <c r="C48" s="23" t="e">
        <f>VLOOKUP(A48,多浪小镇一期!$B$5:$B$517,1,0)</f>
        <v>#N/A</v>
      </c>
      <c r="D48" s="23" t="str">
        <f>VLOOKUP(A48,多浪小镇二期!$B$4:$B$490,1,0)</f>
        <v>A1-3-202</v>
      </c>
    </row>
    <row r="49" spans="1:4">
      <c r="A49" t="s">
        <v>2714</v>
      </c>
      <c r="B49" s="22">
        <v>262784</v>
      </c>
      <c r="C49" s="23" t="e">
        <f>VLOOKUP(A49,多浪小镇一期!$B$5:$B$517,1,0)</f>
        <v>#N/A</v>
      </c>
      <c r="D49" s="23" t="str">
        <f>VLOOKUP(A49,多浪小镇二期!$B$4:$B$490,1,0)</f>
        <v>A13-2-101</v>
      </c>
    </row>
    <row r="50" spans="1:4">
      <c r="A50" t="s">
        <v>2716</v>
      </c>
      <c r="B50" s="22">
        <v>250763</v>
      </c>
      <c r="C50" s="23" t="e">
        <f>VLOOKUP(A50,多浪小镇一期!$B$5:$B$517,1,0)</f>
        <v>#N/A</v>
      </c>
      <c r="D50" s="23" t="str">
        <f>VLOOKUP(A50,多浪小镇二期!$B$4:$B$490,1,0)</f>
        <v>A13-2-102</v>
      </c>
    </row>
    <row r="51" spans="1:4">
      <c r="A51" t="s">
        <v>2718</v>
      </c>
      <c r="B51" s="22">
        <v>275102</v>
      </c>
      <c r="C51" s="23" t="e">
        <f>VLOOKUP(A51,多浪小镇一期!$B$5:$B$517,1,0)</f>
        <v>#N/A</v>
      </c>
      <c r="D51" s="23" t="str">
        <f>VLOOKUP(A51,多浪小镇二期!$B$4:$B$490,1,0)</f>
        <v>A13-2-201</v>
      </c>
    </row>
    <row r="52" spans="1:4">
      <c r="A52" t="s">
        <v>2720</v>
      </c>
      <c r="B52" s="22">
        <v>264000</v>
      </c>
      <c r="C52" s="23" t="e">
        <f>VLOOKUP(A52,多浪小镇一期!$B$5:$B$517,1,0)</f>
        <v>#N/A</v>
      </c>
      <c r="D52" s="23" t="str">
        <f>VLOOKUP(A52,多浪小镇二期!$B$4:$B$490,1,0)</f>
        <v>A13-2-202</v>
      </c>
    </row>
    <row r="53" spans="1:4">
      <c r="A53" t="s">
        <v>2722</v>
      </c>
      <c r="B53" s="22">
        <v>270996</v>
      </c>
      <c r="C53" s="23" t="e">
        <f>VLOOKUP(A53,多浪小镇一期!$B$5:$B$517,1,0)</f>
        <v>#N/A</v>
      </c>
      <c r="D53" s="23" t="str">
        <f>VLOOKUP(A53,多浪小镇二期!$B$4:$B$490,1,0)</f>
        <v>A13-2-301</v>
      </c>
    </row>
    <row r="54" spans="1:4">
      <c r="A54" t="s">
        <v>2724</v>
      </c>
      <c r="B54" s="22">
        <v>262564</v>
      </c>
      <c r="C54" s="23" t="e">
        <f>VLOOKUP(A54,多浪小镇一期!$B$5:$B$517,1,0)</f>
        <v>#N/A</v>
      </c>
      <c r="D54" s="23" t="str">
        <f>VLOOKUP(A54,多浪小镇二期!$B$4:$B$490,1,0)</f>
        <v>A13-2-302</v>
      </c>
    </row>
    <row r="55" spans="1:4">
      <c r="A55" t="s">
        <v>2726</v>
      </c>
      <c r="B55" s="22">
        <v>275102</v>
      </c>
      <c r="C55" s="23" t="e">
        <f>VLOOKUP(A55,多浪小镇一期!$B$5:$B$517,1,0)</f>
        <v>#N/A</v>
      </c>
      <c r="D55" s="23" t="str">
        <f>VLOOKUP(A55,多浪小镇二期!$B$4:$B$490,1,0)</f>
        <v>A13-2-401</v>
      </c>
    </row>
    <row r="56" spans="1:4">
      <c r="A56" t="s">
        <v>2728</v>
      </c>
      <c r="B56" s="22">
        <v>264165</v>
      </c>
      <c r="C56" s="23" t="e">
        <f>VLOOKUP(A56,多浪小镇一期!$B$5:$B$517,1,0)</f>
        <v>#N/A</v>
      </c>
      <c r="D56" s="23" t="str">
        <f>VLOOKUP(A56,多浪小镇二期!$B$4:$B$490,1,0)</f>
        <v>A13-2-402</v>
      </c>
    </row>
    <row r="57" spans="1:4">
      <c r="A57" t="s">
        <v>2730</v>
      </c>
      <c r="B57" s="22">
        <v>250466</v>
      </c>
      <c r="C57" s="23" t="e">
        <f>VLOOKUP(A57,多浪小镇一期!$B$5:$B$517,1,0)</f>
        <v>#N/A</v>
      </c>
      <c r="D57" s="23" t="str">
        <f>VLOOKUP(A57,多浪小镇二期!$B$4:$B$490,1,0)</f>
        <v>A13-2-501</v>
      </c>
    </row>
    <row r="58" spans="1:4">
      <c r="A58" t="s">
        <v>2732</v>
      </c>
      <c r="B58" s="22">
        <v>237749</v>
      </c>
      <c r="C58" s="23" t="e">
        <f>VLOOKUP(A58,多浪小镇一期!$B$5:$B$517,1,0)</f>
        <v>#N/A</v>
      </c>
      <c r="D58" s="23" t="str">
        <f>VLOOKUP(A58,多浪小镇二期!$B$4:$B$490,1,0)</f>
        <v>A13-2-502</v>
      </c>
    </row>
    <row r="59" spans="1:4">
      <c r="A59" t="s">
        <v>2734</v>
      </c>
      <c r="B59" s="22">
        <v>234042</v>
      </c>
      <c r="C59" s="23" t="e">
        <f>VLOOKUP(A59,多浪小镇一期!$B$5:$B$517,1,0)</f>
        <v>#N/A</v>
      </c>
      <c r="D59" s="23" t="str">
        <f>VLOOKUP(A59,多浪小镇二期!$B$4:$B$490,1,0)</f>
        <v>A13-2-601</v>
      </c>
    </row>
    <row r="60" spans="1:4">
      <c r="A60" t="s">
        <v>2736</v>
      </c>
      <c r="B60" s="22">
        <v>228143</v>
      </c>
      <c r="C60" s="23" t="e">
        <f>VLOOKUP(A60,多浪小镇一期!$B$5:$B$517,1,0)</f>
        <v>#N/A</v>
      </c>
      <c r="D60" s="23" t="str">
        <f>VLOOKUP(A60,多浪小镇二期!$B$4:$B$490,1,0)</f>
        <v>A13-2-602</v>
      </c>
    </row>
    <row r="61" spans="1:4">
      <c r="A61" t="s">
        <v>1984</v>
      </c>
      <c r="B61" s="22">
        <v>218492</v>
      </c>
      <c r="C61" s="23" t="e">
        <f>VLOOKUP(A61,多浪小镇一期!$B$5:$B$517,1,0)</f>
        <v>#N/A</v>
      </c>
      <c r="D61" s="23" t="str">
        <f>VLOOKUP(A61,多浪小镇二期!$B$4:$B$490,1,0)</f>
        <v>A1-3-301</v>
      </c>
    </row>
    <row r="62" spans="1:4">
      <c r="A62" t="s">
        <v>1988</v>
      </c>
      <c r="B62" s="22">
        <v>224025</v>
      </c>
      <c r="C62" s="23" t="e">
        <f>VLOOKUP(A62,多浪小镇一期!$B$5:$B$517,1,0)</f>
        <v>#N/A</v>
      </c>
      <c r="D62" s="23" t="str">
        <f>VLOOKUP(A62,多浪小镇二期!$B$4:$B$490,1,0)</f>
        <v>A1-3-302</v>
      </c>
    </row>
    <row r="63" spans="1:4">
      <c r="A63" t="s">
        <v>1990</v>
      </c>
      <c r="B63" s="22">
        <v>208426</v>
      </c>
      <c r="C63" s="23" t="e">
        <f>VLOOKUP(A63,多浪小镇一期!$B$5:$B$517,1,0)</f>
        <v>#N/A</v>
      </c>
      <c r="D63" s="23" t="str">
        <f>VLOOKUP(A63,多浪小镇二期!$B$4:$B$490,1,0)</f>
        <v>A1-3-401</v>
      </c>
    </row>
    <row r="64" spans="1:4">
      <c r="A64" t="s">
        <v>1992</v>
      </c>
      <c r="B64" s="22">
        <v>218163</v>
      </c>
      <c r="C64" s="23" t="e">
        <f>VLOOKUP(A64,多浪小镇一期!$B$5:$B$517,1,0)</f>
        <v>#N/A</v>
      </c>
      <c r="D64" s="23" t="str">
        <f>VLOOKUP(A64,多浪小镇二期!$B$4:$B$490,1,0)</f>
        <v>A1-3-402</v>
      </c>
    </row>
    <row r="65" spans="1:4">
      <c r="A65" t="s">
        <v>1994</v>
      </c>
      <c r="B65" s="22">
        <v>195399</v>
      </c>
      <c r="C65" s="23" t="e">
        <f>VLOOKUP(A65,多浪小镇一期!$B$5:$B$517,1,0)</f>
        <v>#N/A</v>
      </c>
      <c r="D65" s="23" t="str">
        <f>VLOOKUP(A65,多浪小镇二期!$B$4:$B$490,1,0)</f>
        <v>A1-3-501</v>
      </c>
    </row>
    <row r="66" spans="1:4">
      <c r="A66" t="s">
        <v>1996</v>
      </c>
      <c r="B66" s="22">
        <v>208575</v>
      </c>
      <c r="C66" s="23" t="e">
        <f>VLOOKUP(A66,多浪小镇一期!$B$5:$B$517,1,0)</f>
        <v>#N/A</v>
      </c>
      <c r="D66" s="23" t="str">
        <f>VLOOKUP(A66,多浪小镇二期!$B$4:$B$490,1,0)</f>
        <v>A1-3-502</v>
      </c>
    </row>
    <row r="67" spans="1:4">
      <c r="A67" t="s">
        <v>1998</v>
      </c>
      <c r="B67" s="22">
        <v>186780</v>
      </c>
      <c r="C67" s="23" t="e">
        <f>VLOOKUP(A67,多浪小镇一期!$B$5:$B$517,1,0)</f>
        <v>#N/A</v>
      </c>
      <c r="D67" s="23" t="str">
        <f>VLOOKUP(A67,多浪小镇二期!$B$4:$B$490,1,0)</f>
        <v>A1-3-601</v>
      </c>
    </row>
    <row r="68" spans="1:4">
      <c r="A68" t="s">
        <v>2000</v>
      </c>
      <c r="B68" s="22">
        <v>200850</v>
      </c>
      <c r="C68" s="23" t="e">
        <f>VLOOKUP(A68,多浪小镇一期!$B$5:$B$517,1,0)</f>
        <v>#N/A</v>
      </c>
      <c r="D68" s="23" t="str">
        <f>VLOOKUP(A68,多浪小镇二期!$B$4:$B$490,1,0)</f>
        <v>A1-3-602</v>
      </c>
    </row>
    <row r="69" spans="1:4">
      <c r="A69" t="s">
        <v>2873</v>
      </c>
      <c r="B69" s="22">
        <v>367540</v>
      </c>
      <c r="C69" s="23" t="e">
        <f>VLOOKUP(A69,多浪小镇一期!$B$5:$B$517,1,0)</f>
        <v>#N/A</v>
      </c>
      <c r="D69" s="23" t="str">
        <f>VLOOKUP(A69,多浪小镇二期!$B$4:$B$490,1,0)</f>
        <v>A14-101</v>
      </c>
    </row>
    <row r="70" spans="1:4">
      <c r="A70" t="s">
        <v>2875</v>
      </c>
      <c r="B70" s="22">
        <v>367540</v>
      </c>
      <c r="C70" s="23" t="e">
        <f>VLOOKUP(A70,多浪小镇一期!$B$5:$B$517,1,0)</f>
        <v>#N/A</v>
      </c>
      <c r="D70" s="23" t="str">
        <f>VLOOKUP(A70,多浪小镇二期!$B$4:$B$490,1,0)</f>
        <v>A14-102</v>
      </c>
    </row>
    <row r="71" spans="1:4">
      <c r="A71" t="s">
        <v>2877</v>
      </c>
      <c r="B71" s="22">
        <v>375000</v>
      </c>
      <c r="C71" s="23" t="e">
        <f>VLOOKUP(A71,多浪小镇一期!$B$5:$B$517,1,0)</f>
        <v>#N/A</v>
      </c>
      <c r="D71" s="23" t="str">
        <f>VLOOKUP(A71,多浪小镇二期!$B$4:$B$490,1,0)</f>
        <v>A14-103</v>
      </c>
    </row>
    <row r="72" spans="1:4">
      <c r="A72" t="s">
        <v>2879</v>
      </c>
      <c r="B72" s="22">
        <v>414800</v>
      </c>
      <c r="C72" s="23" t="e">
        <f>VLOOKUP(A72,多浪小镇一期!$B$5:$B$517,1,0)</f>
        <v>#N/A</v>
      </c>
      <c r="D72" s="23" t="str">
        <f>VLOOKUP(A72,多浪小镇二期!$B$4:$B$490,1,0)</f>
        <v>A14-104</v>
      </c>
    </row>
    <row r="73" spans="1:4">
      <c r="A73" t="s">
        <v>2881</v>
      </c>
      <c r="B73" s="22">
        <v>411818</v>
      </c>
      <c r="C73" s="23" t="e">
        <f>VLOOKUP(A73,多浪小镇一期!$B$5:$B$517,1,0)</f>
        <v>#N/A</v>
      </c>
      <c r="D73" s="23" t="str">
        <f>VLOOKUP(A73,多浪小镇二期!$B$4:$B$490,1,0)</f>
        <v>A14-105</v>
      </c>
    </row>
    <row r="74" spans="1:4">
      <c r="A74" t="s">
        <v>2883</v>
      </c>
      <c r="B74" s="22">
        <v>666000</v>
      </c>
      <c r="C74" s="23" t="e">
        <f>VLOOKUP(A74,多浪小镇一期!$B$5:$B$517,1,0)</f>
        <v>#N/A</v>
      </c>
      <c r="D74" s="23" t="str">
        <f>VLOOKUP(A74,多浪小镇二期!$B$4:$B$490,1,0)</f>
        <v>A14-106</v>
      </c>
    </row>
    <row r="75" spans="1:4">
      <c r="A75" t="s">
        <v>2887</v>
      </c>
      <c r="B75" s="22">
        <v>1050000</v>
      </c>
      <c r="C75" s="23" t="e">
        <f>VLOOKUP(A75,多浪小镇一期!$B$5:$B$517,1,0)</f>
        <v>#N/A</v>
      </c>
      <c r="D75" s="23" t="str">
        <f>VLOOKUP(A75,多浪小镇二期!$B$4:$B$490,1,0)</f>
        <v>A14-108</v>
      </c>
    </row>
    <row r="76" spans="1:4">
      <c r="A76" t="s">
        <v>2889</v>
      </c>
      <c r="B76" s="22">
        <v>1467841</v>
      </c>
      <c r="C76" s="23" t="e">
        <f>VLOOKUP(A76,多浪小镇一期!$B$5:$B$517,1,0)</f>
        <v>#N/A</v>
      </c>
      <c r="D76" s="23" t="str">
        <f>VLOOKUP(A76,多浪小镇二期!$B$4:$B$490,1,0)</f>
        <v>A14-201</v>
      </c>
    </row>
    <row r="77" spans="1:4">
      <c r="A77" t="s">
        <v>2760</v>
      </c>
      <c r="B77" s="22">
        <v>481932</v>
      </c>
      <c r="C77" s="23" t="e">
        <f>VLOOKUP(A77,多浪小镇一期!$B$5:$B$517,1,0)</f>
        <v>#N/A</v>
      </c>
      <c r="D77" s="23" t="str">
        <f>VLOOKUP(A77,多浪小镇二期!$B$4:$B$490,1,0)</f>
        <v>A2-101</v>
      </c>
    </row>
    <row r="78" spans="1:4">
      <c r="A78" t="s">
        <v>2761</v>
      </c>
      <c r="B78" s="22">
        <v>133782</v>
      </c>
      <c r="C78" s="23" t="e">
        <f>VLOOKUP(A78,多浪小镇一期!$B$5:$B$517,1,0)</f>
        <v>#N/A</v>
      </c>
      <c r="D78" s="23" t="str">
        <f>VLOOKUP(A78,多浪小镇二期!$B$4:$B$490,1,0)</f>
        <v>A2-102</v>
      </c>
    </row>
    <row r="79" spans="1:4">
      <c r="A79" t="s">
        <v>2762</v>
      </c>
      <c r="B79" s="22">
        <v>450000</v>
      </c>
      <c r="C79" s="23" t="e">
        <f>VLOOKUP(A79,多浪小镇一期!$B$5:$B$517,1,0)</f>
        <v>#N/A</v>
      </c>
      <c r="D79" s="23" t="str">
        <f>VLOOKUP(A79,多浪小镇二期!$B$4:$B$490,1,0)</f>
        <v>A2-103</v>
      </c>
    </row>
    <row r="80" spans="1:4">
      <c r="A80" t="s">
        <v>2764</v>
      </c>
      <c r="B80" s="22">
        <v>274040</v>
      </c>
      <c r="C80" s="23" t="e">
        <f>VLOOKUP(A80,多浪小镇一期!$B$5:$B$517,1,0)</f>
        <v>#N/A</v>
      </c>
      <c r="D80" s="23" t="str">
        <f>VLOOKUP(A80,多浪小镇二期!$B$4:$B$490,1,0)</f>
        <v>A2-104</v>
      </c>
    </row>
    <row r="81" spans="1:4">
      <c r="A81" t="s">
        <v>2766</v>
      </c>
      <c r="B81" s="22">
        <v>586105</v>
      </c>
      <c r="C81" s="23" t="e">
        <f>VLOOKUP(A81,多浪小镇一期!$B$5:$B$517,1,0)</f>
        <v>#N/A</v>
      </c>
      <c r="D81" s="23" t="str">
        <f>VLOOKUP(A81,多浪小镇二期!$B$4:$B$490,1,0)</f>
        <v>A2-105</v>
      </c>
    </row>
    <row r="82" spans="1:4">
      <c r="A82" t="s">
        <v>2768</v>
      </c>
      <c r="B82" s="22">
        <v>133185</v>
      </c>
      <c r="C82" s="23" t="e">
        <f>VLOOKUP(A82,多浪小镇一期!$B$5:$B$517,1,0)</f>
        <v>#N/A</v>
      </c>
      <c r="D82" s="23" t="str">
        <f>VLOOKUP(A82,多浪小镇二期!$B$4:$B$490,1,0)</f>
        <v>A2-106</v>
      </c>
    </row>
    <row r="83" spans="1:4">
      <c r="A83" t="s">
        <v>2770</v>
      </c>
      <c r="B83" s="22">
        <v>240000</v>
      </c>
      <c r="C83" s="23" t="e">
        <f>VLOOKUP(A83,多浪小镇一期!$B$5:$B$517,1,0)</f>
        <v>#N/A</v>
      </c>
      <c r="D83" s="23" t="str">
        <f>VLOOKUP(A83,多浪小镇二期!$B$4:$B$490,1,0)</f>
        <v>A2-107</v>
      </c>
    </row>
    <row r="84" spans="1:4">
      <c r="A84" t="s">
        <v>2772</v>
      </c>
      <c r="B84" s="22">
        <v>463000</v>
      </c>
      <c r="C84" s="23" t="e">
        <f>VLOOKUP(A84,多浪小镇一期!$B$5:$B$517,1,0)</f>
        <v>#N/A</v>
      </c>
      <c r="D84" s="23" t="str">
        <f>VLOOKUP(A84,多浪小镇二期!$B$4:$B$490,1,0)</f>
        <v>A2-108</v>
      </c>
    </row>
    <row r="85" spans="1:4">
      <c r="A85" t="s">
        <v>2774</v>
      </c>
      <c r="B85" s="22">
        <v>274040</v>
      </c>
      <c r="C85" s="23" t="e">
        <f>VLOOKUP(A85,多浪小镇一期!$B$5:$B$517,1,0)</f>
        <v>#N/A</v>
      </c>
      <c r="D85" s="23" t="str">
        <f>VLOOKUP(A85,多浪小镇二期!$B$4:$B$490,1,0)</f>
        <v>A2-109</v>
      </c>
    </row>
    <row r="86" spans="1:4">
      <c r="A86" t="s">
        <v>2778</v>
      </c>
      <c r="B86" s="22">
        <v>142500</v>
      </c>
      <c r="C86" s="23" t="e">
        <f>VLOOKUP(A86,多浪小镇一期!$B$5:$B$517,1,0)</f>
        <v>#N/A</v>
      </c>
      <c r="D86" s="23" t="str">
        <f>VLOOKUP(A86,多浪小镇二期!$B$4:$B$490,1,0)</f>
        <v>A2-111</v>
      </c>
    </row>
    <row r="87" spans="1:4">
      <c r="A87" t="s">
        <v>2780</v>
      </c>
      <c r="B87" s="22">
        <v>146798</v>
      </c>
      <c r="C87" s="23" t="e">
        <f>VLOOKUP(A87,多浪小镇一期!$B$5:$B$517,1,0)</f>
        <v>#N/A</v>
      </c>
      <c r="D87" s="23" t="str">
        <f>VLOOKUP(A87,多浪小镇二期!$B$4:$B$490,1,0)</f>
        <v>A2-112</v>
      </c>
    </row>
    <row r="88" spans="1:4">
      <c r="A88" t="s">
        <v>2782</v>
      </c>
      <c r="B88" s="22">
        <v>241380</v>
      </c>
      <c r="C88" s="23" t="e">
        <f>VLOOKUP(A88,多浪小镇一期!$B$5:$B$517,1,0)</f>
        <v>#N/A</v>
      </c>
      <c r="D88" s="23" t="str">
        <f>VLOOKUP(A88,多浪小镇二期!$B$4:$B$490,1,0)</f>
        <v>A2-113</v>
      </c>
    </row>
    <row r="89" spans="1:4">
      <c r="A89" t="s">
        <v>2784</v>
      </c>
      <c r="B89" s="22">
        <v>274040</v>
      </c>
      <c r="C89" s="23" t="e">
        <f>VLOOKUP(A89,多浪小镇一期!$B$5:$B$517,1,0)</f>
        <v>#N/A</v>
      </c>
      <c r="D89" s="23" t="str">
        <f>VLOOKUP(A89,多浪小镇二期!$B$4:$B$490,1,0)</f>
        <v>A2-114</v>
      </c>
    </row>
    <row r="90" spans="1:4">
      <c r="A90" t="s">
        <v>2787</v>
      </c>
      <c r="B90" s="22">
        <v>140000</v>
      </c>
      <c r="C90" s="23" t="e">
        <f>VLOOKUP(A90,多浪小镇一期!$B$5:$B$517,1,0)</f>
        <v>#N/A</v>
      </c>
      <c r="D90" s="23" t="str">
        <f>VLOOKUP(A90,多浪小镇二期!$B$4:$B$490,1,0)</f>
        <v>A2-116</v>
      </c>
    </row>
    <row r="91" spans="1:4">
      <c r="A91" t="s">
        <v>2789</v>
      </c>
      <c r="B91" s="22">
        <v>186716</v>
      </c>
      <c r="C91" s="23" t="e">
        <f>VLOOKUP(A91,多浪小镇一期!$B$5:$B$517,1,0)</f>
        <v>#N/A</v>
      </c>
      <c r="D91" s="23" t="str">
        <f>VLOOKUP(A91,多浪小镇二期!$B$4:$B$490,1,0)</f>
        <v>A2-117</v>
      </c>
    </row>
    <row r="92" spans="1:4">
      <c r="A92" t="s">
        <v>2005</v>
      </c>
      <c r="B92" s="22">
        <v>166463</v>
      </c>
      <c r="C92" s="23" t="e">
        <f>VLOOKUP(A92,多浪小镇一期!$B$5:$B$517,1,0)</f>
        <v>#N/A</v>
      </c>
      <c r="D92" s="23" t="str">
        <f>VLOOKUP(A92,多浪小镇二期!$B$4:$B$490,1,0)</f>
        <v>A2-1-202</v>
      </c>
    </row>
    <row r="93" spans="1:4">
      <c r="A93" t="s">
        <v>2007</v>
      </c>
      <c r="B93" s="22">
        <v>223782</v>
      </c>
      <c r="C93" s="23" t="e">
        <f>VLOOKUP(A93,多浪小镇一期!$B$5:$B$517,1,0)</f>
        <v>#N/A</v>
      </c>
      <c r="D93" s="23" t="str">
        <f>VLOOKUP(A93,多浪小镇二期!$B$4:$B$490,1,0)</f>
        <v>A2-1-203</v>
      </c>
    </row>
    <row r="94" spans="1:4">
      <c r="A94" t="s">
        <v>2009</v>
      </c>
      <c r="B94" s="22">
        <v>294314</v>
      </c>
      <c r="C94" s="23" t="e">
        <f>VLOOKUP(A94,多浪小镇一期!$B$5:$B$517,1,0)</f>
        <v>#N/A</v>
      </c>
      <c r="D94" s="23" t="str">
        <f>VLOOKUP(A94,多浪小镇二期!$B$4:$B$490,1,0)</f>
        <v>A2-1-301</v>
      </c>
    </row>
    <row r="95" spans="1:4">
      <c r="A95" t="s">
        <v>2011</v>
      </c>
      <c r="B95" s="22">
        <v>160973</v>
      </c>
      <c r="C95" s="23" t="e">
        <f>VLOOKUP(A95,多浪小镇一期!$B$5:$B$517,1,0)</f>
        <v>#N/A</v>
      </c>
      <c r="D95" s="23" t="str">
        <f>VLOOKUP(A95,多浪小镇二期!$B$4:$B$490,1,0)</f>
        <v>A2-1-302</v>
      </c>
    </row>
    <row r="96" spans="1:4">
      <c r="A96" t="s">
        <v>2013</v>
      </c>
      <c r="B96" s="22">
        <v>231634</v>
      </c>
      <c r="C96" s="23" t="e">
        <f>VLOOKUP(A96,多浪小镇一期!$B$5:$B$517,1,0)</f>
        <v>#N/A</v>
      </c>
      <c r="D96" s="23" t="str">
        <f>VLOOKUP(A96,多浪小镇二期!$B$4:$B$490,1,0)</f>
        <v>A2-1-303</v>
      </c>
    </row>
    <row r="97" spans="1:4">
      <c r="A97" t="s">
        <v>2015</v>
      </c>
      <c r="B97" s="22">
        <v>284820</v>
      </c>
      <c r="C97" s="23" t="e">
        <f>VLOOKUP(A97,多浪小镇一期!$B$5:$B$517,1,0)</f>
        <v>#N/A</v>
      </c>
      <c r="D97" s="23" t="str">
        <f>VLOOKUP(A97,多浪小镇二期!$B$4:$B$490,1,0)</f>
        <v>A2-1-401</v>
      </c>
    </row>
    <row r="98" spans="1:4">
      <c r="A98" t="s">
        <v>2017</v>
      </c>
      <c r="B98" s="22">
        <v>156985</v>
      </c>
      <c r="C98" s="23" t="e">
        <f>VLOOKUP(A98,多浪小镇一期!$B$5:$B$517,1,0)</f>
        <v>#N/A</v>
      </c>
      <c r="D98" s="23" t="str">
        <f>VLOOKUP(A98,多浪小镇二期!$B$4:$B$490,1,0)</f>
        <v>A2-1-402</v>
      </c>
    </row>
    <row r="99" spans="1:4">
      <c r="A99" t="s">
        <v>2019</v>
      </c>
      <c r="B99" s="22">
        <v>219856</v>
      </c>
      <c r="C99" s="23" t="e">
        <f>VLOOKUP(A99,多浪小镇一期!$B$5:$B$517,1,0)</f>
        <v>#N/A</v>
      </c>
      <c r="D99" s="23" t="str">
        <f>VLOOKUP(A99,多浪小镇二期!$B$4:$B$490,1,0)</f>
        <v>A2-1-403</v>
      </c>
    </row>
    <row r="100" spans="1:4">
      <c r="A100" t="s">
        <v>2021</v>
      </c>
      <c r="B100" s="22">
        <v>265000</v>
      </c>
      <c r="C100" s="23" t="e">
        <f>VLOOKUP(A100,多浪小镇一期!$B$5:$B$517,1,0)</f>
        <v>#N/A</v>
      </c>
      <c r="D100" s="23" t="str">
        <f>VLOOKUP(A100,多浪小镇二期!$B$4:$B$490,1,0)</f>
        <v>A2-1-501</v>
      </c>
    </row>
    <row r="101" spans="1:4">
      <c r="A101" t="s">
        <v>2023</v>
      </c>
      <c r="B101" s="22">
        <v>147245</v>
      </c>
      <c r="C101" s="23" t="e">
        <f>VLOOKUP(A101,多浪小镇一期!$B$5:$B$517,1,0)</f>
        <v>#N/A</v>
      </c>
      <c r="D101" s="23" t="str">
        <f>VLOOKUP(A101,多浪小镇二期!$B$4:$B$490,1,0)</f>
        <v>A2-1-502</v>
      </c>
    </row>
    <row r="102" spans="1:4">
      <c r="A102" t="s">
        <v>2025</v>
      </c>
      <c r="B102" s="22">
        <v>219856</v>
      </c>
      <c r="C102" s="23" t="e">
        <f>VLOOKUP(A102,多浪小镇一期!$B$5:$B$517,1,0)</f>
        <v>#N/A</v>
      </c>
      <c r="D102" s="23" t="str">
        <f>VLOOKUP(A102,多浪小镇二期!$B$4:$B$490,1,0)</f>
        <v>A2-1-503</v>
      </c>
    </row>
    <row r="103" spans="1:4">
      <c r="A103" t="s">
        <v>2027</v>
      </c>
      <c r="B103" s="22">
        <v>246844</v>
      </c>
      <c r="C103" s="23" t="e">
        <f>VLOOKUP(A103,多浪小镇一期!$B$5:$B$517,1,0)</f>
        <v>#N/A</v>
      </c>
      <c r="D103" s="23" t="str">
        <f>VLOOKUP(A103,多浪小镇二期!$B$4:$B$490,1,0)</f>
        <v>A2-1-601</v>
      </c>
    </row>
    <row r="104" spans="1:4">
      <c r="A104" t="s">
        <v>2029</v>
      </c>
      <c r="B104" s="22">
        <v>136275</v>
      </c>
      <c r="C104" s="23" t="e">
        <f>VLOOKUP(A104,多浪小镇一期!$B$5:$B$517,1,0)</f>
        <v>#N/A</v>
      </c>
      <c r="D104" s="23" t="str">
        <f>VLOOKUP(A104,多浪小镇二期!$B$4:$B$490,1,0)</f>
        <v>A2-1-602</v>
      </c>
    </row>
    <row r="105" spans="1:4">
      <c r="A105" t="s">
        <v>2031</v>
      </c>
      <c r="B105" s="22">
        <v>204152</v>
      </c>
      <c r="C105" s="23" t="e">
        <f>VLOOKUP(A105,多浪小镇一期!$B$5:$B$517,1,0)</f>
        <v>#N/A</v>
      </c>
      <c r="D105" s="23" t="str">
        <f>VLOOKUP(A105,多浪小镇二期!$B$4:$B$490,1,0)</f>
        <v>A2-1-603</v>
      </c>
    </row>
    <row r="106" spans="1:4">
      <c r="A106" t="s">
        <v>5616</v>
      </c>
      <c r="B106" s="22">
        <v>183486</v>
      </c>
      <c r="C106" s="23" t="e">
        <f>VLOOKUP(A106,多浪小镇一期!$B$5:$B$517,1,0)</f>
        <v>#N/A</v>
      </c>
      <c r="D106" s="23" t="e">
        <f>VLOOKUP(A106,多浪小镇二期!$B$4:$B$490,1,0)</f>
        <v>#N/A</v>
      </c>
    </row>
    <row r="107" spans="1:5">
      <c r="A107" t="s">
        <v>2033</v>
      </c>
      <c r="B107" s="22">
        <v>283350</v>
      </c>
      <c r="C107" s="23" t="e">
        <f>VLOOKUP(A107,多浪小镇一期!$B$5:$B$517,1,0)</f>
        <v>#N/A</v>
      </c>
      <c r="D107" s="23" t="str">
        <f>VLOOKUP(A107,多浪小镇二期!$B$4:$B$490,1,0)</f>
        <v>A2-2-201</v>
      </c>
      <c r="E107" t="s">
        <v>2789</v>
      </c>
    </row>
    <row r="108" spans="1:4">
      <c r="A108" t="s">
        <v>2035</v>
      </c>
      <c r="B108" s="22">
        <v>126036</v>
      </c>
      <c r="C108" s="23" t="e">
        <f>VLOOKUP(A108,多浪小镇一期!$B$5:$B$517,1,0)</f>
        <v>#N/A</v>
      </c>
      <c r="D108" s="23" t="str">
        <f>VLOOKUP(A108,多浪小镇二期!$B$4:$B$490,1,0)</f>
        <v>A2-2-202</v>
      </c>
    </row>
    <row r="109" spans="1:4">
      <c r="A109" t="s">
        <v>2037</v>
      </c>
      <c r="B109" s="22">
        <v>263000</v>
      </c>
      <c r="C109" s="23" t="e">
        <f>VLOOKUP(A109,多浪小镇一期!$B$5:$B$517,1,0)</f>
        <v>#N/A</v>
      </c>
      <c r="D109" s="23" t="str">
        <f>VLOOKUP(A109,多浪小镇二期!$B$4:$B$490,1,0)</f>
        <v>A2-2-203</v>
      </c>
    </row>
    <row r="110" spans="1:4">
      <c r="A110" t="s">
        <v>2039</v>
      </c>
      <c r="B110" s="22">
        <v>283000</v>
      </c>
      <c r="C110" s="23" t="e">
        <f>VLOOKUP(A110,多浪小镇一期!$B$5:$B$517,1,0)</f>
        <v>#N/A</v>
      </c>
      <c r="D110" s="23" t="str">
        <f>VLOOKUP(A110,多浪小镇二期!$B$4:$B$490,1,0)</f>
        <v>A2-2-301</v>
      </c>
    </row>
    <row r="111" spans="1:4">
      <c r="A111" t="s">
        <v>2041</v>
      </c>
      <c r="B111" s="22">
        <v>130000</v>
      </c>
      <c r="C111" s="23" t="e">
        <f>VLOOKUP(A111,多浪小镇一期!$B$5:$B$517,1,0)</f>
        <v>#N/A</v>
      </c>
      <c r="D111" s="23" t="str">
        <f>VLOOKUP(A111,多浪小镇二期!$B$4:$B$490,1,0)</f>
        <v>A2-2-302</v>
      </c>
    </row>
    <row r="112" spans="1:4">
      <c r="A112" t="s">
        <v>2043</v>
      </c>
      <c r="B112" s="22">
        <v>267990</v>
      </c>
      <c r="C112" s="23" t="e">
        <f>VLOOKUP(A112,多浪小镇一期!$B$5:$B$517,1,0)</f>
        <v>#N/A</v>
      </c>
      <c r="D112" s="23" t="str">
        <f>VLOOKUP(A112,多浪小镇二期!$B$4:$B$490,1,0)</f>
        <v>A2-2-303</v>
      </c>
    </row>
    <row r="113" spans="1:4">
      <c r="A113" t="s">
        <v>2045</v>
      </c>
      <c r="B113" s="22">
        <v>291000</v>
      </c>
      <c r="C113" s="23" t="e">
        <f>VLOOKUP(A113,多浪小镇一期!$B$5:$B$517,1,0)</f>
        <v>#N/A</v>
      </c>
      <c r="D113" s="23" t="str">
        <f>VLOOKUP(A113,多浪小镇二期!$B$4:$B$490,1,0)</f>
        <v>A2-2-401</v>
      </c>
    </row>
    <row r="114" spans="1:4">
      <c r="A114" t="s">
        <v>2047</v>
      </c>
      <c r="B114" s="22">
        <v>123480</v>
      </c>
      <c r="C114" s="23" t="e">
        <f>VLOOKUP(A114,多浪小镇一期!$B$5:$B$517,1,0)</f>
        <v>#N/A</v>
      </c>
      <c r="D114" s="23" t="str">
        <f>VLOOKUP(A114,多浪小镇二期!$B$4:$B$490,1,0)</f>
        <v>A2-2-402</v>
      </c>
    </row>
    <row r="115" spans="1:4">
      <c r="A115" t="s">
        <v>2049</v>
      </c>
      <c r="B115" s="22">
        <v>267990</v>
      </c>
      <c r="C115" s="23" t="e">
        <f>VLOOKUP(A115,多浪小镇一期!$B$5:$B$517,1,0)</f>
        <v>#N/A</v>
      </c>
      <c r="D115" s="23" t="str">
        <f>VLOOKUP(A115,多浪小镇二期!$B$4:$B$490,1,0)</f>
        <v>A2-2-403</v>
      </c>
    </row>
    <row r="116" spans="1:4">
      <c r="A116" t="s">
        <v>2051</v>
      </c>
      <c r="B116" s="22">
        <v>264460</v>
      </c>
      <c r="C116" s="23" t="e">
        <f>VLOOKUP(A116,多浪小镇一期!$B$5:$B$517,1,0)</f>
        <v>#N/A</v>
      </c>
      <c r="D116" s="23" t="str">
        <f>VLOOKUP(A116,多浪小镇二期!$B$4:$B$490,1,0)</f>
        <v>A2-2-501</v>
      </c>
    </row>
    <row r="117" spans="1:4">
      <c r="A117" t="s">
        <v>2053</v>
      </c>
      <c r="B117" s="22">
        <v>120070</v>
      </c>
      <c r="C117" s="23" t="e">
        <f>VLOOKUP(A117,多浪小镇一期!$B$5:$B$517,1,0)</f>
        <v>#N/A</v>
      </c>
      <c r="D117" s="23" t="str">
        <f>VLOOKUP(A117,多浪小镇二期!$B$4:$B$490,1,0)</f>
        <v>A2-2-502</v>
      </c>
    </row>
    <row r="118" spans="1:4">
      <c r="A118" t="s">
        <v>2055</v>
      </c>
      <c r="B118" s="22">
        <v>248000</v>
      </c>
      <c r="C118" s="23" t="e">
        <f>VLOOKUP(A118,多浪小镇一期!$B$5:$B$517,1,0)</f>
        <v>#N/A</v>
      </c>
      <c r="D118" s="23" t="str">
        <f>VLOOKUP(A118,多浪小镇二期!$B$4:$B$490,1,0)</f>
        <v>A2-2-503</v>
      </c>
    </row>
    <row r="119" spans="1:4">
      <c r="A119" t="s">
        <v>2057</v>
      </c>
      <c r="B119" s="22">
        <v>245570</v>
      </c>
      <c r="C119" s="23" t="e">
        <f>VLOOKUP(A119,多浪小镇一期!$B$5:$B$517,1,0)</f>
        <v>#N/A</v>
      </c>
      <c r="D119" s="23" t="str">
        <f>VLOOKUP(A119,多浪小镇二期!$B$4:$B$490,1,0)</f>
        <v>A2-2-601</v>
      </c>
    </row>
    <row r="120" spans="1:4">
      <c r="A120" t="s">
        <v>2059</v>
      </c>
      <c r="B120" s="22">
        <v>116000</v>
      </c>
      <c r="C120" s="23" t="e">
        <f>VLOOKUP(A120,多浪小镇一期!$B$5:$B$517,1,0)</f>
        <v>#N/A</v>
      </c>
      <c r="D120" s="23" t="str">
        <f>VLOOKUP(A120,多浪小镇二期!$B$4:$B$490,1,0)</f>
        <v>A2-2-602</v>
      </c>
    </row>
    <row r="121" spans="1:4">
      <c r="A121" t="s">
        <v>2061</v>
      </c>
      <c r="B121" s="22">
        <v>232258</v>
      </c>
      <c r="C121" s="23" t="e">
        <f>VLOOKUP(A121,多浪小镇一期!$B$5:$B$517,1,0)</f>
        <v>#N/A</v>
      </c>
      <c r="D121" s="23" t="str">
        <f>VLOOKUP(A121,多浪小镇二期!$B$4:$B$490,1,0)</f>
        <v>A2-2-603</v>
      </c>
    </row>
    <row r="122" spans="1:4">
      <c r="A122" t="s">
        <v>2063</v>
      </c>
      <c r="B122" s="22">
        <v>292000</v>
      </c>
      <c r="C122" s="23" t="e">
        <f>VLOOKUP(A122,多浪小镇一期!$B$5:$B$517,1,0)</f>
        <v>#N/A</v>
      </c>
      <c r="D122" s="23" t="str">
        <f>VLOOKUP(A122,多浪小镇二期!$B$4:$B$490,1,0)</f>
        <v>A2-3-201</v>
      </c>
    </row>
    <row r="123" spans="1:4">
      <c r="A123" t="s">
        <v>2065</v>
      </c>
      <c r="B123" s="22">
        <v>163108</v>
      </c>
      <c r="C123" s="23" t="e">
        <f>VLOOKUP(A123,多浪小镇一期!$B$5:$B$517,1,0)</f>
        <v>#N/A</v>
      </c>
      <c r="D123" s="23" t="str">
        <f>VLOOKUP(A123,多浪小镇二期!$B$4:$B$490,1,0)</f>
        <v>A2-3-202</v>
      </c>
    </row>
    <row r="124" spans="1:4">
      <c r="A124" t="s">
        <v>2067</v>
      </c>
      <c r="B124" s="22">
        <v>229000</v>
      </c>
      <c r="C124" s="23" t="e">
        <f>VLOOKUP(A124,多浪小镇一期!$B$5:$B$517,1,0)</f>
        <v>#N/A</v>
      </c>
      <c r="D124" s="23" t="str">
        <f>VLOOKUP(A124,多浪小镇二期!$B$4:$B$490,1,0)</f>
        <v>A2-3-203</v>
      </c>
    </row>
    <row r="125" spans="1:4">
      <c r="A125" t="s">
        <v>2069</v>
      </c>
      <c r="B125" s="22">
        <v>283000</v>
      </c>
      <c r="C125" s="23" t="e">
        <f>VLOOKUP(A125,多浪小镇一期!$B$5:$B$517,1,0)</f>
        <v>#N/A</v>
      </c>
      <c r="D125" s="23" t="str">
        <f>VLOOKUP(A125,多浪小镇二期!$B$4:$B$490,1,0)</f>
        <v>A2-3-301</v>
      </c>
    </row>
    <row r="126" spans="1:4">
      <c r="A126" t="s">
        <v>2071</v>
      </c>
      <c r="B126" s="22">
        <v>160970</v>
      </c>
      <c r="C126" s="23" t="e">
        <f>VLOOKUP(A126,多浪小镇一期!$B$5:$B$517,1,0)</f>
        <v>#N/A</v>
      </c>
      <c r="D126" s="23" t="str">
        <f>VLOOKUP(A126,多浪小镇二期!$B$4:$B$490,1,0)</f>
        <v>A2-3-302</v>
      </c>
    </row>
    <row r="127" spans="1:4">
      <c r="A127" t="s">
        <v>2073</v>
      </c>
      <c r="B127" s="22">
        <v>238979</v>
      </c>
      <c r="C127" s="23" t="e">
        <f>VLOOKUP(A127,多浪小镇一期!$B$5:$B$517,1,0)</f>
        <v>#N/A</v>
      </c>
      <c r="D127" s="23" t="str">
        <f>VLOOKUP(A127,多浪小镇二期!$B$4:$B$490,1,0)</f>
        <v>A2-3-303</v>
      </c>
    </row>
    <row r="128" spans="1:4">
      <c r="A128" t="s">
        <v>2075</v>
      </c>
      <c r="B128" s="22">
        <v>292000.01</v>
      </c>
      <c r="C128" s="23" t="e">
        <f>VLOOKUP(A128,多浪小镇一期!$B$5:$B$517,1,0)</f>
        <v>#N/A</v>
      </c>
      <c r="D128" s="23" t="str">
        <f>VLOOKUP(A128,多浪小镇二期!$B$4:$B$490,1,0)</f>
        <v>A2-3-401</v>
      </c>
    </row>
    <row r="129" spans="1:4">
      <c r="A129" t="s">
        <v>2077</v>
      </c>
      <c r="B129" s="22">
        <v>151000</v>
      </c>
      <c r="C129" s="23" t="e">
        <f>VLOOKUP(A129,多浪小镇一期!$B$5:$B$517,1,0)</f>
        <v>#N/A</v>
      </c>
      <c r="D129" s="23" t="str">
        <f>VLOOKUP(A129,多浪小镇二期!$B$4:$B$490,1,0)</f>
        <v>A2-3-402</v>
      </c>
    </row>
    <row r="130" spans="1:4">
      <c r="A130" t="s">
        <v>2079</v>
      </c>
      <c r="B130" s="22">
        <v>224394</v>
      </c>
      <c r="C130" s="23" t="e">
        <f>VLOOKUP(A130,多浪小镇一期!$B$5:$B$517,1,0)</f>
        <v>#N/A</v>
      </c>
      <c r="D130" s="23" t="str">
        <f>VLOOKUP(A130,多浪小镇二期!$B$4:$B$490,1,0)</f>
        <v>A2-3-403</v>
      </c>
    </row>
    <row r="131" spans="1:4">
      <c r="A131" t="s">
        <v>2081</v>
      </c>
      <c r="B131" s="22">
        <v>264460</v>
      </c>
      <c r="C131" s="23" t="e">
        <f>VLOOKUP(A131,多浪小镇一期!$B$5:$B$517,1,0)</f>
        <v>#N/A</v>
      </c>
      <c r="D131" s="23" t="str">
        <f>VLOOKUP(A131,多浪小镇二期!$B$4:$B$490,1,0)</f>
        <v>A2-3-501</v>
      </c>
    </row>
    <row r="132" spans="1:4">
      <c r="A132" t="s">
        <v>2083</v>
      </c>
      <c r="B132" s="22">
        <v>145022</v>
      </c>
      <c r="C132" s="23" t="e">
        <f>VLOOKUP(A132,多浪小镇一期!$B$5:$B$517,1,0)</f>
        <v>#N/A</v>
      </c>
      <c r="D132" s="23" t="str">
        <f>VLOOKUP(A132,多浪小镇二期!$B$4:$B$490,1,0)</f>
        <v>A2-3-502</v>
      </c>
    </row>
    <row r="133" spans="1:4">
      <c r="A133" t="s">
        <v>2085</v>
      </c>
      <c r="B133" s="22">
        <v>211997</v>
      </c>
      <c r="C133" s="23" t="e">
        <f>VLOOKUP(A133,多浪小镇一期!$B$5:$B$517,1,0)</f>
        <v>#N/A</v>
      </c>
      <c r="D133" s="23" t="str">
        <f>VLOOKUP(A133,多浪小镇二期!$B$4:$B$490,1,0)</f>
        <v>A2-3-503</v>
      </c>
    </row>
    <row r="134" spans="1:4">
      <c r="A134" t="s">
        <v>2087</v>
      </c>
      <c r="B134" s="22">
        <v>250293</v>
      </c>
      <c r="C134" s="23" t="e">
        <f>VLOOKUP(A134,多浪小镇一期!$B$5:$B$517,1,0)</f>
        <v>#N/A</v>
      </c>
      <c r="D134" s="23" t="str">
        <f>VLOOKUP(A134,多浪小镇二期!$B$4:$B$490,1,0)</f>
        <v>A2-3-601</v>
      </c>
    </row>
    <row r="135" spans="1:4">
      <c r="A135" t="s">
        <v>2089</v>
      </c>
      <c r="B135" s="22">
        <v>153257</v>
      </c>
      <c r="C135" s="23" t="e">
        <f>VLOOKUP(A135,多浪小镇一期!$B$5:$B$517,1,0)</f>
        <v>#N/A</v>
      </c>
      <c r="D135" s="23" t="str">
        <f>VLOOKUP(A135,多浪小镇二期!$B$4:$B$490,1,0)</f>
        <v>A2-3-602</v>
      </c>
    </row>
    <row r="136" spans="1:4">
      <c r="A136" t="s">
        <v>2091</v>
      </c>
      <c r="B136" s="22">
        <v>200434</v>
      </c>
      <c r="C136" s="23" t="e">
        <f>VLOOKUP(A136,多浪小镇一期!$B$5:$B$517,1,0)</f>
        <v>#N/A</v>
      </c>
      <c r="D136" s="23" t="str">
        <f>VLOOKUP(A136,多浪小镇二期!$B$4:$B$490,1,0)</f>
        <v>A2-3-603</v>
      </c>
    </row>
    <row r="137" spans="1:4">
      <c r="A137" t="s">
        <v>2790</v>
      </c>
      <c r="B137" s="22">
        <v>35000</v>
      </c>
      <c r="C137" s="23" t="e">
        <f>VLOOKUP(A137,多浪小镇一期!$B$5:$B$517,1,0)</f>
        <v>#N/A</v>
      </c>
      <c r="D137" s="23" t="str">
        <f>VLOOKUP(A137,多浪小镇二期!$B$4:$B$490,1,0)</f>
        <v>A3-101</v>
      </c>
    </row>
    <row r="138" spans="1:4">
      <c r="A138" t="s">
        <v>2791</v>
      </c>
      <c r="B138" s="22">
        <v>137500</v>
      </c>
      <c r="C138" s="23" t="e">
        <f>VLOOKUP(A138,多浪小镇一期!$B$5:$B$517,1,0)</f>
        <v>#N/A</v>
      </c>
      <c r="D138" s="23" t="str">
        <f>VLOOKUP(A138,多浪小镇二期!$B$4:$B$490,1,0)</f>
        <v>A3-102</v>
      </c>
    </row>
    <row r="139" spans="1:4">
      <c r="A139" t="s">
        <v>2793</v>
      </c>
      <c r="B139" s="22">
        <v>450000</v>
      </c>
      <c r="C139" s="23" t="e">
        <f>VLOOKUP(A139,多浪小镇一期!$B$5:$B$517,1,0)</f>
        <v>#N/A</v>
      </c>
      <c r="D139" s="23" t="str">
        <f>VLOOKUP(A139,多浪小镇二期!$B$4:$B$490,1,0)</f>
        <v>A3-103</v>
      </c>
    </row>
    <row r="140" spans="1:4">
      <c r="A140" t="s">
        <v>2795</v>
      </c>
      <c r="B140" s="22">
        <v>269760</v>
      </c>
      <c r="C140" s="23" t="e">
        <f>VLOOKUP(A140,多浪小镇一期!$B$5:$B$517,1,0)</f>
        <v>#N/A</v>
      </c>
      <c r="D140" s="23" t="str">
        <f>VLOOKUP(A140,多浪小镇二期!$B$4:$B$490,1,0)</f>
        <v>A3-104</v>
      </c>
    </row>
    <row r="141" spans="1:4">
      <c r="A141" t="s">
        <v>2797</v>
      </c>
      <c r="B141" s="22">
        <v>140000</v>
      </c>
      <c r="C141" s="23" t="e">
        <f>VLOOKUP(A141,多浪小镇一期!$B$5:$B$517,1,0)</f>
        <v>#N/A</v>
      </c>
      <c r="D141" s="23" t="str">
        <f>VLOOKUP(A141,多浪小镇二期!$B$4:$B$490,1,0)</f>
        <v>A3-106</v>
      </c>
    </row>
    <row r="142" spans="1:4">
      <c r="A142" t="s">
        <v>2799</v>
      </c>
      <c r="B142" s="22">
        <v>237120</v>
      </c>
      <c r="C142" s="23" t="e">
        <f>VLOOKUP(A142,多浪小镇一期!$B$5:$B$517,1,0)</f>
        <v>#N/A</v>
      </c>
      <c r="D142" s="23" t="str">
        <f>VLOOKUP(A142,多浪小镇二期!$B$4:$B$490,1,0)</f>
        <v>A3-107</v>
      </c>
    </row>
    <row r="143" spans="1:4">
      <c r="A143" t="s">
        <v>2801</v>
      </c>
      <c r="B143" s="22">
        <v>456057</v>
      </c>
      <c r="C143" s="23" t="e">
        <f>VLOOKUP(A143,多浪小镇一期!$B$5:$B$517,1,0)</f>
        <v>#N/A</v>
      </c>
      <c r="D143" s="23" t="str">
        <f>VLOOKUP(A143,多浪小镇二期!$B$4:$B$490,1,0)</f>
        <v>A3-108</v>
      </c>
    </row>
    <row r="144" spans="1:4">
      <c r="A144" t="s">
        <v>2803</v>
      </c>
      <c r="B144" s="22">
        <v>269000</v>
      </c>
      <c r="C144" s="23" t="e">
        <f>VLOOKUP(A144,多浪小镇一期!$B$5:$B$517,1,0)</f>
        <v>#N/A</v>
      </c>
      <c r="D144" s="23" t="str">
        <f>VLOOKUP(A144,多浪小镇二期!$B$4:$B$490,1,0)</f>
        <v>A3-109</v>
      </c>
    </row>
    <row r="145" spans="1:4">
      <c r="A145" t="s">
        <v>2805</v>
      </c>
      <c r="B145" s="22">
        <v>568638</v>
      </c>
      <c r="C145" s="23" t="e">
        <f>VLOOKUP(A145,多浪小镇一期!$B$5:$B$517,1,0)</f>
        <v>#N/A</v>
      </c>
      <c r="D145" s="23" t="str">
        <f>VLOOKUP(A145,多浪小镇二期!$B$4:$B$490,1,0)</f>
        <v>A3-110</v>
      </c>
    </row>
    <row r="146" spans="1:4">
      <c r="A146" t="s">
        <v>2807</v>
      </c>
      <c r="B146" s="22">
        <v>139025</v>
      </c>
      <c r="C146" s="23" t="e">
        <f>VLOOKUP(A146,多浪小镇一期!$B$5:$B$517,1,0)</f>
        <v>#N/A</v>
      </c>
      <c r="D146" s="23" t="str">
        <f>VLOOKUP(A146,多浪小镇二期!$B$4:$B$490,1,0)</f>
        <v>A3-111</v>
      </c>
    </row>
    <row r="147" spans="1:4">
      <c r="A147" t="s">
        <v>2809</v>
      </c>
      <c r="B147" s="22">
        <v>77570</v>
      </c>
      <c r="C147" s="23" t="e">
        <f>VLOOKUP(A147,多浪小镇一期!$B$5:$B$517,1,0)</f>
        <v>#N/A</v>
      </c>
      <c r="D147" s="23" t="str">
        <f>VLOOKUP(A147,多浪小镇二期!$B$4:$B$490,1,0)</f>
        <v>A3-112</v>
      </c>
    </row>
    <row r="148" spans="1:4">
      <c r="A148" t="s">
        <v>2811</v>
      </c>
      <c r="B148" s="22">
        <v>456813</v>
      </c>
      <c r="C148" s="23" t="e">
        <f>VLOOKUP(A148,多浪小镇一期!$B$5:$B$517,1,0)</f>
        <v>#N/A</v>
      </c>
      <c r="D148" s="23" t="str">
        <f>VLOOKUP(A148,多浪小镇二期!$B$4:$B$490,1,0)</f>
        <v>A3-113</v>
      </c>
    </row>
    <row r="149" spans="1:4">
      <c r="A149" t="s">
        <v>2813</v>
      </c>
      <c r="B149" s="22">
        <v>279204</v>
      </c>
      <c r="C149" s="23" t="e">
        <f>VLOOKUP(A149,多浪小镇一期!$B$5:$B$517,1,0)</f>
        <v>#N/A</v>
      </c>
      <c r="D149" s="23" t="str">
        <f>VLOOKUP(A149,多浪小镇二期!$B$4:$B$490,1,0)</f>
        <v>A3-114</v>
      </c>
    </row>
    <row r="150" spans="1:4">
      <c r="A150" t="s">
        <v>2816</v>
      </c>
      <c r="B150" s="22">
        <v>137768</v>
      </c>
      <c r="C150" s="23" t="e">
        <f>VLOOKUP(A150,多浪小镇一期!$B$5:$B$517,1,0)</f>
        <v>#N/A</v>
      </c>
      <c r="D150" s="23" t="str">
        <f>VLOOKUP(A150,多浪小镇二期!$B$4:$B$490,1,0)</f>
        <v>A3-116</v>
      </c>
    </row>
    <row r="151" spans="1:4">
      <c r="A151" t="s">
        <v>2818</v>
      </c>
      <c r="B151" s="22">
        <v>393954</v>
      </c>
      <c r="C151" s="23" t="e">
        <f>VLOOKUP(A151,多浪小镇一期!$B$5:$B$517,1,0)</f>
        <v>#N/A</v>
      </c>
      <c r="D151" s="23" t="str">
        <f>VLOOKUP(A151,多浪小镇二期!$B$4:$B$490,1,0)</f>
        <v>A3-117</v>
      </c>
    </row>
    <row r="152" spans="1:4">
      <c r="A152" t="s">
        <v>5200</v>
      </c>
      <c r="B152" s="22">
        <v>69157</v>
      </c>
      <c r="C152" s="23" t="e">
        <f>VLOOKUP(A152,多浪小镇一期!$B$5:$B$517,1,0)</f>
        <v>#N/A</v>
      </c>
      <c r="D152" s="23" t="e">
        <f>VLOOKUP(A152,多浪小镇二期!$B$4:$B$490,1,0)</f>
        <v>#N/A</v>
      </c>
    </row>
    <row r="153" spans="1:5">
      <c r="A153" t="s">
        <v>2093</v>
      </c>
      <c r="B153" s="22">
        <v>280014</v>
      </c>
      <c r="C153" s="23" t="e">
        <f>VLOOKUP(A153,多浪小镇一期!$B$5:$B$517,1,0)</f>
        <v>#N/A</v>
      </c>
      <c r="D153" s="23" t="str">
        <f>VLOOKUP(A153,多浪小镇二期!$B$4:$B$490,1,0)</f>
        <v>A3-1-201</v>
      </c>
      <c r="E153" t="s">
        <v>2809</v>
      </c>
    </row>
    <row r="154" spans="1:4">
      <c r="A154" t="s">
        <v>2095</v>
      </c>
      <c r="B154" s="22">
        <v>162166</v>
      </c>
      <c r="C154" s="23" t="e">
        <f>VLOOKUP(A154,多浪小镇一期!$B$5:$B$517,1,0)</f>
        <v>#N/A</v>
      </c>
      <c r="D154" s="23" t="str">
        <f>VLOOKUP(A154,多浪小镇二期!$B$4:$B$490,1,0)</f>
        <v>A3-1-202</v>
      </c>
    </row>
    <row r="155" spans="1:4">
      <c r="A155" t="s">
        <v>2097</v>
      </c>
      <c r="B155" s="22">
        <v>254968</v>
      </c>
      <c r="C155" s="23" t="e">
        <f>VLOOKUP(A155,多浪小镇一期!$B$5:$B$517,1,0)</f>
        <v>#N/A</v>
      </c>
      <c r="D155" s="23" t="str">
        <f>VLOOKUP(A155,多浪小镇二期!$B$4:$B$490,1,0)</f>
        <v>A3-1-203</v>
      </c>
    </row>
    <row r="156" spans="1:4">
      <c r="A156" t="s">
        <v>2099</v>
      </c>
      <c r="B156" s="22">
        <v>292415</v>
      </c>
      <c r="C156" s="23" t="e">
        <f>VLOOKUP(A156,多浪小镇一期!$B$5:$B$517,1,0)</f>
        <v>#N/A</v>
      </c>
      <c r="D156" s="23" t="str">
        <f>VLOOKUP(A156,多浪小镇二期!$B$4:$B$490,1,0)</f>
        <v>A3-1-301</v>
      </c>
    </row>
    <row r="157" spans="1:4">
      <c r="A157" t="s">
        <v>2101</v>
      </c>
      <c r="B157" s="22">
        <v>160973</v>
      </c>
      <c r="C157" s="23" t="e">
        <f>VLOOKUP(A157,多浪小镇一期!$B$5:$B$517,1,0)</f>
        <v>#N/A</v>
      </c>
      <c r="D157" s="23" t="str">
        <f>VLOOKUP(A157,多浪小镇二期!$B$4:$B$490,1,0)</f>
        <v>A3-1-302</v>
      </c>
    </row>
    <row r="158" spans="1:4">
      <c r="A158" t="s">
        <v>2103</v>
      </c>
      <c r="B158" s="22">
        <v>227650</v>
      </c>
      <c r="C158" s="23" t="e">
        <f>VLOOKUP(A158,多浪小镇一期!$B$5:$B$517,1,0)</f>
        <v>#N/A</v>
      </c>
      <c r="D158" s="23" t="str">
        <f>VLOOKUP(A158,多浪小镇二期!$B$4:$B$490,1,0)</f>
        <v>A3-1-303</v>
      </c>
    </row>
    <row r="159" spans="1:4">
      <c r="A159" t="s">
        <v>5197</v>
      </c>
      <c r="B159" s="22">
        <v>9524</v>
      </c>
      <c r="C159" s="23" t="e">
        <f>VLOOKUP(A159,多浪小镇一期!$B$5:$B$517,1,0)</f>
        <v>#N/A</v>
      </c>
      <c r="D159" s="23" t="e">
        <f>VLOOKUP(A159,多浪小镇二期!$B$4:$B$490,1,0)</f>
        <v>#N/A</v>
      </c>
    </row>
    <row r="160" spans="1:5">
      <c r="A160" t="s">
        <v>2105</v>
      </c>
      <c r="B160" s="22">
        <v>280014</v>
      </c>
      <c r="C160" s="23" t="e">
        <f>VLOOKUP(A160,多浪小镇一期!$B$5:$B$517,1,0)</f>
        <v>#N/A</v>
      </c>
      <c r="D160" s="23" t="str">
        <f>VLOOKUP(A160,多浪小镇二期!$B$4:$B$490,1,0)</f>
        <v>A3-1-401</v>
      </c>
      <c r="E160" t="s">
        <v>2813</v>
      </c>
    </row>
    <row r="161" spans="1:4">
      <c r="A161" t="s">
        <v>2107</v>
      </c>
      <c r="B161" s="22">
        <v>155000</v>
      </c>
      <c r="C161" s="23" t="e">
        <f>VLOOKUP(A161,多浪小镇一期!$B$5:$B$517,1,0)</f>
        <v>#N/A</v>
      </c>
      <c r="D161" s="23" t="str">
        <f>VLOOKUP(A161,多浪小镇二期!$B$4:$B$490,1,0)</f>
        <v>A3-1-402</v>
      </c>
    </row>
    <row r="162" spans="1:4">
      <c r="A162" t="s">
        <v>2109</v>
      </c>
      <c r="B162" s="22">
        <v>219800</v>
      </c>
      <c r="C162" s="23" t="e">
        <f>VLOOKUP(A162,多浪小镇一期!$B$5:$B$517,1,0)</f>
        <v>#N/A</v>
      </c>
      <c r="D162" s="23" t="str">
        <f>VLOOKUP(A162,多浪小镇二期!$B$4:$B$490,1,0)</f>
        <v>A3-1-403</v>
      </c>
    </row>
    <row r="163" spans="1:4">
      <c r="A163" t="s">
        <v>2111</v>
      </c>
      <c r="B163" s="22">
        <v>265776</v>
      </c>
      <c r="C163" s="23" t="e">
        <f>VLOOKUP(A163,多浪小镇一期!$B$5:$B$517,1,0)</f>
        <v>#N/A</v>
      </c>
      <c r="D163" s="23" t="str">
        <f>VLOOKUP(A163,多浪小镇二期!$B$4:$B$490,1,0)</f>
        <v>A3-1-501</v>
      </c>
    </row>
    <row r="164" spans="1:4">
      <c r="A164" t="s">
        <v>2113</v>
      </c>
      <c r="B164" s="22">
        <v>148257</v>
      </c>
      <c r="C164" s="23" t="e">
        <f>VLOOKUP(A164,多浪小镇一期!$B$5:$B$517,1,0)</f>
        <v>#N/A</v>
      </c>
      <c r="D164" s="23" t="str">
        <f>VLOOKUP(A164,多浪小镇二期!$B$4:$B$490,1,0)</f>
        <v>A3-1-502</v>
      </c>
    </row>
    <row r="165" spans="1:4">
      <c r="A165" t="s">
        <v>2115</v>
      </c>
      <c r="B165" s="22">
        <v>219800</v>
      </c>
      <c r="C165" s="23" t="e">
        <f>VLOOKUP(A165,多浪小镇一期!$B$5:$B$517,1,0)</f>
        <v>#N/A</v>
      </c>
      <c r="D165" s="23" t="str">
        <f>VLOOKUP(A165,多浪小镇二期!$B$4:$B$490,1,0)</f>
        <v>A3-1-503</v>
      </c>
    </row>
    <row r="166" spans="1:4">
      <c r="A166" t="s">
        <v>2117</v>
      </c>
      <c r="B166" s="22">
        <v>246792</v>
      </c>
      <c r="C166" s="23" t="e">
        <f>VLOOKUP(A166,多浪小镇一期!$B$5:$B$517,1,0)</f>
        <v>#N/A</v>
      </c>
      <c r="D166" s="23" t="str">
        <f>VLOOKUP(A166,多浪小镇二期!$B$4:$B$490,1,0)</f>
        <v>A3-1-601</v>
      </c>
    </row>
    <row r="167" spans="1:4">
      <c r="A167" t="s">
        <v>2119</v>
      </c>
      <c r="B167" s="22">
        <v>148230</v>
      </c>
      <c r="C167" s="23" t="e">
        <f>VLOOKUP(A167,多浪小镇一期!$B$5:$B$517,1,0)</f>
        <v>#N/A</v>
      </c>
      <c r="D167" s="23" t="str">
        <f>VLOOKUP(A167,多浪小镇二期!$B$4:$B$490,1,0)</f>
        <v>A3-1-602</v>
      </c>
    </row>
    <row r="168" spans="1:4">
      <c r="A168" t="s">
        <v>2121</v>
      </c>
      <c r="B168" s="22">
        <v>204100</v>
      </c>
      <c r="C168" s="23" t="e">
        <f>VLOOKUP(A168,多浪小镇一期!$B$5:$B$517,1,0)</f>
        <v>#N/A</v>
      </c>
      <c r="D168" s="23" t="str">
        <f>VLOOKUP(A168,多浪小镇二期!$B$4:$B$490,1,0)</f>
        <v>A3-1-603</v>
      </c>
    </row>
    <row r="169" spans="1:4">
      <c r="A169" t="s">
        <v>2123</v>
      </c>
      <c r="B169" s="22">
        <v>10000</v>
      </c>
      <c r="C169" s="23" t="e">
        <f>VLOOKUP(A169,多浪小镇一期!$B$5:$B$517,1,0)</f>
        <v>#N/A</v>
      </c>
      <c r="D169" s="23" t="str">
        <f>VLOOKUP(A169,多浪小镇二期!$B$4:$B$490,1,0)</f>
        <v>A3-2-201</v>
      </c>
    </row>
    <row r="170" spans="1:4">
      <c r="A170" t="s">
        <v>2125</v>
      </c>
      <c r="B170" s="22">
        <v>133725</v>
      </c>
      <c r="C170" s="23" t="e">
        <f>VLOOKUP(A170,多浪小镇一期!$B$5:$B$517,1,0)</f>
        <v>#N/A</v>
      </c>
      <c r="D170" s="23" t="str">
        <f>VLOOKUP(A170,多浪小镇二期!$B$4:$B$490,1,0)</f>
        <v>A3-2-202</v>
      </c>
    </row>
    <row r="171" spans="1:4">
      <c r="A171" t="s">
        <v>2127</v>
      </c>
      <c r="B171" s="22">
        <v>281861</v>
      </c>
      <c r="C171" s="23" t="e">
        <f>VLOOKUP(A171,多浪小镇一期!$B$5:$B$517,1,0)</f>
        <v>#N/A</v>
      </c>
      <c r="D171" s="23" t="str">
        <f>VLOOKUP(A171,多浪小镇二期!$B$4:$B$490,1,0)</f>
        <v>A3-2-203</v>
      </c>
    </row>
    <row r="172" spans="1:4">
      <c r="A172" t="s">
        <v>2131</v>
      </c>
      <c r="B172" s="22">
        <v>283290</v>
      </c>
      <c r="C172" s="23" t="e">
        <f>VLOOKUP(A172,多浪小镇一期!$B$5:$B$517,1,0)</f>
        <v>#N/A</v>
      </c>
      <c r="D172" s="23" t="str">
        <f>VLOOKUP(A172,多浪小镇二期!$B$4:$B$490,1,0)</f>
        <v>A3-2-301</v>
      </c>
    </row>
    <row r="173" spans="1:4">
      <c r="A173" t="s">
        <v>2133</v>
      </c>
      <c r="B173" s="22">
        <v>132000</v>
      </c>
      <c r="C173" s="23" t="e">
        <f>VLOOKUP(A173,多浪小镇一期!$B$5:$B$517,1,0)</f>
        <v>#N/A</v>
      </c>
      <c r="D173" s="23" t="str">
        <f>VLOOKUP(A173,多浪小镇二期!$B$4:$B$490,1,0)</f>
        <v>A3-2-302</v>
      </c>
    </row>
    <row r="174" spans="1:4">
      <c r="A174" t="s">
        <v>2135</v>
      </c>
      <c r="B174" s="22">
        <v>267930</v>
      </c>
      <c r="C174" s="23" t="e">
        <f>VLOOKUP(A174,多浪小镇一期!$B$5:$B$517,1,0)</f>
        <v>#N/A</v>
      </c>
      <c r="D174" s="23" t="str">
        <f>VLOOKUP(A174,多浪小镇二期!$B$4:$B$490,1,0)</f>
        <v>A3-2-303</v>
      </c>
    </row>
    <row r="175" spans="1:4">
      <c r="A175" t="s">
        <v>2137</v>
      </c>
      <c r="B175" s="22">
        <v>280000</v>
      </c>
      <c r="C175" s="23" t="e">
        <f>VLOOKUP(A175,多浪小镇一期!$B$5:$B$517,1,0)</f>
        <v>#N/A</v>
      </c>
      <c r="D175" s="23" t="str">
        <f>VLOOKUP(A175,多浪小镇二期!$B$4:$B$490,1,0)</f>
        <v>A3-2-401</v>
      </c>
    </row>
    <row r="176" spans="1:4">
      <c r="A176" t="s">
        <v>2139</v>
      </c>
      <c r="B176" s="22">
        <v>124891</v>
      </c>
      <c r="C176" s="23" t="e">
        <f>VLOOKUP(A176,多浪小镇一期!$B$5:$B$517,1,0)</f>
        <v>#N/A</v>
      </c>
      <c r="D176" s="23" t="str">
        <f>VLOOKUP(A176,多浪小镇二期!$B$4:$B$490,1,0)</f>
        <v>A3-2-402</v>
      </c>
    </row>
    <row r="177" spans="1:4">
      <c r="A177" t="s">
        <v>2141</v>
      </c>
      <c r="B177" s="22">
        <v>254534</v>
      </c>
      <c r="C177" s="23" t="e">
        <f>VLOOKUP(A177,多浪小镇一期!$B$5:$B$517,1,0)</f>
        <v>#N/A</v>
      </c>
      <c r="D177" s="23" t="str">
        <f>VLOOKUP(A177,多浪小镇二期!$B$4:$B$490,1,0)</f>
        <v>A3-2-403</v>
      </c>
    </row>
    <row r="178" spans="1:4">
      <c r="A178" t="s">
        <v>2143</v>
      </c>
      <c r="B178" s="22">
        <v>264404</v>
      </c>
      <c r="C178" s="23" t="e">
        <f>VLOOKUP(A178,多浪小镇一期!$B$5:$B$517,1,0)</f>
        <v>#N/A</v>
      </c>
      <c r="D178" s="23" t="str">
        <f>VLOOKUP(A178,多浪小镇二期!$B$4:$B$490,1,0)</f>
        <v>A3-2-501</v>
      </c>
    </row>
    <row r="179" spans="1:4">
      <c r="A179" t="s">
        <v>2145</v>
      </c>
      <c r="B179" s="22">
        <v>117279</v>
      </c>
      <c r="C179" s="23" t="e">
        <f>VLOOKUP(A179,多浪小镇一期!$B$5:$B$517,1,0)</f>
        <v>#N/A</v>
      </c>
      <c r="D179" s="23" t="str">
        <f>VLOOKUP(A179,多浪小镇二期!$B$4:$B$490,1,0)</f>
        <v>A3-2-502</v>
      </c>
    </row>
    <row r="180" spans="1:4">
      <c r="A180" t="s">
        <v>2147</v>
      </c>
      <c r="B180" s="22">
        <v>250000</v>
      </c>
      <c r="C180" s="23" t="e">
        <f>VLOOKUP(A180,多浪小镇一期!$B$5:$B$517,1,0)</f>
        <v>#N/A</v>
      </c>
      <c r="D180" s="23" t="str">
        <f>VLOOKUP(A180,多浪小镇二期!$B$4:$B$490,1,0)</f>
        <v>A3-2-503</v>
      </c>
    </row>
    <row r="181" spans="1:4">
      <c r="A181" t="s">
        <v>2149</v>
      </c>
      <c r="B181" s="22">
        <v>245518</v>
      </c>
      <c r="C181" s="23" t="e">
        <f>VLOOKUP(A181,多浪小镇一期!$B$5:$B$517,1,0)</f>
        <v>#N/A</v>
      </c>
      <c r="D181" s="23" t="str">
        <f>VLOOKUP(A181,多浪小镇二期!$B$4:$B$490,1,0)</f>
        <v>A3-2-601</v>
      </c>
    </row>
    <row r="182" spans="1:4">
      <c r="A182" t="s">
        <v>2151</v>
      </c>
      <c r="B182" s="22">
        <v>116839</v>
      </c>
      <c r="C182" s="23" t="e">
        <f>VLOOKUP(A182,多浪小镇一期!$B$5:$B$517,1,0)</f>
        <v>#N/A</v>
      </c>
      <c r="D182" s="23" t="str">
        <f>VLOOKUP(A182,多浪小镇二期!$B$4:$B$490,1,0)</f>
        <v>A3-2-602</v>
      </c>
    </row>
    <row r="183" spans="1:4">
      <c r="A183" t="s">
        <v>2153</v>
      </c>
      <c r="B183" s="22">
        <v>232206</v>
      </c>
      <c r="C183" s="23" t="e">
        <f>VLOOKUP(A183,多浪小镇一期!$B$5:$B$517,1,0)</f>
        <v>#N/A</v>
      </c>
      <c r="D183" s="23" t="str">
        <f>VLOOKUP(A183,多浪小镇二期!$B$4:$B$490,1,0)</f>
        <v>A3-2-603</v>
      </c>
    </row>
    <row r="184" spans="1:4">
      <c r="A184" t="s">
        <v>2155</v>
      </c>
      <c r="B184" s="22">
        <v>316341</v>
      </c>
      <c r="C184" s="23" t="e">
        <f>VLOOKUP(A184,多浪小镇一期!$B$5:$B$517,1,0)</f>
        <v>#N/A</v>
      </c>
      <c r="D184" s="23" t="str">
        <f>VLOOKUP(A184,多浪小镇二期!$B$4:$B$490,1,0)</f>
        <v>A3-3-201</v>
      </c>
    </row>
    <row r="185" spans="1:4">
      <c r="A185" t="s">
        <v>2157</v>
      </c>
      <c r="B185" s="22">
        <v>163688</v>
      </c>
      <c r="C185" s="23" t="e">
        <f>VLOOKUP(A185,多浪小镇一期!$B$5:$B$517,1,0)</f>
        <v>#N/A</v>
      </c>
      <c r="D185" s="23" t="str">
        <f>VLOOKUP(A185,多浪小镇二期!$B$4:$B$490,1,0)</f>
        <v>A3-3-202</v>
      </c>
    </row>
    <row r="186" spans="1:4">
      <c r="A186" t="s">
        <v>2159</v>
      </c>
      <c r="B186" s="22">
        <v>140000</v>
      </c>
      <c r="C186" s="23" t="e">
        <f>VLOOKUP(A186,多浪小镇一期!$B$5:$B$517,1,0)</f>
        <v>#N/A</v>
      </c>
      <c r="D186" s="23" t="str">
        <f>VLOOKUP(A186,多浪小镇二期!$B$4:$B$490,1,0)</f>
        <v>A3-3-203</v>
      </c>
    </row>
    <row r="187" spans="1:4">
      <c r="A187" t="s">
        <v>2161</v>
      </c>
      <c r="B187" s="22">
        <v>292000</v>
      </c>
      <c r="C187" s="23" t="e">
        <f>VLOOKUP(A187,多浪小镇一期!$B$5:$B$517,1,0)</f>
        <v>#N/A</v>
      </c>
      <c r="D187" s="23" t="str">
        <f>VLOOKUP(A187,多浪小镇二期!$B$4:$B$490,1,0)</f>
        <v>A3-3-301</v>
      </c>
    </row>
    <row r="188" spans="1:4">
      <c r="A188" t="s">
        <v>2163</v>
      </c>
      <c r="B188" s="22">
        <v>164700</v>
      </c>
      <c r="C188" s="23" t="e">
        <f>VLOOKUP(A188,多浪小镇一期!$B$5:$B$517,1,0)</f>
        <v>#N/A</v>
      </c>
      <c r="D188" s="23" t="str">
        <f>VLOOKUP(A188,多浪小镇二期!$B$4:$B$490,1,0)</f>
        <v>A3-3-302</v>
      </c>
    </row>
    <row r="189" spans="1:4">
      <c r="A189" t="s">
        <v>2165</v>
      </c>
      <c r="B189" s="22">
        <v>242771</v>
      </c>
      <c r="C189" s="23" t="e">
        <f>VLOOKUP(A189,多浪小镇一期!$B$5:$B$517,1,0)</f>
        <v>#N/A</v>
      </c>
      <c r="D189" s="23" t="str">
        <f>VLOOKUP(A189,多浪小镇二期!$B$4:$B$490,1,0)</f>
        <v>A3-3-303</v>
      </c>
    </row>
    <row r="190" spans="1:4">
      <c r="A190" t="s">
        <v>2167</v>
      </c>
      <c r="B190" s="22">
        <v>278569</v>
      </c>
      <c r="C190" s="23" t="e">
        <f>VLOOKUP(A190,多浪小镇一期!$B$5:$B$517,1,0)</f>
        <v>#N/A</v>
      </c>
      <c r="D190" s="23" t="str">
        <f>VLOOKUP(A190,多浪小镇二期!$B$4:$B$490,1,0)</f>
        <v>A3-3-401</v>
      </c>
    </row>
    <row r="191" spans="1:4">
      <c r="A191" t="s">
        <v>2169</v>
      </c>
      <c r="B191" s="22">
        <v>155453</v>
      </c>
      <c r="C191" s="23" t="e">
        <f>VLOOKUP(A191,多浪小镇一期!$B$5:$B$517,1,0)</f>
        <v>#N/A</v>
      </c>
      <c r="D191" s="23" t="str">
        <f>VLOOKUP(A191,多浪小镇二期!$B$4:$B$490,1,0)</f>
        <v>A3-3-402</v>
      </c>
    </row>
    <row r="192" spans="1:4">
      <c r="A192" t="s">
        <v>2171</v>
      </c>
      <c r="B192" s="22">
        <v>215796</v>
      </c>
      <c r="C192" s="23" t="e">
        <f>VLOOKUP(A192,多浪小镇一期!$B$5:$B$517,1,0)</f>
        <v>#N/A</v>
      </c>
      <c r="D192" s="23" t="str">
        <f>VLOOKUP(A192,多浪小镇二期!$B$4:$B$490,1,0)</f>
        <v>A3-3-403</v>
      </c>
    </row>
    <row r="193" spans="1:4">
      <c r="A193" t="s">
        <v>2173</v>
      </c>
      <c r="B193" s="22">
        <v>264404</v>
      </c>
      <c r="C193" s="23" t="e">
        <f>VLOOKUP(A193,多浪小镇一期!$B$5:$B$517,1,0)</f>
        <v>#N/A</v>
      </c>
      <c r="D193" s="23" t="str">
        <f>VLOOKUP(A193,多浪小镇二期!$B$4:$B$490,1,0)</f>
        <v>A3-3-501</v>
      </c>
    </row>
    <row r="194" spans="1:4">
      <c r="A194" t="s">
        <v>2174</v>
      </c>
      <c r="B194" s="22">
        <v>140485</v>
      </c>
      <c r="C194" s="23" t="e">
        <f>VLOOKUP(A194,多浪小镇一期!$B$5:$B$517,1,0)</f>
        <v>#N/A</v>
      </c>
      <c r="D194" s="23" t="str">
        <f>VLOOKUP(A194,多浪小镇二期!$B$4:$B$490,1,0)</f>
        <v>A3-3-502</v>
      </c>
    </row>
    <row r="195" spans="1:4">
      <c r="A195" t="s">
        <v>2177</v>
      </c>
      <c r="B195" s="22">
        <v>208089</v>
      </c>
      <c r="C195" s="23" t="e">
        <f>VLOOKUP(A195,多浪小镇一期!$B$5:$B$517,1,0)</f>
        <v>#N/A</v>
      </c>
      <c r="D195" s="23" t="str">
        <f>VLOOKUP(A195,多浪小镇二期!$B$4:$B$490,1,0)</f>
        <v>A3-3-503</v>
      </c>
    </row>
    <row r="196" spans="1:4">
      <c r="A196" t="s">
        <v>2179</v>
      </c>
      <c r="B196" s="22">
        <v>245518</v>
      </c>
      <c r="C196" s="23" t="e">
        <f>VLOOKUP(A196,多浪小镇一期!$B$5:$B$517,1,0)</f>
        <v>#N/A</v>
      </c>
      <c r="D196" s="23" t="str">
        <f>VLOOKUP(A196,多浪小镇二期!$B$4:$B$490,1,0)</f>
        <v>A3-3-601</v>
      </c>
    </row>
    <row r="197" spans="1:4">
      <c r="A197" t="s">
        <v>2181</v>
      </c>
      <c r="B197" s="22">
        <v>151485</v>
      </c>
      <c r="C197" s="23" t="e">
        <f>VLOOKUP(A197,多浪小镇一期!$B$5:$B$517,1,0)</f>
        <v>#N/A</v>
      </c>
      <c r="D197" s="23" t="str">
        <f>VLOOKUP(A197,多浪小镇二期!$B$4:$B$490,1,0)</f>
        <v>A3-3-602</v>
      </c>
    </row>
    <row r="198" spans="1:4">
      <c r="A198" t="s">
        <v>2184</v>
      </c>
      <c r="B198" s="22">
        <v>200382</v>
      </c>
      <c r="C198" s="23" t="e">
        <f>VLOOKUP(A198,多浪小镇一期!$B$5:$B$517,1,0)</f>
        <v>#N/A</v>
      </c>
      <c r="D198" s="23" t="str">
        <f>VLOOKUP(A198,多浪小镇二期!$B$4:$B$490,1,0)</f>
        <v>A3-3-603</v>
      </c>
    </row>
    <row r="199" spans="1:4">
      <c r="A199" t="s">
        <v>2820</v>
      </c>
      <c r="B199" s="22">
        <v>107030</v>
      </c>
      <c r="C199" s="23" t="e">
        <f>VLOOKUP(A199,多浪小镇一期!$B$5:$B$517,1,0)</f>
        <v>#N/A</v>
      </c>
      <c r="D199" s="23" t="str">
        <f>VLOOKUP(A199,多浪小镇二期!$B$4:$B$490,1,0)</f>
        <v>A4-101</v>
      </c>
    </row>
    <row r="200" spans="1:4">
      <c r="A200" t="s">
        <v>2822</v>
      </c>
      <c r="B200" s="22">
        <v>204672</v>
      </c>
      <c r="C200" s="23" t="e">
        <f>VLOOKUP(A200,多浪小镇一期!$B$5:$B$517,1,0)</f>
        <v>#N/A</v>
      </c>
      <c r="D200" s="23" t="str">
        <f>VLOOKUP(A200,多浪小镇二期!$B$4:$B$490,1,0)</f>
        <v>A4-102</v>
      </c>
    </row>
    <row r="201" spans="1:4">
      <c r="A201" t="s">
        <v>2825</v>
      </c>
      <c r="B201" s="22">
        <v>101654</v>
      </c>
      <c r="C201" s="23" t="e">
        <f>VLOOKUP(A201,多浪小镇一期!$B$5:$B$517,1,0)</f>
        <v>#N/A</v>
      </c>
      <c r="D201" s="23" t="str">
        <f>VLOOKUP(A201,多浪小镇二期!$B$4:$B$490,1,0)</f>
        <v>A4-104</v>
      </c>
    </row>
    <row r="202" spans="1:4">
      <c r="A202" t="s">
        <v>2827</v>
      </c>
      <c r="B202" s="22">
        <v>10000</v>
      </c>
      <c r="C202" s="23" t="e">
        <f>VLOOKUP(A202,多浪小镇一期!$B$5:$B$517,1,0)</f>
        <v>#N/A</v>
      </c>
      <c r="D202" s="23" t="str">
        <f>VLOOKUP(A202,多浪小镇二期!$B$4:$B$490,1,0)</f>
        <v>A4-105</v>
      </c>
    </row>
    <row r="203" spans="1:4">
      <c r="A203" t="s">
        <v>2831</v>
      </c>
      <c r="B203" s="22">
        <v>92064</v>
      </c>
      <c r="C203" s="23" t="e">
        <f>VLOOKUP(A203,多浪小镇一期!$B$5:$B$517,1,0)</f>
        <v>#N/A</v>
      </c>
      <c r="D203" s="23" t="str">
        <f>VLOOKUP(A203,多浪小镇二期!$B$4:$B$490,1,0)</f>
        <v>A4-108</v>
      </c>
    </row>
    <row r="204" spans="1:4">
      <c r="A204" t="s">
        <v>2833</v>
      </c>
      <c r="B204" s="22">
        <v>95900</v>
      </c>
      <c r="C204" s="23" t="e">
        <f>VLOOKUP(A204,多浪小镇一期!$B$5:$B$517,1,0)</f>
        <v>#N/A</v>
      </c>
      <c r="D204" s="23" t="str">
        <f>VLOOKUP(A204,多浪小镇二期!$B$4:$B$490,1,0)</f>
        <v>A4-109</v>
      </c>
    </row>
    <row r="205" spans="1:4">
      <c r="A205" t="s">
        <v>2837</v>
      </c>
      <c r="B205" s="22">
        <v>20000</v>
      </c>
      <c r="C205" s="23" t="e">
        <f>VLOOKUP(A205,多浪小镇一期!$B$5:$B$517,1,0)</f>
        <v>#N/A</v>
      </c>
      <c r="D205" s="23" t="str">
        <f>VLOOKUP(A205,多浪小镇二期!$B$4:$B$490,1,0)</f>
        <v>A4-112</v>
      </c>
    </row>
    <row r="206" spans="1:4">
      <c r="A206" t="s">
        <v>2839</v>
      </c>
      <c r="B206" s="22">
        <v>273400</v>
      </c>
      <c r="C206" s="23" t="e">
        <f>VLOOKUP(A206,多浪小镇一期!$B$5:$B$517,1,0)</f>
        <v>#N/A</v>
      </c>
      <c r="D206" s="23" t="str">
        <f>VLOOKUP(A206,多浪小镇二期!$B$4:$B$490,1,0)</f>
        <v>A4-113</v>
      </c>
    </row>
    <row r="207" spans="1:4">
      <c r="A207" t="s">
        <v>2841</v>
      </c>
      <c r="B207" s="22">
        <v>277000</v>
      </c>
      <c r="C207" s="23" t="e">
        <f>VLOOKUP(A207,多浪小镇一期!$B$5:$B$517,1,0)</f>
        <v>#N/A</v>
      </c>
      <c r="D207" s="23" t="str">
        <f>VLOOKUP(A207,多浪小镇二期!$B$4:$B$490,1,0)</f>
        <v>A4-114</v>
      </c>
    </row>
    <row r="208" spans="1:4">
      <c r="A208" t="s">
        <v>2842</v>
      </c>
      <c r="B208" s="22">
        <v>13000</v>
      </c>
      <c r="C208" s="23" t="e">
        <f>VLOOKUP(A208,多浪小镇一期!$B$5:$B$517,1,0)</f>
        <v>#N/A</v>
      </c>
      <c r="D208" s="23" t="str">
        <f>VLOOKUP(A208,多浪小镇二期!$B$4:$B$490,1,0)</f>
        <v>A4-115</v>
      </c>
    </row>
    <row r="209" spans="1:4">
      <c r="A209" t="s">
        <v>2846</v>
      </c>
      <c r="B209" s="22">
        <v>20000</v>
      </c>
      <c r="C209" s="23" t="e">
        <f>VLOOKUP(A209,多浪小镇一期!$B$5:$B$517,1,0)</f>
        <v>#N/A</v>
      </c>
      <c r="D209" s="23" t="str">
        <f>VLOOKUP(A209,多浪小镇二期!$B$4:$B$490,1,0)</f>
        <v>A4-118</v>
      </c>
    </row>
    <row r="210" spans="1:4">
      <c r="A210" t="s">
        <v>2848</v>
      </c>
      <c r="B210" s="22">
        <v>20000</v>
      </c>
      <c r="C210" s="23" t="e">
        <f>VLOOKUP(A210,多浪小镇一期!$B$5:$B$517,1,0)</f>
        <v>#N/A</v>
      </c>
      <c r="D210" s="23" t="str">
        <f>VLOOKUP(A210,多浪小镇二期!$B$4:$B$490,1,0)</f>
        <v>A4-119</v>
      </c>
    </row>
    <row r="211" spans="1:4">
      <c r="A211" t="s">
        <v>2186</v>
      </c>
      <c r="B211" s="22">
        <v>241694</v>
      </c>
      <c r="C211" s="23" t="e">
        <f>VLOOKUP(A211,多浪小镇一期!$B$5:$B$517,1,0)</f>
        <v>#N/A</v>
      </c>
      <c r="D211" s="23" t="str">
        <f>VLOOKUP(A211,多浪小镇二期!$B$4:$B$490,1,0)</f>
        <v>A4-1-201</v>
      </c>
    </row>
    <row r="212" spans="1:4">
      <c r="A212" t="s">
        <v>2188</v>
      </c>
      <c r="B212" s="22">
        <v>226482</v>
      </c>
      <c r="C212" s="23" t="e">
        <f>VLOOKUP(A212,多浪小镇一期!$B$5:$B$517,1,0)</f>
        <v>#N/A</v>
      </c>
      <c r="D212" s="23" t="str">
        <f>VLOOKUP(A212,多浪小镇二期!$B$4:$B$490,1,0)</f>
        <v>A4-1-202</v>
      </c>
    </row>
    <row r="213" spans="1:4">
      <c r="A213" t="s">
        <v>2851</v>
      </c>
      <c r="B213" s="22">
        <v>20000</v>
      </c>
      <c r="C213" s="23" t="e">
        <f>VLOOKUP(A213,多浪小镇一期!$B$5:$B$517,1,0)</f>
        <v>#N/A</v>
      </c>
      <c r="D213" s="23" t="str">
        <f>VLOOKUP(A213,多浪小镇二期!$B$4:$B$490,1,0)</f>
        <v>A4-122</v>
      </c>
    </row>
    <row r="214" spans="1:4">
      <c r="A214" t="s">
        <v>2852</v>
      </c>
      <c r="B214" s="22">
        <v>20000</v>
      </c>
      <c r="C214" s="23" t="e">
        <f>VLOOKUP(A214,多浪小镇一期!$B$5:$B$517,1,0)</f>
        <v>#N/A</v>
      </c>
      <c r="D214" s="23" t="str">
        <f>VLOOKUP(A214,多浪小镇二期!$B$4:$B$490,1,0)</f>
        <v>A4-123</v>
      </c>
    </row>
    <row r="215" spans="1:4">
      <c r="A215" t="s">
        <v>2855</v>
      </c>
      <c r="B215" s="22">
        <v>20000</v>
      </c>
      <c r="C215" s="23" t="e">
        <f>VLOOKUP(A215,多浪小镇一期!$B$5:$B$517,1,0)</f>
        <v>#N/A</v>
      </c>
      <c r="D215" s="23" t="str">
        <f>VLOOKUP(A215,多浪小镇二期!$B$4:$B$490,1,0)</f>
        <v>A4-126</v>
      </c>
    </row>
    <row r="216" spans="1:4">
      <c r="A216" t="s">
        <v>2190</v>
      </c>
      <c r="B216" s="22">
        <v>245790</v>
      </c>
      <c r="C216" s="23" t="e">
        <f>VLOOKUP(A216,多浪小镇一期!$B$5:$B$517,1,0)</f>
        <v>#N/A</v>
      </c>
      <c r="D216" s="23" t="str">
        <f>VLOOKUP(A216,多浪小镇二期!$B$4:$B$490,1,0)</f>
        <v>A4-1-301</v>
      </c>
    </row>
    <row r="217" spans="1:4">
      <c r="A217" t="s">
        <v>2192</v>
      </c>
      <c r="B217" s="22">
        <v>246614</v>
      </c>
      <c r="C217" s="23" t="e">
        <f>VLOOKUP(A217,多浪小镇一期!$B$5:$B$517,1,0)</f>
        <v>#N/A</v>
      </c>
      <c r="D217" s="23" t="str">
        <f>VLOOKUP(A217,多浪小镇二期!$B$4:$B$490,1,0)</f>
        <v>A4-1-302</v>
      </c>
    </row>
    <row r="218" spans="1:4">
      <c r="A218" t="s">
        <v>2195</v>
      </c>
      <c r="B218" s="22">
        <v>232433</v>
      </c>
      <c r="C218" s="23" t="e">
        <f>VLOOKUP(A218,多浪小镇一期!$B$5:$B$517,1,0)</f>
        <v>#N/A</v>
      </c>
      <c r="D218" s="23" t="str">
        <f>VLOOKUP(A218,多浪小镇二期!$B$4:$B$490,1,0)</f>
        <v>A4-1-401</v>
      </c>
    </row>
    <row r="219" spans="1:4">
      <c r="A219" t="s">
        <v>2197</v>
      </c>
      <c r="B219" s="22">
        <v>229923</v>
      </c>
      <c r="C219" s="23" t="e">
        <f>VLOOKUP(A219,多浪小镇一期!$B$5:$B$517,1,0)</f>
        <v>#N/A</v>
      </c>
      <c r="D219" s="23" t="str">
        <f>VLOOKUP(A219,多浪小镇二期!$B$4:$B$490,1,0)</f>
        <v>A4-1-402</v>
      </c>
    </row>
    <row r="220" spans="1:4">
      <c r="A220" t="s">
        <v>2198</v>
      </c>
      <c r="B220" s="22">
        <v>229404</v>
      </c>
      <c r="C220" s="23" t="e">
        <f>VLOOKUP(A220,多浪小镇一期!$B$5:$B$517,1,0)</f>
        <v>#N/A</v>
      </c>
      <c r="D220" s="23" t="str">
        <f>VLOOKUP(A220,多浪小镇二期!$B$4:$B$490,1,0)</f>
        <v>A4-1-501</v>
      </c>
    </row>
    <row r="221" spans="1:4">
      <c r="A221" t="s">
        <v>2200</v>
      </c>
      <c r="B221" s="22">
        <v>218232</v>
      </c>
      <c r="C221" s="23" t="e">
        <f>VLOOKUP(A221,多浪小镇一期!$B$5:$B$517,1,0)</f>
        <v>#N/A</v>
      </c>
      <c r="D221" s="23" t="str">
        <f>VLOOKUP(A221,多浪小镇二期!$B$4:$B$490,1,0)</f>
        <v>A4-1-502</v>
      </c>
    </row>
    <row r="222" spans="1:4">
      <c r="A222" t="s">
        <v>2202</v>
      </c>
      <c r="B222" s="22">
        <v>213018</v>
      </c>
      <c r="C222" s="23" t="e">
        <f>VLOOKUP(A222,多浪小镇一期!$B$5:$B$517,1,0)</f>
        <v>#N/A</v>
      </c>
      <c r="D222" s="23" t="str">
        <f>VLOOKUP(A222,多浪小镇二期!$B$4:$B$490,1,0)</f>
        <v>A4-1-601</v>
      </c>
    </row>
    <row r="223" spans="1:4">
      <c r="A223" t="s">
        <v>2204</v>
      </c>
      <c r="B223" s="22">
        <v>202644</v>
      </c>
      <c r="C223" s="23" t="e">
        <f>VLOOKUP(A223,多浪小镇一期!$B$5:$B$517,1,0)</f>
        <v>#N/A</v>
      </c>
      <c r="D223" s="23" t="str">
        <f>VLOOKUP(A223,多浪小镇二期!$B$4:$B$490,1,0)</f>
        <v>A4-1-602</v>
      </c>
    </row>
    <row r="224" spans="1:4">
      <c r="A224" t="s">
        <v>2206</v>
      </c>
      <c r="B224" s="22">
        <v>228820</v>
      </c>
      <c r="C224" s="23" t="e">
        <f>VLOOKUP(A224,多浪小镇一期!$B$5:$B$517,1,0)</f>
        <v>#N/A</v>
      </c>
      <c r="D224" s="23" t="str">
        <f>VLOOKUP(A224,多浪小镇二期!$B$4:$B$490,1,0)</f>
        <v>A4-2-201</v>
      </c>
    </row>
    <row r="225" spans="1:4">
      <c r="A225" t="s">
        <v>2208</v>
      </c>
      <c r="B225" s="22">
        <v>257000</v>
      </c>
      <c r="C225" s="23" t="e">
        <f>VLOOKUP(A225,多浪小镇一期!$B$5:$B$517,1,0)</f>
        <v>#N/A</v>
      </c>
      <c r="D225" s="23" t="str">
        <f>VLOOKUP(A225,多浪小镇二期!$B$4:$B$490,1,0)</f>
        <v>A4-2-202</v>
      </c>
    </row>
    <row r="226" spans="1:4">
      <c r="A226" t="s">
        <v>2211</v>
      </c>
      <c r="B226" s="22">
        <v>232261</v>
      </c>
      <c r="C226" s="23" t="e">
        <f>VLOOKUP(A226,多浪小镇一期!$B$5:$B$517,1,0)</f>
        <v>#N/A</v>
      </c>
      <c r="D226" s="23" t="str">
        <f>VLOOKUP(A226,多浪小镇二期!$B$4:$B$490,1,0)</f>
        <v>A4-2-301</v>
      </c>
    </row>
    <row r="227" spans="1:4">
      <c r="A227" t="s">
        <v>2213</v>
      </c>
      <c r="B227" s="22">
        <v>236205</v>
      </c>
      <c r="C227" s="23" t="e">
        <f>VLOOKUP(A227,多浪小镇一期!$B$5:$B$517,1,0)</f>
        <v>#N/A</v>
      </c>
      <c r="D227" s="23" t="str">
        <f>VLOOKUP(A227,多浪小镇二期!$B$4:$B$490,1,0)</f>
        <v>A4-2-302</v>
      </c>
    </row>
    <row r="228" spans="1:4">
      <c r="A228" t="s">
        <v>2215</v>
      </c>
      <c r="B228" s="22">
        <v>221739</v>
      </c>
      <c r="C228" s="23" t="e">
        <f>VLOOKUP(A228,多浪小镇一期!$B$5:$B$517,1,0)</f>
        <v>#N/A</v>
      </c>
      <c r="D228" s="23" t="str">
        <f>VLOOKUP(A228,多浪小镇二期!$B$4:$B$490,1,0)</f>
        <v>A4-2-401</v>
      </c>
    </row>
    <row r="229" spans="1:4">
      <c r="A229" t="s">
        <v>2217</v>
      </c>
      <c r="B229" s="22">
        <v>244000</v>
      </c>
      <c r="C229" s="23" t="e">
        <f>VLOOKUP(A229,多浪小镇一期!$B$5:$B$517,1,0)</f>
        <v>#N/A</v>
      </c>
      <c r="D229" s="23" t="str">
        <f>VLOOKUP(A229,多浪小镇二期!$B$4:$B$490,1,0)</f>
        <v>A4-2-402</v>
      </c>
    </row>
    <row r="230" spans="1:4">
      <c r="A230" t="s">
        <v>2219</v>
      </c>
      <c r="B230" s="22">
        <v>218232</v>
      </c>
      <c r="C230" s="23" t="e">
        <f>VLOOKUP(A230,多浪小镇一期!$B$5:$B$517,1,0)</f>
        <v>#N/A</v>
      </c>
      <c r="D230" s="23" t="str">
        <f>VLOOKUP(A230,多浪小镇二期!$B$4:$B$490,1,0)</f>
        <v>A4-2-501</v>
      </c>
    </row>
    <row r="231" spans="1:4">
      <c r="A231" t="s">
        <v>2221</v>
      </c>
      <c r="B231" s="22">
        <v>228060</v>
      </c>
      <c r="C231" s="23" t="e">
        <f>VLOOKUP(A231,多浪小镇一期!$B$5:$B$517,1,0)</f>
        <v>#N/A</v>
      </c>
      <c r="D231" s="23" t="str">
        <f>VLOOKUP(A231,多浪小镇二期!$B$4:$B$490,1,0)</f>
        <v>A4-2-502</v>
      </c>
    </row>
    <row r="232" spans="1:4">
      <c r="A232" t="s">
        <v>2223</v>
      </c>
      <c r="B232" s="22">
        <v>202644</v>
      </c>
      <c r="C232" s="23" t="e">
        <f>VLOOKUP(A232,多浪小镇一期!$B$5:$B$517,1,0)</f>
        <v>#N/A</v>
      </c>
      <c r="D232" s="23" t="str">
        <f>VLOOKUP(A232,多浪小镇二期!$B$4:$B$490,1,0)</f>
        <v>A4-2-601</v>
      </c>
    </row>
    <row r="233" spans="1:4">
      <c r="A233" t="s">
        <v>2225</v>
      </c>
      <c r="B233" s="22">
        <v>219915</v>
      </c>
      <c r="C233" s="23" t="e">
        <f>VLOOKUP(A233,多浪小镇一期!$B$5:$B$517,1,0)</f>
        <v>#N/A</v>
      </c>
      <c r="D233" s="23" t="str">
        <f>VLOOKUP(A233,多浪小镇二期!$B$4:$B$490,1,0)</f>
        <v>A4-2-602</v>
      </c>
    </row>
    <row r="234" spans="1:4">
      <c r="A234" t="s">
        <v>2227</v>
      </c>
      <c r="B234" s="22">
        <v>230223</v>
      </c>
      <c r="C234" s="23" t="e">
        <f>VLOOKUP(A234,多浪小镇一期!$B$5:$B$517,1,0)</f>
        <v>#N/A</v>
      </c>
      <c r="D234" s="23" t="str">
        <f>VLOOKUP(A234,多浪小镇二期!$B$4:$B$490,1,0)</f>
        <v>A4-3-201</v>
      </c>
    </row>
    <row r="235" spans="1:4">
      <c r="A235" t="s">
        <v>2229</v>
      </c>
      <c r="B235" s="22">
        <v>248821</v>
      </c>
      <c r="C235" s="23" t="e">
        <f>VLOOKUP(A235,多浪小镇一期!$B$5:$B$517,1,0)</f>
        <v>#N/A</v>
      </c>
      <c r="D235" s="23" t="str">
        <f>VLOOKUP(A235,多浪小镇二期!$B$4:$B$490,1,0)</f>
        <v>A4-3-202</v>
      </c>
    </row>
    <row r="236" spans="1:4">
      <c r="A236" t="s">
        <v>2231</v>
      </c>
      <c r="B236" s="22">
        <v>229000</v>
      </c>
      <c r="C236" s="23" t="e">
        <f>VLOOKUP(A236,多浪小镇一期!$B$5:$B$517,1,0)</f>
        <v>#N/A</v>
      </c>
      <c r="D236" s="23" t="str">
        <f>VLOOKUP(A236,多浪小镇二期!$B$4:$B$490,1,0)</f>
        <v>A4-3-301</v>
      </c>
    </row>
    <row r="237" spans="1:4">
      <c r="A237" t="s">
        <v>2233</v>
      </c>
      <c r="B237" s="22">
        <v>240055</v>
      </c>
      <c r="C237" s="23" t="e">
        <f>VLOOKUP(A237,多浪小镇一期!$B$5:$B$517,1,0)</f>
        <v>#N/A</v>
      </c>
      <c r="D237" s="23" t="str">
        <f>VLOOKUP(A237,多浪小镇二期!$B$4:$B$490,1,0)</f>
        <v>A4-3-302</v>
      </c>
    </row>
    <row r="238" spans="1:4">
      <c r="A238" t="s">
        <v>2235</v>
      </c>
      <c r="B238" s="22">
        <v>220000</v>
      </c>
      <c r="C238" s="23" t="e">
        <f>VLOOKUP(A238,多浪小镇一期!$B$5:$B$517,1,0)</f>
        <v>#N/A</v>
      </c>
      <c r="D238" s="23" t="str">
        <f>VLOOKUP(A238,多浪小镇二期!$B$4:$B$490,1,0)</f>
        <v>A4-3-401</v>
      </c>
    </row>
    <row r="239" spans="1:4">
      <c r="A239" t="s">
        <v>2237</v>
      </c>
      <c r="B239" s="22">
        <v>245790</v>
      </c>
      <c r="C239" s="23" t="e">
        <f>VLOOKUP(A239,多浪小镇一期!$B$5:$B$517,1,0)</f>
        <v>#N/A</v>
      </c>
      <c r="D239" s="23" t="str">
        <f>VLOOKUP(A239,多浪小镇二期!$B$4:$B$490,1,0)</f>
        <v>A4-3-402</v>
      </c>
    </row>
    <row r="240" spans="1:4">
      <c r="A240" t="s">
        <v>2239</v>
      </c>
      <c r="B240" s="22">
        <v>217453</v>
      </c>
      <c r="C240" s="23" t="e">
        <f>VLOOKUP(A240,多浪小镇一期!$B$5:$B$517,1,0)</f>
        <v>#N/A</v>
      </c>
      <c r="D240" s="23" t="str">
        <f>VLOOKUP(A240,多浪小镇二期!$B$4:$B$490,1,0)</f>
        <v>A4-3-501</v>
      </c>
    </row>
    <row r="241" spans="1:4">
      <c r="A241" t="s">
        <v>2241</v>
      </c>
      <c r="B241" s="22">
        <v>229404</v>
      </c>
      <c r="C241" s="23" t="e">
        <f>VLOOKUP(A241,多浪小镇一期!$B$5:$B$517,1,0)</f>
        <v>#N/A</v>
      </c>
      <c r="D241" s="23" t="str">
        <f>VLOOKUP(A241,多浪小镇二期!$B$4:$B$490,1,0)</f>
        <v>A4-3-502</v>
      </c>
    </row>
    <row r="242" spans="1:4">
      <c r="A242" t="s">
        <v>2243</v>
      </c>
      <c r="B242" s="22">
        <v>208879</v>
      </c>
      <c r="C242" s="23" t="e">
        <f>VLOOKUP(A242,多浪小镇一期!$B$5:$B$517,1,0)</f>
        <v>#N/A</v>
      </c>
      <c r="D242" s="23" t="str">
        <f>VLOOKUP(A242,多浪小镇二期!$B$4:$B$490,1,0)</f>
        <v>A4-3-601</v>
      </c>
    </row>
    <row r="243" spans="1:4">
      <c r="A243" t="s">
        <v>2245</v>
      </c>
      <c r="B243" s="22">
        <v>5000</v>
      </c>
      <c r="C243" s="23" t="e">
        <f>VLOOKUP(A243,多浪小镇一期!$B$5:$B$517,1,0)</f>
        <v>#N/A</v>
      </c>
      <c r="D243" s="23" t="str">
        <f>VLOOKUP(A243,多浪小镇二期!$B$4:$B$490,1,0)</f>
        <v>A4-3-602</v>
      </c>
    </row>
    <row r="244" spans="1:4">
      <c r="A244" t="s">
        <v>2247</v>
      </c>
      <c r="B244" s="22">
        <v>201694</v>
      </c>
      <c r="C244" s="23" t="e">
        <f>VLOOKUP(A244,多浪小镇一期!$B$5:$B$517,1,0)</f>
        <v>#N/A</v>
      </c>
      <c r="D244" s="23" t="str">
        <f>VLOOKUP(A244,多浪小镇二期!$B$4:$B$490,1,0)</f>
        <v>A4-4-201</v>
      </c>
    </row>
    <row r="245" spans="1:4">
      <c r="A245" t="s">
        <v>2249</v>
      </c>
      <c r="B245" s="22">
        <v>223820</v>
      </c>
      <c r="C245" s="23" t="e">
        <f>VLOOKUP(A245,多浪小镇一期!$B$5:$B$517,1,0)</f>
        <v>#N/A</v>
      </c>
      <c r="D245" s="23" t="str">
        <f>VLOOKUP(A245,多浪小镇二期!$B$4:$B$490,1,0)</f>
        <v>A4-4-202</v>
      </c>
    </row>
    <row r="246" spans="1:4">
      <c r="A246" t="s">
        <v>2251</v>
      </c>
      <c r="B246" s="22">
        <v>242677</v>
      </c>
      <c r="C246" s="23" t="e">
        <f>VLOOKUP(A246,多浪小镇一期!$B$5:$B$517,1,0)</f>
        <v>#N/A</v>
      </c>
      <c r="D246" s="23" t="str">
        <f>VLOOKUP(A246,多浪小镇二期!$B$4:$B$490,1,0)</f>
        <v>A4-4-301</v>
      </c>
    </row>
    <row r="247" spans="1:4">
      <c r="A247" t="s">
        <v>2253</v>
      </c>
      <c r="B247" s="22">
        <v>241614</v>
      </c>
      <c r="C247" s="23" t="e">
        <f>VLOOKUP(A247,多浪小镇一期!$B$5:$B$517,1,0)</f>
        <v>#N/A</v>
      </c>
      <c r="D247" s="23" t="str">
        <f>VLOOKUP(A247,多浪小镇二期!$B$4:$B$490,1,0)</f>
        <v>A4-4-302</v>
      </c>
    </row>
    <row r="248" spans="1:4">
      <c r="A248" t="s">
        <v>2255</v>
      </c>
      <c r="B248" s="22">
        <v>225790</v>
      </c>
      <c r="C248" s="23" t="e">
        <f>VLOOKUP(A248,多浪小镇一期!$B$5:$B$517,1,0)</f>
        <v>#N/A</v>
      </c>
      <c r="D248" s="23" t="str">
        <f>VLOOKUP(A248,多浪小镇二期!$B$4:$B$490,1,0)</f>
        <v>A4-4-401</v>
      </c>
    </row>
    <row r="249" spans="1:4">
      <c r="A249" t="s">
        <v>2257</v>
      </c>
      <c r="B249" s="22">
        <v>233820</v>
      </c>
      <c r="C249" s="23" t="e">
        <f>VLOOKUP(A249,多浪小镇一期!$B$5:$B$517,1,0)</f>
        <v>#N/A</v>
      </c>
      <c r="D249" s="23" t="str">
        <f>VLOOKUP(A249,多浪小镇二期!$B$4:$B$490,1,0)</f>
        <v>A4-4-402</v>
      </c>
    </row>
    <row r="250" spans="1:4">
      <c r="A250" t="s">
        <v>2259</v>
      </c>
      <c r="B250" s="22">
        <v>229404</v>
      </c>
      <c r="C250" s="23" t="e">
        <f>VLOOKUP(A250,多浪小镇一期!$B$5:$B$517,1,0)</f>
        <v>#N/A</v>
      </c>
      <c r="D250" s="23" t="str">
        <f>VLOOKUP(A250,多浪小镇二期!$B$4:$B$490,1,0)</f>
        <v>A4-4-501</v>
      </c>
    </row>
    <row r="251" spans="1:4">
      <c r="A251" t="s">
        <v>2261</v>
      </c>
      <c r="B251" s="22">
        <v>215894</v>
      </c>
      <c r="C251" s="23" t="e">
        <f>VLOOKUP(A251,多浪小镇一期!$B$5:$B$517,1,0)</f>
        <v>#N/A</v>
      </c>
      <c r="D251" s="23" t="str">
        <f>VLOOKUP(A251,多浪小镇二期!$B$4:$B$490,1,0)</f>
        <v>A4-4-502</v>
      </c>
    </row>
    <row r="252" spans="1:4">
      <c r="A252" t="s">
        <v>2263</v>
      </c>
      <c r="B252" s="22">
        <v>217115</v>
      </c>
      <c r="C252" s="23" t="e">
        <f>VLOOKUP(A252,多浪小镇一期!$B$5:$B$517,1,0)</f>
        <v>#N/A</v>
      </c>
      <c r="D252" s="23" t="str">
        <f>VLOOKUP(A252,多浪小镇二期!$B$4:$B$490,1,0)</f>
        <v>A4-4-601</v>
      </c>
    </row>
    <row r="253" spans="1:4">
      <c r="A253" t="s">
        <v>2265</v>
      </c>
      <c r="B253" s="22">
        <v>202644</v>
      </c>
      <c r="C253" s="23" t="e">
        <f>VLOOKUP(A253,多浪小镇一期!$B$5:$B$517,1,0)</f>
        <v>#N/A</v>
      </c>
      <c r="D253" s="23" t="str">
        <f>VLOOKUP(A253,多浪小镇二期!$B$4:$B$490,1,0)</f>
        <v>A4-4-602</v>
      </c>
    </row>
    <row r="254" spans="1:4">
      <c r="A254" t="s">
        <v>2267</v>
      </c>
      <c r="B254" s="22">
        <v>240000</v>
      </c>
      <c r="C254" s="23" t="e">
        <f>VLOOKUP(A254,多浪小镇一期!$B$5:$B$517,1,0)</f>
        <v>#N/A</v>
      </c>
      <c r="D254" s="23" t="str">
        <f>VLOOKUP(A254,多浪小镇二期!$B$4:$B$490,1,0)</f>
        <v>A4-5-201</v>
      </c>
    </row>
    <row r="255" spans="1:4">
      <c r="A255" t="s">
        <v>2269</v>
      </c>
      <c r="B255" s="22">
        <v>252332</v>
      </c>
      <c r="C255" s="23" t="e">
        <f>VLOOKUP(A255,多浪小镇一期!$B$5:$B$517,1,0)</f>
        <v>#N/A</v>
      </c>
      <c r="D255" s="23" t="str">
        <f>VLOOKUP(A255,多浪小镇二期!$B$4:$B$490,1,0)</f>
        <v>A4-5-202</v>
      </c>
    </row>
    <row r="256" spans="1:4">
      <c r="A256" t="s">
        <v>2271</v>
      </c>
      <c r="B256" s="22">
        <v>230000</v>
      </c>
      <c r="C256" s="23" t="e">
        <f>VLOOKUP(A256,多浪小镇一期!$B$5:$B$517,1,0)</f>
        <v>#N/A</v>
      </c>
      <c r="D256" s="23" t="str">
        <f>VLOOKUP(A256,多浪小镇二期!$B$4:$B$490,1,0)</f>
        <v>A4-5-301</v>
      </c>
    </row>
    <row r="257" spans="1:4">
      <c r="A257" t="s">
        <v>2273</v>
      </c>
      <c r="B257" s="22">
        <v>244350</v>
      </c>
      <c r="C257" s="23" t="e">
        <f>VLOOKUP(A257,多浪小镇一期!$B$5:$B$517,1,0)</f>
        <v>#N/A</v>
      </c>
      <c r="D257" s="23" t="str">
        <f>VLOOKUP(A257,多浪小镇二期!$B$4:$B$490,1,0)</f>
        <v>A4-5-302</v>
      </c>
    </row>
    <row r="258" spans="1:4">
      <c r="A258" t="s">
        <v>2275</v>
      </c>
      <c r="B258" s="22">
        <v>233820</v>
      </c>
      <c r="C258" s="23" t="e">
        <f>VLOOKUP(A258,多浪小镇一期!$B$5:$B$517,1,0)</f>
        <v>#N/A</v>
      </c>
      <c r="D258" s="23" t="str">
        <f>VLOOKUP(A258,多浪小镇二期!$B$4:$B$490,1,0)</f>
        <v>A4-5-401</v>
      </c>
    </row>
    <row r="259" spans="1:4">
      <c r="A259" t="s">
        <v>2277</v>
      </c>
      <c r="B259" s="22">
        <v>242721</v>
      </c>
      <c r="C259" s="23" t="e">
        <f>VLOOKUP(A259,多浪小镇一期!$B$5:$B$517,1,0)</f>
        <v>#N/A</v>
      </c>
      <c r="D259" s="23" t="str">
        <f>VLOOKUP(A259,多浪小镇二期!$B$4:$B$490,1,0)</f>
        <v>A4-5-402</v>
      </c>
    </row>
    <row r="260" spans="1:4">
      <c r="A260" t="s">
        <v>2279</v>
      </c>
      <c r="B260" s="22">
        <v>229923</v>
      </c>
      <c r="C260" s="23" t="e">
        <f>VLOOKUP(A260,多浪小镇一期!$B$5:$B$517,1,0)</f>
        <v>#N/A</v>
      </c>
      <c r="D260" s="23" t="str">
        <f>VLOOKUP(A260,多浪小镇二期!$B$4:$B$490,1,0)</f>
        <v>A4-5-501</v>
      </c>
    </row>
    <row r="261" spans="1:4">
      <c r="A261" t="s">
        <v>2281</v>
      </c>
      <c r="B261" s="22">
        <v>228060</v>
      </c>
      <c r="C261" s="23" t="e">
        <f>VLOOKUP(A261,多浪小镇一期!$B$5:$B$517,1,0)</f>
        <v>#N/A</v>
      </c>
      <c r="D261" s="23" t="str">
        <f>VLOOKUP(A261,多浪小镇二期!$B$4:$B$490,1,0)</f>
        <v>A4-5-502</v>
      </c>
    </row>
    <row r="262" spans="1:4">
      <c r="A262" t="s">
        <v>2283</v>
      </c>
      <c r="B262" s="22">
        <v>202644</v>
      </c>
      <c r="C262" s="23" t="e">
        <f>VLOOKUP(A262,多浪小镇一期!$B$5:$B$517,1,0)</f>
        <v>#N/A</v>
      </c>
      <c r="D262" s="23" t="str">
        <f>VLOOKUP(A262,多浪小镇二期!$B$4:$B$490,1,0)</f>
        <v>A4-5-601</v>
      </c>
    </row>
    <row r="263" spans="1:4">
      <c r="A263" t="s">
        <v>2285</v>
      </c>
      <c r="B263" s="22">
        <v>215843</v>
      </c>
      <c r="C263" s="23" t="e">
        <f>VLOOKUP(A263,多浪小镇一期!$B$5:$B$517,1,0)</f>
        <v>#N/A</v>
      </c>
      <c r="D263" s="23" t="str">
        <f>VLOOKUP(A263,多浪小镇二期!$B$4:$B$490,1,0)</f>
        <v>A4-5-602</v>
      </c>
    </row>
    <row r="264" spans="1:4">
      <c r="A264" t="s">
        <v>2287</v>
      </c>
      <c r="B264" s="22">
        <v>233820</v>
      </c>
      <c r="C264" s="23" t="e">
        <f>VLOOKUP(A264,多浪小镇一期!$B$5:$B$517,1,0)</f>
        <v>#N/A</v>
      </c>
      <c r="D264" s="23" t="str">
        <f>VLOOKUP(A264,多浪小镇二期!$B$4:$B$490,1,0)</f>
        <v>A4-6-201</v>
      </c>
    </row>
    <row r="265" spans="1:4">
      <c r="A265" t="s">
        <v>2289</v>
      </c>
      <c r="B265" s="22">
        <v>241000</v>
      </c>
      <c r="C265" s="23" t="e">
        <f>VLOOKUP(A265,多浪小镇一期!$B$5:$B$517,1,0)</f>
        <v>#N/A</v>
      </c>
      <c r="D265" s="23" t="str">
        <f>VLOOKUP(A265,多浪小镇二期!$B$4:$B$490,1,0)</f>
        <v>A4-6-202</v>
      </c>
    </row>
    <row r="266" spans="1:4">
      <c r="A266" t="s">
        <v>2291</v>
      </c>
      <c r="B266" s="22">
        <v>241614</v>
      </c>
      <c r="C266" s="23" t="e">
        <f>VLOOKUP(A266,多浪小镇一期!$B$5:$B$517,1,0)</f>
        <v>#N/A</v>
      </c>
      <c r="D266" s="23" t="str">
        <f>VLOOKUP(A266,多浪小镇二期!$B$4:$B$490,1,0)</f>
        <v>A4-6-301</v>
      </c>
    </row>
    <row r="267" spans="1:4">
      <c r="A267" t="s">
        <v>2293</v>
      </c>
      <c r="B267" s="22">
        <v>237597</v>
      </c>
      <c r="C267" s="23" t="e">
        <f>VLOOKUP(A267,多浪小镇一期!$B$5:$B$517,1,0)</f>
        <v>#N/A</v>
      </c>
      <c r="D267" s="23" t="str">
        <f>VLOOKUP(A267,多浪小镇二期!$B$4:$B$490,1,0)</f>
        <v>A4-6-302</v>
      </c>
    </row>
    <row r="268" spans="1:4">
      <c r="A268" t="s">
        <v>2295</v>
      </c>
      <c r="B268" s="22">
        <v>233423</v>
      </c>
      <c r="C268" s="23" t="e">
        <f>VLOOKUP(A268,多浪小镇一期!$B$5:$B$517,1,0)</f>
        <v>#N/A</v>
      </c>
      <c r="D268" s="23" t="str">
        <f>VLOOKUP(A268,多浪小镇二期!$B$4:$B$490,1,0)</f>
        <v>A4-6-401</v>
      </c>
    </row>
    <row r="269" spans="1:4">
      <c r="A269" t="s">
        <v>2299</v>
      </c>
      <c r="B269" s="22">
        <v>210404</v>
      </c>
      <c r="C269" s="23" t="e">
        <f>VLOOKUP(A269,多浪小镇一期!$B$5:$B$517,1,0)</f>
        <v>#N/A</v>
      </c>
      <c r="D269" s="23" t="str">
        <f>VLOOKUP(A269,多浪小镇二期!$B$4:$B$490,1,0)</f>
        <v>A4-6-402</v>
      </c>
    </row>
    <row r="270" spans="1:4">
      <c r="A270" t="s">
        <v>2301</v>
      </c>
      <c r="B270" s="22">
        <v>207620</v>
      </c>
      <c r="C270" s="23" t="e">
        <f>VLOOKUP(A270,多浪小镇一期!$B$5:$B$517,1,0)</f>
        <v>#N/A</v>
      </c>
      <c r="D270" s="23" t="str">
        <f>VLOOKUP(A270,多浪小镇二期!$B$4:$B$490,1,0)</f>
        <v>A4-6-501</v>
      </c>
    </row>
    <row r="271" spans="1:4">
      <c r="A271" t="s">
        <v>2303</v>
      </c>
      <c r="B271" s="22">
        <v>229404</v>
      </c>
      <c r="C271" s="23" t="e">
        <f>VLOOKUP(A271,多浪小镇一期!$B$5:$B$517,1,0)</f>
        <v>#N/A</v>
      </c>
      <c r="D271" s="23" t="str">
        <f>VLOOKUP(A271,多浪小镇二期!$B$4:$B$490,1,0)</f>
        <v>A4-6-502</v>
      </c>
    </row>
    <row r="272" spans="1:4">
      <c r="A272" t="s">
        <v>2305</v>
      </c>
      <c r="B272" s="22">
        <v>208879</v>
      </c>
      <c r="C272" s="23" t="e">
        <f>VLOOKUP(A272,多浪小镇一期!$B$5:$B$517,1,0)</f>
        <v>#N/A</v>
      </c>
      <c r="D272" s="23" t="str">
        <f>VLOOKUP(A272,多浪小镇二期!$B$4:$B$490,1,0)</f>
        <v>A4-6-601</v>
      </c>
    </row>
    <row r="273" spans="1:4">
      <c r="A273" t="s">
        <v>2307</v>
      </c>
      <c r="B273" s="22">
        <v>213018</v>
      </c>
      <c r="C273" s="23" t="e">
        <f>VLOOKUP(A273,多浪小镇一期!$B$5:$B$517,1,0)</f>
        <v>#N/A</v>
      </c>
      <c r="D273" s="23" t="str">
        <f>VLOOKUP(A273,多浪小镇二期!$B$4:$B$490,1,0)</f>
        <v>A4-6-602</v>
      </c>
    </row>
    <row r="274" spans="1:4">
      <c r="A274" t="s">
        <v>2856</v>
      </c>
      <c r="B274" s="22">
        <v>20000</v>
      </c>
      <c r="C274" s="23" t="e">
        <f>VLOOKUP(A274,多浪小镇一期!$B$5:$B$517,1,0)</f>
        <v>#N/A</v>
      </c>
      <c r="D274" s="23" t="str">
        <f>VLOOKUP(A274,多浪小镇二期!$B$4:$B$490,1,0)</f>
        <v>A5-101</v>
      </c>
    </row>
    <row r="275" spans="1:4">
      <c r="A275" t="s">
        <v>2858</v>
      </c>
      <c r="B275" s="22">
        <v>253480</v>
      </c>
      <c r="C275" s="23" t="e">
        <f>VLOOKUP(A275,多浪小镇一期!$B$5:$B$517,1,0)</f>
        <v>#N/A</v>
      </c>
      <c r="D275" s="23" t="str">
        <f>VLOOKUP(A275,多浪小镇二期!$B$4:$B$490,1,0)</f>
        <v>A5-102</v>
      </c>
    </row>
    <row r="276" spans="1:4">
      <c r="A276" t="s">
        <v>2860</v>
      </c>
      <c r="B276" s="22">
        <v>249312</v>
      </c>
      <c r="C276" s="23" t="e">
        <f>VLOOKUP(A276,多浪小镇一期!$B$5:$B$517,1,0)</f>
        <v>#N/A</v>
      </c>
      <c r="D276" s="23" t="str">
        <f>VLOOKUP(A276,多浪小镇二期!$B$4:$B$490,1,0)</f>
        <v>A5-103</v>
      </c>
    </row>
    <row r="277" spans="1:4">
      <c r="A277" t="s">
        <v>2861</v>
      </c>
      <c r="B277" s="22">
        <v>20000</v>
      </c>
      <c r="C277" s="23" t="e">
        <f>VLOOKUP(A277,多浪小镇一期!$B$5:$B$517,1,0)</f>
        <v>#N/A</v>
      </c>
      <c r="D277" s="23" t="str">
        <f>VLOOKUP(A277,多浪小镇二期!$B$4:$B$490,1,0)</f>
        <v>A5-104</v>
      </c>
    </row>
    <row r="278" spans="1:4">
      <c r="A278" t="s">
        <v>2864</v>
      </c>
      <c r="B278" s="22">
        <v>20000</v>
      </c>
      <c r="C278" s="23" t="e">
        <f>VLOOKUP(A278,多浪小镇一期!$B$5:$B$517,1,0)</f>
        <v>#N/A</v>
      </c>
      <c r="D278" s="23" t="str">
        <f>VLOOKUP(A278,多浪小镇二期!$B$4:$B$490,1,0)</f>
        <v>A5-107</v>
      </c>
    </row>
    <row r="279" spans="1:4">
      <c r="A279" t="s">
        <v>2865</v>
      </c>
      <c r="B279" s="22">
        <v>30000</v>
      </c>
      <c r="C279" s="23" t="e">
        <f>VLOOKUP(A279,多浪小镇一期!$B$5:$B$517,1,0)</f>
        <v>#N/A</v>
      </c>
      <c r="D279" s="23" t="str">
        <f>VLOOKUP(A279,多浪小镇二期!$B$4:$B$490,1,0)</f>
        <v>A5-108</v>
      </c>
    </row>
    <row r="280" spans="1:4">
      <c r="A280" t="s">
        <v>2866</v>
      </c>
      <c r="B280" s="22">
        <v>20000</v>
      </c>
      <c r="C280" s="23" t="e">
        <f>VLOOKUP(A280,多浪小镇一期!$B$5:$B$517,1,0)</f>
        <v>#N/A</v>
      </c>
      <c r="D280" s="23" t="str">
        <f>VLOOKUP(A280,多浪小镇二期!$B$4:$B$490,1,0)</f>
        <v>A5-109</v>
      </c>
    </row>
    <row r="281" spans="1:4">
      <c r="A281" t="s">
        <v>2869</v>
      </c>
      <c r="B281" s="22">
        <v>20000</v>
      </c>
      <c r="C281" s="23" t="e">
        <f>VLOOKUP(A281,多浪小镇一期!$B$5:$B$517,1,0)</f>
        <v>#N/A</v>
      </c>
      <c r="D281" s="23" t="str">
        <f>VLOOKUP(A281,多浪小镇二期!$B$4:$B$490,1,0)</f>
        <v>A5-112</v>
      </c>
    </row>
    <row r="282" spans="1:4">
      <c r="A282" t="s">
        <v>2871</v>
      </c>
      <c r="B282" s="22">
        <v>30000</v>
      </c>
      <c r="C282" s="23" t="e">
        <f>VLOOKUP(A282,多浪小镇一期!$B$5:$B$517,1,0)</f>
        <v>#N/A</v>
      </c>
      <c r="D282" s="23" t="str">
        <f>VLOOKUP(A282,多浪小镇二期!$B$4:$B$490,1,0)</f>
        <v>A5-114</v>
      </c>
    </row>
    <row r="283" spans="1:4">
      <c r="A283" t="s">
        <v>2872</v>
      </c>
      <c r="B283" s="22">
        <v>20000</v>
      </c>
      <c r="C283" s="23" t="e">
        <f>VLOOKUP(A283,多浪小镇一期!$B$5:$B$517,1,0)</f>
        <v>#N/A</v>
      </c>
      <c r="D283" s="23" t="str">
        <f>VLOOKUP(A283,多浪小镇二期!$B$4:$B$490,1,0)</f>
        <v>A5-115</v>
      </c>
    </row>
    <row r="284" spans="1:4">
      <c r="A284" t="s">
        <v>2309</v>
      </c>
      <c r="B284" s="22">
        <v>498328</v>
      </c>
      <c r="C284" s="23" t="e">
        <f>VLOOKUP(A284,多浪小镇一期!$B$5:$B$517,1,0)</f>
        <v>#N/A</v>
      </c>
      <c r="D284" s="23" t="str">
        <f>VLOOKUP(A284,多浪小镇二期!$B$4:$B$490,1,0)</f>
        <v>A5-1-201</v>
      </c>
    </row>
    <row r="285" spans="1:4">
      <c r="A285" t="s">
        <v>2312</v>
      </c>
      <c r="B285" s="22">
        <v>271520</v>
      </c>
      <c r="C285" s="23" t="e">
        <f>VLOOKUP(A285,多浪小镇一期!$B$5:$B$517,1,0)</f>
        <v>#N/A</v>
      </c>
      <c r="D285" s="23" t="str">
        <f>VLOOKUP(A285,多浪小镇二期!$B$4:$B$490,1,0)</f>
        <v>A5-1-202</v>
      </c>
    </row>
    <row r="286" spans="1:4">
      <c r="A286" t="s">
        <v>2314</v>
      </c>
      <c r="B286" s="22">
        <v>262970</v>
      </c>
      <c r="C286" s="23" t="e">
        <f>VLOOKUP(A286,多浪小镇一期!$B$5:$B$517,1,0)</f>
        <v>#N/A</v>
      </c>
      <c r="D286" s="23" t="str">
        <f>VLOOKUP(A286,多浪小镇二期!$B$4:$B$490,1,0)</f>
        <v>A5-1-301</v>
      </c>
    </row>
    <row r="287" spans="1:4">
      <c r="A287" t="s">
        <v>2316</v>
      </c>
      <c r="B287" s="22">
        <v>261338</v>
      </c>
      <c r="C287" s="23" t="e">
        <f>VLOOKUP(A287,多浪小镇一期!$B$5:$B$517,1,0)</f>
        <v>#N/A</v>
      </c>
      <c r="D287" s="23" t="str">
        <f>VLOOKUP(A287,多浪小镇二期!$B$4:$B$490,1,0)</f>
        <v>A5-1-302</v>
      </c>
    </row>
    <row r="288" spans="1:4">
      <c r="A288" t="s">
        <v>2318</v>
      </c>
      <c r="B288" s="22">
        <v>254432</v>
      </c>
      <c r="C288" s="23" t="e">
        <f>VLOOKUP(A288,多浪小镇一期!$B$5:$B$517,1,0)</f>
        <v>#N/A</v>
      </c>
      <c r="D288" s="23" t="str">
        <f>VLOOKUP(A288,多浪小镇二期!$B$4:$B$490,1,0)</f>
        <v>A5-1-401</v>
      </c>
    </row>
    <row r="289" spans="1:4">
      <c r="A289" t="s">
        <v>2320</v>
      </c>
      <c r="B289" s="22">
        <v>263035</v>
      </c>
      <c r="C289" s="23" t="e">
        <f>VLOOKUP(A289,多浪小镇一期!$B$5:$B$517,1,0)</f>
        <v>#N/A</v>
      </c>
      <c r="D289" s="23" t="str">
        <f>VLOOKUP(A289,多浪小镇二期!$B$4:$B$490,1,0)</f>
        <v>A5-1-402</v>
      </c>
    </row>
    <row r="290" spans="1:4">
      <c r="A290" t="s">
        <v>2322</v>
      </c>
      <c r="B290" s="22">
        <v>5414</v>
      </c>
      <c r="C290" s="23" t="e">
        <f>VLOOKUP(A290,多浪小镇一期!$B$5:$B$517,1,0)</f>
        <v>#N/A</v>
      </c>
      <c r="D290" s="23" t="str">
        <f>VLOOKUP(A290,多浪小镇二期!$B$4:$B$490,1,0)</f>
        <v>A5-1-501</v>
      </c>
    </row>
    <row r="291" spans="1:4">
      <c r="A291" t="s">
        <v>2325</v>
      </c>
      <c r="B291" s="22">
        <v>237580</v>
      </c>
      <c r="C291" s="23" t="e">
        <f>VLOOKUP(A291,多浪小镇一期!$B$5:$B$517,1,0)</f>
        <v>#N/A</v>
      </c>
      <c r="D291" s="23" t="str">
        <f>VLOOKUP(A291,多浪小镇二期!$B$4:$B$490,1,0)</f>
        <v>A5-1-502</v>
      </c>
    </row>
    <row r="292" spans="1:4">
      <c r="A292" t="s">
        <v>2327</v>
      </c>
      <c r="B292" s="22">
        <v>76988</v>
      </c>
      <c r="C292" s="23" t="e">
        <f>VLOOKUP(A292,多浪小镇一期!$B$5:$B$517,1,0)</f>
        <v>#N/A</v>
      </c>
      <c r="D292" s="23" t="str">
        <f>VLOOKUP(A292,多浪小镇二期!$B$4:$B$490,1,0)</f>
        <v>A5-1-601</v>
      </c>
    </row>
    <row r="293" spans="1:4">
      <c r="A293" t="s">
        <v>2331</v>
      </c>
      <c r="B293" s="22">
        <v>369853</v>
      </c>
      <c r="C293" s="23" t="e">
        <f>VLOOKUP(A293,多浪小镇一期!$B$5:$B$517,1,0)</f>
        <v>#N/A</v>
      </c>
      <c r="D293" s="23" t="str">
        <f>VLOOKUP(A293,多浪小镇二期!$B$4:$B$490,1,0)</f>
        <v>A5-1-602</v>
      </c>
    </row>
    <row r="294" spans="1:4">
      <c r="A294" t="s">
        <v>2334</v>
      </c>
      <c r="B294" s="22">
        <v>272700</v>
      </c>
      <c r="C294" s="23" t="e">
        <f>VLOOKUP(A294,多浪小镇一期!$B$5:$B$517,1,0)</f>
        <v>#N/A</v>
      </c>
      <c r="D294" s="23" t="str">
        <f>VLOOKUP(A294,多浪小镇二期!$B$4:$B$490,1,0)</f>
        <v>A5-2-201</v>
      </c>
    </row>
    <row r="295" spans="1:4">
      <c r="A295" t="s">
        <v>2336</v>
      </c>
      <c r="B295" s="22">
        <v>274530</v>
      </c>
      <c r="C295" s="23" t="e">
        <f>VLOOKUP(A295,多浪小镇一期!$B$5:$B$517,1,0)</f>
        <v>#N/A</v>
      </c>
      <c r="D295" s="23" t="str">
        <f>VLOOKUP(A295,多浪小镇二期!$B$4:$B$490,1,0)</f>
        <v>A5-2-202</v>
      </c>
    </row>
    <row r="296" spans="1:4">
      <c r="A296" t="s">
        <v>2338</v>
      </c>
      <c r="B296" s="22">
        <v>139955</v>
      </c>
      <c r="C296" s="23" t="e">
        <f>VLOOKUP(A296,多浪小镇一期!$B$5:$B$517,1,0)</f>
        <v>#N/A</v>
      </c>
      <c r="D296" s="23" t="str">
        <f>VLOOKUP(A296,多浪小镇二期!$B$4:$B$490,1,0)</f>
        <v>A5-2-301</v>
      </c>
    </row>
    <row r="297" spans="1:4">
      <c r="A297" t="s">
        <v>2341</v>
      </c>
      <c r="B297" s="22">
        <v>83124</v>
      </c>
      <c r="C297" s="23" t="e">
        <f>VLOOKUP(A297,多浪小镇一期!$B$5:$B$517,1,0)</f>
        <v>#N/A</v>
      </c>
      <c r="D297" s="23" t="str">
        <f>VLOOKUP(A297,多浪小镇二期!$B$4:$B$490,1,0)</f>
        <v>A5-2-302</v>
      </c>
    </row>
    <row r="298" spans="1:4">
      <c r="A298" t="s">
        <v>2344</v>
      </c>
      <c r="B298" s="22">
        <v>108973</v>
      </c>
      <c r="C298" s="23" t="e">
        <f>VLOOKUP(A298,多浪小镇一期!$B$5:$B$517,1,0)</f>
        <v>#N/A</v>
      </c>
      <c r="D298" s="23" t="str">
        <f>VLOOKUP(A298,多浪小镇二期!$B$4:$B$490,1,0)</f>
        <v>A5-2-401</v>
      </c>
    </row>
    <row r="299" spans="1:4">
      <c r="A299" t="s">
        <v>2346</v>
      </c>
      <c r="B299" s="22">
        <v>190973</v>
      </c>
      <c r="C299" s="23" t="e">
        <f>VLOOKUP(A299,多浪小镇一期!$B$5:$B$517,1,0)</f>
        <v>#N/A</v>
      </c>
      <c r="D299" s="23" t="str">
        <f>VLOOKUP(A299,多浪小镇二期!$B$4:$B$490,1,0)</f>
        <v>A5-2-402</v>
      </c>
    </row>
    <row r="300" spans="1:4">
      <c r="A300" t="s">
        <v>2348</v>
      </c>
      <c r="B300" s="22">
        <v>245247</v>
      </c>
      <c r="C300" s="23" t="e">
        <f>VLOOKUP(A300,多浪小镇一期!$B$5:$B$517,1,0)</f>
        <v>#N/A</v>
      </c>
      <c r="D300" s="23" t="str">
        <f>VLOOKUP(A300,多浪小镇二期!$B$4:$B$490,1,0)</f>
        <v>A5-2-501</v>
      </c>
    </row>
    <row r="301" spans="1:4">
      <c r="A301" t="s">
        <v>2350</v>
      </c>
      <c r="B301" s="22">
        <v>245247</v>
      </c>
      <c r="C301" s="23" t="e">
        <f>VLOOKUP(A301,多浪小镇一期!$B$5:$B$517,1,0)</f>
        <v>#N/A</v>
      </c>
      <c r="D301" s="23" t="str">
        <f>VLOOKUP(A301,多浪小镇二期!$B$4:$B$490,1,0)</f>
        <v>A5-2-502</v>
      </c>
    </row>
    <row r="302" spans="1:4">
      <c r="A302" t="s">
        <v>2352</v>
      </c>
      <c r="B302" s="22">
        <v>10000</v>
      </c>
      <c r="C302" s="23" t="e">
        <f>VLOOKUP(A302,多浪小镇一期!$B$5:$B$517,1,0)</f>
        <v>#N/A</v>
      </c>
      <c r="D302" s="23" t="str">
        <f>VLOOKUP(A302,多浪小镇二期!$B$4:$B$490,1,0)</f>
        <v>A5-2-601</v>
      </c>
    </row>
    <row r="303" spans="1:4">
      <c r="A303" t="s">
        <v>2354</v>
      </c>
      <c r="B303" s="22">
        <v>5000</v>
      </c>
      <c r="C303" s="23" t="e">
        <f>VLOOKUP(A303,多浪小镇一期!$B$5:$B$517,1,0)</f>
        <v>#N/A</v>
      </c>
      <c r="D303" s="23" t="str">
        <f>VLOOKUP(A303,多浪小镇二期!$B$4:$B$490,1,0)</f>
        <v>A5-2-602</v>
      </c>
    </row>
    <row r="304" spans="1:4">
      <c r="A304" t="s">
        <v>2356</v>
      </c>
      <c r="B304" s="22">
        <v>271520</v>
      </c>
      <c r="C304" s="23" t="e">
        <f>VLOOKUP(A304,多浪小镇一期!$B$5:$B$517,1,0)</f>
        <v>#N/A</v>
      </c>
      <c r="D304" s="23" t="str">
        <f>VLOOKUP(A304,多浪小镇二期!$B$4:$B$490,1,0)</f>
        <v>A5-3-201</v>
      </c>
    </row>
    <row r="305" spans="1:4">
      <c r="A305" t="s">
        <v>2358</v>
      </c>
      <c r="B305" s="22">
        <v>273216</v>
      </c>
      <c r="C305" s="23" t="e">
        <f>VLOOKUP(A305,多浪小镇一期!$B$5:$B$517,1,0)</f>
        <v>#N/A</v>
      </c>
      <c r="D305" s="23" t="str">
        <f>VLOOKUP(A305,多浪小镇二期!$B$4:$B$490,1,0)</f>
        <v>A5-3-202</v>
      </c>
    </row>
    <row r="306" spans="1:4">
      <c r="A306" t="s">
        <v>2360</v>
      </c>
      <c r="B306" s="22">
        <v>261338</v>
      </c>
      <c r="C306" s="23" t="e">
        <f>VLOOKUP(A306,多浪小镇一期!$B$5:$B$517,1,0)</f>
        <v>#N/A</v>
      </c>
      <c r="D306" s="23" t="str">
        <f>VLOOKUP(A306,多浪小镇二期!$B$4:$B$490,1,0)</f>
        <v>A5-3-301</v>
      </c>
    </row>
    <row r="307" spans="1:4">
      <c r="A307" t="s">
        <v>2362</v>
      </c>
      <c r="B307" s="22">
        <v>260409</v>
      </c>
      <c r="C307" s="23" t="e">
        <f>VLOOKUP(A307,多浪小镇一期!$B$5:$B$517,1,0)</f>
        <v>#N/A</v>
      </c>
      <c r="D307" s="23" t="str">
        <f>VLOOKUP(A307,多浪小镇二期!$B$4:$B$490,1,0)</f>
        <v>A5-3-302</v>
      </c>
    </row>
    <row r="308" spans="1:4">
      <c r="A308" t="s">
        <v>2364</v>
      </c>
      <c r="B308" s="22">
        <v>254550</v>
      </c>
      <c r="C308" s="23" t="e">
        <f>VLOOKUP(A308,多浪小镇一期!$B$5:$B$517,1,0)</f>
        <v>#N/A</v>
      </c>
      <c r="D308" s="23" t="str">
        <f>VLOOKUP(A308,多浪小镇二期!$B$4:$B$490,1,0)</f>
        <v>A5-3-401</v>
      </c>
    </row>
    <row r="309" spans="1:4">
      <c r="A309" t="s">
        <v>2366</v>
      </c>
      <c r="B309" s="22">
        <v>254432</v>
      </c>
      <c r="C309" s="23" t="e">
        <f>VLOOKUP(A309,多浪小镇一期!$B$5:$B$517,1,0)</f>
        <v>#N/A</v>
      </c>
      <c r="D309" s="23" t="str">
        <f>VLOOKUP(A309,多浪小镇二期!$B$4:$B$490,1,0)</f>
        <v>A5-3-402</v>
      </c>
    </row>
    <row r="310" spans="1:4">
      <c r="A310" t="s">
        <v>2368</v>
      </c>
      <c r="B310" s="22">
        <v>237580</v>
      </c>
      <c r="C310" s="23" t="e">
        <f>VLOOKUP(A310,多浪小镇一期!$B$5:$B$517,1,0)</f>
        <v>#N/A</v>
      </c>
      <c r="D310" s="23" t="str">
        <f>VLOOKUP(A310,多浪小镇二期!$B$4:$B$490,1,0)</f>
        <v>A5-3-501</v>
      </c>
    </row>
    <row r="311" spans="1:4">
      <c r="A311" t="s">
        <v>2370</v>
      </c>
      <c r="B311" s="22">
        <v>243333</v>
      </c>
      <c r="C311" s="23" t="e">
        <f>VLOOKUP(A311,多浪小镇一期!$B$5:$B$517,1,0)</f>
        <v>#N/A</v>
      </c>
      <c r="D311" s="23" t="str">
        <f>VLOOKUP(A311,多浪小镇二期!$B$4:$B$490,1,0)</f>
        <v>A5-3-502</v>
      </c>
    </row>
    <row r="312" spans="1:4">
      <c r="A312" t="s">
        <v>2372</v>
      </c>
      <c r="B312" s="22">
        <v>220610</v>
      </c>
      <c r="C312" s="23" t="e">
        <f>VLOOKUP(A312,多浪小镇一期!$B$5:$B$517,1,0)</f>
        <v>#N/A</v>
      </c>
      <c r="D312" s="23" t="str">
        <f>VLOOKUP(A312,多浪小镇二期!$B$4:$B$490,1,0)</f>
        <v>A5-3-601</v>
      </c>
    </row>
    <row r="313" spans="1:4">
      <c r="A313" t="s">
        <v>2374</v>
      </c>
      <c r="B313" s="22">
        <v>221988</v>
      </c>
      <c r="C313" s="23" t="e">
        <f>VLOOKUP(A313,多浪小镇一期!$B$5:$B$517,1,0)</f>
        <v>#N/A</v>
      </c>
      <c r="D313" s="23" t="str">
        <f>VLOOKUP(A313,多浪小镇二期!$B$4:$B$490,1,0)</f>
        <v>A5-3-602</v>
      </c>
    </row>
    <row r="314" spans="1:4">
      <c r="A314" t="s">
        <v>2376</v>
      </c>
      <c r="B314" s="22">
        <v>267000</v>
      </c>
      <c r="C314" s="23" t="e">
        <f>VLOOKUP(A314,多浪小镇一期!$B$5:$B$517,1,0)</f>
        <v>#N/A</v>
      </c>
      <c r="D314" s="23" t="str">
        <f>VLOOKUP(A314,多浪小镇二期!$B$4:$B$490,1,0)</f>
        <v>A6-1-101</v>
      </c>
    </row>
    <row r="315" spans="1:4">
      <c r="A315" t="s">
        <v>2378</v>
      </c>
      <c r="B315" s="22">
        <v>235230</v>
      </c>
      <c r="C315" s="23" t="e">
        <f>VLOOKUP(A315,多浪小镇一期!$B$5:$B$517,1,0)</f>
        <v>#N/A</v>
      </c>
      <c r="D315" s="23" t="str">
        <f>VLOOKUP(A315,多浪小镇二期!$B$4:$B$490,1,0)</f>
        <v>A6-1-102</v>
      </c>
    </row>
    <row r="316" spans="1:4">
      <c r="A316" t="s">
        <v>2380</v>
      </c>
      <c r="B316" s="22">
        <v>275873</v>
      </c>
      <c r="C316" s="23" t="e">
        <f>VLOOKUP(A316,多浪小镇一期!$B$5:$B$517,1,0)</f>
        <v>#N/A</v>
      </c>
      <c r="D316" s="23" t="str">
        <f>VLOOKUP(A316,多浪小镇二期!$B$4:$B$490,1,0)</f>
        <v>A6-1-201</v>
      </c>
    </row>
    <row r="317" spans="1:4">
      <c r="A317" t="s">
        <v>2382</v>
      </c>
      <c r="B317" s="22">
        <v>249262</v>
      </c>
      <c r="C317" s="23" t="e">
        <f>VLOOKUP(A317,多浪小镇一期!$B$5:$B$517,1,0)</f>
        <v>#N/A</v>
      </c>
      <c r="D317" s="23" t="str">
        <f>VLOOKUP(A317,多浪小镇二期!$B$4:$B$490,1,0)</f>
        <v>A6-1-202</v>
      </c>
    </row>
    <row r="318" spans="1:4">
      <c r="A318" t="s">
        <v>2384</v>
      </c>
      <c r="B318" s="22">
        <v>275873</v>
      </c>
      <c r="C318" s="23" t="e">
        <f>VLOOKUP(A318,多浪小镇一期!$B$5:$B$517,1,0)</f>
        <v>#N/A</v>
      </c>
      <c r="D318" s="23" t="str">
        <f>VLOOKUP(A318,多浪小镇二期!$B$4:$B$490,1,0)</f>
        <v>A6-1-301</v>
      </c>
    </row>
    <row r="319" spans="1:4">
      <c r="A319" t="s">
        <v>2386</v>
      </c>
      <c r="B319" s="22">
        <v>246396</v>
      </c>
      <c r="C319" s="23" t="e">
        <f>VLOOKUP(A319,多浪小镇一期!$B$5:$B$517,1,0)</f>
        <v>#N/A</v>
      </c>
      <c r="D319" s="23" t="str">
        <f>VLOOKUP(A319,多浪小镇二期!$B$4:$B$490,1,0)</f>
        <v>A6-1-302</v>
      </c>
    </row>
    <row r="320" spans="1:4">
      <c r="A320" t="s">
        <v>2388</v>
      </c>
      <c r="B320" s="22">
        <v>275873</v>
      </c>
      <c r="C320" s="23" t="e">
        <f>VLOOKUP(A320,多浪小镇一期!$B$5:$B$517,1,0)</f>
        <v>#N/A</v>
      </c>
      <c r="D320" s="23" t="str">
        <f>VLOOKUP(A320,多浪小镇二期!$B$4:$B$490,1,0)</f>
        <v>A6-1-401</v>
      </c>
    </row>
    <row r="321" spans="1:4">
      <c r="A321" t="s">
        <v>2390</v>
      </c>
      <c r="B321" s="22">
        <v>245652</v>
      </c>
      <c r="C321" s="23" t="e">
        <f>VLOOKUP(A321,多浪小镇一期!$B$5:$B$517,1,0)</f>
        <v>#N/A</v>
      </c>
      <c r="D321" s="23" t="str">
        <f>VLOOKUP(A321,多浪小镇二期!$B$4:$B$490,1,0)</f>
        <v>A6-1-402</v>
      </c>
    </row>
    <row r="322" spans="1:4">
      <c r="A322" t="s">
        <v>2392</v>
      </c>
      <c r="B322" s="22">
        <v>247050</v>
      </c>
      <c r="C322" s="23" t="e">
        <f>VLOOKUP(A322,多浪小镇一期!$B$5:$B$517,1,0)</f>
        <v>#N/A</v>
      </c>
      <c r="D322" s="23" t="str">
        <f>VLOOKUP(A322,多浪小镇二期!$B$4:$B$490,1,0)</f>
        <v>A6-1-501</v>
      </c>
    </row>
    <row r="323" spans="1:4">
      <c r="A323" t="s">
        <v>2394</v>
      </c>
      <c r="B323" s="22">
        <v>222576</v>
      </c>
      <c r="C323" s="23" t="e">
        <f>VLOOKUP(A323,多浪小镇一期!$B$5:$B$517,1,0)</f>
        <v>#N/A</v>
      </c>
      <c r="D323" s="23" t="str">
        <f>VLOOKUP(A323,多浪小镇二期!$B$4:$B$490,1,0)</f>
        <v>A6-1-502</v>
      </c>
    </row>
    <row r="324" spans="1:4">
      <c r="A324" t="s">
        <v>2396</v>
      </c>
      <c r="B324" s="22">
        <v>238815</v>
      </c>
      <c r="C324" s="23" t="e">
        <f>VLOOKUP(A324,多浪小镇一期!$B$5:$B$517,1,0)</f>
        <v>#N/A</v>
      </c>
      <c r="D324" s="23" t="str">
        <f>VLOOKUP(A324,多浪小镇二期!$B$4:$B$490,1,0)</f>
        <v>A6-1-601</v>
      </c>
    </row>
    <row r="325" spans="1:4">
      <c r="A325" t="s">
        <v>2398</v>
      </c>
      <c r="B325" s="22">
        <v>212154</v>
      </c>
      <c r="C325" s="23" t="e">
        <f>VLOOKUP(A325,多浪小镇一期!$B$5:$B$517,1,0)</f>
        <v>#N/A</v>
      </c>
      <c r="D325" s="23" t="str">
        <f>VLOOKUP(A325,多浪小镇二期!$B$4:$B$490,1,0)</f>
        <v>A6-1-602</v>
      </c>
    </row>
    <row r="326" spans="1:4">
      <c r="A326" t="s">
        <v>2400</v>
      </c>
      <c r="B326" s="22">
        <v>238208</v>
      </c>
      <c r="C326" s="23" t="e">
        <f>VLOOKUP(A326,多浪小镇一期!$B$5:$B$517,1,0)</f>
        <v>#N/A</v>
      </c>
      <c r="D326" s="23" t="str">
        <f>VLOOKUP(A326,多浪小镇二期!$B$4:$B$490,1,0)</f>
        <v>A6-2-101</v>
      </c>
    </row>
    <row r="327" spans="1:4">
      <c r="A327" t="s">
        <v>2402</v>
      </c>
      <c r="B327" s="22">
        <v>263520</v>
      </c>
      <c r="C327" s="23" t="e">
        <f>VLOOKUP(A327,多浪小镇一期!$B$5:$B$517,1,0)</f>
        <v>#N/A</v>
      </c>
      <c r="D327" s="23" t="str">
        <f>VLOOKUP(A327,多浪小镇二期!$B$4:$B$490,1,0)</f>
        <v>A6-2-102</v>
      </c>
    </row>
    <row r="328" spans="1:4">
      <c r="A328" t="s">
        <v>2404</v>
      </c>
      <c r="B328" s="22">
        <v>249000</v>
      </c>
      <c r="C328" s="23" t="e">
        <f>VLOOKUP(A328,多浪小镇一期!$B$5:$B$517,1,0)</f>
        <v>#N/A</v>
      </c>
      <c r="D328" s="23" t="str">
        <f>VLOOKUP(A328,多浪小镇二期!$B$4:$B$490,1,0)</f>
        <v>A6-2-201</v>
      </c>
    </row>
    <row r="329" spans="1:4">
      <c r="A329" t="s">
        <v>2406</v>
      </c>
      <c r="B329" s="22">
        <v>275873</v>
      </c>
      <c r="C329" s="23" t="e">
        <f>VLOOKUP(A329,多浪小镇一期!$B$5:$B$517,1,0)</f>
        <v>#N/A</v>
      </c>
      <c r="D329" s="23" t="str">
        <f>VLOOKUP(A329,多浪小镇二期!$B$4:$B$490,1,0)</f>
        <v>A6-2-202</v>
      </c>
    </row>
    <row r="330" spans="1:4">
      <c r="A330" t="s">
        <v>2408</v>
      </c>
      <c r="B330" s="22">
        <v>247000</v>
      </c>
      <c r="C330" s="23" t="e">
        <f>VLOOKUP(A330,多浪小镇一期!$B$5:$B$517,1,0)</f>
        <v>#N/A</v>
      </c>
      <c r="D330" s="23" t="str">
        <f>VLOOKUP(A330,多浪小镇二期!$B$4:$B$490,1,0)</f>
        <v>A6-2-301</v>
      </c>
    </row>
    <row r="331" spans="1:4">
      <c r="A331" t="s">
        <v>2410</v>
      </c>
      <c r="B331" s="22">
        <v>275873</v>
      </c>
      <c r="C331" s="23" t="e">
        <f>VLOOKUP(A331,多浪小镇一期!$B$5:$B$517,1,0)</f>
        <v>#N/A</v>
      </c>
      <c r="D331" s="23" t="str">
        <f>VLOOKUP(A331,多浪小镇二期!$B$4:$B$490,1,0)</f>
        <v>A6-2-302</v>
      </c>
    </row>
    <row r="332" spans="1:4">
      <c r="A332" t="s">
        <v>2412</v>
      </c>
      <c r="B332" s="22">
        <v>245652</v>
      </c>
      <c r="C332" s="23" t="e">
        <f>VLOOKUP(A332,多浪小镇一期!$B$5:$B$517,1,0)</f>
        <v>#N/A</v>
      </c>
      <c r="D332" s="23" t="str">
        <f>VLOOKUP(A332,多浪小镇二期!$B$4:$B$490,1,0)</f>
        <v>A6-2-401</v>
      </c>
    </row>
    <row r="333" spans="1:4">
      <c r="A333" t="s">
        <v>2414</v>
      </c>
      <c r="B333" s="22">
        <v>271755</v>
      </c>
      <c r="C333" s="23" t="e">
        <f>VLOOKUP(A333,多浪小镇一期!$B$5:$B$517,1,0)</f>
        <v>#N/A</v>
      </c>
      <c r="D333" s="23" t="str">
        <f>VLOOKUP(A333,多浪小镇二期!$B$4:$B$490,1,0)</f>
        <v>A6-2-402</v>
      </c>
    </row>
    <row r="334" spans="1:4">
      <c r="A334" t="s">
        <v>2416</v>
      </c>
      <c r="B334" s="22">
        <v>227042</v>
      </c>
      <c r="C334" s="23" t="e">
        <f>VLOOKUP(A334,多浪小镇一期!$B$5:$B$517,1,0)</f>
        <v>#N/A</v>
      </c>
      <c r="D334" s="23" t="str">
        <f>VLOOKUP(A334,多浪小镇二期!$B$4:$B$490,1,0)</f>
        <v>A6-2-501</v>
      </c>
    </row>
    <row r="335" spans="1:4">
      <c r="A335" t="s">
        <v>2418</v>
      </c>
      <c r="B335" s="22">
        <v>251168</v>
      </c>
      <c r="C335" s="23" t="e">
        <f>VLOOKUP(A335,多浪小镇一期!$B$5:$B$517,1,0)</f>
        <v>#N/A</v>
      </c>
      <c r="D335" s="23" t="str">
        <f>VLOOKUP(A335,多浪小镇二期!$B$4:$B$490,1,0)</f>
        <v>A6-2-502</v>
      </c>
    </row>
    <row r="336" spans="1:4">
      <c r="A336" t="s">
        <v>2420</v>
      </c>
      <c r="B336" s="22">
        <v>208432</v>
      </c>
      <c r="C336" s="23" t="e">
        <f>VLOOKUP(A336,多浪小镇一期!$B$5:$B$517,1,0)</f>
        <v>#N/A</v>
      </c>
      <c r="D336" s="23" t="str">
        <f>VLOOKUP(A336,多浪小镇二期!$B$4:$B$490,1,0)</f>
        <v>A6-2-601</v>
      </c>
    </row>
    <row r="337" spans="1:4">
      <c r="A337" t="s">
        <v>2422</v>
      </c>
      <c r="B337" s="22">
        <v>230580</v>
      </c>
      <c r="C337" s="23" t="e">
        <f>VLOOKUP(A337,多浪小镇一期!$B$5:$B$517,1,0)</f>
        <v>#N/A</v>
      </c>
      <c r="D337" s="23" t="str">
        <f>VLOOKUP(A337,多浪小镇二期!$B$4:$B$490,1,0)</f>
        <v>A6-2-602</v>
      </c>
    </row>
    <row r="338" spans="1:4">
      <c r="A338" t="s">
        <v>2424</v>
      </c>
      <c r="B338" s="22">
        <v>259463.97</v>
      </c>
      <c r="C338" s="23" t="e">
        <f>VLOOKUP(A338,多浪小镇一期!$B$5:$B$517,1,0)</f>
        <v>#N/A</v>
      </c>
      <c r="D338" s="23" t="str">
        <f>VLOOKUP(A338,多浪小镇二期!$B$4:$B$490,1,0)</f>
        <v>A7-1-101</v>
      </c>
    </row>
    <row r="339" spans="1:4">
      <c r="A339" t="s">
        <v>2426</v>
      </c>
      <c r="B339" s="22">
        <v>237000</v>
      </c>
      <c r="C339" s="23" t="e">
        <f>VLOOKUP(A339,多浪小镇一期!$B$5:$B$517,1,0)</f>
        <v>#N/A</v>
      </c>
      <c r="D339" s="23" t="str">
        <f>VLOOKUP(A339,多浪小镇二期!$B$4:$B$490,1,0)</f>
        <v>A7-1-102</v>
      </c>
    </row>
    <row r="340" spans="1:4">
      <c r="A340" t="s">
        <v>2428</v>
      </c>
      <c r="B340" s="22">
        <v>275225</v>
      </c>
      <c r="C340" s="23" t="e">
        <f>VLOOKUP(A340,多浪小镇一期!$B$5:$B$517,1,0)</f>
        <v>#N/A</v>
      </c>
      <c r="D340" s="23" t="str">
        <f>VLOOKUP(A340,多浪小镇二期!$B$4:$B$490,1,0)</f>
        <v>A7-1-201</v>
      </c>
    </row>
    <row r="341" spans="1:4">
      <c r="A341" t="s">
        <v>2430</v>
      </c>
      <c r="B341" s="22">
        <v>248355</v>
      </c>
      <c r="C341" s="23" t="e">
        <f>VLOOKUP(A341,多浪小镇一期!$B$5:$B$517,1,0)</f>
        <v>#N/A</v>
      </c>
      <c r="D341" s="23" t="str">
        <f>VLOOKUP(A341,多浪小镇二期!$B$4:$B$490,1,0)</f>
        <v>A7-1-202</v>
      </c>
    </row>
    <row r="342" spans="1:4">
      <c r="A342" t="s">
        <v>2432</v>
      </c>
      <c r="B342" s="22">
        <v>281010</v>
      </c>
      <c r="C342" s="23" t="e">
        <f>VLOOKUP(A342,多浪小镇一期!$B$5:$B$517,1,0)</f>
        <v>#N/A</v>
      </c>
      <c r="D342" s="23" t="str">
        <f>VLOOKUP(A342,多浪小镇二期!$B$4:$B$490,1,0)</f>
        <v>A7-1-301</v>
      </c>
    </row>
    <row r="343" spans="1:4">
      <c r="A343" t="s">
        <v>2434</v>
      </c>
      <c r="B343" s="22">
        <v>248000</v>
      </c>
      <c r="C343" s="23" t="e">
        <f>VLOOKUP(A343,多浪小镇一期!$B$5:$B$517,1,0)</f>
        <v>#N/A</v>
      </c>
      <c r="D343" s="23" t="str">
        <f>VLOOKUP(A343,多浪小镇二期!$B$4:$B$490,1,0)</f>
        <v>A7-1-302</v>
      </c>
    </row>
    <row r="344" spans="1:4">
      <c r="A344" t="s">
        <v>2436</v>
      </c>
      <c r="B344" s="22">
        <v>273572</v>
      </c>
      <c r="C344" s="23" t="e">
        <f>VLOOKUP(A344,多浪小镇一期!$B$5:$B$517,1,0)</f>
        <v>#N/A</v>
      </c>
      <c r="D344" s="23" t="str">
        <f>VLOOKUP(A344,多浪小镇二期!$B$4:$B$490,1,0)</f>
        <v>A7-1-401</v>
      </c>
    </row>
    <row r="345" spans="1:4">
      <c r="A345" t="s">
        <v>2438</v>
      </c>
      <c r="B345" s="22">
        <v>248503</v>
      </c>
      <c r="C345" s="23" t="e">
        <f>VLOOKUP(A345,多浪小镇一期!$B$5:$B$517,1,0)</f>
        <v>#N/A</v>
      </c>
      <c r="D345" s="23" t="str">
        <f>VLOOKUP(A345,多浪小镇二期!$B$4:$B$490,1,0)</f>
        <v>A7-1-402</v>
      </c>
    </row>
    <row r="346" spans="1:4">
      <c r="A346" t="s">
        <v>2440</v>
      </c>
      <c r="B346" s="22">
        <v>247950</v>
      </c>
      <c r="C346" s="23" t="e">
        <f>VLOOKUP(A346,多浪小镇一期!$B$5:$B$517,1,0)</f>
        <v>#N/A</v>
      </c>
      <c r="D346" s="23" t="str">
        <f>VLOOKUP(A346,多浪小镇二期!$B$4:$B$490,1,0)</f>
        <v>A7-1-501</v>
      </c>
    </row>
    <row r="347" spans="1:4">
      <c r="A347" t="s">
        <v>2442</v>
      </c>
      <c r="B347" s="22">
        <v>221798</v>
      </c>
      <c r="C347" s="23" t="e">
        <f>VLOOKUP(A347,多浪小镇一期!$B$5:$B$517,1,0)</f>
        <v>#N/A</v>
      </c>
      <c r="D347" s="23" t="str">
        <f>VLOOKUP(A347,多浪小镇二期!$B$4:$B$490,1,0)</f>
        <v>A7-1-502</v>
      </c>
    </row>
    <row r="348" spans="1:4">
      <c r="A348" t="s">
        <v>2444</v>
      </c>
      <c r="B348" s="22">
        <v>229767</v>
      </c>
      <c r="C348" s="23" t="e">
        <f>VLOOKUP(A348,多浪小镇一期!$B$5:$B$517,1,0)</f>
        <v>#N/A</v>
      </c>
      <c r="D348" s="23" t="str">
        <f>VLOOKUP(A348,多浪小镇二期!$B$4:$B$490,1,0)</f>
        <v>A7-1-601</v>
      </c>
    </row>
    <row r="349" spans="1:4">
      <c r="A349" t="s">
        <v>2446</v>
      </c>
      <c r="B349" s="22">
        <v>207704</v>
      </c>
      <c r="C349" s="23" t="e">
        <f>VLOOKUP(A349,多浪小镇一期!$B$5:$B$517,1,0)</f>
        <v>#N/A</v>
      </c>
      <c r="D349" s="23" t="str">
        <f>VLOOKUP(A349,多浪小镇二期!$B$4:$B$490,1,0)</f>
        <v>A7-1-602</v>
      </c>
    </row>
    <row r="350" spans="1:4">
      <c r="A350" t="s">
        <v>2448</v>
      </c>
      <c r="B350" s="22">
        <v>245992</v>
      </c>
      <c r="C350" s="23" t="e">
        <f>VLOOKUP(A350,多浪小镇一期!$B$5:$B$517,1,0)</f>
        <v>#N/A</v>
      </c>
      <c r="D350" s="23" t="str">
        <f>VLOOKUP(A350,多浪小镇二期!$B$4:$B$490,1,0)</f>
        <v>A7-2-101</v>
      </c>
    </row>
    <row r="351" spans="1:4">
      <c r="A351" t="s">
        <v>2450</v>
      </c>
      <c r="B351" s="22">
        <v>247544</v>
      </c>
      <c r="C351" s="23" t="e">
        <f>VLOOKUP(A351,多浪小镇一期!$B$5:$B$517,1,0)</f>
        <v>#N/A</v>
      </c>
      <c r="D351" s="23" t="str">
        <f>VLOOKUP(A351,多浪小镇二期!$B$4:$B$490,1,0)</f>
        <v>A7-2-102</v>
      </c>
    </row>
    <row r="352" spans="1:4">
      <c r="A352" t="s">
        <v>2452</v>
      </c>
      <c r="B352" s="22">
        <v>260000</v>
      </c>
      <c r="C352" s="23" t="e">
        <f>VLOOKUP(A352,多浪小镇一期!$B$5:$B$517,1,0)</f>
        <v>#N/A</v>
      </c>
      <c r="D352" s="23" t="str">
        <f>VLOOKUP(A352,多浪小镇二期!$B$4:$B$490,1,0)</f>
        <v>A7-2-201</v>
      </c>
    </row>
    <row r="353" spans="1:4">
      <c r="A353" t="s">
        <v>2454</v>
      </c>
      <c r="B353" s="22">
        <v>259184</v>
      </c>
      <c r="C353" s="23" t="e">
        <f>VLOOKUP(A353,多浪小镇一期!$B$5:$B$517,1,0)</f>
        <v>#N/A</v>
      </c>
      <c r="D353" s="23" t="str">
        <f>VLOOKUP(A353,多浪小镇二期!$B$4:$B$490,1,0)</f>
        <v>A7-2-202</v>
      </c>
    </row>
    <row r="354" spans="1:4">
      <c r="A354" t="s">
        <v>2456</v>
      </c>
      <c r="B354" s="22">
        <v>258098</v>
      </c>
      <c r="C354" s="23" t="e">
        <f>VLOOKUP(A354,多浪小镇一期!$B$5:$B$517,1,0)</f>
        <v>#N/A</v>
      </c>
      <c r="D354" s="23" t="str">
        <f>VLOOKUP(A354,多浪小镇二期!$B$4:$B$490,1,0)</f>
        <v>A7-2-301</v>
      </c>
    </row>
    <row r="355" spans="1:4">
      <c r="A355" t="s">
        <v>2458</v>
      </c>
      <c r="B355" s="22">
        <v>236680</v>
      </c>
      <c r="C355" s="23" t="e">
        <f>VLOOKUP(A355,多浪小镇一期!$B$5:$B$517,1,0)</f>
        <v>#N/A</v>
      </c>
      <c r="D355" s="23" t="str">
        <f>VLOOKUP(A355,多浪小镇二期!$B$4:$B$490,1,0)</f>
        <v>A7-2-302</v>
      </c>
    </row>
    <row r="356" spans="1:4">
      <c r="A356" t="s">
        <v>2460</v>
      </c>
      <c r="B356" s="22">
        <v>256080</v>
      </c>
      <c r="C356" s="23" t="e">
        <f>VLOOKUP(A356,多浪小镇一期!$B$5:$B$517,1,0)</f>
        <v>#N/A</v>
      </c>
      <c r="D356" s="23" t="str">
        <f>VLOOKUP(A356,多浪小镇二期!$B$4:$B$490,1,0)</f>
        <v>A7-2-401</v>
      </c>
    </row>
    <row r="357" spans="1:4">
      <c r="A357" t="s">
        <v>2462</v>
      </c>
      <c r="B357" s="22">
        <v>259960</v>
      </c>
      <c r="C357" s="23" t="e">
        <f>VLOOKUP(A357,多浪小镇一期!$B$5:$B$517,1,0)</f>
        <v>#N/A</v>
      </c>
      <c r="D357" s="23" t="str">
        <f>VLOOKUP(A357,多浪小镇二期!$B$4:$B$490,1,0)</f>
        <v>A7-2-402</v>
      </c>
    </row>
    <row r="358" spans="1:4">
      <c r="A358" t="s">
        <v>2464</v>
      </c>
      <c r="B358" s="22">
        <v>232800</v>
      </c>
      <c r="C358" s="23" t="e">
        <f>VLOOKUP(A358,多浪小镇一期!$B$5:$B$517,1,0)</f>
        <v>#N/A</v>
      </c>
      <c r="D358" s="23" t="str">
        <f>VLOOKUP(A358,多浪小镇二期!$B$4:$B$490,1,0)</f>
        <v>A7-2-501</v>
      </c>
    </row>
    <row r="359" spans="1:4">
      <c r="A359" t="s">
        <v>2466</v>
      </c>
      <c r="B359" s="22">
        <v>232800</v>
      </c>
      <c r="C359" s="23" t="e">
        <f>VLOOKUP(A359,多浪小镇一期!$B$5:$B$517,1,0)</f>
        <v>#N/A</v>
      </c>
      <c r="D359" s="23" t="str">
        <f>VLOOKUP(A359,多浪小镇二期!$B$4:$B$490,1,0)</f>
        <v>A7-2-502</v>
      </c>
    </row>
    <row r="360" spans="1:4">
      <c r="A360" t="s">
        <v>2468</v>
      </c>
      <c r="B360" s="22">
        <v>221160</v>
      </c>
      <c r="C360" s="23" t="e">
        <f>VLOOKUP(A360,多浪小镇一期!$B$5:$B$517,1,0)</f>
        <v>#N/A</v>
      </c>
      <c r="D360" s="23" t="str">
        <f>VLOOKUP(A360,多浪小镇二期!$B$4:$B$490,1,0)</f>
        <v>A7-2-601</v>
      </c>
    </row>
    <row r="361" spans="1:4">
      <c r="A361" t="s">
        <v>2470</v>
      </c>
      <c r="B361" s="22">
        <v>221160</v>
      </c>
      <c r="C361" s="23" t="e">
        <f>VLOOKUP(A361,多浪小镇一期!$B$5:$B$517,1,0)</f>
        <v>#N/A</v>
      </c>
      <c r="D361" s="23" t="str">
        <f>VLOOKUP(A361,多浪小镇二期!$B$4:$B$490,1,0)</f>
        <v>A7-2-602</v>
      </c>
    </row>
    <row r="362" spans="1:4">
      <c r="A362" t="s">
        <v>2472</v>
      </c>
      <c r="B362" s="22">
        <v>236000</v>
      </c>
      <c r="C362" s="23" t="e">
        <f>VLOOKUP(A362,多浪小镇一期!$B$5:$B$517,1,0)</f>
        <v>#N/A</v>
      </c>
      <c r="D362" s="23" t="str">
        <f>VLOOKUP(A362,多浪小镇二期!$B$4:$B$490,1,0)</f>
        <v>A7-3-101</v>
      </c>
    </row>
    <row r="363" spans="1:4">
      <c r="A363" t="s">
        <v>2474</v>
      </c>
      <c r="B363" s="22">
        <v>268613</v>
      </c>
      <c r="C363" s="23" t="e">
        <f>VLOOKUP(A363,多浪小镇一期!$B$5:$B$517,1,0)</f>
        <v>#N/A</v>
      </c>
      <c r="D363" s="23" t="str">
        <f>VLOOKUP(A363,多浪小镇二期!$B$4:$B$490,1,0)</f>
        <v>A7-3-102</v>
      </c>
    </row>
    <row r="364" spans="1:4">
      <c r="A364" t="s">
        <v>2476</v>
      </c>
      <c r="B364" s="22">
        <v>247761</v>
      </c>
      <c r="C364" s="23" t="e">
        <f>VLOOKUP(A364,多浪小镇一期!$B$5:$B$517,1,0)</f>
        <v>#N/A</v>
      </c>
      <c r="D364" s="23" t="str">
        <f>VLOOKUP(A364,多浪小镇二期!$B$4:$B$490,1,0)</f>
        <v>A7-3-201</v>
      </c>
    </row>
    <row r="365" spans="1:4">
      <c r="A365" t="s">
        <v>2478</v>
      </c>
      <c r="B365" s="22">
        <v>278000</v>
      </c>
      <c r="C365" s="23" t="e">
        <f>VLOOKUP(A365,多浪小镇一期!$B$5:$B$517,1,0)</f>
        <v>#N/A</v>
      </c>
      <c r="D365" s="23" t="str">
        <f>VLOOKUP(A365,多浪小镇二期!$B$4:$B$490,1,0)</f>
        <v>A7-3-202</v>
      </c>
    </row>
    <row r="366" spans="1:4">
      <c r="A366" t="s">
        <v>2480</v>
      </c>
      <c r="B366" s="22">
        <v>244794</v>
      </c>
      <c r="C366" s="23" t="e">
        <f>VLOOKUP(A366,多浪小镇一期!$B$5:$B$517,1,0)</f>
        <v>#N/A</v>
      </c>
      <c r="D366" s="23" t="str">
        <f>VLOOKUP(A366,多浪小镇二期!$B$4:$B$490,1,0)</f>
        <v>A7-3-301</v>
      </c>
    </row>
    <row r="367" spans="1:4">
      <c r="A367" t="s">
        <v>2482</v>
      </c>
      <c r="B367" s="22">
        <v>272745</v>
      </c>
      <c r="C367" s="23" t="e">
        <f>VLOOKUP(A367,多浪小镇一期!$B$5:$B$517,1,0)</f>
        <v>#N/A</v>
      </c>
      <c r="D367" s="23" t="str">
        <f>VLOOKUP(A367,多浪小镇二期!$B$4:$B$490,1,0)</f>
        <v>A7-3-302</v>
      </c>
    </row>
    <row r="368" spans="1:4">
      <c r="A368" t="s">
        <v>2484</v>
      </c>
      <c r="B368" s="22">
        <v>244794</v>
      </c>
      <c r="C368" s="23" t="e">
        <f>VLOOKUP(A368,多浪小镇一期!$B$5:$B$517,1,0)</f>
        <v>#N/A</v>
      </c>
      <c r="D368" s="23" t="str">
        <f>VLOOKUP(A368,多浪小镇二期!$B$4:$B$490,1,0)</f>
        <v>A7-3-401</v>
      </c>
    </row>
    <row r="369" spans="1:4">
      <c r="A369" t="s">
        <v>2486</v>
      </c>
      <c r="B369" s="22">
        <v>276878</v>
      </c>
      <c r="C369" s="23" t="e">
        <f>VLOOKUP(A369,多浪小镇一期!$B$5:$B$517,1,0)</f>
        <v>#N/A</v>
      </c>
      <c r="D369" s="23" t="str">
        <f>VLOOKUP(A369,多浪小镇二期!$B$4:$B$490,1,0)</f>
        <v>A7-3-402</v>
      </c>
    </row>
    <row r="370" spans="1:4">
      <c r="A370" t="s">
        <v>2488</v>
      </c>
      <c r="B370" s="22">
        <v>224024</v>
      </c>
      <c r="C370" s="23" t="e">
        <f>VLOOKUP(A370,多浪小镇一期!$B$5:$B$517,1,0)</f>
        <v>#N/A</v>
      </c>
      <c r="D370" s="23" t="str">
        <f>VLOOKUP(A370,多浪小镇二期!$B$4:$B$490,1,0)</f>
        <v>A7-3-501</v>
      </c>
    </row>
    <row r="371" spans="1:4">
      <c r="A371" t="s">
        <v>2490</v>
      </c>
      <c r="B371" s="22">
        <v>247950</v>
      </c>
      <c r="C371" s="23" t="e">
        <f>VLOOKUP(A371,多浪小镇一期!$B$5:$B$517,1,0)</f>
        <v>#N/A</v>
      </c>
      <c r="D371" s="23" t="str">
        <f>VLOOKUP(A371,多浪小镇二期!$B$4:$B$490,1,0)</f>
        <v>A7-3-502</v>
      </c>
    </row>
    <row r="372" spans="1:4">
      <c r="A372" t="s">
        <v>2492</v>
      </c>
      <c r="B372" s="22">
        <v>207704</v>
      </c>
      <c r="C372" s="23" t="e">
        <f>VLOOKUP(A372,多浪小镇一期!$B$5:$B$517,1,0)</f>
        <v>#N/A</v>
      </c>
      <c r="D372" s="23" t="str">
        <f>VLOOKUP(A372,多浪小镇二期!$B$4:$B$490,1,0)</f>
        <v>A7-3-601</v>
      </c>
    </row>
    <row r="373" spans="1:4">
      <c r="A373" t="s">
        <v>2494</v>
      </c>
      <c r="B373" s="22">
        <v>235553</v>
      </c>
      <c r="C373" s="23" t="e">
        <f>VLOOKUP(A373,多浪小镇一期!$B$5:$B$517,1,0)</f>
        <v>#N/A</v>
      </c>
      <c r="D373" s="23" t="str">
        <f>VLOOKUP(A373,多浪小镇二期!$B$4:$B$490,1,0)</f>
        <v>A7-3-602</v>
      </c>
    </row>
    <row r="374" spans="1:4">
      <c r="A374" t="s">
        <v>2496</v>
      </c>
      <c r="B374" s="22">
        <v>221000</v>
      </c>
      <c r="C374" s="23" t="e">
        <f>VLOOKUP(A374,多浪小镇一期!$B$5:$B$517,1,0)</f>
        <v>#N/A</v>
      </c>
      <c r="D374" s="23" t="str">
        <f>VLOOKUP(A374,多浪小镇二期!$B$4:$B$490,1,0)</f>
        <v>A8-1-101</v>
      </c>
    </row>
    <row r="375" spans="1:4">
      <c r="A375" t="s">
        <v>2498</v>
      </c>
      <c r="B375" s="22">
        <v>215510</v>
      </c>
      <c r="C375" s="23" t="e">
        <f>VLOOKUP(A375,多浪小镇一期!$B$5:$B$517,1,0)</f>
        <v>#N/A</v>
      </c>
      <c r="D375" s="23" t="str">
        <f>VLOOKUP(A375,多浪小镇二期!$B$4:$B$490,1,0)</f>
        <v>A8-1-102</v>
      </c>
    </row>
    <row r="376" spans="1:4">
      <c r="A376" t="s">
        <v>2500</v>
      </c>
      <c r="B376" s="22">
        <v>193500</v>
      </c>
      <c r="C376" s="23" t="e">
        <f>VLOOKUP(A376,多浪小镇一期!$B$5:$B$517,1,0)</f>
        <v>#N/A</v>
      </c>
      <c r="D376" s="23" t="str">
        <f>VLOOKUP(A376,多浪小镇二期!$B$4:$B$490,1,0)</f>
        <v>A8-1-103</v>
      </c>
    </row>
    <row r="377" spans="1:4">
      <c r="A377" t="s">
        <v>2502</v>
      </c>
      <c r="B377" s="22">
        <v>188435</v>
      </c>
      <c r="C377" s="23" t="e">
        <f>VLOOKUP(A377,多浪小镇一期!$B$5:$B$517,1,0)</f>
        <v>#N/A</v>
      </c>
      <c r="D377" s="23" t="str">
        <f>VLOOKUP(A377,多浪小镇二期!$B$4:$B$490,1,0)</f>
        <v>A8-1-104</v>
      </c>
    </row>
    <row r="378" spans="1:4">
      <c r="A378" t="s">
        <v>2504</v>
      </c>
      <c r="B378" s="22">
        <v>231968</v>
      </c>
      <c r="C378" s="23" t="e">
        <f>VLOOKUP(A378,多浪小镇一期!$B$5:$B$517,1,0)</f>
        <v>#N/A</v>
      </c>
      <c r="D378" s="23" t="str">
        <f>VLOOKUP(A378,多浪小镇二期!$B$4:$B$490,1,0)</f>
        <v>A8-1-201</v>
      </c>
    </row>
    <row r="379" spans="1:4">
      <c r="A379" t="s">
        <v>2506</v>
      </c>
      <c r="B379" s="22">
        <v>220060</v>
      </c>
      <c r="C379" s="23" t="e">
        <f>VLOOKUP(A379,多浪小镇一期!$B$5:$B$517,1,0)</f>
        <v>#N/A</v>
      </c>
      <c r="D379" s="23" t="str">
        <f>VLOOKUP(A379,多浪小镇二期!$B$4:$B$490,1,0)</f>
        <v>A8-1-202</v>
      </c>
    </row>
    <row r="380" spans="1:4">
      <c r="A380" t="s">
        <v>2509</v>
      </c>
      <c r="B380" s="22">
        <v>214988</v>
      </c>
      <c r="C380" s="23" t="e">
        <f>VLOOKUP(A380,多浪小镇一期!$B$5:$B$517,1,0)</f>
        <v>#N/A</v>
      </c>
      <c r="D380" s="23" t="str">
        <f>VLOOKUP(A380,多浪小镇二期!$B$4:$B$490,1,0)</f>
        <v>A8-1-203</v>
      </c>
    </row>
    <row r="381" spans="1:4">
      <c r="A381" t="s">
        <v>2511</v>
      </c>
      <c r="B381" s="22">
        <v>190174</v>
      </c>
      <c r="C381" s="23" t="e">
        <f>VLOOKUP(A381,多浪小镇一期!$B$5:$B$517,1,0)</f>
        <v>#N/A</v>
      </c>
      <c r="D381" s="23" t="str">
        <f>VLOOKUP(A381,多浪小镇二期!$B$4:$B$490,1,0)</f>
        <v>A8-1-204</v>
      </c>
    </row>
    <row r="382" spans="1:4">
      <c r="A382" t="s">
        <v>2513</v>
      </c>
      <c r="B382" s="22">
        <v>229900</v>
      </c>
      <c r="C382" s="23" t="e">
        <f>VLOOKUP(A382,多浪小镇一期!$B$5:$B$517,1,0)</f>
        <v>#N/A</v>
      </c>
      <c r="D382" s="23" t="str">
        <f>VLOOKUP(A382,多浪小镇二期!$B$4:$B$490,1,0)</f>
        <v>A8-1-301</v>
      </c>
    </row>
    <row r="383" spans="1:4">
      <c r="A383" t="s">
        <v>2515</v>
      </c>
      <c r="B383" s="22">
        <v>218016</v>
      </c>
      <c r="C383" s="23" t="e">
        <f>VLOOKUP(A383,多浪小镇一期!$B$5:$B$517,1,0)</f>
        <v>#N/A</v>
      </c>
      <c r="D383" s="23" t="str">
        <f>VLOOKUP(A383,多浪小镇二期!$B$4:$B$490,1,0)</f>
        <v>A8-1-302</v>
      </c>
    </row>
    <row r="384" spans="1:4">
      <c r="A384" t="s">
        <v>2517</v>
      </c>
      <c r="B384" s="22">
        <v>214988</v>
      </c>
      <c r="C384" s="23" t="e">
        <f>VLOOKUP(A384,多浪小镇一期!$B$5:$B$517,1,0)</f>
        <v>#N/A</v>
      </c>
      <c r="D384" s="23" t="str">
        <f>VLOOKUP(A384,多浪小镇二期!$B$4:$B$490,1,0)</f>
        <v>A8-1-303</v>
      </c>
    </row>
    <row r="385" spans="1:4">
      <c r="A385" t="s">
        <v>2519</v>
      </c>
      <c r="B385" s="22">
        <v>204669</v>
      </c>
      <c r="C385" s="23" t="e">
        <f>VLOOKUP(A385,多浪小镇一期!$B$5:$B$517,1,0)</f>
        <v>#N/A</v>
      </c>
      <c r="D385" s="23" t="str">
        <f>VLOOKUP(A385,多浪小镇二期!$B$4:$B$490,1,0)</f>
        <v>A8-1-304</v>
      </c>
    </row>
    <row r="386" spans="1:4">
      <c r="A386" t="s">
        <v>2521</v>
      </c>
      <c r="B386" s="22">
        <v>224928</v>
      </c>
      <c r="C386" s="23" t="e">
        <f>VLOOKUP(A386,多浪小镇一期!$B$5:$B$517,1,0)</f>
        <v>#N/A</v>
      </c>
      <c r="D386" s="23" t="str">
        <f>VLOOKUP(A386,多浪小镇二期!$B$4:$B$490,1,0)</f>
        <v>A8-1-401</v>
      </c>
    </row>
    <row r="387" spans="1:4">
      <c r="A387" t="s">
        <v>2523</v>
      </c>
      <c r="B387" s="22">
        <v>224829</v>
      </c>
      <c r="C387" s="23" t="e">
        <f>VLOOKUP(A387,多浪小镇一期!$B$5:$B$517,1,0)</f>
        <v>#N/A</v>
      </c>
      <c r="D387" s="23" t="str">
        <f>VLOOKUP(A387,多浪小镇二期!$B$4:$B$490,1,0)</f>
        <v>A8-1-402</v>
      </c>
    </row>
    <row r="388" spans="1:4">
      <c r="A388" t="s">
        <v>2525</v>
      </c>
      <c r="B388" s="22">
        <v>205904</v>
      </c>
      <c r="C388" s="23" t="e">
        <f>VLOOKUP(A388,多浪小镇一期!$B$5:$B$517,1,0)</f>
        <v>#N/A</v>
      </c>
      <c r="D388" s="23" t="str">
        <f>VLOOKUP(A388,多浪小镇二期!$B$4:$B$490,1,0)</f>
        <v>A8-1-403</v>
      </c>
    </row>
    <row r="389" spans="1:4">
      <c r="A389" t="s">
        <v>2527</v>
      </c>
      <c r="B389" s="22">
        <v>194233</v>
      </c>
      <c r="C389" s="23" t="e">
        <f>VLOOKUP(A389,多浪小镇一期!$B$5:$B$517,1,0)</f>
        <v>#N/A</v>
      </c>
      <c r="D389" s="23" t="str">
        <f>VLOOKUP(A389,多浪小镇二期!$B$4:$B$490,1,0)</f>
        <v>A8-1-404</v>
      </c>
    </row>
    <row r="390" spans="1:4">
      <c r="A390" t="s">
        <v>2529</v>
      </c>
      <c r="B390" s="22">
        <v>208112</v>
      </c>
      <c r="C390" s="23" t="e">
        <f>VLOOKUP(A390,多浪小镇一期!$B$5:$B$517,1,0)</f>
        <v>#N/A</v>
      </c>
      <c r="D390" s="23" t="str">
        <f>VLOOKUP(A390,多浪小镇二期!$B$4:$B$490,1,0)</f>
        <v>A8-1-501</v>
      </c>
    </row>
    <row r="391" spans="1:4">
      <c r="A391" t="s">
        <v>2531</v>
      </c>
      <c r="B391" s="22">
        <v>200000</v>
      </c>
      <c r="C391" s="23" t="e">
        <f>VLOOKUP(A391,多浪小镇一期!$B$5:$B$517,1,0)</f>
        <v>#N/A</v>
      </c>
      <c r="D391" s="23" t="str">
        <f>VLOOKUP(A391,多浪小镇二期!$B$4:$B$490,1,0)</f>
        <v>A8-1-502</v>
      </c>
    </row>
    <row r="392" spans="1:4">
      <c r="A392" t="s">
        <v>2533</v>
      </c>
      <c r="B392" s="22">
        <v>181680</v>
      </c>
      <c r="C392" s="23" t="e">
        <f>VLOOKUP(A392,多浪小镇一期!$B$5:$B$517,1,0)</f>
        <v>#N/A</v>
      </c>
      <c r="D392" s="23" t="str">
        <f>VLOOKUP(A392,多浪小镇二期!$B$4:$B$490,1,0)</f>
        <v>A8-1-503</v>
      </c>
    </row>
    <row r="393" spans="1:4">
      <c r="A393" t="s">
        <v>2535</v>
      </c>
      <c r="B393" s="22">
        <v>179738</v>
      </c>
      <c r="C393" s="23" t="e">
        <f>VLOOKUP(A393,多浪小镇一期!$B$5:$B$517,1,0)</f>
        <v>#N/A</v>
      </c>
      <c r="D393" s="23" t="str">
        <f>VLOOKUP(A393,多浪小镇二期!$B$4:$B$490,1,0)</f>
        <v>A8-1-504</v>
      </c>
    </row>
    <row r="394" spans="1:4">
      <c r="A394" t="s">
        <v>2537</v>
      </c>
      <c r="B394" s="22">
        <v>189485</v>
      </c>
      <c r="C394" s="23" t="e">
        <f>VLOOKUP(A394,多浪小镇一期!$B$5:$B$517,1,0)</f>
        <v>#N/A</v>
      </c>
      <c r="D394" s="23" t="str">
        <f>VLOOKUP(A394,多浪小镇二期!$B$4:$B$490,1,0)</f>
        <v>A8-1-601</v>
      </c>
    </row>
    <row r="395" spans="1:4">
      <c r="A395" t="s">
        <v>2539</v>
      </c>
      <c r="B395" s="22">
        <v>202000</v>
      </c>
      <c r="C395" s="23" t="e">
        <f>VLOOKUP(A395,多浪小镇一期!$B$5:$B$517,1,0)</f>
        <v>#N/A</v>
      </c>
      <c r="D395" s="23" t="str">
        <f>VLOOKUP(A395,多浪小镇二期!$B$4:$B$490,1,0)</f>
        <v>A8-1-602</v>
      </c>
    </row>
    <row r="396" spans="1:4">
      <c r="A396" t="s">
        <v>2541</v>
      </c>
      <c r="B396" s="22">
        <v>172596</v>
      </c>
      <c r="C396" s="23" t="e">
        <f>VLOOKUP(A396,多浪小镇一期!$B$5:$B$517,1,0)</f>
        <v>#N/A</v>
      </c>
      <c r="D396" s="23" t="str">
        <f>VLOOKUP(A396,多浪小镇二期!$B$4:$B$490,1,0)</f>
        <v>A8-1-603</v>
      </c>
    </row>
    <row r="397" spans="1:4">
      <c r="A397" t="s">
        <v>2543</v>
      </c>
      <c r="B397" s="22">
        <v>164084</v>
      </c>
      <c r="C397" s="23" t="e">
        <f>VLOOKUP(A397,多浪小镇一期!$B$5:$B$517,1,0)</f>
        <v>#N/A</v>
      </c>
      <c r="D397" s="23" t="str">
        <f>VLOOKUP(A397,多浪小镇二期!$B$4:$B$490,1,0)</f>
        <v>A8-1-604</v>
      </c>
    </row>
    <row r="398" spans="1:4">
      <c r="A398" t="s">
        <v>2545</v>
      </c>
      <c r="B398" s="22">
        <v>188000</v>
      </c>
      <c r="C398" s="23" t="e">
        <f>VLOOKUP(A398,多浪小镇一期!$B$5:$B$517,1,0)</f>
        <v>#N/A</v>
      </c>
      <c r="D398" s="23" t="str">
        <f>VLOOKUP(A398,多浪小镇二期!$B$4:$B$490,1,0)</f>
        <v>A8-2-101</v>
      </c>
    </row>
    <row r="399" spans="1:4">
      <c r="A399" t="s">
        <v>2547</v>
      </c>
      <c r="B399" s="22">
        <v>193792</v>
      </c>
      <c r="C399" s="23" t="e">
        <f>VLOOKUP(A399,多浪小镇一期!$B$5:$B$517,1,0)</f>
        <v>#N/A</v>
      </c>
      <c r="D399" s="23" t="str">
        <f>VLOOKUP(A399,多浪小镇二期!$B$4:$B$490,1,0)</f>
        <v>A8-2-102</v>
      </c>
    </row>
    <row r="400" spans="1:4">
      <c r="A400" t="s">
        <v>2549</v>
      </c>
      <c r="B400" s="22">
        <v>221000</v>
      </c>
      <c r="C400" s="23" t="e">
        <f>VLOOKUP(A400,多浪小镇一期!$B$5:$B$517,1,0)</f>
        <v>#N/A</v>
      </c>
      <c r="D400" s="23" t="str">
        <f>VLOOKUP(A400,多浪小镇二期!$B$4:$B$490,1,0)</f>
        <v>A8-2-103</v>
      </c>
    </row>
    <row r="401" spans="1:4">
      <c r="A401" t="s">
        <v>2551</v>
      </c>
      <c r="B401" s="22">
        <v>220838</v>
      </c>
      <c r="C401" s="23" t="e">
        <f>VLOOKUP(A401,多浪小镇一期!$B$5:$B$517,1,0)</f>
        <v>#N/A</v>
      </c>
      <c r="D401" s="23" t="str">
        <f>VLOOKUP(A401,多浪小镇二期!$B$4:$B$490,1,0)</f>
        <v>A8-2-104</v>
      </c>
    </row>
    <row r="402" spans="1:4">
      <c r="A402" t="s">
        <v>2553</v>
      </c>
      <c r="B402" s="22">
        <v>148728</v>
      </c>
      <c r="C402" s="23" t="e">
        <f>VLOOKUP(A402,多浪小镇一期!$B$5:$B$517,1,0)</f>
        <v>#N/A</v>
      </c>
      <c r="D402" s="23" t="str">
        <f>VLOOKUP(A402,多浪小镇二期!$B$4:$B$490,1,0)</f>
        <v>A8-2-201</v>
      </c>
    </row>
    <row r="403" spans="1:4">
      <c r="A403" t="s">
        <v>2555</v>
      </c>
      <c r="B403" s="22">
        <v>208932</v>
      </c>
      <c r="C403" s="23" t="e">
        <f>VLOOKUP(A403,多浪小镇一期!$B$5:$B$517,1,0)</f>
        <v>#N/A</v>
      </c>
      <c r="D403" s="23" t="str">
        <f>VLOOKUP(A403,多浪小镇二期!$B$4:$B$490,1,0)</f>
        <v>A8-2-202</v>
      </c>
    </row>
    <row r="404" spans="1:4">
      <c r="A404" t="s">
        <v>2557</v>
      </c>
      <c r="B404" s="22">
        <v>225730</v>
      </c>
      <c r="C404" s="23" t="e">
        <f>VLOOKUP(A404,多浪小镇一期!$B$5:$B$517,1,0)</f>
        <v>#N/A</v>
      </c>
      <c r="D404" s="23" t="str">
        <f>VLOOKUP(A404,多浪小镇二期!$B$4:$B$490,1,0)</f>
        <v>A8-2-203</v>
      </c>
    </row>
    <row r="405" spans="1:4">
      <c r="A405" t="s">
        <v>2559</v>
      </c>
      <c r="B405" s="22">
        <v>231744</v>
      </c>
      <c r="C405" s="23" t="e">
        <f>VLOOKUP(A405,多浪小镇一期!$B$5:$B$517,1,0)</f>
        <v>#N/A</v>
      </c>
      <c r="D405" s="23" t="str">
        <f>VLOOKUP(A405,多浪小镇二期!$B$4:$B$490,1,0)</f>
        <v>A8-2-204</v>
      </c>
    </row>
    <row r="406" spans="1:4">
      <c r="A406" t="s">
        <v>2561</v>
      </c>
      <c r="B406" s="22">
        <v>207930</v>
      </c>
      <c r="C406" s="23" t="e">
        <f>VLOOKUP(A406,多浪小镇一期!$B$5:$B$517,1,0)</f>
        <v>#N/A</v>
      </c>
      <c r="D406" s="23" t="str">
        <f>VLOOKUP(A406,多浪小镇二期!$B$4:$B$490,1,0)</f>
        <v>A8-2-301</v>
      </c>
    </row>
    <row r="407" spans="1:4">
      <c r="A407" t="s">
        <v>2564</v>
      </c>
      <c r="B407" s="22">
        <v>203171</v>
      </c>
      <c r="C407" s="23" t="e">
        <f>VLOOKUP(A407,多浪小镇一期!$B$5:$B$517,1,0)</f>
        <v>#N/A</v>
      </c>
      <c r="D407" s="23" t="str">
        <f>VLOOKUP(A407,多浪小镇二期!$B$4:$B$490,1,0)</f>
        <v>A8-2-302</v>
      </c>
    </row>
    <row r="408" spans="1:4">
      <c r="A408" t="s">
        <v>2566</v>
      </c>
      <c r="B408" s="22">
        <v>228917</v>
      </c>
      <c r="C408" s="23" t="e">
        <f>VLOOKUP(A408,多浪小镇一期!$B$5:$B$517,1,0)</f>
        <v>#N/A</v>
      </c>
      <c r="D408" s="23" t="str">
        <f>VLOOKUP(A408,多浪小镇二期!$B$4:$B$490,1,0)</f>
        <v>A8-2-303</v>
      </c>
    </row>
    <row r="409" spans="1:4">
      <c r="A409" t="s">
        <v>2568</v>
      </c>
      <c r="B409" s="22">
        <v>229000</v>
      </c>
      <c r="C409" s="23" t="e">
        <f>VLOOKUP(A409,多浪小镇一期!$B$5:$B$517,1,0)</f>
        <v>#N/A</v>
      </c>
      <c r="D409" s="23" t="str">
        <f>VLOOKUP(A409,多浪小镇二期!$B$4:$B$490,1,0)</f>
        <v>A8-2-304</v>
      </c>
    </row>
    <row r="410" spans="1:4">
      <c r="A410" t="s">
        <v>2570</v>
      </c>
      <c r="B410" s="22">
        <v>190754</v>
      </c>
      <c r="C410" s="23" t="e">
        <f>VLOOKUP(A410,多浪小镇一期!$B$5:$B$517,1,0)</f>
        <v>#N/A</v>
      </c>
      <c r="D410" s="23" t="str">
        <f>VLOOKUP(A410,多浪小镇二期!$B$4:$B$490,1,0)</f>
        <v>A8-2-401</v>
      </c>
    </row>
    <row r="411" spans="1:4">
      <c r="A411" t="s">
        <v>2572</v>
      </c>
      <c r="B411" s="22">
        <v>199848</v>
      </c>
      <c r="C411" s="23" t="e">
        <f>VLOOKUP(A411,多浪小镇一期!$B$5:$B$517,1,0)</f>
        <v>#N/A</v>
      </c>
      <c r="D411" s="23" t="str">
        <f>VLOOKUP(A411,多浪小镇二期!$B$4:$B$490,1,0)</f>
        <v>A8-2-402</v>
      </c>
    </row>
    <row r="412" spans="1:4">
      <c r="A412" t="s">
        <v>2574</v>
      </c>
      <c r="B412" s="22">
        <v>224829</v>
      </c>
      <c r="C412" s="23" t="e">
        <f>VLOOKUP(A412,多浪小镇一期!$B$5:$B$517,1,0)</f>
        <v>#N/A</v>
      </c>
      <c r="D412" s="23" t="str">
        <f>VLOOKUP(A412,多浪小镇二期!$B$4:$B$490,1,0)</f>
        <v>A8-2-403</v>
      </c>
    </row>
    <row r="413" spans="1:4">
      <c r="A413" t="s">
        <v>2576</v>
      </c>
      <c r="B413" s="22">
        <v>226291</v>
      </c>
      <c r="C413" s="23" t="e">
        <f>VLOOKUP(A413,多浪小镇一期!$B$5:$B$517,1,0)</f>
        <v>#N/A</v>
      </c>
      <c r="D413" s="23" t="str">
        <f>VLOOKUP(A413,多浪小镇二期!$B$4:$B$490,1,0)</f>
        <v>A8-2-404</v>
      </c>
    </row>
    <row r="414" spans="1:4">
      <c r="A414" t="s">
        <v>2578</v>
      </c>
      <c r="B414" s="22">
        <v>173940</v>
      </c>
      <c r="C414" s="23" t="e">
        <f>VLOOKUP(A414,多浪小镇一期!$B$5:$B$517,1,0)</f>
        <v>#N/A</v>
      </c>
      <c r="D414" s="23" t="str">
        <f>VLOOKUP(A414,多浪小镇二期!$B$4:$B$490,1,0)</f>
        <v>A8-2-501</v>
      </c>
    </row>
    <row r="415" spans="1:4">
      <c r="A415" t="s">
        <v>2580</v>
      </c>
      <c r="B415" s="22">
        <v>178652</v>
      </c>
      <c r="C415" s="23" t="e">
        <f>VLOOKUP(A415,多浪小镇一期!$B$5:$B$517,1,0)</f>
        <v>#N/A</v>
      </c>
      <c r="D415" s="23" t="str">
        <f>VLOOKUP(A415,多浪小镇二期!$B$4:$B$490,1,0)</f>
        <v>A8-2-502</v>
      </c>
    </row>
    <row r="416" spans="1:4">
      <c r="A416" t="s">
        <v>2582</v>
      </c>
      <c r="B416" s="22">
        <v>200984</v>
      </c>
      <c r="C416" s="23" t="e">
        <f>VLOOKUP(A416,多浪小镇一期!$B$5:$B$517,1,0)</f>
        <v>#N/A</v>
      </c>
      <c r="D416" s="23" t="str">
        <f>VLOOKUP(A416,多浪小镇二期!$B$4:$B$490,1,0)</f>
        <v>A8-2-503</v>
      </c>
    </row>
    <row r="417" spans="1:4">
      <c r="A417" t="s">
        <v>2584</v>
      </c>
      <c r="B417" s="22">
        <v>211296</v>
      </c>
      <c r="C417" s="23" t="e">
        <f>VLOOKUP(A417,多浪小镇一期!$B$5:$B$517,1,0)</f>
        <v>#N/A</v>
      </c>
      <c r="D417" s="23" t="str">
        <f>VLOOKUP(A417,多浪小镇二期!$B$4:$B$490,1,0)</f>
        <v>A8-2-504</v>
      </c>
    </row>
    <row r="418" spans="1:4">
      <c r="A418" t="s">
        <v>2586</v>
      </c>
      <c r="B418" s="22">
        <v>168142</v>
      </c>
      <c r="C418" s="23" t="e">
        <f>VLOOKUP(A418,多浪小镇一期!$B$5:$B$517,1,0)</f>
        <v>#N/A</v>
      </c>
      <c r="D418" s="23" t="str">
        <f>VLOOKUP(A418,多浪小镇二期!$B$4:$B$490,1,0)</f>
        <v>A8-2-601</v>
      </c>
    </row>
    <row r="419" spans="1:4">
      <c r="A419" t="s">
        <v>2588</v>
      </c>
      <c r="B419" s="22">
        <v>166540</v>
      </c>
      <c r="C419" s="23" t="e">
        <f>VLOOKUP(A419,多浪小镇一期!$B$5:$B$517,1,0)</f>
        <v>#N/A</v>
      </c>
      <c r="D419" s="23" t="str">
        <f>VLOOKUP(A419,多浪小镇二期!$B$4:$B$490,1,0)</f>
        <v>A8-2-602</v>
      </c>
    </row>
    <row r="420" spans="1:4">
      <c r="A420" t="s">
        <v>2590</v>
      </c>
      <c r="B420" s="22">
        <v>189600</v>
      </c>
      <c r="C420" s="23" t="e">
        <f>VLOOKUP(A420,多浪小镇一期!$B$5:$B$517,1,0)</f>
        <v>#N/A</v>
      </c>
      <c r="D420" s="23" t="str">
        <f>VLOOKUP(A420,多浪小镇二期!$B$4:$B$490,1,0)</f>
        <v>A8-2-603</v>
      </c>
    </row>
    <row r="421" spans="1:4">
      <c r="A421" t="s">
        <v>2592</v>
      </c>
      <c r="B421" s="22">
        <v>197664</v>
      </c>
      <c r="C421" s="23" t="e">
        <f>VLOOKUP(A421,多浪小镇一期!$B$5:$B$517,1,0)</f>
        <v>#N/A</v>
      </c>
      <c r="D421" s="23" t="str">
        <f>VLOOKUP(A421,多浪小镇二期!$B$4:$B$490,1,0)</f>
        <v>A8-2-604</v>
      </c>
    </row>
    <row r="422" spans="1:4">
      <c r="A422" t="s">
        <v>2594</v>
      </c>
      <c r="B422" s="22">
        <v>219204</v>
      </c>
      <c r="C422" s="23" t="e">
        <f>VLOOKUP(A422,多浪小镇一期!$B$5:$B$517,1,0)</f>
        <v>#N/A</v>
      </c>
      <c r="D422" s="23" t="str">
        <f>VLOOKUP(A422,多浪小镇二期!$B$4:$B$490,1,0)</f>
        <v>A9-1-101</v>
      </c>
    </row>
    <row r="423" spans="1:4">
      <c r="A423" t="s">
        <v>2596</v>
      </c>
      <c r="B423" s="22">
        <v>248463</v>
      </c>
      <c r="C423" s="23" t="e">
        <f>VLOOKUP(A423,多浪小镇一期!$B$5:$B$517,1,0)</f>
        <v>#N/A</v>
      </c>
      <c r="D423" s="23" t="str">
        <f>VLOOKUP(A423,多浪小镇二期!$B$4:$B$490,1,0)</f>
        <v>A9-1-102</v>
      </c>
    </row>
    <row r="424" spans="1:4">
      <c r="A424" t="s">
        <v>2598</v>
      </c>
      <c r="B424" s="22">
        <v>169683</v>
      </c>
      <c r="C424" s="23" t="e">
        <f>VLOOKUP(A424,多浪小镇一期!$B$5:$B$517,1,0)</f>
        <v>#N/A</v>
      </c>
      <c r="D424" s="23" t="str">
        <f>VLOOKUP(A424,多浪小镇二期!$B$4:$B$490,1,0)</f>
        <v>A9-1-103</v>
      </c>
    </row>
    <row r="425" spans="1:4">
      <c r="A425" t="s">
        <v>2600</v>
      </c>
      <c r="B425" s="22">
        <v>159836</v>
      </c>
      <c r="C425" s="23" t="e">
        <f>VLOOKUP(A425,多浪小镇一期!$B$5:$B$517,1,0)</f>
        <v>#N/A</v>
      </c>
      <c r="D425" s="23" t="str">
        <f>VLOOKUP(A425,多浪小镇二期!$B$4:$B$490,1,0)</f>
        <v>A9-1-104</v>
      </c>
    </row>
    <row r="426" spans="1:4">
      <c r="A426" t="s">
        <v>2602</v>
      </c>
      <c r="B426" s="22">
        <v>233578</v>
      </c>
      <c r="C426" s="23" t="e">
        <f>VLOOKUP(A426,多浪小镇一期!$B$5:$B$517,1,0)</f>
        <v>#N/A</v>
      </c>
      <c r="D426" s="23" t="str">
        <f>VLOOKUP(A426,多浪小镇二期!$B$4:$B$490,1,0)</f>
        <v>A9-1-201</v>
      </c>
    </row>
    <row r="427" spans="1:4">
      <c r="A427" t="s">
        <v>2604</v>
      </c>
      <c r="B427" s="22">
        <v>256108</v>
      </c>
      <c r="C427" s="23" t="e">
        <f>VLOOKUP(A427,多浪小镇一期!$B$5:$B$517,1,0)</f>
        <v>#N/A</v>
      </c>
      <c r="D427" s="23" t="str">
        <f>VLOOKUP(A427,多浪小镇二期!$B$4:$B$490,1,0)</f>
        <v>A9-1-202</v>
      </c>
    </row>
    <row r="428" spans="1:4">
      <c r="A428" t="s">
        <v>2606</v>
      </c>
      <c r="B428" s="22">
        <v>182735</v>
      </c>
      <c r="C428" s="23" t="e">
        <f>VLOOKUP(A428,多浪小镇一期!$B$5:$B$517,1,0)</f>
        <v>#N/A</v>
      </c>
      <c r="D428" s="23" t="str">
        <f>VLOOKUP(A428,多浪小镇二期!$B$4:$B$490,1,0)</f>
        <v>A9-1-203</v>
      </c>
    </row>
    <row r="429" spans="1:4">
      <c r="A429" t="s">
        <v>2608</v>
      </c>
      <c r="B429" s="22">
        <v>170000</v>
      </c>
      <c r="C429" s="23" t="e">
        <f>VLOOKUP(A429,多浪小镇一期!$B$5:$B$517,1,0)</f>
        <v>#N/A</v>
      </c>
      <c r="D429" s="23" t="str">
        <f>VLOOKUP(A429,多浪小镇二期!$B$4:$B$490,1,0)</f>
        <v>A9-1-204</v>
      </c>
    </row>
    <row r="430" spans="1:4">
      <c r="A430" t="s">
        <v>2610</v>
      </c>
      <c r="B430" s="22">
        <v>228547</v>
      </c>
      <c r="C430" s="23" t="e">
        <f>VLOOKUP(A430,多浪小镇一期!$B$5:$B$517,1,0)</f>
        <v>#N/A</v>
      </c>
      <c r="D430" s="23" t="str">
        <f>VLOOKUP(A430,多浪小镇二期!$B$4:$B$490,1,0)</f>
        <v>A9-1-301</v>
      </c>
    </row>
    <row r="431" spans="1:4">
      <c r="A431" t="s">
        <v>2612</v>
      </c>
      <c r="B431" s="22">
        <v>250756</v>
      </c>
      <c r="C431" s="23" t="e">
        <f>VLOOKUP(A431,多浪小镇一期!$B$5:$B$517,1,0)</f>
        <v>#N/A</v>
      </c>
      <c r="D431" s="23" t="str">
        <f>VLOOKUP(A431,多浪小镇二期!$B$4:$B$490,1,0)</f>
        <v>A9-1-302</v>
      </c>
    </row>
    <row r="432" spans="1:4">
      <c r="A432" t="s">
        <v>2615</v>
      </c>
      <c r="B432" s="22">
        <v>182735</v>
      </c>
      <c r="C432" s="23" t="e">
        <f>VLOOKUP(A432,多浪小镇一期!$B$5:$B$517,1,0)</f>
        <v>#N/A</v>
      </c>
      <c r="D432" s="23" t="str">
        <f>VLOOKUP(A432,多浪小镇二期!$B$4:$B$490,1,0)</f>
        <v>A9-1-303</v>
      </c>
    </row>
    <row r="433" spans="1:4">
      <c r="A433" t="s">
        <v>2617</v>
      </c>
      <c r="B433" s="22">
        <v>170148</v>
      </c>
      <c r="C433" s="23" t="e">
        <f>VLOOKUP(A433,多浪小镇一期!$B$5:$B$517,1,0)</f>
        <v>#N/A</v>
      </c>
      <c r="D433" s="23" t="str">
        <f>VLOOKUP(A433,多浪小镇二期!$B$4:$B$490,1,0)</f>
        <v>A9-1-304</v>
      </c>
    </row>
    <row r="434" spans="1:4">
      <c r="A434" t="s">
        <v>2618</v>
      </c>
      <c r="B434" s="22">
        <v>218573</v>
      </c>
      <c r="C434" s="23" t="e">
        <f>VLOOKUP(A434,多浪小镇一期!$B$5:$B$517,1,0)</f>
        <v>#N/A</v>
      </c>
      <c r="D434" s="23" t="str">
        <f>VLOOKUP(A434,多浪小镇二期!$B$4:$B$490,1,0)</f>
        <v>A9-1-401</v>
      </c>
    </row>
    <row r="435" spans="1:4">
      <c r="A435" t="s">
        <v>2620</v>
      </c>
      <c r="B435" s="22">
        <v>252285</v>
      </c>
      <c r="C435" s="23" t="e">
        <f>VLOOKUP(A435,多浪小镇一期!$B$5:$B$517,1,0)</f>
        <v>#N/A</v>
      </c>
      <c r="D435" s="23" t="str">
        <f>VLOOKUP(A435,多浪小镇二期!$B$4:$B$490,1,0)</f>
        <v>A9-1-402</v>
      </c>
    </row>
    <row r="436" spans="1:4">
      <c r="A436" t="s">
        <v>2622</v>
      </c>
      <c r="B436" s="22">
        <v>172293</v>
      </c>
      <c r="C436" s="23" t="e">
        <f>VLOOKUP(A436,多浪小镇一期!$B$5:$B$517,1,0)</f>
        <v>#N/A</v>
      </c>
      <c r="D436" s="23" t="str">
        <f>VLOOKUP(A436,多浪小镇二期!$B$4:$B$490,1,0)</f>
        <v>A9-1-403</v>
      </c>
    </row>
    <row r="437" spans="1:4">
      <c r="A437" t="s">
        <v>2624</v>
      </c>
      <c r="B437" s="22">
        <v>165000</v>
      </c>
      <c r="C437" s="23" t="e">
        <f>VLOOKUP(A437,多浪小镇一期!$B$5:$B$517,1,0)</f>
        <v>#N/A</v>
      </c>
      <c r="D437" s="23" t="str">
        <f>VLOOKUP(A437,多浪小镇二期!$B$4:$B$490,1,0)</f>
        <v>A9-1-404</v>
      </c>
    </row>
    <row r="438" spans="1:4">
      <c r="A438" t="s">
        <v>2626</v>
      </c>
      <c r="B438" s="22">
        <v>215610</v>
      </c>
      <c r="C438" s="23" t="e">
        <f>VLOOKUP(A438,多浪小镇一期!$B$5:$B$517,1,0)</f>
        <v>#N/A</v>
      </c>
      <c r="D438" s="23" t="str">
        <f>VLOOKUP(A438,多浪小镇二期!$B$4:$B$490,1,0)</f>
        <v>A9-1-501</v>
      </c>
    </row>
    <row r="439" spans="1:4">
      <c r="A439" t="s">
        <v>2628</v>
      </c>
      <c r="B439" s="22">
        <v>229350</v>
      </c>
      <c r="C439" s="23" t="e">
        <f>VLOOKUP(A439,多浪小镇一期!$B$5:$B$517,1,0)</f>
        <v>#N/A</v>
      </c>
      <c r="D439" s="23" t="str">
        <f>VLOOKUP(A439,多浪小镇二期!$B$4:$B$490,1,0)</f>
        <v>A9-1-502</v>
      </c>
    </row>
    <row r="440" spans="1:4">
      <c r="A440" t="s">
        <v>2630</v>
      </c>
      <c r="B440" s="22">
        <v>156630</v>
      </c>
      <c r="C440" s="23" t="e">
        <f>VLOOKUP(A440,多浪小镇一期!$B$5:$B$517,1,0)</f>
        <v>#N/A</v>
      </c>
      <c r="D440" s="23" t="str">
        <f>VLOOKUP(A440,多浪小镇二期!$B$4:$B$490,1,0)</f>
        <v>A9-1-503</v>
      </c>
    </row>
    <row r="441" spans="1:4">
      <c r="A441" t="s">
        <v>2632</v>
      </c>
      <c r="B441" s="22">
        <v>150000</v>
      </c>
      <c r="C441" s="23" t="e">
        <f>VLOOKUP(A441,多浪小镇一期!$B$5:$B$517,1,0)</f>
        <v>#N/A</v>
      </c>
      <c r="D441" s="23" t="str">
        <f>VLOOKUP(A441,多浪小镇二期!$B$4:$B$490,1,0)</f>
        <v>A9-1-504</v>
      </c>
    </row>
    <row r="442" spans="1:4">
      <c r="A442" t="s">
        <v>2634</v>
      </c>
      <c r="B442" s="22">
        <v>200579</v>
      </c>
      <c r="C442" s="23" t="e">
        <f>VLOOKUP(A442,多浪小镇一期!$B$5:$B$517,1,0)</f>
        <v>#N/A</v>
      </c>
      <c r="D442" s="23" t="str">
        <f>VLOOKUP(A442,多浪小镇二期!$B$4:$B$490,1,0)</f>
        <v>A9-1-601</v>
      </c>
    </row>
    <row r="443" spans="1:4">
      <c r="A443" t="s">
        <v>2636</v>
      </c>
      <c r="B443" s="22">
        <v>217000</v>
      </c>
      <c r="C443" s="23" t="e">
        <f>VLOOKUP(A443,多浪小镇一期!$B$5:$B$517,1,0)</f>
        <v>#N/A</v>
      </c>
      <c r="D443" s="23" t="str">
        <f>VLOOKUP(A443,多浪小镇二期!$B$4:$B$490,1,0)</f>
        <v>A9-1-602</v>
      </c>
    </row>
    <row r="444" spans="1:4">
      <c r="A444" t="s">
        <v>2638</v>
      </c>
      <c r="B444" s="22">
        <v>148799</v>
      </c>
      <c r="C444" s="23" t="e">
        <f>VLOOKUP(A444,多浪小镇一期!$B$5:$B$517,1,0)</f>
        <v>#N/A</v>
      </c>
      <c r="D444" s="23" t="str">
        <f>VLOOKUP(A444,多浪小镇二期!$B$4:$B$490,1,0)</f>
        <v>A9-1-603</v>
      </c>
    </row>
    <row r="445" spans="1:4">
      <c r="A445" t="s">
        <v>2640</v>
      </c>
      <c r="B445" s="22">
        <v>141000</v>
      </c>
      <c r="C445" s="23" t="e">
        <f>VLOOKUP(A445,多浪小镇一期!$B$5:$B$517,1,0)</f>
        <v>#N/A</v>
      </c>
      <c r="D445" s="23" t="str">
        <f>VLOOKUP(A445,多浪小镇二期!$B$4:$B$490,1,0)</f>
        <v>A9-1-604</v>
      </c>
    </row>
    <row r="446" spans="1:4">
      <c r="A446" t="s">
        <v>2642</v>
      </c>
      <c r="B446" s="22">
        <v>160350</v>
      </c>
      <c r="C446" s="23" t="e">
        <f>VLOOKUP(A446,多浪小镇一期!$B$5:$B$517,1,0)</f>
        <v>#N/A</v>
      </c>
      <c r="D446" s="23" t="str">
        <f>VLOOKUP(A446,多浪小镇二期!$B$4:$B$490,1,0)</f>
        <v>A9-2-101</v>
      </c>
    </row>
    <row r="447" spans="1:4">
      <c r="A447" t="s">
        <v>2644</v>
      </c>
      <c r="B447" s="22">
        <v>169683</v>
      </c>
      <c r="C447" s="23" t="e">
        <f>VLOOKUP(A447,多浪小镇一期!$B$5:$B$517,1,0)</f>
        <v>#N/A</v>
      </c>
      <c r="D447" s="23" t="str">
        <f>VLOOKUP(A447,多浪小镇二期!$B$4:$B$490,1,0)</f>
        <v>A9-2-102</v>
      </c>
    </row>
    <row r="448" spans="1:4">
      <c r="A448" t="s">
        <v>2646</v>
      </c>
      <c r="B448" s="22">
        <v>241582</v>
      </c>
      <c r="C448" s="23" t="e">
        <f>VLOOKUP(A448,多浪小镇一期!$B$5:$B$517,1,0)</f>
        <v>#N/A</v>
      </c>
      <c r="D448" s="23" t="str">
        <f>VLOOKUP(A448,多浪小镇二期!$B$4:$B$490,1,0)</f>
        <v>A9-2-103</v>
      </c>
    </row>
    <row r="449" spans="1:4">
      <c r="A449" t="s">
        <v>2648</v>
      </c>
      <c r="B449" s="22">
        <v>225000</v>
      </c>
      <c r="C449" s="23" t="e">
        <f>VLOOKUP(A449,多浪小镇一期!$B$5:$B$517,1,0)</f>
        <v>#N/A</v>
      </c>
      <c r="D449" s="23" t="str">
        <f>VLOOKUP(A449,多浪小镇二期!$B$4:$B$490,1,0)</f>
        <v>A9-2-104</v>
      </c>
    </row>
    <row r="450" spans="1:4">
      <c r="A450" t="s">
        <v>2650</v>
      </c>
      <c r="B450" s="22">
        <v>167570</v>
      </c>
      <c r="C450" s="23" t="e">
        <f>VLOOKUP(A450,多浪小镇一期!$B$5:$B$517,1,0)</f>
        <v>#N/A</v>
      </c>
      <c r="D450" s="23" t="str">
        <f>VLOOKUP(A450,多浪小镇二期!$B$4:$B$490,1,0)</f>
        <v>A9-2-201</v>
      </c>
    </row>
    <row r="451" spans="1:4">
      <c r="A451" t="s">
        <v>2652</v>
      </c>
      <c r="B451" s="22">
        <v>182735</v>
      </c>
      <c r="C451" s="23" t="e">
        <f>VLOOKUP(A451,多浪小镇一期!$B$5:$B$517,1,0)</f>
        <v>#N/A</v>
      </c>
      <c r="D451" s="23" t="str">
        <f>VLOOKUP(A451,多浪小镇二期!$B$4:$B$490,1,0)</f>
        <v>A9-2-202</v>
      </c>
    </row>
    <row r="452" spans="1:4">
      <c r="A452" t="s">
        <v>2654</v>
      </c>
      <c r="B452" s="22">
        <v>255343</v>
      </c>
      <c r="C452" s="23" t="e">
        <f>VLOOKUP(A452,多浪小镇一期!$B$5:$B$517,1,0)</f>
        <v>#N/A</v>
      </c>
      <c r="D452" s="23" t="str">
        <f>VLOOKUP(A452,多浪小镇二期!$B$4:$B$490,1,0)</f>
        <v>A9-2-203</v>
      </c>
    </row>
    <row r="453" spans="1:4">
      <c r="A453" t="s">
        <v>2656</v>
      </c>
      <c r="B453" s="22">
        <v>210000</v>
      </c>
      <c r="C453" s="23" t="e">
        <f>VLOOKUP(A453,多浪小镇一期!$B$5:$B$517,1,0)</f>
        <v>#N/A</v>
      </c>
      <c r="D453" s="23" t="str">
        <f>VLOOKUP(A453,多浪小镇二期!$B$4:$B$490,1,0)</f>
        <v>A9-2-204</v>
      </c>
    </row>
    <row r="454" spans="1:4">
      <c r="A454" t="s">
        <v>2658</v>
      </c>
      <c r="B454" s="22">
        <v>170148</v>
      </c>
      <c r="C454" s="23" t="e">
        <f>VLOOKUP(A454,多浪小镇一期!$B$5:$B$517,1,0)</f>
        <v>#N/A</v>
      </c>
      <c r="D454" s="23" t="str">
        <f>VLOOKUP(A454,多浪小镇二期!$B$4:$B$490,1,0)</f>
        <v>A9-2-301</v>
      </c>
    </row>
    <row r="455" spans="1:4">
      <c r="A455" t="s">
        <v>2660</v>
      </c>
      <c r="B455" s="22">
        <v>182735</v>
      </c>
      <c r="C455" s="23" t="e">
        <f>VLOOKUP(A455,多浪小镇一期!$B$5:$B$517,1,0)</f>
        <v>#N/A</v>
      </c>
      <c r="D455" s="23" t="str">
        <f>VLOOKUP(A455,多浪小镇二期!$B$4:$B$490,1,0)</f>
        <v>A9-2-302</v>
      </c>
    </row>
    <row r="456" spans="1:4">
      <c r="A456" t="s">
        <v>2662</v>
      </c>
      <c r="B456" s="22">
        <v>252285</v>
      </c>
      <c r="C456" s="23" t="e">
        <f>VLOOKUP(A456,多浪小镇一期!$B$5:$B$517,1,0)</f>
        <v>#N/A</v>
      </c>
      <c r="D456" s="23" t="str">
        <f>VLOOKUP(A456,多浪小镇二期!$B$4:$B$490,1,0)</f>
        <v>A9-2-303</v>
      </c>
    </row>
    <row r="457" spans="1:4">
      <c r="A457" t="s">
        <v>2664</v>
      </c>
      <c r="B457" s="22">
        <v>220734</v>
      </c>
      <c r="C457" s="23" t="e">
        <f>VLOOKUP(A457,多浪小镇一期!$B$5:$B$517,1,0)</f>
        <v>#N/A</v>
      </c>
      <c r="D457" s="23" t="str">
        <f>VLOOKUP(A457,多浪小镇二期!$B$4:$B$490,1,0)</f>
        <v>A9-2-304</v>
      </c>
    </row>
    <row r="458" spans="1:4">
      <c r="A458" t="s">
        <v>2666</v>
      </c>
      <c r="B458" s="22">
        <v>165000</v>
      </c>
      <c r="C458" s="23" t="e">
        <f>VLOOKUP(A458,多浪小镇一期!$B$5:$B$517,1,0)</f>
        <v>#N/A</v>
      </c>
      <c r="D458" s="23" t="str">
        <f>VLOOKUP(A458,多浪小镇二期!$B$4:$B$490,1,0)</f>
        <v>A9-2-401</v>
      </c>
    </row>
    <row r="459" spans="1:4">
      <c r="A459" t="s">
        <v>2668</v>
      </c>
      <c r="B459" s="22">
        <v>177400</v>
      </c>
      <c r="C459" s="23" t="e">
        <f>VLOOKUP(A459,多浪小镇一期!$B$5:$B$517,1,0)</f>
        <v>#N/A</v>
      </c>
      <c r="D459" s="23" t="str">
        <f>VLOOKUP(A459,多浪小镇二期!$B$4:$B$490,1,0)</f>
        <v>A9-2-402</v>
      </c>
    </row>
    <row r="460" spans="1:4">
      <c r="A460" t="s">
        <v>2670</v>
      </c>
      <c r="B460" s="22">
        <v>256000</v>
      </c>
      <c r="C460" s="23" t="e">
        <f>VLOOKUP(A460,多浪小镇一期!$B$5:$B$517,1,0)</f>
        <v>#N/A</v>
      </c>
      <c r="D460" s="23" t="str">
        <f>VLOOKUP(A460,多浪小镇二期!$B$4:$B$490,1,0)</f>
        <v>A9-2-403</v>
      </c>
    </row>
    <row r="461" spans="1:4">
      <c r="A461" t="s">
        <v>2672</v>
      </c>
      <c r="B461" s="22">
        <v>226391</v>
      </c>
      <c r="C461" s="23" t="e">
        <f>VLOOKUP(A461,多浪小镇一期!$B$5:$B$517,1,0)</f>
        <v>#N/A</v>
      </c>
      <c r="D461" s="23" t="str">
        <f>VLOOKUP(A461,多浪小镇二期!$B$4:$B$490,1,0)</f>
        <v>A9-2-404</v>
      </c>
    </row>
    <row r="462" spans="1:4">
      <c r="A462" t="s">
        <v>2674</v>
      </c>
      <c r="B462" s="22">
        <v>149524</v>
      </c>
      <c r="C462" s="23" t="e">
        <f>VLOOKUP(A462,多浪小镇一期!$B$5:$B$517,1,0)</f>
        <v>#N/A</v>
      </c>
      <c r="D462" s="23" t="str">
        <f>VLOOKUP(A462,多浪小镇二期!$B$4:$B$490,1,0)</f>
        <v>A9-2-501</v>
      </c>
    </row>
    <row r="463" spans="1:4">
      <c r="A463" t="s">
        <v>2676</v>
      </c>
      <c r="B463" s="22">
        <v>156600</v>
      </c>
      <c r="C463" s="23" t="e">
        <f>VLOOKUP(A463,多浪小镇一期!$B$5:$B$517,1,0)</f>
        <v>#N/A</v>
      </c>
      <c r="D463" s="23" t="str">
        <f>VLOOKUP(A463,多浪小镇二期!$B$4:$B$490,1,0)</f>
        <v>A9-2-502</v>
      </c>
    </row>
    <row r="464" spans="1:4">
      <c r="A464" t="s">
        <v>2678</v>
      </c>
      <c r="B464" s="22">
        <v>229350</v>
      </c>
      <c r="C464" s="23" t="e">
        <f>VLOOKUP(A464,多浪小镇一期!$B$5:$B$517,1,0)</f>
        <v>#N/A</v>
      </c>
      <c r="D464" s="23" t="str">
        <f>VLOOKUP(A464,多浪小镇二期!$B$4:$B$490,1,0)</f>
        <v>A9-2-503</v>
      </c>
    </row>
    <row r="465" spans="1:4">
      <c r="A465" t="s">
        <v>2680</v>
      </c>
      <c r="B465" s="22">
        <v>212017</v>
      </c>
      <c r="C465" s="23" t="e">
        <f>VLOOKUP(A465,多浪小镇一期!$B$5:$B$517,1,0)</f>
        <v>#N/A</v>
      </c>
      <c r="D465" s="23" t="str">
        <f>VLOOKUP(A465,多浪小镇二期!$B$4:$B$490,1,0)</f>
        <v>A9-2-504</v>
      </c>
    </row>
    <row r="466" spans="1:4">
      <c r="A466" t="s">
        <v>2682</v>
      </c>
      <c r="B466" s="22">
        <v>139212</v>
      </c>
      <c r="C466" s="23" t="e">
        <f>VLOOKUP(A466,多浪小镇一期!$B$5:$B$517,1,0)</f>
        <v>#N/A</v>
      </c>
      <c r="D466" s="23" t="str">
        <f>VLOOKUP(A466,多浪小镇二期!$B$4:$B$490,1,0)</f>
        <v>A9-2-601</v>
      </c>
    </row>
    <row r="467" spans="1:4">
      <c r="A467" t="s">
        <v>2684</v>
      </c>
      <c r="B467" s="22">
        <v>149241</v>
      </c>
      <c r="C467" s="23" t="e">
        <f>VLOOKUP(A467,多浪小镇一期!$B$5:$B$517,1,0)</f>
        <v>#N/A</v>
      </c>
      <c r="D467" s="23" t="str">
        <f>VLOOKUP(A467,多浪小镇二期!$B$4:$B$490,1,0)</f>
        <v>A9-2-602</v>
      </c>
    </row>
    <row r="468" spans="1:4">
      <c r="A468" t="s">
        <v>2686</v>
      </c>
      <c r="B468" s="22">
        <v>217118</v>
      </c>
      <c r="C468" s="23" t="e">
        <f>VLOOKUP(A468,多浪小镇一期!$B$5:$B$517,1,0)</f>
        <v>#N/A</v>
      </c>
      <c r="D468" s="23" t="str">
        <f>VLOOKUP(A468,多浪小镇二期!$B$4:$B$490,1,0)</f>
        <v>A9-2-603</v>
      </c>
    </row>
    <row r="469" spans="1:4">
      <c r="A469" t="s">
        <v>2688</v>
      </c>
      <c r="B469" s="22">
        <v>197000</v>
      </c>
      <c r="C469" s="23" t="e">
        <f>VLOOKUP(A469,多浪小镇一期!$B$5:$B$517,1,0)</f>
        <v>#N/A</v>
      </c>
      <c r="D469" s="23" t="str">
        <f>VLOOKUP(A469,多浪小镇二期!$B$4:$B$490,1,0)</f>
        <v>A9-2-604</v>
      </c>
    </row>
    <row r="470" s="21" customFormat="1" spans="1:4">
      <c r="A470" s="21" t="s">
        <v>5124</v>
      </c>
      <c r="B470" s="20">
        <v>1523810</v>
      </c>
      <c r="C470" s="21" t="e">
        <f>VLOOKUP(A470,多浪小镇一期!$B$5:$B$517,1,0)</f>
        <v>#N/A</v>
      </c>
      <c r="D470" s="21" t="e">
        <f>VLOOKUP(A470,多浪小镇二期!$B$4:$B$490,1,0)</f>
        <v>#N/A</v>
      </c>
    </row>
    <row r="471" s="21" customFormat="1" spans="1:4">
      <c r="A471" s="21" t="s">
        <v>4639</v>
      </c>
      <c r="B471" s="20">
        <v>2047999.8</v>
      </c>
      <c r="C471" s="21" t="e">
        <f>VLOOKUP(A471,多浪小镇一期!$B$5:$B$517,1,0)</f>
        <v>#N/A</v>
      </c>
      <c r="D471" s="21" t="e">
        <f>VLOOKUP(A471,多浪小镇二期!$B$4:$B$490,1,0)</f>
        <v>#N/A</v>
      </c>
    </row>
    <row r="472" s="21" customFormat="1" spans="1:4">
      <c r="A472" s="21" t="s">
        <v>4559</v>
      </c>
      <c r="B472" s="20">
        <v>7706000.15</v>
      </c>
      <c r="C472" s="21" t="e">
        <f>VLOOKUP(A472,多浪小镇一期!$B$5:$B$517,1,0)</f>
        <v>#N/A</v>
      </c>
      <c r="D472" s="21" t="e">
        <f>VLOOKUP(A472,多浪小镇二期!$B$4:$B$490,1,0)</f>
        <v>#N/A</v>
      </c>
    </row>
    <row r="473" s="21" customFormat="1" spans="1:4">
      <c r="A473" s="21" t="s">
        <v>4701</v>
      </c>
      <c r="B473" s="20">
        <v>-13602.75</v>
      </c>
      <c r="C473" s="21" t="e">
        <f>VLOOKUP(A473,多浪小镇一期!$B$5:$B$517,1,0)</f>
        <v>#N/A</v>
      </c>
      <c r="D473" s="21" t="e">
        <f>VLOOKUP(A473,多浪小镇二期!$B$4:$B$490,1,0)</f>
        <v>#N/A</v>
      </c>
    </row>
    <row r="474" s="21" customFormat="1" spans="1:4">
      <c r="A474" s="21" t="s">
        <v>7436</v>
      </c>
      <c r="B474" s="20">
        <v>280000</v>
      </c>
      <c r="C474" s="21" t="e">
        <f>VLOOKUP(A474,多浪小镇一期!$B$5:$B$517,1,0)</f>
        <v>#N/A</v>
      </c>
      <c r="D474" s="21" t="e">
        <f>VLOOKUP(A474,多浪小镇二期!$B$4:$B$490,1,0)</f>
        <v>#N/A</v>
      </c>
    </row>
    <row r="475" spans="1:2">
      <c r="A475" s="19" t="s">
        <v>7633</v>
      </c>
      <c r="B475" s="24">
        <f>SUM(B2:B474)</f>
        <v>115757710.18</v>
      </c>
    </row>
    <row r="476" spans="2:2">
      <c r="B476" s="22">
        <f>B475-B474-B473-B472-B471-B470</f>
        <v>104213502.98</v>
      </c>
    </row>
    <row r="477" ht="14.25" spans="1:2">
      <c r="A477" t="s">
        <v>7634</v>
      </c>
      <c r="B477" s="22">
        <f>多浪小镇一期!I518</f>
        <v>251819</v>
      </c>
    </row>
    <row r="478" ht="14.25" spans="1:11">
      <c r="A478" t="s">
        <v>7635</v>
      </c>
      <c r="B478" s="22">
        <f>多浪小镇二期!I491</f>
        <v>105158733.68</v>
      </c>
      <c r="I478" s="25">
        <v>37228752.04</v>
      </c>
      <c r="J478" s="25">
        <v>57139080.48</v>
      </c>
      <c r="K478">
        <f>J478-I478</f>
        <v>19910328.44</v>
      </c>
    </row>
    <row r="479" spans="1:2">
      <c r="A479" t="s">
        <v>7636</v>
      </c>
      <c r="B479" s="22">
        <f>B476-B477-B478</f>
        <v>-1197049.7</v>
      </c>
    </row>
  </sheetData>
  <autoFilter ref="A1:D479">
    <extLst/>
  </autoFilter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39"/>
  <sheetViews>
    <sheetView topLeftCell="A181" workbookViewId="0">
      <selection activeCell="B202" sqref="B202"/>
    </sheetView>
  </sheetViews>
  <sheetFormatPr defaultColWidth="9" defaultRowHeight="13.5" outlineLevelCol="3"/>
  <cols>
    <col min="1" max="1" width="31.6333333333333" customWidth="1"/>
    <col min="2" max="2" width="28.6333333333333" style="18" customWidth="1"/>
    <col min="3" max="3" width="18.3833333333333" customWidth="1"/>
    <col min="4" max="4" width="10.8833333333333" customWidth="1"/>
  </cols>
  <sheetData>
    <row r="1" spans="1:2">
      <c r="A1" t="s">
        <v>2904</v>
      </c>
      <c r="B1" s="18" t="s">
        <v>7559</v>
      </c>
    </row>
    <row r="2" spans="1:4">
      <c r="A2" t="s">
        <v>2914</v>
      </c>
      <c r="B2" s="18">
        <v>30000</v>
      </c>
      <c r="C2" t="e">
        <f>VLOOKUP(A2,多浪小镇一期!$B$5:$B$517,1,0)</f>
        <v>#N/A</v>
      </c>
      <c r="D2" t="s">
        <v>7637</v>
      </c>
    </row>
    <row r="3" spans="1:4">
      <c r="A3" t="s">
        <v>979</v>
      </c>
      <c r="B3" s="18">
        <v>121005.15</v>
      </c>
      <c r="C3" t="e">
        <f>VLOOKUP(A3,多浪小镇一期!$B$5:$B$517,1,0)</f>
        <v>#N/A</v>
      </c>
      <c r="D3" t="s">
        <v>7637</v>
      </c>
    </row>
    <row r="4" spans="1:3">
      <c r="A4" t="s">
        <v>980</v>
      </c>
      <c r="B4" s="18">
        <v>213538.5</v>
      </c>
      <c r="C4" t="str">
        <f>VLOOKUP(A4,多浪小镇一期!$B$5:$B$517,1,0)</f>
        <v>A11-1-101</v>
      </c>
    </row>
    <row r="5" spans="1:3">
      <c r="A5" t="s">
        <v>982</v>
      </c>
      <c r="B5" s="18">
        <v>279456</v>
      </c>
      <c r="C5" t="str">
        <f>VLOOKUP(A5,多浪小镇一期!$B$5:$B$517,1,0)</f>
        <v>A11-1-102</v>
      </c>
    </row>
    <row r="6" spans="1:3">
      <c r="A6" t="s">
        <v>985</v>
      </c>
      <c r="B6" s="18">
        <v>276614</v>
      </c>
      <c r="C6" t="str">
        <f>VLOOKUP(A6,多浪小镇一期!$B$5:$B$517,1,0)</f>
        <v>A11-1-201</v>
      </c>
    </row>
    <row r="7" spans="1:3">
      <c r="A7" t="s">
        <v>987</v>
      </c>
      <c r="B7" s="18">
        <v>201130.65</v>
      </c>
      <c r="C7" t="str">
        <f>VLOOKUP(A7,多浪小镇一期!$B$5:$B$517,1,0)</f>
        <v>A11-1-202</v>
      </c>
    </row>
    <row r="8" spans="1:3">
      <c r="A8" t="s">
        <v>989</v>
      </c>
      <c r="B8" s="18">
        <v>205324.35</v>
      </c>
      <c r="C8" t="str">
        <f>VLOOKUP(A8,多浪小镇一期!$B$5:$B$517,1,0)</f>
        <v>A11-1-301</v>
      </c>
    </row>
    <row r="9" spans="1:3">
      <c r="A9" t="s">
        <v>991</v>
      </c>
      <c r="B9" s="18">
        <v>204399.3</v>
      </c>
      <c r="C9" t="str">
        <f>VLOOKUP(A9,多浪小镇一期!$B$5:$B$517,1,0)</f>
        <v>A11-1-302</v>
      </c>
    </row>
    <row r="10" spans="1:3">
      <c r="A10" t="s">
        <v>993</v>
      </c>
      <c r="B10" s="18">
        <v>180686.1</v>
      </c>
      <c r="C10" t="str">
        <f>VLOOKUP(A10,多浪小镇一期!$B$5:$B$517,1,0)</f>
        <v>A11-1-401</v>
      </c>
    </row>
    <row r="11" spans="1:3">
      <c r="A11" t="s">
        <v>995</v>
      </c>
      <c r="B11" s="18">
        <v>254110</v>
      </c>
      <c r="C11" t="str">
        <f>VLOOKUP(A11,多浪小镇一期!$B$5:$B$517,1,0)</f>
        <v>A11-1-402</v>
      </c>
    </row>
    <row r="12" spans="1:3">
      <c r="A12" t="s">
        <v>997</v>
      </c>
      <c r="B12" s="18">
        <v>238834</v>
      </c>
      <c r="C12" t="str">
        <f>VLOOKUP(A12,多浪小镇一期!$B$5:$B$517,1,0)</f>
        <v>A11-1-501</v>
      </c>
    </row>
    <row r="13" spans="1:3">
      <c r="A13" t="s">
        <v>999</v>
      </c>
      <c r="B13" s="18">
        <v>237758</v>
      </c>
      <c r="C13" t="str">
        <f>VLOOKUP(A13,多浪小镇一期!$B$5:$B$517,1,0)</f>
        <v>A11-1-502</v>
      </c>
    </row>
    <row r="14" spans="1:3">
      <c r="A14" t="s">
        <v>1001</v>
      </c>
      <c r="B14" s="18">
        <v>205982</v>
      </c>
      <c r="C14" t="str">
        <f>VLOOKUP(A14,多浪小镇一期!$B$5:$B$517,1,0)</f>
        <v>A11-1-601</v>
      </c>
    </row>
    <row r="15" spans="1:3">
      <c r="A15" t="s">
        <v>1003</v>
      </c>
      <c r="B15" s="18">
        <v>205054</v>
      </c>
      <c r="C15" t="str">
        <f>VLOOKUP(A15,多浪小镇一期!$B$5:$B$517,1,0)</f>
        <v>A11-1-602</v>
      </c>
    </row>
    <row r="16" spans="1:3">
      <c r="A16" t="s">
        <v>1005</v>
      </c>
      <c r="B16" s="18">
        <v>210940.8</v>
      </c>
      <c r="C16" t="str">
        <f>VLOOKUP(A16,多浪小镇一期!$B$5:$B$517,1,0)</f>
        <v>A11-2-101</v>
      </c>
    </row>
    <row r="17" spans="1:3">
      <c r="A17" t="s">
        <v>1007</v>
      </c>
      <c r="B17" s="18">
        <v>204700.293</v>
      </c>
      <c r="C17" t="str">
        <f>VLOOKUP(A17,多浪小镇一期!$B$5:$B$517,1,0)</f>
        <v>A11-2-102</v>
      </c>
    </row>
    <row r="18" spans="1:3">
      <c r="A18" t="s">
        <v>1009</v>
      </c>
      <c r="B18" s="18">
        <v>204399.3</v>
      </c>
      <c r="C18" t="str">
        <f>VLOOKUP(A18,多浪小镇一期!$B$5:$B$517,1,0)</f>
        <v>A11-2-201</v>
      </c>
    </row>
    <row r="19" spans="1:3">
      <c r="A19" t="s">
        <v>1011</v>
      </c>
      <c r="B19" s="18">
        <v>204399.3</v>
      </c>
      <c r="C19" t="str">
        <f>VLOOKUP(A19,多浪小镇一期!$B$5:$B$517,1,0)</f>
        <v>A11-2-202</v>
      </c>
    </row>
    <row r="20" spans="1:3">
      <c r="A20" t="s">
        <v>1013</v>
      </c>
      <c r="B20" s="18">
        <v>179872</v>
      </c>
      <c r="C20" t="str">
        <f>VLOOKUP(A20,多浪小镇一期!$B$5:$B$517,1,0)</f>
        <v>A11-2-301</v>
      </c>
    </row>
    <row r="21" spans="1:3">
      <c r="A21" t="s">
        <v>1015</v>
      </c>
      <c r="B21" s="18">
        <v>201129.6</v>
      </c>
      <c r="C21" t="str">
        <f>VLOOKUP(A21,多浪小镇一期!$B$5:$B$517,1,0)</f>
        <v>A11-2-302</v>
      </c>
    </row>
    <row r="22" spans="1:3">
      <c r="A22" t="s">
        <v>1017</v>
      </c>
      <c r="B22" s="18">
        <v>254110</v>
      </c>
      <c r="C22" t="str">
        <f>VLOOKUP(A22,多浪小镇一期!$B$5:$B$517,1,0)</f>
        <v>A11-2-401</v>
      </c>
    </row>
    <row r="23" spans="1:3">
      <c r="A23" t="s">
        <v>1021</v>
      </c>
      <c r="B23" s="18">
        <v>239393</v>
      </c>
      <c r="C23" t="str">
        <f>VLOOKUP(A23,多浪小镇一期!$B$5:$B$517,1,0)</f>
        <v>A11-2-501</v>
      </c>
    </row>
    <row r="24" spans="1:3">
      <c r="A24" t="s">
        <v>1023</v>
      </c>
      <c r="B24" s="18">
        <v>239393</v>
      </c>
      <c r="C24" t="str">
        <f>VLOOKUP(A24,多浪小镇一期!$B$5:$B$517,1,0)</f>
        <v>A11-2-502</v>
      </c>
    </row>
    <row r="25" spans="1:3">
      <c r="A25" t="s">
        <v>1025</v>
      </c>
      <c r="B25" s="18">
        <v>206853</v>
      </c>
      <c r="C25" t="str">
        <f>VLOOKUP(A25,多浪小镇一期!$B$5:$B$517,1,0)</f>
        <v>A11-2-601</v>
      </c>
    </row>
    <row r="26" spans="1:3">
      <c r="A26" t="s">
        <v>1027</v>
      </c>
      <c r="B26" s="18">
        <v>206853</v>
      </c>
      <c r="C26" t="str">
        <f>VLOOKUP(A26,多浪小镇一期!$B$5:$B$517,1,0)</f>
        <v>A11-2-602</v>
      </c>
    </row>
    <row r="27" spans="1:3">
      <c r="A27" t="s">
        <v>1029</v>
      </c>
      <c r="B27" s="18">
        <v>204399.3</v>
      </c>
      <c r="C27" t="str">
        <f>VLOOKUP(A27,多浪小镇一期!$B$5:$B$517,1,0)</f>
        <v>A11-3-101</v>
      </c>
    </row>
    <row r="28" spans="1:3">
      <c r="A28" t="s">
        <v>1031</v>
      </c>
      <c r="B28" s="18">
        <v>202772.85</v>
      </c>
      <c r="C28" t="str">
        <f>VLOOKUP(A28,多浪小镇一期!$B$5:$B$517,1,0)</f>
        <v>A11-3-102</v>
      </c>
    </row>
    <row r="29" spans="1:3">
      <c r="A29" t="s">
        <v>1033</v>
      </c>
      <c r="B29" s="18">
        <v>275368</v>
      </c>
      <c r="C29" t="str">
        <f>VLOOKUP(A29,多浪小镇一期!$B$5:$B$517,1,0)</f>
        <v>A11-3-201</v>
      </c>
    </row>
    <row r="30" spans="1:3">
      <c r="A30" t="s">
        <v>1035</v>
      </c>
      <c r="B30" s="18">
        <v>368.55</v>
      </c>
      <c r="C30" t="str">
        <f>VLOOKUP(A30,多浪小镇一期!$B$5:$B$517,1,0)</f>
        <v>A11-3-202</v>
      </c>
    </row>
    <row r="31" spans="1:3">
      <c r="A31" t="s">
        <v>1037</v>
      </c>
      <c r="B31" s="18">
        <v>499.8</v>
      </c>
      <c r="C31" t="str">
        <f>VLOOKUP(A31,多浪小镇一期!$B$5:$B$517,1,0)</f>
        <v>A11-3-301</v>
      </c>
    </row>
    <row r="32" spans="1:3">
      <c r="A32" t="s">
        <v>1039</v>
      </c>
      <c r="B32" s="18">
        <v>204399.405</v>
      </c>
      <c r="C32" t="str">
        <f>VLOOKUP(A32,多浪小镇一期!$B$5:$B$517,1,0)</f>
        <v>A11-3-302</v>
      </c>
    </row>
    <row r="33" spans="1:3">
      <c r="A33" t="s">
        <v>1041</v>
      </c>
      <c r="B33" s="18">
        <v>669.9</v>
      </c>
      <c r="C33" t="str">
        <f>VLOOKUP(A33,多浪小镇一期!$B$5:$B$517,1,0)</f>
        <v>A11-3-401</v>
      </c>
    </row>
    <row r="34" spans="1:3">
      <c r="A34" t="s">
        <v>1043</v>
      </c>
      <c r="B34" s="18">
        <v>179872.35</v>
      </c>
      <c r="C34" t="str">
        <f>VLOOKUP(A34,多浪小镇一期!$B$5:$B$517,1,0)</f>
        <v>A11-3-402</v>
      </c>
    </row>
    <row r="35" spans="1:3">
      <c r="A35" t="s">
        <v>1045</v>
      </c>
      <c r="B35" s="18">
        <v>239393</v>
      </c>
      <c r="C35" t="str">
        <f>VLOOKUP(A35,多浪小镇一期!$B$5:$B$517,1,0)</f>
        <v>A11-3-501</v>
      </c>
    </row>
    <row r="36" spans="1:3">
      <c r="A36" t="s">
        <v>1047</v>
      </c>
      <c r="B36" s="18">
        <v>165155</v>
      </c>
      <c r="C36" t="str">
        <f>VLOOKUP(A36,多浪小镇一期!$B$5:$B$517,1,0)</f>
        <v>A11-3-502</v>
      </c>
    </row>
    <row r="37" spans="1:3">
      <c r="A37" t="s">
        <v>1049</v>
      </c>
      <c r="B37" s="18">
        <v>151256</v>
      </c>
      <c r="C37" t="str">
        <f>VLOOKUP(A37,多浪小镇一期!$B$5:$B$517,1,0)</f>
        <v>A11-3-601</v>
      </c>
    </row>
    <row r="38" spans="1:3">
      <c r="A38" t="s">
        <v>1051</v>
      </c>
      <c r="B38" s="18">
        <v>206853</v>
      </c>
      <c r="C38" t="str">
        <f>VLOOKUP(A38,多浪小镇一期!$B$5:$B$517,1,0)</f>
        <v>A11-3-602</v>
      </c>
    </row>
    <row r="39" spans="1:3">
      <c r="A39" t="s">
        <v>1053</v>
      </c>
      <c r="B39" s="18">
        <v>204399.3</v>
      </c>
      <c r="C39" t="str">
        <f>VLOOKUP(A39,多浪小镇一期!$B$5:$B$517,1,0)</f>
        <v>A11-4-101</v>
      </c>
    </row>
    <row r="40" spans="1:3">
      <c r="A40" t="s">
        <v>1055</v>
      </c>
      <c r="B40" s="18">
        <v>205351.965</v>
      </c>
      <c r="C40" t="str">
        <f>VLOOKUP(A40,多浪小镇一期!$B$5:$B$517,1,0)</f>
        <v>A11-4-102</v>
      </c>
    </row>
    <row r="41" spans="1:3">
      <c r="A41" t="s">
        <v>1057</v>
      </c>
      <c r="B41" s="18">
        <v>204399.3</v>
      </c>
      <c r="C41" t="str">
        <f>VLOOKUP(A41,多浪小镇一期!$B$5:$B$517,1,0)</f>
        <v>A11-4-201</v>
      </c>
    </row>
    <row r="42" spans="1:3">
      <c r="A42" t="s">
        <v>1059</v>
      </c>
      <c r="B42" s="18">
        <v>205325.4</v>
      </c>
      <c r="C42" t="str">
        <f>VLOOKUP(A42,多浪小镇一期!$B$5:$B$517,1,0)</f>
        <v>A11-4-202</v>
      </c>
    </row>
    <row r="43" spans="1:3">
      <c r="A43" t="s">
        <v>1061</v>
      </c>
      <c r="B43" s="18">
        <v>201129.6</v>
      </c>
      <c r="C43" t="str">
        <f>VLOOKUP(A43,多浪小镇一期!$B$5:$B$517,1,0)</f>
        <v>A11-4-301</v>
      </c>
    </row>
    <row r="44" spans="1:3">
      <c r="A44" t="s">
        <v>1063</v>
      </c>
      <c r="B44" s="18">
        <v>5000.1</v>
      </c>
      <c r="C44" t="str">
        <f>VLOOKUP(A44,多浪小镇一期!$B$5:$B$517,1,0)</f>
        <v>A11-4-302</v>
      </c>
    </row>
    <row r="45" spans="1:3">
      <c r="A45" t="s">
        <v>1065</v>
      </c>
      <c r="B45" s="18">
        <v>183960</v>
      </c>
      <c r="C45" t="str">
        <f>VLOOKUP(A45,多浪小镇一期!$B$5:$B$517,1,0)</f>
        <v>A11-4-401</v>
      </c>
    </row>
    <row r="46" spans="1:3">
      <c r="A46" t="s">
        <v>1067</v>
      </c>
      <c r="B46" s="18">
        <v>184793.7</v>
      </c>
      <c r="C46" t="str">
        <f>VLOOKUP(A46,多浪小镇一期!$B$5:$B$517,1,0)</f>
        <v>A11-4-402</v>
      </c>
    </row>
    <row r="47" spans="1:3">
      <c r="A47" t="s">
        <v>1069</v>
      </c>
      <c r="B47" s="18">
        <v>239392.7</v>
      </c>
      <c r="C47" t="str">
        <f>VLOOKUP(A47,多浪小镇一期!$B$5:$B$517,1,0)</f>
        <v>A11-4-501</v>
      </c>
    </row>
    <row r="48" spans="1:3">
      <c r="A48" t="s">
        <v>1071</v>
      </c>
      <c r="B48" s="18">
        <v>240477.3</v>
      </c>
      <c r="C48" t="str">
        <f>VLOOKUP(A48,多浪小镇一期!$B$5:$B$517,1,0)</f>
        <v>A11-4-502</v>
      </c>
    </row>
    <row r="49" spans="1:3">
      <c r="A49" t="s">
        <v>1073</v>
      </c>
      <c r="B49" s="18">
        <v>206853.15</v>
      </c>
      <c r="C49" t="str">
        <f>VLOOKUP(A49,多浪小镇一期!$B$5:$B$517,1,0)</f>
        <v>A11-4-601</v>
      </c>
    </row>
    <row r="50" spans="1:3">
      <c r="A50" t="s">
        <v>1075</v>
      </c>
      <c r="B50" s="18">
        <v>127302</v>
      </c>
      <c r="C50" t="str">
        <f>VLOOKUP(A50,多浪小镇一期!$B$5:$B$517,1,0)</f>
        <v>A11-4-602</v>
      </c>
    </row>
    <row r="51" spans="1:3">
      <c r="A51" t="s">
        <v>1077</v>
      </c>
      <c r="B51" s="18">
        <v>249224.85</v>
      </c>
      <c r="C51" t="str">
        <f>VLOOKUP(A51,多浪小镇一期!$B$5:$B$517,1,0)</f>
        <v>A12-1-101</v>
      </c>
    </row>
    <row r="52" spans="1:3">
      <c r="A52" t="s">
        <v>1079</v>
      </c>
      <c r="B52" s="18">
        <v>223034.7</v>
      </c>
      <c r="C52" t="str">
        <f>VLOOKUP(A52,多浪小镇一期!$B$5:$B$517,1,0)</f>
        <v>A12-1-102</v>
      </c>
    </row>
    <row r="53" spans="1:3">
      <c r="A53" t="s">
        <v>1081</v>
      </c>
      <c r="B53" s="18">
        <v>247230.9</v>
      </c>
      <c r="C53" t="str">
        <f>VLOOKUP(A53,多浪小镇一期!$B$5:$B$517,1,0)</f>
        <v>A12-1-201</v>
      </c>
    </row>
    <row r="54" spans="1:3">
      <c r="A54" t="s">
        <v>1083</v>
      </c>
      <c r="B54" s="18">
        <v>228749.85</v>
      </c>
      <c r="C54" t="str">
        <f>VLOOKUP(A54,多浪小镇一期!$B$5:$B$517,1,0)</f>
        <v>A12-1-202</v>
      </c>
    </row>
    <row r="55" spans="1:3">
      <c r="A55" t="s">
        <v>1086</v>
      </c>
      <c r="B55" s="18">
        <v>257200.65</v>
      </c>
      <c r="C55" t="str">
        <f>VLOOKUP(A55,多浪小镇一期!$B$5:$B$517,1,0)</f>
        <v>A12-1-301</v>
      </c>
    </row>
    <row r="56" spans="1:3">
      <c r="A56" t="s">
        <v>1088</v>
      </c>
      <c r="B56" s="18">
        <v>224749.35</v>
      </c>
      <c r="C56" t="str">
        <f>VLOOKUP(A56,多浪小镇一期!$B$5:$B$517,1,0)</f>
        <v>A12-1-302</v>
      </c>
    </row>
    <row r="57" spans="1:3">
      <c r="A57" t="s">
        <v>1090</v>
      </c>
      <c r="B57" s="18">
        <v>219318.75</v>
      </c>
      <c r="C57" t="str">
        <f>VLOOKUP(A57,多浪小镇一期!$B$5:$B$517,1,0)</f>
        <v>A12-1-401</v>
      </c>
    </row>
    <row r="58" spans="1:3">
      <c r="A58" t="s">
        <v>1092</v>
      </c>
      <c r="B58" s="18">
        <v>201900.3</v>
      </c>
      <c r="C58" t="str">
        <f>VLOOKUP(A58,多浪小镇一期!$B$5:$B$517,1,0)</f>
        <v>A12-1-402</v>
      </c>
    </row>
    <row r="59" spans="1:3">
      <c r="A59" t="s">
        <v>1094</v>
      </c>
      <c r="B59" s="18">
        <v>209349</v>
      </c>
      <c r="C59" t="str">
        <f>VLOOKUP(A59,多浪小镇一期!$B$5:$B$517,1,0)</f>
        <v>A12-1-501</v>
      </c>
    </row>
    <row r="60" spans="1:3">
      <c r="A60" t="s">
        <v>1096</v>
      </c>
      <c r="B60" s="18">
        <v>178999.2015</v>
      </c>
      <c r="C60" t="str">
        <f>VLOOKUP(A60,多浪小镇一期!$B$5:$B$517,1,0)</f>
        <v>A12-1-502</v>
      </c>
    </row>
    <row r="61" spans="1:3">
      <c r="A61" t="s">
        <v>1099</v>
      </c>
      <c r="B61" s="18">
        <v>186913.65</v>
      </c>
      <c r="C61" t="str">
        <f>VLOOKUP(A61,多浪小镇一期!$B$5:$B$517,1,0)</f>
        <v>A12-1-601</v>
      </c>
    </row>
    <row r="62" spans="1:3">
      <c r="A62" t="s">
        <v>1101</v>
      </c>
      <c r="B62" s="18">
        <v>170704.8</v>
      </c>
      <c r="C62" t="str">
        <f>VLOOKUP(A62,多浪小镇一期!$B$5:$B$517,1,0)</f>
        <v>A12-1-602</v>
      </c>
    </row>
    <row r="63" spans="1:3">
      <c r="A63" t="s">
        <v>1104</v>
      </c>
      <c r="B63" s="18">
        <v>215801.0505</v>
      </c>
      <c r="C63" t="str">
        <f>VLOOKUP(A63,多浪小镇一期!$B$5:$B$517,1,0)</f>
        <v>A12-2-101</v>
      </c>
    </row>
    <row r="64" spans="1:3">
      <c r="A64" t="s">
        <v>1110</v>
      </c>
      <c r="B64" s="18">
        <v>223000.05</v>
      </c>
      <c r="C64" t="str">
        <f>VLOOKUP(A64,多浪小镇一期!$B$5:$B$517,1,0)</f>
        <v>A12-2-201</v>
      </c>
    </row>
    <row r="65" spans="1:3">
      <c r="A65" t="s">
        <v>1112</v>
      </c>
      <c r="B65" s="18">
        <v>103850</v>
      </c>
      <c r="C65" t="str">
        <f>VLOOKUP(A65,多浪小镇一期!$B$5:$B$517,1,0)</f>
        <v>A12-2-202</v>
      </c>
    </row>
    <row r="66" spans="1:3">
      <c r="A66" t="s">
        <v>1114</v>
      </c>
      <c r="B66" s="18">
        <v>229120.5</v>
      </c>
      <c r="C66" t="str">
        <f>VLOOKUP(A66,多浪小镇一期!$B$5:$B$517,1,0)</f>
        <v>A12-2-301</v>
      </c>
    </row>
    <row r="67" spans="1:3">
      <c r="A67" t="s">
        <v>1116</v>
      </c>
      <c r="B67" s="18">
        <v>243696.6</v>
      </c>
      <c r="C67" t="str">
        <f>VLOOKUP(A67,多浪小镇一期!$B$5:$B$517,1,0)</f>
        <v>A12-2-302</v>
      </c>
    </row>
    <row r="68" spans="1:3">
      <c r="A68" t="s">
        <v>1118</v>
      </c>
      <c r="B68" s="18">
        <v>196900.2</v>
      </c>
      <c r="C68" t="str">
        <f>VLOOKUP(A68,多浪小镇一期!$B$5:$B$517,1,0)</f>
        <v>A12-2-401</v>
      </c>
    </row>
    <row r="69" spans="1:3">
      <c r="A69" t="s">
        <v>1120</v>
      </c>
      <c r="B69" s="18">
        <v>228388.65</v>
      </c>
      <c r="C69" t="str">
        <f>VLOOKUP(A69,多浪小镇一期!$B$5:$B$517,1,0)</f>
        <v>A12-2-402</v>
      </c>
    </row>
    <row r="70" spans="1:3">
      <c r="A70" t="s">
        <v>1123</v>
      </c>
      <c r="B70" s="18">
        <v>178999.8</v>
      </c>
      <c r="C70" t="str">
        <f>VLOOKUP(A70,多浪小镇一期!$B$5:$B$517,1,0)</f>
        <v>A12-2-501</v>
      </c>
    </row>
    <row r="71" spans="1:3">
      <c r="A71" t="s">
        <v>1125</v>
      </c>
      <c r="B71" s="18">
        <v>197900.85</v>
      </c>
      <c r="C71" t="str">
        <f>VLOOKUP(A71,多浪小镇一期!$B$5:$B$517,1,0)</f>
        <v>A12-2-502</v>
      </c>
    </row>
    <row r="72" spans="1:3">
      <c r="A72" t="s">
        <v>1127</v>
      </c>
      <c r="B72" s="18">
        <v>170049.6</v>
      </c>
      <c r="C72" t="str">
        <f>VLOOKUP(A72,多浪小镇一期!$B$5:$B$517,1,0)</f>
        <v>A12-2-601</v>
      </c>
    </row>
    <row r="73" spans="1:3">
      <c r="A73" t="s">
        <v>1129</v>
      </c>
      <c r="B73" s="18">
        <v>176602.65</v>
      </c>
      <c r="C73" t="str">
        <f>VLOOKUP(A73,多浪小镇一期!$B$5:$B$517,1,0)</f>
        <v>A12-2-602</v>
      </c>
    </row>
    <row r="74" spans="1:3">
      <c r="A74" t="s">
        <v>1131</v>
      </c>
      <c r="B74" s="18">
        <v>259942.2</v>
      </c>
      <c r="C74" t="str">
        <f>VLOOKUP(A74,多浪小镇一期!$B$5:$B$517,1,0)</f>
        <v>A12-3-101</v>
      </c>
    </row>
    <row r="75" spans="1:3">
      <c r="A75" t="s">
        <v>1133</v>
      </c>
      <c r="B75" s="18">
        <v>226749.6</v>
      </c>
      <c r="C75" t="str">
        <f>VLOOKUP(A75,多浪小镇一期!$B$5:$B$517,1,0)</f>
        <v>A12-3-102</v>
      </c>
    </row>
    <row r="76" spans="1:3">
      <c r="A76" t="s">
        <v>1135</v>
      </c>
      <c r="B76" s="18">
        <v>253695.75</v>
      </c>
      <c r="C76" t="str">
        <f>VLOOKUP(A76,多浪小镇一期!$B$5:$B$517,1,0)</f>
        <v>A12-3-201</v>
      </c>
    </row>
    <row r="77" spans="1:3">
      <c r="A77" t="s">
        <v>1137</v>
      </c>
      <c r="B77" s="18">
        <v>223749.75</v>
      </c>
      <c r="C77" t="str">
        <f>VLOOKUP(A77,多浪小镇一期!$B$5:$B$517,1,0)</f>
        <v>A12-3-202</v>
      </c>
    </row>
    <row r="78" spans="1:3">
      <c r="A78" t="s">
        <v>1139</v>
      </c>
      <c r="B78" s="18">
        <v>254849.7</v>
      </c>
      <c r="C78" t="str">
        <f>VLOOKUP(A78,多浪小镇一期!$B$5:$B$517,1,0)</f>
        <v>A12-3-301</v>
      </c>
    </row>
    <row r="79" spans="1:3">
      <c r="A79" t="s">
        <v>1141</v>
      </c>
      <c r="B79" s="18">
        <v>206800.65</v>
      </c>
      <c r="C79" t="str">
        <f>VLOOKUP(A79,多浪小镇一期!$B$5:$B$517,1,0)</f>
        <v>A12-3-302</v>
      </c>
    </row>
    <row r="80" spans="1:3">
      <c r="A80" t="s">
        <v>1143</v>
      </c>
      <c r="B80" s="18">
        <v>224619.444</v>
      </c>
      <c r="C80" t="str">
        <f>VLOOKUP(A80,多浪小镇一期!$B$5:$B$517,1,0)</f>
        <v>A12-3-401</v>
      </c>
    </row>
    <row r="81" spans="1:3">
      <c r="A81" t="s">
        <v>1146</v>
      </c>
      <c r="B81" s="18">
        <v>205850.4</v>
      </c>
      <c r="C81" t="str">
        <f>VLOOKUP(A81,多浪小镇一期!$B$5:$B$517,1,0)</f>
        <v>A12-3-402</v>
      </c>
    </row>
    <row r="82" spans="1:3">
      <c r="A82" t="s">
        <v>1148</v>
      </c>
      <c r="B82" s="18">
        <v>213034.5</v>
      </c>
      <c r="C82" t="str">
        <f>VLOOKUP(A82,多浪小镇一期!$B$5:$B$517,1,0)</f>
        <v>A12-3-501</v>
      </c>
    </row>
    <row r="83" spans="1:3">
      <c r="A83" t="s">
        <v>1150</v>
      </c>
      <c r="B83" s="18">
        <v>187950</v>
      </c>
      <c r="C83" t="str">
        <f>VLOOKUP(A83,多浪小镇一期!$B$5:$B$517,1,0)</f>
        <v>A12-3-502</v>
      </c>
    </row>
    <row r="84" spans="1:3">
      <c r="A84" t="s">
        <v>1152</v>
      </c>
      <c r="B84" s="18">
        <v>176603.7</v>
      </c>
      <c r="C84" t="str">
        <f>VLOOKUP(A84,多浪小镇一期!$B$5:$B$517,1,0)</f>
        <v>A12-3-601</v>
      </c>
    </row>
    <row r="85" spans="1:3">
      <c r="A85" t="s">
        <v>1154</v>
      </c>
      <c r="B85" s="18">
        <v>160025.25</v>
      </c>
      <c r="C85" t="str">
        <f>VLOOKUP(A85,多浪小镇一期!$B$5:$B$517,1,0)</f>
        <v>A12-3-602</v>
      </c>
    </row>
    <row r="86" spans="1:3">
      <c r="A86" t="s">
        <v>1156</v>
      </c>
      <c r="B86" s="18">
        <v>223749.75</v>
      </c>
      <c r="C86" t="str">
        <f>VLOOKUP(A86,多浪小镇一期!$B$5:$B$517,1,0)</f>
        <v>A12-4-101</v>
      </c>
    </row>
    <row r="87" spans="1:3">
      <c r="A87" t="s">
        <v>1158</v>
      </c>
      <c r="B87" s="18">
        <v>219275.7</v>
      </c>
      <c r="C87" t="str">
        <f>VLOOKUP(A87,多浪小镇一期!$B$5:$B$517,1,0)</f>
        <v>A12-4-102</v>
      </c>
    </row>
    <row r="88" spans="1:3">
      <c r="A88" t="s">
        <v>1160</v>
      </c>
      <c r="B88" s="18">
        <v>214800.306</v>
      </c>
      <c r="C88" t="str">
        <f>VLOOKUP(A88,多浪小镇一期!$B$5:$B$517,1,0)</f>
        <v>A12-4-201</v>
      </c>
    </row>
    <row r="89" spans="1:3">
      <c r="A89" t="s">
        <v>1162</v>
      </c>
      <c r="B89" s="18">
        <v>223749.75</v>
      </c>
      <c r="C89" t="str">
        <f>VLOOKUP(A89,多浪小镇一期!$B$5:$B$517,1,0)</f>
        <v>A12-4-202</v>
      </c>
    </row>
    <row r="90" spans="1:3">
      <c r="A90" t="s">
        <v>1164</v>
      </c>
      <c r="B90" s="18">
        <v>229120.5</v>
      </c>
      <c r="C90" t="str">
        <f>VLOOKUP(A90,多浪小镇一期!$B$5:$B$517,1,0)</f>
        <v>A12-4-301</v>
      </c>
    </row>
    <row r="91" spans="1:3">
      <c r="A91" t="s">
        <v>1166</v>
      </c>
      <c r="B91" s="18">
        <v>229120.5</v>
      </c>
      <c r="C91" t="str">
        <f>VLOOKUP(A91,多浪小镇一期!$B$5:$B$517,1,0)</f>
        <v>A12-4-302</v>
      </c>
    </row>
    <row r="92" spans="1:3">
      <c r="A92" t="s">
        <v>1168</v>
      </c>
      <c r="B92" s="18">
        <v>205850.4</v>
      </c>
      <c r="C92" t="str">
        <f>VLOOKUP(A92,多浪小镇一期!$B$5:$B$517,1,0)</f>
        <v>A12-4-401</v>
      </c>
    </row>
    <row r="93" spans="1:3">
      <c r="A93" t="s">
        <v>1170</v>
      </c>
      <c r="B93" s="18">
        <v>207849.6</v>
      </c>
      <c r="C93" t="str">
        <f>VLOOKUP(A93,多浪小镇一期!$B$5:$B$517,1,0)</f>
        <v>A12-4-402</v>
      </c>
    </row>
    <row r="94" spans="1:3">
      <c r="A94" t="s">
        <v>1172</v>
      </c>
      <c r="B94" s="18">
        <v>187950</v>
      </c>
      <c r="C94" t="str">
        <f>VLOOKUP(A94,多浪小镇一期!$B$5:$B$517,1,0)</f>
        <v>A12-4-501</v>
      </c>
    </row>
    <row r="95" spans="1:3">
      <c r="A95" t="s">
        <v>1174</v>
      </c>
      <c r="B95" s="18">
        <v>187950.357</v>
      </c>
      <c r="C95" t="str">
        <f>VLOOKUP(A95,多浪小镇一期!$B$5:$B$517,1,0)</f>
        <v>A12-4-502</v>
      </c>
    </row>
    <row r="96" spans="1:3">
      <c r="A96" t="s">
        <v>1176</v>
      </c>
      <c r="B96" s="18">
        <v>170154.6</v>
      </c>
      <c r="C96" t="str">
        <f>VLOOKUP(A96,多浪小镇一期!$B$5:$B$517,1,0)</f>
        <v>A12-4-601</v>
      </c>
    </row>
    <row r="97" spans="1:3">
      <c r="A97" t="s">
        <v>1178</v>
      </c>
      <c r="B97" s="18">
        <v>168976.5</v>
      </c>
      <c r="C97" t="str">
        <f>VLOOKUP(A97,多浪小镇一期!$B$5:$B$517,1,0)</f>
        <v>A12-4-602</v>
      </c>
    </row>
    <row r="98" spans="1:3">
      <c r="A98" t="s">
        <v>1180</v>
      </c>
      <c r="B98" s="18">
        <v>216231.75</v>
      </c>
      <c r="C98" t="str">
        <f>VLOOKUP(A98,多浪小镇一期!$B$5:$B$517,1,0)</f>
        <v>A12-5-101</v>
      </c>
    </row>
    <row r="99" spans="1:3">
      <c r="A99" t="s">
        <v>1182</v>
      </c>
      <c r="B99" s="18">
        <v>249224.85</v>
      </c>
      <c r="C99" t="str">
        <f>VLOOKUP(A99,多浪小镇一期!$B$5:$B$517,1,0)</f>
        <v>A12-5-102</v>
      </c>
    </row>
    <row r="100" spans="1:3">
      <c r="A100" t="s">
        <v>1184</v>
      </c>
      <c r="B100" s="18">
        <v>223749.75</v>
      </c>
      <c r="C100" t="str">
        <f>VLOOKUP(A100,多浪小镇一期!$B$5:$B$517,1,0)</f>
        <v>A12-5-201</v>
      </c>
    </row>
    <row r="101" spans="1:3">
      <c r="A101" t="s">
        <v>1186</v>
      </c>
      <c r="B101" s="18">
        <v>249223.8</v>
      </c>
      <c r="C101" t="str">
        <f>VLOOKUP(A101,多浪小镇一期!$B$5:$B$517,1,0)</f>
        <v>A12-5-202</v>
      </c>
    </row>
    <row r="102" spans="1:3">
      <c r="A102" t="s">
        <v>1188</v>
      </c>
      <c r="B102" s="18">
        <v>230910.75</v>
      </c>
      <c r="C102" t="str">
        <f>VLOOKUP(A102,多浪小镇一期!$B$5:$B$517,1,0)</f>
        <v>A12-5-301</v>
      </c>
    </row>
    <row r="103" spans="1:3">
      <c r="A103" t="s">
        <v>1190</v>
      </c>
      <c r="B103" s="18">
        <v>261187.5</v>
      </c>
      <c r="C103" t="str">
        <f>VLOOKUP(A103,多浪小镇一期!$B$5:$B$517,1,0)</f>
        <v>A12-5-302</v>
      </c>
    </row>
    <row r="104" spans="1:3">
      <c r="A104" t="s">
        <v>1192</v>
      </c>
      <c r="B104" s="18">
        <v>205850.4</v>
      </c>
      <c r="C104" t="str">
        <f>VLOOKUP(A104,多浪小镇一期!$B$5:$B$517,1,0)</f>
        <v>A12-5-401</v>
      </c>
    </row>
    <row r="105" spans="1:3">
      <c r="A105" t="s">
        <v>1194</v>
      </c>
      <c r="B105" s="18">
        <v>228289.95</v>
      </c>
      <c r="C105" t="str">
        <f>VLOOKUP(A105,多浪小镇一期!$B$5:$B$517,1,0)</f>
        <v>A12-5-402</v>
      </c>
    </row>
    <row r="106" spans="1:3">
      <c r="A106" t="s">
        <v>1196</v>
      </c>
      <c r="B106" s="18">
        <v>187950</v>
      </c>
      <c r="C106" t="str">
        <f>VLOOKUP(A106,多浪小镇一期!$B$5:$B$517,1,0)</f>
        <v>A12-5-501</v>
      </c>
    </row>
    <row r="107" spans="1:3">
      <c r="A107" t="s">
        <v>1198</v>
      </c>
      <c r="B107" s="18">
        <v>209347.95</v>
      </c>
      <c r="C107" t="str">
        <f>VLOOKUP(A107,多浪小镇一期!$B$5:$B$517,1,0)</f>
        <v>A12-5-502</v>
      </c>
    </row>
    <row r="108" spans="1:3">
      <c r="A108" t="s">
        <v>1200</v>
      </c>
      <c r="B108" s="18">
        <v>160026.3</v>
      </c>
      <c r="C108" t="str">
        <f>VLOOKUP(A108,多浪小镇一期!$B$5:$B$517,1,0)</f>
        <v>A12-5-601</v>
      </c>
    </row>
    <row r="109" spans="1:3">
      <c r="A109" t="s">
        <v>1202</v>
      </c>
      <c r="B109" s="18">
        <v>188215.65</v>
      </c>
      <c r="C109" t="str">
        <f>VLOOKUP(A109,多浪小镇一期!$B$5:$B$517,1,0)</f>
        <v>A12-5-602</v>
      </c>
    </row>
    <row r="110" spans="1:4">
      <c r="A110" t="s">
        <v>2917</v>
      </c>
      <c r="B110" s="18">
        <v>20000</v>
      </c>
      <c r="C110" t="e">
        <f>VLOOKUP(A110,多浪小镇一期!$B$5:$B$517,1,0)</f>
        <v>#N/A</v>
      </c>
      <c r="D110" t="s">
        <v>7637</v>
      </c>
    </row>
    <row r="111" spans="1:4">
      <c r="A111" t="s">
        <v>2920</v>
      </c>
      <c r="B111" s="18">
        <v>-20000</v>
      </c>
      <c r="C111" t="e">
        <f>VLOOKUP(A111,多浪小镇一期!$B$5:$B$517,1,0)</f>
        <v>#N/A</v>
      </c>
      <c r="D111" t="s">
        <v>7637</v>
      </c>
    </row>
    <row r="112" spans="1:3">
      <c r="A112" t="s">
        <v>1206</v>
      </c>
      <c r="B112" s="18">
        <v>170639.7</v>
      </c>
      <c r="C112" t="str">
        <f>VLOOKUP(A112,多浪小镇一期!$B$5:$B$517,1,0)</f>
        <v>C1-101</v>
      </c>
    </row>
    <row r="113" spans="1:3">
      <c r="A113" t="s">
        <v>1208</v>
      </c>
      <c r="B113" s="18">
        <v>331695</v>
      </c>
      <c r="C113" t="str">
        <f>VLOOKUP(A113,多浪小镇一期!$B$5:$B$517,1,0)</f>
        <v>C1-102</v>
      </c>
    </row>
    <row r="114" spans="1:3">
      <c r="A114" t="s">
        <v>1209</v>
      </c>
      <c r="B114" s="18">
        <v>299000</v>
      </c>
      <c r="C114" t="str">
        <f>VLOOKUP(A114,多浪小镇一期!$B$5:$B$517,1,0)</f>
        <v>C1-103</v>
      </c>
    </row>
    <row r="115" spans="1:3">
      <c r="A115" t="s">
        <v>1211</v>
      </c>
      <c r="B115" s="18">
        <v>10000</v>
      </c>
      <c r="C115" t="str">
        <f>VLOOKUP(A115,多浪小镇一期!$B$5:$B$517,1,0)</f>
        <v>C1-104</v>
      </c>
    </row>
    <row r="116" spans="1:3">
      <c r="A116" t="s">
        <v>1213</v>
      </c>
      <c r="B116" s="18">
        <v>221695</v>
      </c>
      <c r="C116" t="str">
        <f>VLOOKUP(A116,多浪小镇一期!$B$5:$B$517,1,0)</f>
        <v>C1-105</v>
      </c>
    </row>
    <row r="117" spans="1:3">
      <c r="A117" t="s">
        <v>1746</v>
      </c>
      <c r="B117" s="18">
        <v>180637.8</v>
      </c>
      <c r="C117" t="str">
        <f>VLOOKUP(A117,多浪小镇一期!$B$5:$B$517,1,0)</f>
        <v>C11-1-101</v>
      </c>
    </row>
    <row r="118" spans="1:3">
      <c r="A118" t="s">
        <v>1748</v>
      </c>
      <c r="B118" s="18">
        <v>179851.35</v>
      </c>
      <c r="C118" t="str">
        <f>VLOOKUP(A118,多浪小镇一期!$B$5:$B$517,1,0)</f>
        <v>C11-1-102</v>
      </c>
    </row>
    <row r="119" spans="1:3">
      <c r="A119" t="s">
        <v>1750</v>
      </c>
      <c r="B119" s="18">
        <v>180637.8</v>
      </c>
      <c r="C119" t="str">
        <f>VLOOKUP(A119,多浪小镇一期!$B$5:$B$517,1,0)</f>
        <v>C11-1-201</v>
      </c>
    </row>
    <row r="120" spans="1:3">
      <c r="A120" t="s">
        <v>1752</v>
      </c>
      <c r="B120" s="18">
        <v>186430.65</v>
      </c>
      <c r="C120" t="str">
        <f>VLOOKUP(A120,多浪小镇一期!$B$5:$B$517,1,0)</f>
        <v>C11-1-202</v>
      </c>
    </row>
    <row r="121" spans="1:3">
      <c r="A121" t="s">
        <v>1754</v>
      </c>
      <c r="B121" s="18">
        <v>180637.8</v>
      </c>
      <c r="C121" t="str">
        <f>VLOOKUP(A121,多浪小镇一期!$B$5:$B$517,1,0)</f>
        <v>C11-1-301</v>
      </c>
    </row>
    <row r="122" spans="1:3">
      <c r="A122" t="s">
        <v>1756</v>
      </c>
      <c r="B122" s="18">
        <v>179851.35</v>
      </c>
      <c r="C122" t="str">
        <f>VLOOKUP(A122,多浪小镇一期!$B$5:$B$517,1,0)</f>
        <v>C11-1-302</v>
      </c>
    </row>
    <row r="123" spans="1:3">
      <c r="A123" t="s">
        <v>1758</v>
      </c>
      <c r="B123" s="18">
        <v>157875.9</v>
      </c>
      <c r="C123" t="str">
        <f>VLOOKUP(A123,多浪小镇一期!$B$5:$B$517,1,0)</f>
        <v>C11-1-401</v>
      </c>
    </row>
    <row r="124" spans="1:3">
      <c r="A124" t="s">
        <v>1760</v>
      </c>
      <c r="B124" s="18">
        <v>157186.05</v>
      </c>
      <c r="C124" t="str">
        <f>VLOOKUP(A124,多浪小镇一期!$B$5:$B$517,1,0)</f>
        <v>C11-1-402</v>
      </c>
    </row>
    <row r="125" spans="1:3">
      <c r="A125" t="s">
        <v>1762</v>
      </c>
      <c r="B125" s="18">
        <v>28049.7</v>
      </c>
      <c r="C125" t="str">
        <f>VLOOKUP(A125,多浪小镇一期!$B$5:$B$517,1,0)</f>
        <v>C11-1-501</v>
      </c>
    </row>
    <row r="126" spans="1:3">
      <c r="A126" t="s">
        <v>1765</v>
      </c>
      <c r="B126" s="18">
        <v>247448.25</v>
      </c>
      <c r="C126" t="str">
        <f>VLOOKUP(A126,多浪小镇一期!$B$5:$B$517,1,0)</f>
        <v>C11-1-502</v>
      </c>
    </row>
    <row r="127" spans="1:3">
      <c r="A127" t="s">
        <v>1768</v>
      </c>
      <c r="B127" s="18">
        <v>116019.75</v>
      </c>
      <c r="C127" t="str">
        <f>VLOOKUP(A127,多浪小镇一期!$B$5:$B$517,1,0)</f>
        <v>C11-1-601</v>
      </c>
    </row>
    <row r="128" spans="1:3">
      <c r="A128" t="s">
        <v>1770</v>
      </c>
      <c r="B128" s="18">
        <v>113321.25</v>
      </c>
      <c r="C128" t="str">
        <f>VLOOKUP(A128,多浪小镇一期!$B$5:$B$517,1,0)</f>
        <v>C11-1-602</v>
      </c>
    </row>
    <row r="129" spans="1:3">
      <c r="A129" t="s">
        <v>1772</v>
      </c>
      <c r="B129" s="18">
        <v>179851.35</v>
      </c>
      <c r="C129" t="str">
        <f>VLOOKUP(A129,多浪小镇一期!$B$5:$B$517,1,0)</f>
        <v>C11-2-101</v>
      </c>
    </row>
    <row r="130" spans="1:3">
      <c r="A130" t="s">
        <v>1774</v>
      </c>
      <c r="B130" s="18">
        <v>179851.35</v>
      </c>
      <c r="C130" t="str">
        <f>VLOOKUP(A130,多浪小镇一期!$B$5:$B$517,1,0)</f>
        <v>C11-2-102</v>
      </c>
    </row>
    <row r="131" spans="1:3">
      <c r="A131" t="s">
        <v>1776</v>
      </c>
      <c r="B131" s="18">
        <v>179851.35</v>
      </c>
      <c r="C131" t="str">
        <f>VLOOKUP(A131,多浪小镇一期!$B$5:$B$517,1,0)</f>
        <v>C11-2-201</v>
      </c>
    </row>
    <row r="132" spans="1:3">
      <c r="A132" t="s">
        <v>3068</v>
      </c>
      <c r="B132" s="18">
        <v>179851.35</v>
      </c>
      <c r="C132" t="str">
        <f>VLOOKUP(A132,多浪小镇一期!$B$5:$B$517,1,0)</f>
        <v>C11-2-202</v>
      </c>
    </row>
    <row r="133" spans="1:3">
      <c r="A133" t="s">
        <v>1780</v>
      </c>
      <c r="B133" s="18">
        <v>179851.35</v>
      </c>
      <c r="C133" t="str">
        <f>VLOOKUP(A133,多浪小镇一期!$B$5:$B$517,1,0)</f>
        <v>C11-2-301</v>
      </c>
    </row>
    <row r="134" spans="1:3">
      <c r="A134" t="s">
        <v>3074</v>
      </c>
      <c r="B134" s="18">
        <v>179851.35</v>
      </c>
      <c r="C134" t="str">
        <f>VLOOKUP(A134,多浪小镇一期!$B$5:$B$517,1,0)</f>
        <v>C11-2-302</v>
      </c>
    </row>
    <row r="135" spans="1:3">
      <c r="A135" t="s">
        <v>1784</v>
      </c>
      <c r="B135" s="18">
        <v>159817.35</v>
      </c>
      <c r="C135" t="str">
        <f>VLOOKUP(A135,多浪小镇一期!$B$5:$B$517,1,0)</f>
        <v>C11-2-401</v>
      </c>
    </row>
    <row r="136" spans="1:3">
      <c r="A136" t="s">
        <v>1786</v>
      </c>
      <c r="B136" s="18">
        <v>159379.5</v>
      </c>
      <c r="C136" t="str">
        <f>VLOOKUP(A136,多浪小镇一期!$B$5:$B$517,1,0)</f>
        <v>C11-2-402</v>
      </c>
    </row>
    <row r="137" spans="1:3">
      <c r="A137" t="s">
        <v>1788</v>
      </c>
      <c r="B137" s="18">
        <v>137447.1</v>
      </c>
      <c r="C137" t="str">
        <f>VLOOKUP(A137,多浪小镇一期!$B$5:$B$517,1,0)</f>
        <v>C11-2-501</v>
      </c>
    </row>
    <row r="138" spans="1:3">
      <c r="A138" t="s">
        <v>1790</v>
      </c>
      <c r="B138" s="18">
        <v>137448.15</v>
      </c>
      <c r="C138" t="str">
        <f>VLOOKUP(A138,多浪小镇一期!$B$5:$B$517,1,0)</f>
        <v>C11-2-502</v>
      </c>
    </row>
    <row r="139" spans="1:3">
      <c r="A139" t="s">
        <v>1792</v>
      </c>
      <c r="B139" s="18">
        <v>115513.65</v>
      </c>
      <c r="C139" t="str">
        <f>VLOOKUP(A139,多浪小镇一期!$B$5:$B$517,1,0)</f>
        <v>C11-2-601</v>
      </c>
    </row>
    <row r="140" spans="1:3">
      <c r="A140" t="s">
        <v>1794</v>
      </c>
      <c r="B140" s="18">
        <v>113320.2</v>
      </c>
      <c r="C140" t="str">
        <f>VLOOKUP(A140,多浪小镇一期!$B$5:$B$517,1,0)</f>
        <v>C11-2-602</v>
      </c>
    </row>
    <row r="141" spans="1:3">
      <c r="A141" t="s">
        <v>1796</v>
      </c>
      <c r="B141" s="18">
        <v>179851.35</v>
      </c>
      <c r="C141" t="str">
        <f>VLOOKUP(A141,多浪小镇一期!$B$5:$B$517,1,0)</f>
        <v>C11-3-101</v>
      </c>
    </row>
    <row r="142" spans="1:3">
      <c r="A142" t="s">
        <v>1798</v>
      </c>
      <c r="B142" s="18">
        <v>179851.35</v>
      </c>
      <c r="C142" t="str">
        <f>VLOOKUP(A142,多浪小镇一期!$B$5:$B$517,1,0)</f>
        <v>C11-3-102</v>
      </c>
    </row>
    <row r="143" spans="1:3">
      <c r="A143" t="s">
        <v>3071</v>
      </c>
      <c r="B143" s="18">
        <v>179851.35</v>
      </c>
      <c r="C143" t="str">
        <f>VLOOKUP(A143,多浪小镇一期!$B$5:$B$517,1,0)</f>
        <v>C11-3-201</v>
      </c>
    </row>
    <row r="144" spans="1:3">
      <c r="A144" t="s">
        <v>1802</v>
      </c>
      <c r="B144" s="18">
        <v>179851.35</v>
      </c>
      <c r="C144" t="str">
        <f>VLOOKUP(A144,多浪小镇一期!$B$5:$B$517,1,0)</f>
        <v>C11-3-202</v>
      </c>
    </row>
    <row r="145" spans="1:3">
      <c r="A145" t="s">
        <v>1804</v>
      </c>
      <c r="B145" s="18">
        <v>179851.35</v>
      </c>
      <c r="C145" t="str">
        <f>VLOOKUP(A145,多浪小镇一期!$B$5:$B$517,1,0)</f>
        <v>C11-3-301</v>
      </c>
    </row>
    <row r="146" spans="1:3">
      <c r="A146" t="s">
        <v>1806</v>
      </c>
      <c r="B146" s="18">
        <v>179850.3</v>
      </c>
      <c r="C146" t="str">
        <f>VLOOKUP(A146,多浪小镇一期!$B$5:$B$517,1,0)</f>
        <v>C11-3-302</v>
      </c>
    </row>
    <row r="147" spans="1:3">
      <c r="A147" t="s">
        <v>1808</v>
      </c>
      <c r="B147" s="18">
        <v>159379.5</v>
      </c>
      <c r="C147" t="str">
        <f>VLOOKUP(A147,多浪小镇一期!$B$5:$B$517,1,0)</f>
        <v>C11-3-401</v>
      </c>
    </row>
    <row r="148" spans="1:3">
      <c r="A148" t="s">
        <v>1810</v>
      </c>
      <c r="B148" s="18">
        <v>160842.15</v>
      </c>
      <c r="C148" t="str">
        <f>VLOOKUP(A148,多浪小镇一期!$B$5:$B$517,1,0)</f>
        <v>C11-3-402</v>
      </c>
    </row>
    <row r="149" spans="1:3">
      <c r="A149" t="s">
        <v>1812</v>
      </c>
      <c r="B149" s="18">
        <v>138908.7</v>
      </c>
      <c r="C149" t="str">
        <f>VLOOKUP(A149,多浪小镇一期!$B$5:$B$517,1,0)</f>
        <v>C11-3-501</v>
      </c>
    </row>
    <row r="150" spans="1:3">
      <c r="A150" t="s">
        <v>1814</v>
      </c>
      <c r="B150" s="18">
        <v>137446.05</v>
      </c>
      <c r="C150" t="str">
        <f>VLOOKUP(A150,多浪小镇一期!$B$5:$B$517,1,0)</f>
        <v>C11-3-502</v>
      </c>
    </row>
    <row r="151" spans="1:3">
      <c r="A151" t="s">
        <v>1816</v>
      </c>
      <c r="B151" s="18">
        <v>113320.2</v>
      </c>
      <c r="C151" t="str">
        <f>VLOOKUP(A151,多浪小镇一期!$B$5:$B$517,1,0)</f>
        <v>C11-3-601</v>
      </c>
    </row>
    <row r="152" spans="1:3">
      <c r="A152" t="s">
        <v>1818</v>
      </c>
      <c r="B152" s="18">
        <v>113321.25</v>
      </c>
      <c r="C152" t="str">
        <f>VLOOKUP(A152,多浪小镇一期!$B$5:$B$517,1,0)</f>
        <v>C11-3-602</v>
      </c>
    </row>
    <row r="153" spans="1:3">
      <c r="A153" t="s">
        <v>1820</v>
      </c>
      <c r="B153" s="18">
        <v>179851.35</v>
      </c>
      <c r="C153" t="str">
        <f>VLOOKUP(A153,多浪小镇一期!$B$5:$B$517,1,0)</f>
        <v>C11-4-101</v>
      </c>
    </row>
    <row r="154" spans="1:3">
      <c r="A154" t="s">
        <v>1822</v>
      </c>
      <c r="B154" s="18">
        <v>180636.75</v>
      </c>
      <c r="C154" t="str">
        <f>VLOOKUP(A154,多浪小镇一期!$B$5:$B$517,1,0)</f>
        <v>C11-4-102</v>
      </c>
    </row>
    <row r="155" spans="1:3">
      <c r="A155" t="s">
        <v>1824</v>
      </c>
      <c r="B155" s="18">
        <v>179851.35</v>
      </c>
      <c r="C155" t="str">
        <f>VLOOKUP(A155,多浪小镇一期!$B$5:$B$517,1,0)</f>
        <v>C11-4-201</v>
      </c>
    </row>
    <row r="156" spans="1:3">
      <c r="A156" t="s">
        <v>1826</v>
      </c>
      <c r="B156" s="18">
        <v>180637.8</v>
      </c>
      <c r="C156" t="str">
        <f>VLOOKUP(A156,多浪小镇一期!$B$5:$B$517,1,0)</f>
        <v>C11-4-202</v>
      </c>
    </row>
    <row r="157" spans="1:3">
      <c r="A157" t="s">
        <v>1828</v>
      </c>
      <c r="B157" s="18">
        <v>179851.35</v>
      </c>
      <c r="C157" t="str">
        <f>VLOOKUP(A157,多浪小镇一期!$B$5:$B$517,1,0)</f>
        <v>C11-4-301</v>
      </c>
    </row>
    <row r="158" spans="1:3">
      <c r="A158" t="s">
        <v>1830</v>
      </c>
      <c r="B158" s="18">
        <v>180637.8</v>
      </c>
      <c r="C158" t="str">
        <f>VLOOKUP(A158,多浪小镇一期!$B$5:$B$517,1,0)</f>
        <v>C11-4-302</v>
      </c>
    </row>
    <row r="159" spans="1:3">
      <c r="A159" t="s">
        <v>1832</v>
      </c>
      <c r="B159" s="18">
        <v>160842.15</v>
      </c>
      <c r="C159" t="str">
        <f>VLOOKUP(A159,多浪小镇一期!$B$5:$B$517,1,0)</f>
        <v>C11-4-401</v>
      </c>
    </row>
    <row r="160" spans="1:3">
      <c r="A160" t="s">
        <v>1834</v>
      </c>
      <c r="B160" s="18">
        <v>160818</v>
      </c>
      <c r="C160" t="str">
        <f>VLOOKUP(A160,多浪小镇一期!$B$5:$B$517,1,0)</f>
        <v>C11-4-402</v>
      </c>
    </row>
    <row r="161" spans="1:3">
      <c r="A161" t="s">
        <v>1836</v>
      </c>
      <c r="B161" s="18">
        <v>138177.9</v>
      </c>
      <c r="C161" t="str">
        <f>VLOOKUP(A161,多浪小镇一期!$B$5:$B$517,1,0)</f>
        <v>C11-4-501</v>
      </c>
    </row>
    <row r="162" spans="1:3">
      <c r="A162" t="s">
        <v>1838</v>
      </c>
      <c r="B162" s="18">
        <v>138049.8</v>
      </c>
      <c r="C162" t="str">
        <f>VLOOKUP(A162,多浪小镇一期!$B$5:$B$517,1,0)</f>
        <v>C11-4-502</v>
      </c>
    </row>
    <row r="163" spans="1:3">
      <c r="A163" t="s">
        <v>1840</v>
      </c>
      <c r="B163" s="18">
        <v>112954.8</v>
      </c>
      <c r="C163" t="str">
        <f>VLOOKUP(A163,多浪小镇一期!$B$5:$B$517,1,0)</f>
        <v>C11-4-601</v>
      </c>
    </row>
    <row r="164" spans="1:3">
      <c r="A164" t="s">
        <v>1842</v>
      </c>
      <c r="B164" s="18">
        <v>117487.65</v>
      </c>
      <c r="C164" t="str">
        <f>VLOOKUP(A164,多浪小镇一期!$B$5:$B$517,1,0)</f>
        <v>C11-4-602</v>
      </c>
    </row>
    <row r="165" spans="1:3">
      <c r="A165" t="s">
        <v>1876</v>
      </c>
      <c r="B165" s="18">
        <v>167728.05</v>
      </c>
      <c r="C165" t="str">
        <f>VLOOKUP(A165,多浪小镇一期!$B$5:$B$517,1,0)</f>
        <v>C13-3-101</v>
      </c>
    </row>
    <row r="166" spans="1:3">
      <c r="A166" t="s">
        <v>1878</v>
      </c>
      <c r="B166" s="18">
        <v>174460.65</v>
      </c>
      <c r="C166" t="str">
        <f>VLOOKUP(A166,多浪小镇一期!$B$5:$B$517,1,0)</f>
        <v>C13-3-102</v>
      </c>
    </row>
    <row r="167" spans="1:3">
      <c r="A167" t="s">
        <v>1880</v>
      </c>
      <c r="B167" s="18">
        <v>166894.35</v>
      </c>
      <c r="C167" t="str">
        <f>VLOOKUP(A167,多浪小镇一期!$B$5:$B$517,1,0)</f>
        <v>C13-3-103</v>
      </c>
    </row>
    <row r="168" spans="1:3">
      <c r="A168" t="s">
        <v>1882</v>
      </c>
      <c r="B168" s="18">
        <v>173889.45</v>
      </c>
      <c r="C168" t="str">
        <f>VLOOKUP(A168,多浪小镇一期!$B$5:$B$517,1,0)</f>
        <v>C13-3-201</v>
      </c>
    </row>
    <row r="169" spans="1:3">
      <c r="A169" t="s">
        <v>1884</v>
      </c>
      <c r="B169" s="18">
        <v>175844.55</v>
      </c>
      <c r="C169" t="str">
        <f>VLOOKUP(A169,多浪小镇一期!$B$5:$B$517,1,0)</f>
        <v>C13-3-202</v>
      </c>
    </row>
    <row r="170" spans="1:3">
      <c r="A170" t="s">
        <v>1886</v>
      </c>
      <c r="B170" s="18">
        <v>167575.8</v>
      </c>
      <c r="C170" t="str">
        <f>VLOOKUP(A170,多浪小镇一期!$B$5:$B$517,1,0)</f>
        <v>C13-3-203</v>
      </c>
    </row>
    <row r="171" spans="1:3">
      <c r="A171" t="s">
        <v>1888</v>
      </c>
      <c r="B171" s="18">
        <v>171835.65</v>
      </c>
      <c r="C171" t="str">
        <f>VLOOKUP(A171,多浪小镇一期!$B$5:$B$517,1,0)</f>
        <v>C13-3-301</v>
      </c>
    </row>
    <row r="172" spans="1:3">
      <c r="A172" t="s">
        <v>1890</v>
      </c>
      <c r="B172" s="18">
        <v>175844.55</v>
      </c>
      <c r="C172" t="str">
        <f>VLOOKUP(A172,多浪小镇一期!$B$5:$B$517,1,0)</f>
        <v>C13-3-302</v>
      </c>
    </row>
    <row r="173" spans="1:3">
      <c r="A173" t="s">
        <v>1892</v>
      </c>
      <c r="B173" s="18">
        <v>167574.75</v>
      </c>
      <c r="C173" t="str">
        <f>VLOOKUP(A173,多浪小镇一期!$B$5:$B$517,1,0)</f>
        <v>C13-3-303</v>
      </c>
    </row>
    <row r="174" spans="1:3">
      <c r="A174" t="s">
        <v>1894</v>
      </c>
      <c r="B174" s="18">
        <v>154036.05</v>
      </c>
      <c r="C174" t="str">
        <f>VLOOKUP(A174,多浪小镇一期!$B$5:$B$517,1,0)</f>
        <v>C13-3-401</v>
      </c>
    </row>
    <row r="175" spans="1:3">
      <c r="A175" t="s">
        <v>1896</v>
      </c>
      <c r="B175" s="18">
        <v>151337.55</v>
      </c>
      <c r="C175" t="str">
        <f>VLOOKUP(A175,多浪小镇一期!$B$5:$B$517,1,0)</f>
        <v>C13-3-402</v>
      </c>
    </row>
    <row r="176" spans="1:3">
      <c r="A176" t="s">
        <v>1898</v>
      </c>
      <c r="B176" s="18">
        <v>90727.35</v>
      </c>
      <c r="C176" t="str">
        <f>VLOOKUP(A176,多浪小镇一期!$B$5:$B$517,1,0)</f>
        <v>C13-3-403</v>
      </c>
    </row>
    <row r="177" spans="1:3">
      <c r="A177" t="s">
        <v>1902</v>
      </c>
      <c r="B177" s="18">
        <v>128066.4</v>
      </c>
      <c r="C177" t="str">
        <f>VLOOKUP(A177,多浪小镇一期!$B$5:$B$517,1,0)</f>
        <v>C13-3-503</v>
      </c>
    </row>
    <row r="178" spans="1:3">
      <c r="A178" t="s">
        <v>1907</v>
      </c>
      <c r="B178" s="18">
        <v>807355.5</v>
      </c>
      <c r="C178" t="str">
        <f>VLOOKUP(A178,多浪小镇一期!$B$5:$B$517,1,0)</f>
        <v>C16-101</v>
      </c>
    </row>
    <row r="179" spans="1:3">
      <c r="A179" t="s">
        <v>1909</v>
      </c>
      <c r="B179" s="18">
        <v>860598.9</v>
      </c>
      <c r="C179" t="str">
        <f>VLOOKUP(A179,多浪小镇一期!$B$5:$B$517,1,0)</f>
        <v>C16-102</v>
      </c>
    </row>
    <row r="180" spans="1:3">
      <c r="A180" t="s">
        <v>1912</v>
      </c>
      <c r="B180" s="18">
        <v>993048</v>
      </c>
      <c r="C180" t="str">
        <f>VLOOKUP(A180,多浪小镇一期!$B$5:$B$517,1,0)</f>
        <v>C16-103</v>
      </c>
    </row>
    <row r="181" spans="1:3">
      <c r="A181" t="s">
        <v>1915</v>
      </c>
      <c r="B181" s="18">
        <v>1949.997</v>
      </c>
      <c r="C181" t="str">
        <f>VLOOKUP(A181,多浪小镇一期!$B$5:$B$517,1,0)</f>
        <v>C16-104</v>
      </c>
    </row>
    <row r="182" spans="1:3">
      <c r="A182" t="s">
        <v>1917</v>
      </c>
      <c r="B182" s="18">
        <v>489299.496</v>
      </c>
      <c r="C182" t="str">
        <f>VLOOKUP(A182,多浪小镇一期!$B$5:$B$517,1,0)</f>
        <v>C16-105</v>
      </c>
    </row>
    <row r="183" spans="1:3">
      <c r="A183" t="s">
        <v>1920</v>
      </c>
      <c r="B183" s="18">
        <v>71999.55</v>
      </c>
      <c r="C183" t="str">
        <f>VLOOKUP(A183,多浪小镇一期!$B$5:$B$517,1,0)</f>
        <v>C16-202</v>
      </c>
    </row>
    <row r="184" spans="1:3">
      <c r="A184" s="19" t="s">
        <v>4396</v>
      </c>
      <c r="B184" s="18">
        <v>1260054</v>
      </c>
      <c r="C184" t="e">
        <f>VLOOKUP(A184,多浪小镇一期!$B$5:$B$517,1,0)</f>
        <v>#N/A</v>
      </c>
    </row>
    <row r="185" spans="1:3">
      <c r="A185" t="s">
        <v>1226</v>
      </c>
      <c r="B185" s="18">
        <v>5575</v>
      </c>
      <c r="C185" t="str">
        <f>VLOOKUP(A185,多浪小镇一期!$B$5:$B$517,1,0)</f>
        <v>C2-02</v>
      </c>
    </row>
    <row r="186" spans="1:3">
      <c r="A186" t="s">
        <v>1228</v>
      </c>
      <c r="B186" s="18">
        <v>5575</v>
      </c>
      <c r="C186" t="str">
        <f>VLOOKUP(A186,多浪小镇一期!$B$5:$B$517,1,0)</f>
        <v>C2-03</v>
      </c>
    </row>
    <row r="187" spans="1:3">
      <c r="A187" t="s">
        <v>4113</v>
      </c>
      <c r="B187" s="18">
        <v>99999.9</v>
      </c>
      <c r="C187" t="e">
        <f>VLOOKUP(A187,多浪小镇一期!$B$5:$B$517,1,0)</f>
        <v>#N/A</v>
      </c>
    </row>
    <row r="188" spans="1:3">
      <c r="A188" s="19" t="s">
        <v>1224</v>
      </c>
      <c r="B188" s="18">
        <v>206084.55</v>
      </c>
      <c r="C188" t="str">
        <f>VLOOKUP(A188,多浪小镇一期!$B$5:$B$517,1,0)</f>
        <v>C2-101</v>
      </c>
    </row>
    <row r="189" spans="1:3">
      <c r="A189" s="19" t="s">
        <v>4100</v>
      </c>
      <c r="B189" s="18">
        <v>185844.75</v>
      </c>
      <c r="C189" t="e">
        <f>VLOOKUP(A189,多浪小镇一期!$B$5:$B$517,1,0)</f>
        <v>#N/A</v>
      </c>
    </row>
    <row r="190" spans="1:3">
      <c r="A190" s="19" t="s">
        <v>4103</v>
      </c>
      <c r="B190" s="18">
        <v>185844.75</v>
      </c>
      <c r="C190" t="e">
        <f>VLOOKUP(A190,多浪小镇一期!$B$5:$B$517,1,0)</f>
        <v>#N/A</v>
      </c>
    </row>
    <row r="191" spans="1:3">
      <c r="A191" s="19" t="s">
        <v>1229</v>
      </c>
      <c r="B191" s="18">
        <v>207300.5865</v>
      </c>
      <c r="C191" t="str">
        <f>VLOOKUP(A191,多浪小镇一期!$B$5:$B$517,1,0)</f>
        <v>C2-104</v>
      </c>
    </row>
    <row r="192" spans="1:3">
      <c r="A192" s="19" t="s">
        <v>1231</v>
      </c>
      <c r="B192" s="18">
        <v>212464.8</v>
      </c>
      <c r="C192" t="str">
        <f>VLOOKUP(A192,多浪小镇一期!$B$5:$B$517,1,0)</f>
        <v>C2-105</v>
      </c>
    </row>
    <row r="193" spans="1:3">
      <c r="A193" s="19" t="s">
        <v>1233</v>
      </c>
      <c r="B193" s="18">
        <v>192499.65</v>
      </c>
      <c r="C193" t="str">
        <f>VLOOKUP(A193,多浪小镇一期!$B$5:$B$517,1,0)</f>
        <v>C2-106</v>
      </c>
    </row>
    <row r="194" spans="1:3">
      <c r="A194" s="19" t="s">
        <v>1235</v>
      </c>
      <c r="B194" s="18">
        <v>192499.65</v>
      </c>
      <c r="C194" t="str">
        <f>VLOOKUP(A194,多浪小镇一期!$B$5:$B$517,1,0)</f>
        <v>C2-107</v>
      </c>
    </row>
    <row r="195" spans="1:3">
      <c r="A195" s="19" t="s">
        <v>1236</v>
      </c>
      <c r="B195" s="18">
        <v>199999.8</v>
      </c>
      <c r="C195" t="str">
        <f>VLOOKUP(A195,多浪小镇一期!$B$5:$B$517,1,0)</f>
        <v>C2-108</v>
      </c>
    </row>
    <row r="196" spans="1:3">
      <c r="A196" s="19" t="s">
        <v>1238</v>
      </c>
      <c r="B196" s="18">
        <v>193000.5</v>
      </c>
      <c r="C196" t="str">
        <f>VLOOKUP(A196,多浪小镇一期!$B$5:$B$517,1,0)</f>
        <v>C2-109</v>
      </c>
    </row>
    <row r="197" spans="1:3">
      <c r="A197" s="19" t="s">
        <v>1240</v>
      </c>
      <c r="B197" s="18">
        <v>242740</v>
      </c>
      <c r="C197" t="str">
        <f>VLOOKUP(A197,多浪小镇一期!$B$5:$B$517,1,0)</f>
        <v>C2-110</v>
      </c>
    </row>
    <row r="198" spans="1:3">
      <c r="A198" s="19" t="s">
        <v>1243</v>
      </c>
      <c r="B198" s="18">
        <v>152740</v>
      </c>
      <c r="C198" t="str">
        <f>VLOOKUP(A198,多浪小镇一期!$B$5:$B$517,1,0)</f>
        <v>C2-111</v>
      </c>
    </row>
    <row r="199" spans="1:3">
      <c r="A199" s="19" t="s">
        <v>1244</v>
      </c>
      <c r="B199" s="18">
        <v>230000.001</v>
      </c>
      <c r="C199" t="str">
        <f>VLOOKUP(A199,多浪小镇一期!$B$5:$B$517,1,0)</f>
        <v>C2-112</v>
      </c>
    </row>
    <row r="200" spans="1:4">
      <c r="A200" t="s">
        <v>4454</v>
      </c>
      <c r="B200" s="18">
        <v>7098</v>
      </c>
      <c r="C200" t="e">
        <f>VLOOKUP(A200,多浪小镇一期!$B$5:$B$517,1,0)</f>
        <v>#N/A</v>
      </c>
      <c r="D200" t="s">
        <v>7637</v>
      </c>
    </row>
    <row r="201" spans="1:3">
      <c r="A201" s="19" t="s">
        <v>1247</v>
      </c>
      <c r="B201" s="18">
        <v>259704</v>
      </c>
      <c r="C201" t="str">
        <f>VLOOKUP(A201,多浪小镇一期!$B$5:$B$517,1,0)</f>
        <v>C3-101</v>
      </c>
    </row>
    <row r="202" spans="1:3">
      <c r="A202" s="19" t="s">
        <v>1248</v>
      </c>
      <c r="B202" s="18">
        <v>236124</v>
      </c>
      <c r="C202" t="str">
        <f>VLOOKUP(A202,多浪小镇一期!$B$5:$B$517,1,0)</f>
        <v>C3-102</v>
      </c>
    </row>
    <row r="203" spans="1:3">
      <c r="A203" s="19" t="s">
        <v>1250</v>
      </c>
      <c r="B203" s="18">
        <v>209498.1</v>
      </c>
      <c r="C203" t="str">
        <f>VLOOKUP(A203,多浪小镇一期!$B$5:$B$517,1,0)</f>
        <v>C3-103</v>
      </c>
    </row>
    <row r="204" spans="1:3">
      <c r="A204" s="19" t="s">
        <v>1251</v>
      </c>
      <c r="B204" s="18">
        <v>206119.2</v>
      </c>
      <c r="C204" t="str">
        <f>VLOOKUP(A204,多浪小镇一期!$B$5:$B$517,1,0)</f>
        <v>C3-104</v>
      </c>
    </row>
    <row r="205" spans="1:3">
      <c r="A205" s="19" t="s">
        <v>1252</v>
      </c>
      <c r="B205" s="18">
        <v>214273.5</v>
      </c>
      <c r="C205" t="str">
        <f>VLOOKUP(A205,多浪小镇一期!$B$5:$B$517,1,0)</f>
        <v>C3-105</v>
      </c>
    </row>
    <row r="206" spans="1:3">
      <c r="A206" s="19" t="s">
        <v>1254</v>
      </c>
      <c r="B206" s="18">
        <v>207359.0505</v>
      </c>
      <c r="C206" t="str">
        <f>VLOOKUP(A206,多浪小镇一期!$B$5:$B$517,1,0)</f>
        <v>C3-106</v>
      </c>
    </row>
    <row r="207" spans="1:3">
      <c r="A207" s="19" t="s">
        <v>1257</v>
      </c>
      <c r="B207" s="18">
        <f>238968.95-阿克苏分公司预收账款!O1842</f>
        <v>229207.95</v>
      </c>
      <c r="C207" t="str">
        <f>VLOOKUP(A207,多浪小镇一期!$B$5:$B$517,1,0)</f>
        <v>C3-107</v>
      </c>
    </row>
    <row r="208" spans="1:3">
      <c r="A208" s="19" t="s">
        <v>1259</v>
      </c>
      <c r="B208" s="18">
        <v>204000.3</v>
      </c>
      <c r="C208" t="str">
        <f>VLOOKUP(A208,多浪小镇一期!$B$5:$B$517,1,0)</f>
        <v>C3-108</v>
      </c>
    </row>
    <row r="209" spans="1:3">
      <c r="A209" s="19" t="s">
        <v>1261</v>
      </c>
      <c r="B209" s="18">
        <v>210000</v>
      </c>
      <c r="C209" t="str">
        <f>VLOOKUP(A209,多浪小镇一期!$B$5:$B$517,1,0)</f>
        <v>C3-109</v>
      </c>
    </row>
    <row r="210" spans="1:3">
      <c r="A210" s="19" t="s">
        <v>1263</v>
      </c>
      <c r="B210" s="18">
        <v>224640.15</v>
      </c>
      <c r="C210" t="str">
        <f>VLOOKUP(A210,多浪小镇一期!$B$5:$B$517,1,0)</f>
        <v>C3-110</v>
      </c>
    </row>
    <row r="211" spans="1:3">
      <c r="A211" s="19" t="s">
        <v>1265</v>
      </c>
      <c r="B211" s="18">
        <v>199999.8</v>
      </c>
      <c r="C211" t="str">
        <f>VLOOKUP(A211,多浪小镇一期!$B$5:$B$517,1,0)</f>
        <v>C3-111</v>
      </c>
    </row>
    <row r="212" spans="1:3">
      <c r="A212" s="19" t="s">
        <v>1266</v>
      </c>
      <c r="B212" s="18">
        <v>194999.7</v>
      </c>
      <c r="C212" t="str">
        <f>VLOOKUP(A212,多浪小镇一期!$B$5:$B$517,1,0)</f>
        <v>C3-112</v>
      </c>
    </row>
    <row r="213" spans="1:3">
      <c r="A213" s="19" t="s">
        <v>1267</v>
      </c>
      <c r="B213" s="18">
        <v>217999.95</v>
      </c>
      <c r="C213" t="str">
        <f>VLOOKUP(A213,多浪小镇一期!$B$5:$B$517,1,0)</f>
        <v>C3-113</v>
      </c>
    </row>
    <row r="214" spans="1:3">
      <c r="A214" t="s">
        <v>1269</v>
      </c>
      <c r="B214" s="18">
        <v>226491.3</v>
      </c>
      <c r="C214" t="str">
        <f>VLOOKUP(A214,多浪小镇一期!$B$5:$B$517,1,0)</f>
        <v>C3-1-201</v>
      </c>
    </row>
    <row r="215" spans="1:3">
      <c r="A215" t="s">
        <v>1271</v>
      </c>
      <c r="B215" s="18">
        <v>217340.55</v>
      </c>
      <c r="C215" t="str">
        <f>VLOOKUP(A215,多浪小镇一期!$B$5:$B$517,1,0)</f>
        <v>C3-1-202</v>
      </c>
    </row>
    <row r="216" spans="1:3">
      <c r="A216" t="s">
        <v>1273</v>
      </c>
      <c r="B216" s="18">
        <v>235900.35</v>
      </c>
      <c r="C216" t="str">
        <f>VLOOKUP(A216,多浪小镇一期!$B$5:$B$517,1,0)</f>
        <v>C3-1-301</v>
      </c>
    </row>
    <row r="217" spans="1:3">
      <c r="A217" t="s">
        <v>1275</v>
      </c>
      <c r="B217" s="18">
        <v>229710.6</v>
      </c>
      <c r="C217" t="str">
        <f>VLOOKUP(A217,多浪小镇一期!$B$5:$B$517,1,0)</f>
        <v>C3-1-302</v>
      </c>
    </row>
    <row r="218" spans="1:3">
      <c r="A218" t="s">
        <v>1277</v>
      </c>
      <c r="B218" s="18">
        <v>207592.35</v>
      </c>
      <c r="C218" t="str">
        <f>VLOOKUP(A218,多浪小镇一期!$B$5:$B$517,1,0)</f>
        <v>C3-1-401</v>
      </c>
    </row>
    <row r="219" spans="1:3">
      <c r="A219" t="s">
        <v>1280</v>
      </c>
      <c r="B219" s="18">
        <v>194369.7</v>
      </c>
      <c r="C219" t="str">
        <f>VLOOKUP(A219,多浪小镇一期!$B$5:$B$517,1,0)</f>
        <v>C3-1-402</v>
      </c>
    </row>
    <row r="220" spans="1:3">
      <c r="A220" t="s">
        <v>1282</v>
      </c>
      <c r="B220" s="18">
        <v>188719.65</v>
      </c>
      <c r="C220" t="str">
        <f>VLOOKUP(A220,多浪小镇一期!$B$5:$B$517,1,0)</f>
        <v>C3-1-501</v>
      </c>
    </row>
    <row r="221" spans="1:3">
      <c r="A221" t="s">
        <v>1284</v>
      </c>
      <c r="B221" s="18">
        <v>166982.55</v>
      </c>
      <c r="C221" t="str">
        <f>VLOOKUP(A221,多浪小镇一期!$B$5:$B$517,1,0)</f>
        <v>C3-1-502</v>
      </c>
    </row>
    <row r="222" spans="1:3">
      <c r="A222" t="s">
        <v>1286</v>
      </c>
      <c r="B222" s="18">
        <v>217340.55</v>
      </c>
      <c r="C222" t="str">
        <f>VLOOKUP(A222,多浪小镇一期!$B$5:$B$517,1,0)</f>
        <v>C3-2-201</v>
      </c>
    </row>
    <row r="223" spans="1:3">
      <c r="A223" t="s">
        <v>1288</v>
      </c>
      <c r="B223" s="18">
        <v>221757.9</v>
      </c>
      <c r="C223" t="str">
        <f>VLOOKUP(A223,多浪小镇一期!$B$5:$B$517,1,0)</f>
        <v>C3-2-202</v>
      </c>
    </row>
    <row r="224" spans="1:3">
      <c r="A224" t="s">
        <v>1290</v>
      </c>
      <c r="B224" s="18">
        <v>213542.7</v>
      </c>
      <c r="C224" t="str">
        <f>VLOOKUP(A224,多浪小镇一期!$B$5:$B$517,1,0)</f>
        <v>C3-2-301</v>
      </c>
    </row>
    <row r="225" spans="1:3">
      <c r="A225" t="s">
        <v>1292</v>
      </c>
      <c r="B225" s="18">
        <v>203807.1</v>
      </c>
      <c r="C225" t="str">
        <f>VLOOKUP(A225,多浪小镇一期!$B$5:$B$517,1,0)</f>
        <v>C3-2-302</v>
      </c>
    </row>
    <row r="226" spans="1:3">
      <c r="A226" t="s">
        <v>1294</v>
      </c>
      <c r="B226" s="18">
        <v>193486.65</v>
      </c>
      <c r="C226" t="str">
        <f>VLOOKUP(A226,多浪小镇一期!$B$5:$B$517,1,0)</f>
        <v>C3-2-401</v>
      </c>
    </row>
    <row r="227" spans="1:3">
      <c r="A227" t="s">
        <v>1296</v>
      </c>
      <c r="B227" s="18">
        <v>193486.608</v>
      </c>
      <c r="C227" t="str">
        <f>VLOOKUP(A227,多浪小镇一期!$B$5:$B$517,1,0)</f>
        <v>C3-2-402</v>
      </c>
    </row>
    <row r="228" spans="1:3">
      <c r="A228" t="s">
        <v>1298</v>
      </c>
      <c r="B228" s="18">
        <v>176699.25</v>
      </c>
      <c r="C228" t="str">
        <f>VLOOKUP(A228,多浪小镇一期!$B$5:$B$517,1,0)</f>
        <v>C3-2-501</v>
      </c>
    </row>
    <row r="229" spans="1:3">
      <c r="A229" t="s">
        <v>1300</v>
      </c>
      <c r="B229" s="18">
        <v>166628.7</v>
      </c>
      <c r="C229" t="str">
        <f>VLOOKUP(A229,多浪小镇一期!$B$5:$B$517,1,0)</f>
        <v>C3-2-502</v>
      </c>
    </row>
    <row r="230" spans="1:3">
      <c r="A230" t="s">
        <v>1302</v>
      </c>
      <c r="B230" s="18">
        <v>217340.55</v>
      </c>
      <c r="C230" t="str">
        <f>VLOOKUP(A230,多浪小镇一期!$B$5:$B$517,1,0)</f>
        <v>C3-3-201</v>
      </c>
    </row>
    <row r="231" spans="1:3">
      <c r="A231" t="s">
        <v>1304</v>
      </c>
      <c r="B231" s="18">
        <v>226492.35</v>
      </c>
      <c r="C231" t="str">
        <f>VLOOKUP(A231,多浪小镇一期!$B$5:$B$517,1,0)</f>
        <v>C3-3-202</v>
      </c>
    </row>
    <row r="232" spans="1:3">
      <c r="A232" t="s">
        <v>1306</v>
      </c>
      <c r="B232" s="18">
        <v>217340.55</v>
      </c>
      <c r="C232" t="str">
        <f>VLOOKUP(A232,多浪小镇一期!$B$5:$B$517,1,0)</f>
        <v>C3-3-301</v>
      </c>
    </row>
    <row r="233" spans="1:3">
      <c r="A233" t="s">
        <v>1308</v>
      </c>
      <c r="B233" s="18">
        <v>235900.35</v>
      </c>
      <c r="C233" t="str">
        <f>VLOOKUP(A233,多浪小镇一期!$B$5:$B$517,1,0)</f>
        <v>C3-3-302</v>
      </c>
    </row>
    <row r="234" spans="1:3">
      <c r="A234" t="s">
        <v>1310</v>
      </c>
      <c r="B234" s="18">
        <v>193486.65</v>
      </c>
      <c r="C234" t="str">
        <f>VLOOKUP(A234,多浪小镇一期!$B$5:$B$517,1,0)</f>
        <v>C3-3-401</v>
      </c>
    </row>
    <row r="235" spans="1:3">
      <c r="A235" t="s">
        <v>1312</v>
      </c>
      <c r="B235" s="18">
        <v>206785.95</v>
      </c>
      <c r="C235" t="str">
        <f>VLOOKUP(A235,多浪小镇一期!$B$5:$B$517,1,0)</f>
        <v>C3-3-402</v>
      </c>
    </row>
    <row r="236" spans="1:3">
      <c r="A236" t="s">
        <v>1314</v>
      </c>
      <c r="B236" s="18">
        <v>166627.65</v>
      </c>
      <c r="C236" t="str">
        <f>VLOOKUP(A236,多浪小镇一期!$B$5:$B$517,1,0)</f>
        <v>C3-3-501</v>
      </c>
    </row>
    <row r="237" spans="1:3">
      <c r="A237" t="s">
        <v>1316</v>
      </c>
      <c r="B237" s="18">
        <v>177964.5</v>
      </c>
      <c r="C237" t="str">
        <f>VLOOKUP(A237,多浪小镇一期!$B$5:$B$517,1,0)</f>
        <v>C3-3-502</v>
      </c>
    </row>
    <row r="238" spans="1:3">
      <c r="A238" s="19" t="s">
        <v>4434</v>
      </c>
      <c r="B238" s="18">
        <v>346140</v>
      </c>
      <c r="C238" t="e">
        <f>VLOOKUP(A238,多浪小镇一期!$B$5:$B$517,1,0)</f>
        <v>#N/A</v>
      </c>
    </row>
    <row r="239" spans="1:3">
      <c r="A239" s="19" t="s">
        <v>4147</v>
      </c>
      <c r="B239" s="18">
        <v>229568.85</v>
      </c>
      <c r="C239" t="e">
        <f>VLOOKUP(A239,多浪小镇一期!$B$5:$B$517,1,0)</f>
        <v>#N/A</v>
      </c>
    </row>
    <row r="240" spans="1:3">
      <c r="A240" s="19" t="s">
        <v>4285</v>
      </c>
      <c r="B240" s="18">
        <v>233460.003</v>
      </c>
      <c r="C240" t="e">
        <f>VLOOKUP(A240,多浪小镇一期!$B$5:$B$517,1,0)</f>
        <v>#N/A</v>
      </c>
    </row>
    <row r="241" spans="1:3">
      <c r="A241" s="19" t="s">
        <v>4276</v>
      </c>
      <c r="B241" s="18">
        <v>228299.9985</v>
      </c>
      <c r="C241" t="e">
        <f>VLOOKUP(A241,多浪小镇一期!$B$5:$B$517,1,0)</f>
        <v>#N/A</v>
      </c>
    </row>
    <row r="242" spans="1:3">
      <c r="A242" s="19" t="s">
        <v>1329</v>
      </c>
      <c r="B242" s="18">
        <v>247325.4</v>
      </c>
      <c r="C242" t="str">
        <f>VLOOKUP(A242,多浪小镇一期!$B$5:$B$517,1,0)</f>
        <v>C4-107</v>
      </c>
    </row>
    <row r="243" spans="1:3">
      <c r="A243" s="19" t="s">
        <v>4194</v>
      </c>
      <c r="B243" s="18">
        <v>259999.95</v>
      </c>
      <c r="C243" t="e">
        <f>VLOOKUP(A243,多浪小镇一期!$B$5:$B$517,1,0)</f>
        <v>#N/A</v>
      </c>
    </row>
    <row r="244" spans="1:3">
      <c r="A244" s="19" t="s">
        <v>4144</v>
      </c>
      <c r="B244" s="18">
        <v>237000.5505</v>
      </c>
      <c r="C244" t="e">
        <f>VLOOKUP(A244,多浪小镇一期!$B$5:$B$517,1,0)</f>
        <v>#N/A</v>
      </c>
    </row>
    <row r="245" spans="1:3">
      <c r="A245" s="19" t="s">
        <v>1335</v>
      </c>
      <c r="B245" s="18">
        <v>232104.6</v>
      </c>
      <c r="C245" t="str">
        <f>VLOOKUP(A245,多浪小镇一期!$B$5:$B$517,1,0)</f>
        <v>C4-110</v>
      </c>
    </row>
    <row r="246" spans="1:3">
      <c r="A246" s="19" t="s">
        <v>1337</v>
      </c>
      <c r="B246" s="18">
        <v>235909.8</v>
      </c>
      <c r="C246" t="str">
        <f>VLOOKUP(A246,多浪小镇一期!$B$5:$B$517,1,0)</f>
        <v>C4-111</v>
      </c>
    </row>
    <row r="247" spans="1:3">
      <c r="A247" s="19" t="s">
        <v>1338</v>
      </c>
      <c r="B247" s="18">
        <v>272000.4</v>
      </c>
      <c r="C247" t="str">
        <f>VLOOKUP(A247,多浪小镇一期!$B$5:$B$517,1,0)</f>
        <v>C4-112</v>
      </c>
    </row>
    <row r="248" spans="1:3">
      <c r="A248" s="19" t="s">
        <v>1339</v>
      </c>
      <c r="B248" s="18">
        <v>262665.9</v>
      </c>
      <c r="C248" t="str">
        <f>VLOOKUP(A248,多浪小镇一期!$B$5:$B$517,1,0)</f>
        <v>C4-113</v>
      </c>
    </row>
    <row r="249" spans="1:3">
      <c r="A249" t="s">
        <v>1341</v>
      </c>
      <c r="B249" s="18">
        <v>226640.4</v>
      </c>
      <c r="C249" t="str">
        <f>VLOOKUP(A249,多浪小镇一期!$B$5:$B$517,1,0)</f>
        <v>C4-1-201</v>
      </c>
    </row>
    <row r="250" spans="1:3">
      <c r="A250" t="s">
        <v>1343</v>
      </c>
      <c r="B250" s="18">
        <v>217464.45</v>
      </c>
      <c r="C250" t="str">
        <f>VLOOKUP(A250,多浪小镇一期!$B$5:$B$517,1,0)</f>
        <v>C4-1-202</v>
      </c>
    </row>
    <row r="251" spans="1:3">
      <c r="A251" t="s">
        <v>1345</v>
      </c>
      <c r="B251" s="18">
        <v>232298.85</v>
      </c>
      <c r="C251" t="str">
        <f>VLOOKUP(A251,多浪小镇一期!$B$5:$B$517,1,0)</f>
        <v>C4-1-301</v>
      </c>
    </row>
    <row r="252" spans="1:3">
      <c r="A252" t="s">
        <v>1347</v>
      </c>
      <c r="B252" s="18">
        <v>217464.135</v>
      </c>
      <c r="C252" t="str">
        <f>VLOOKUP(A252,多浪小镇一期!$B$5:$B$517,1,0)</f>
        <v>C4-1-302</v>
      </c>
    </row>
    <row r="253" spans="1:3">
      <c r="A253" t="s">
        <v>1349</v>
      </c>
      <c r="B253" s="18">
        <v>207745.65</v>
      </c>
      <c r="C253" t="str">
        <f>VLOOKUP(A253,多浪小镇一期!$B$5:$B$517,1,0)</f>
        <v>C4-1-401</v>
      </c>
    </row>
    <row r="254" spans="1:3">
      <c r="A254" t="s">
        <v>1351</v>
      </c>
      <c r="B254" s="18">
        <v>193243.05</v>
      </c>
      <c r="C254" t="str">
        <f>VLOOKUP(A254,多浪小镇一期!$B$5:$B$517,1,0)</f>
        <v>C4-1-402</v>
      </c>
    </row>
    <row r="255" spans="1:3">
      <c r="A255" t="s">
        <v>1353</v>
      </c>
      <c r="B255" s="18">
        <v>184139.55</v>
      </c>
      <c r="C255" t="str">
        <f>VLOOKUP(A255,多浪小镇一期!$B$5:$B$517,1,0)</f>
        <v>C4-1-501</v>
      </c>
    </row>
    <row r="256" spans="1:3">
      <c r="A256" t="s">
        <v>1355</v>
      </c>
      <c r="B256" s="18">
        <v>172379.697</v>
      </c>
      <c r="C256" t="str">
        <f>VLOOKUP(A256,多浪小镇一期!$B$5:$B$517,1,0)</f>
        <v>C4-1-502</v>
      </c>
    </row>
    <row r="257" spans="1:3">
      <c r="A257" t="s">
        <v>1357</v>
      </c>
      <c r="B257" s="18">
        <v>151366.95</v>
      </c>
      <c r="C257" t="str">
        <f>VLOOKUP(A257,多浪小镇一期!$B$5:$B$517,1,0)</f>
        <v>C4-1-601</v>
      </c>
    </row>
    <row r="258" spans="1:3">
      <c r="A258" t="s">
        <v>1359</v>
      </c>
      <c r="B258" s="18">
        <v>137019.75</v>
      </c>
      <c r="C258" t="str">
        <f>VLOOKUP(A258,多浪小镇一期!$B$5:$B$517,1,0)</f>
        <v>C4-1-602</v>
      </c>
    </row>
    <row r="259" spans="1:3">
      <c r="A259" t="s">
        <v>1361</v>
      </c>
      <c r="B259" s="18">
        <v>217464.45</v>
      </c>
      <c r="C259" t="str">
        <f>VLOOKUP(A259,多浪小镇一期!$B$5:$B$517,1,0)</f>
        <v>C4-2-201</v>
      </c>
    </row>
    <row r="260" spans="1:3">
      <c r="A260" t="s">
        <v>1363</v>
      </c>
      <c r="B260" s="18">
        <v>217464.45</v>
      </c>
      <c r="C260" t="str">
        <f>VLOOKUP(A260,多浪小镇一期!$B$5:$B$517,1,0)</f>
        <v>C4-2-202</v>
      </c>
    </row>
    <row r="261" spans="1:3">
      <c r="A261" t="s">
        <v>1365</v>
      </c>
      <c r="B261" s="18">
        <v>221000.85</v>
      </c>
      <c r="C261" t="str">
        <f>VLOOKUP(A261,多浪小镇一期!$B$5:$B$517,1,0)</f>
        <v>C4-2-301</v>
      </c>
    </row>
    <row r="262" spans="1:3">
      <c r="A262" t="s">
        <v>1367</v>
      </c>
      <c r="B262" s="18">
        <v>220292.9925</v>
      </c>
      <c r="C262" t="str">
        <f>VLOOKUP(A262,多浪小镇一期!$B$5:$B$517,1,0)</f>
        <v>C4-2-302</v>
      </c>
    </row>
    <row r="263" spans="1:3">
      <c r="A263" t="s">
        <v>1369</v>
      </c>
      <c r="B263" s="18">
        <v>198900.45</v>
      </c>
      <c r="C263" t="str">
        <f>VLOOKUP(A263,多浪小镇一期!$B$5:$B$517,1,0)</f>
        <v>C4-2-401</v>
      </c>
    </row>
    <row r="264" spans="1:3">
      <c r="A264" t="s">
        <v>1371</v>
      </c>
      <c r="B264" s="18">
        <v>194479.95</v>
      </c>
      <c r="C264" t="str">
        <f>VLOOKUP(A264,多浪小镇一期!$B$5:$B$517,1,0)</f>
        <v>C4-2-402</v>
      </c>
    </row>
    <row r="265" spans="1:3">
      <c r="A265" t="s">
        <v>1373</v>
      </c>
      <c r="B265" s="18">
        <v>172380.6</v>
      </c>
      <c r="C265" t="str">
        <f>VLOOKUP(A265,多浪小镇一期!$B$5:$B$517,1,0)</f>
        <v>C4-2-501</v>
      </c>
    </row>
    <row r="266" spans="1:3">
      <c r="A266" t="s">
        <v>1375</v>
      </c>
      <c r="B266" s="18">
        <v>171938.55</v>
      </c>
      <c r="C266" t="str">
        <f>VLOOKUP(A266,多浪小镇一期!$B$5:$B$517,1,0)</f>
        <v>C4-2-502</v>
      </c>
    </row>
    <row r="267" spans="1:3">
      <c r="A267" t="s">
        <v>1377</v>
      </c>
      <c r="B267" s="18">
        <v>137020.8</v>
      </c>
      <c r="C267" t="str">
        <f>VLOOKUP(A267,多浪小镇一期!$B$5:$B$517,1,0)</f>
        <v>C4-2-601</v>
      </c>
    </row>
    <row r="268" spans="1:3">
      <c r="A268" t="s">
        <v>1379</v>
      </c>
      <c r="B268" s="18">
        <v>141440.25</v>
      </c>
      <c r="C268" t="str">
        <f>VLOOKUP(A268,多浪小镇一期!$B$5:$B$517,1,0)</f>
        <v>C4-2-602</v>
      </c>
    </row>
    <row r="269" spans="1:3">
      <c r="A269" t="s">
        <v>1381</v>
      </c>
      <c r="B269" s="18">
        <v>217464.45</v>
      </c>
      <c r="C269" t="str">
        <f>VLOOKUP(A269,多浪小镇一期!$B$5:$B$517,1,0)</f>
        <v>C4-3-201</v>
      </c>
    </row>
    <row r="270" spans="1:3">
      <c r="A270" t="s">
        <v>1383</v>
      </c>
      <c r="B270" s="18">
        <v>226639.35</v>
      </c>
      <c r="C270" t="str">
        <f>VLOOKUP(A270,多浪小镇一期!$B$5:$B$517,1,0)</f>
        <v>C4-3-202</v>
      </c>
    </row>
    <row r="271" spans="1:3">
      <c r="A271" t="s">
        <v>1385</v>
      </c>
      <c r="B271" s="18">
        <v>213927</v>
      </c>
      <c r="C271" t="str">
        <f>VLOOKUP(A271,多浪小镇一期!$B$5:$B$517,1,0)</f>
        <v>C4-3-301</v>
      </c>
    </row>
    <row r="272" spans="1:3">
      <c r="A272" t="s">
        <v>1387</v>
      </c>
      <c r="B272" s="18">
        <v>231353.85</v>
      </c>
      <c r="C272" t="str">
        <f>VLOOKUP(A272,多浪小镇一期!$B$5:$B$517,1,0)</f>
        <v>C4-3-302</v>
      </c>
    </row>
    <row r="273" spans="1:3">
      <c r="A273" t="s">
        <v>1389</v>
      </c>
      <c r="B273" s="18">
        <v>193242</v>
      </c>
      <c r="C273" t="str">
        <f>VLOOKUP(A273,多浪小镇一期!$B$5:$B$517,1,0)</f>
        <v>C4-3-401</v>
      </c>
    </row>
    <row r="274" spans="1:3">
      <c r="A274" t="s">
        <v>1391</v>
      </c>
      <c r="B274" s="18">
        <v>210745.5</v>
      </c>
      <c r="C274" t="str">
        <f>VLOOKUP(A274,多浪小镇一期!$B$5:$B$517,1,0)</f>
        <v>C4-3-402</v>
      </c>
    </row>
    <row r="275" spans="1:3">
      <c r="A275" t="s">
        <v>1393</v>
      </c>
      <c r="B275" s="18">
        <v>176801.1</v>
      </c>
      <c r="C275" t="str">
        <f>VLOOKUP(A275,多浪小镇一期!$B$5:$B$517,1,0)</f>
        <v>C4-3-501</v>
      </c>
    </row>
    <row r="276" spans="1:3">
      <c r="A276" t="s">
        <v>1395</v>
      </c>
      <c r="B276" s="18">
        <v>188860.35</v>
      </c>
      <c r="C276" t="str">
        <f>VLOOKUP(A276,多浪小镇一期!$B$5:$B$517,1,0)</f>
        <v>C4-3-502</v>
      </c>
    </row>
    <row r="277" spans="1:3">
      <c r="A277" t="s">
        <v>1397</v>
      </c>
      <c r="B277" s="18">
        <v>137019.75</v>
      </c>
      <c r="C277" t="str">
        <f>VLOOKUP(A277,多浪小镇一期!$B$5:$B$517,1,0)</f>
        <v>C4-3-601</v>
      </c>
    </row>
    <row r="278" spans="1:3">
      <c r="A278" t="s">
        <v>1399</v>
      </c>
      <c r="B278" s="18">
        <v>146366.85</v>
      </c>
      <c r="C278" t="str">
        <f>VLOOKUP(A278,多浪小镇一期!$B$5:$B$517,1,0)</f>
        <v>C4-3-602</v>
      </c>
    </row>
    <row r="279" spans="1:3">
      <c r="A279" t="s">
        <v>1401</v>
      </c>
      <c r="B279" s="18">
        <v>253200.003</v>
      </c>
      <c r="C279" t="str">
        <f>VLOOKUP(A279,多浪小镇一期!$B$5:$B$517,1,0)</f>
        <v>C5-101</v>
      </c>
    </row>
    <row r="280" spans="1:3">
      <c r="A280" t="s">
        <v>1403</v>
      </c>
      <c r="B280" s="18">
        <v>213079.65</v>
      </c>
      <c r="C280" t="str">
        <f>VLOOKUP(A280,多浪小镇一期!$B$5:$B$517,1,0)</f>
        <v>C5-102</v>
      </c>
    </row>
    <row r="281" spans="1:3">
      <c r="A281" t="s">
        <v>1404</v>
      </c>
      <c r="B281" s="18">
        <v>213079.65</v>
      </c>
      <c r="C281" t="str">
        <f>VLOOKUP(A281,多浪小镇一期!$B$5:$B$517,1,0)</f>
        <v>C5-103</v>
      </c>
    </row>
    <row r="282" spans="1:3">
      <c r="A282" t="s">
        <v>1405</v>
      </c>
      <c r="B282" s="18">
        <v>5000</v>
      </c>
      <c r="C282" t="str">
        <f>VLOOKUP(A282,多浪小镇一期!$B$5:$B$517,1,0)</f>
        <v>C5-104</v>
      </c>
    </row>
    <row r="283" spans="1:3">
      <c r="A283" t="s">
        <v>1407</v>
      </c>
      <c r="B283" s="18">
        <v>125678</v>
      </c>
      <c r="C283" t="str">
        <f>VLOOKUP(A283,多浪小镇一期!$B$5:$B$517,1,0)</f>
        <v>C5-105</v>
      </c>
    </row>
    <row r="284" spans="1:3">
      <c r="A284" t="s">
        <v>1409</v>
      </c>
      <c r="B284" s="18">
        <v>220690</v>
      </c>
      <c r="C284" t="str">
        <f>VLOOKUP(A284,多浪小镇一期!$B$5:$B$517,1,0)</f>
        <v>C5-106</v>
      </c>
    </row>
    <row r="285" spans="1:3">
      <c r="A285" t="s">
        <v>1411</v>
      </c>
      <c r="B285" s="18">
        <v>220690</v>
      </c>
      <c r="C285" t="str">
        <f>VLOOKUP(A285,多浪小镇一期!$B$5:$B$517,1,0)</f>
        <v>C5-107</v>
      </c>
    </row>
    <row r="286" spans="1:3">
      <c r="A286" t="s">
        <v>1413</v>
      </c>
      <c r="B286" s="18">
        <v>107896</v>
      </c>
      <c r="C286" t="str">
        <f>VLOOKUP(A286,多浪小镇一期!$B$5:$B$517,1,0)</f>
        <v>C5-108</v>
      </c>
    </row>
    <row r="287" spans="1:3">
      <c r="A287" t="s">
        <v>1414</v>
      </c>
      <c r="B287" s="18">
        <v>229569</v>
      </c>
      <c r="C287" t="str">
        <f>VLOOKUP(A287,多浪小镇一期!$B$5:$B$517,1,0)</f>
        <v>C5-109</v>
      </c>
    </row>
    <row r="288" spans="1:3">
      <c r="A288" t="s">
        <v>1416</v>
      </c>
      <c r="B288" s="18">
        <v>220690.05</v>
      </c>
      <c r="C288" t="str">
        <f>VLOOKUP(A288,多浪小镇一期!$B$5:$B$517,1,0)</f>
        <v>C5-110</v>
      </c>
    </row>
    <row r="289" spans="1:3">
      <c r="A289" t="s">
        <v>1418</v>
      </c>
      <c r="B289" s="18">
        <v>209275.5</v>
      </c>
      <c r="C289" t="str">
        <f>VLOOKUP(A289,多浪小镇一期!$B$5:$B$517,1,0)</f>
        <v>C5-111</v>
      </c>
    </row>
    <row r="290" spans="1:3">
      <c r="A290" t="s">
        <v>1419</v>
      </c>
      <c r="B290" s="18">
        <v>10000</v>
      </c>
      <c r="C290" t="str">
        <f>VLOOKUP(A290,多浪小镇一期!$B$5:$B$517,1,0)</f>
        <v>C5-112</v>
      </c>
    </row>
    <row r="291" spans="1:3">
      <c r="A291" t="s">
        <v>1421</v>
      </c>
      <c r="B291" s="18">
        <v>399999.6</v>
      </c>
      <c r="C291" t="str">
        <f>VLOOKUP(A291,多浪小镇一期!$B$5:$B$517,1,0)</f>
        <v>C5-113</v>
      </c>
    </row>
    <row r="292" spans="1:3">
      <c r="A292" t="s">
        <v>1423</v>
      </c>
      <c r="B292" s="18">
        <v>226615.2</v>
      </c>
      <c r="C292" t="str">
        <f>VLOOKUP(A292,多浪小镇一期!$B$5:$B$517,1,0)</f>
        <v>C5-1-201</v>
      </c>
    </row>
    <row r="293" spans="1:3">
      <c r="A293" t="s">
        <v>1425</v>
      </c>
      <c r="B293" s="18">
        <v>220999.8</v>
      </c>
      <c r="C293" t="str">
        <f>VLOOKUP(A293,多浪小镇一期!$B$5:$B$517,1,0)</f>
        <v>C5-1-202</v>
      </c>
    </row>
    <row r="294" spans="1:3">
      <c r="A294" t="s">
        <v>1427</v>
      </c>
      <c r="B294" s="18">
        <v>231329.7</v>
      </c>
      <c r="C294" t="str">
        <f>VLOOKUP(A294,多浪小镇一期!$B$5:$B$517,1,0)</f>
        <v>C5-1-301</v>
      </c>
    </row>
    <row r="295" spans="1:3">
      <c r="A295" t="s">
        <v>1429</v>
      </c>
      <c r="B295" s="18">
        <v>230722.8</v>
      </c>
      <c r="C295" t="str">
        <f>VLOOKUP(A295,多浪小镇一期!$B$5:$B$517,1,0)</f>
        <v>C5-1-302</v>
      </c>
    </row>
    <row r="296" spans="1:3">
      <c r="A296" t="s">
        <v>1432</v>
      </c>
      <c r="B296" s="18">
        <v>194479.95</v>
      </c>
      <c r="C296" t="str">
        <f>VLOOKUP(A296,多浪小镇一期!$B$5:$B$517,1,0)</f>
        <v>C5-1-402</v>
      </c>
    </row>
    <row r="297" spans="1:3">
      <c r="A297" t="s">
        <v>1434</v>
      </c>
      <c r="B297" s="18">
        <v>188840.4</v>
      </c>
      <c r="C297" t="str">
        <f>VLOOKUP(A297,多浪小镇一期!$B$5:$B$517,1,0)</f>
        <v>C5-1-501</v>
      </c>
    </row>
    <row r="298" spans="1:3">
      <c r="A298" t="s">
        <v>1436</v>
      </c>
      <c r="B298" s="18">
        <v>182758.8</v>
      </c>
      <c r="C298" t="str">
        <f>VLOOKUP(A298,多浪小镇一期!$B$5:$B$517,1,0)</f>
        <v>C5-1-502</v>
      </c>
    </row>
    <row r="299" spans="1:3">
      <c r="A299" t="s">
        <v>1438</v>
      </c>
      <c r="B299" s="18">
        <v>168822.15</v>
      </c>
      <c r="C299" t="str">
        <f>VLOOKUP(A299,多浪小镇一期!$B$5:$B$517,1,0)</f>
        <v>C5-1-601</v>
      </c>
    </row>
    <row r="300" spans="1:3">
      <c r="A300" t="s">
        <v>1440</v>
      </c>
      <c r="B300" s="18">
        <v>158059.65</v>
      </c>
      <c r="C300" t="str">
        <f>VLOOKUP(A300,多浪小镇一期!$B$5:$B$517,1,0)</f>
        <v>C5-1-602</v>
      </c>
    </row>
    <row r="301" spans="1:3">
      <c r="A301" t="s">
        <v>1443</v>
      </c>
      <c r="B301" s="18">
        <v>217464.45</v>
      </c>
      <c r="C301" t="str">
        <f>VLOOKUP(A301,多浪小镇一期!$B$5:$B$517,1,0)</f>
        <v>C5-2-202</v>
      </c>
    </row>
    <row r="302" spans="1:3">
      <c r="A302" t="s">
        <v>1445</v>
      </c>
      <c r="B302" s="18">
        <v>231607.95</v>
      </c>
      <c r="C302" t="str">
        <f>VLOOKUP(A302,多浪小镇一期!$B$5:$B$517,1,0)</f>
        <v>C5-2-301</v>
      </c>
    </row>
    <row r="303" spans="1:3">
      <c r="A303" t="s">
        <v>1446</v>
      </c>
      <c r="B303" s="18">
        <v>230723.85</v>
      </c>
      <c r="C303" t="str">
        <f>VLOOKUP(A303,多浪小镇一期!$B$5:$B$517,1,0)</f>
        <v>C5-2-302</v>
      </c>
    </row>
    <row r="304" spans="1:3">
      <c r="A304" t="s">
        <v>1448</v>
      </c>
      <c r="B304" s="18">
        <v>194479.95</v>
      </c>
      <c r="C304" t="str">
        <f>VLOOKUP(A304,多浪小镇一期!$B$5:$B$517,1,0)</f>
        <v>C5-2-401</v>
      </c>
    </row>
    <row r="305" spans="1:3">
      <c r="A305" t="s">
        <v>1450</v>
      </c>
      <c r="B305" s="18">
        <v>194479.95</v>
      </c>
      <c r="C305" t="str">
        <f>VLOOKUP(A305,多浪小镇一期!$B$5:$B$517,1,0)</f>
        <v>C5-2-402</v>
      </c>
    </row>
    <row r="306" spans="1:3">
      <c r="A306" t="s">
        <v>1452</v>
      </c>
      <c r="B306" s="18">
        <v>176800.05</v>
      </c>
      <c r="C306" t="str">
        <f>VLOOKUP(A306,多浪小镇一期!$B$5:$B$517,1,0)</f>
        <v>C5-2-501</v>
      </c>
    </row>
    <row r="307" spans="1:3">
      <c r="A307" t="s">
        <v>1454</v>
      </c>
      <c r="B307" s="18">
        <v>176800.05</v>
      </c>
      <c r="C307" t="str">
        <f>VLOOKUP(A307,多浪小镇一期!$B$5:$B$517,1,0)</f>
        <v>C5-2-502</v>
      </c>
    </row>
    <row r="308" spans="1:3">
      <c r="A308" t="s">
        <v>1456</v>
      </c>
      <c r="B308" s="18">
        <v>158058.6</v>
      </c>
      <c r="C308" t="str">
        <f>VLOOKUP(A308,多浪小镇一期!$B$5:$B$517,1,0)</f>
        <v>C5-2-601</v>
      </c>
    </row>
    <row r="309" spans="1:3">
      <c r="A309" t="s">
        <v>1458</v>
      </c>
      <c r="B309" s="18">
        <v>158059.65</v>
      </c>
      <c r="C309" t="str">
        <f>VLOOKUP(A309,多浪小镇一期!$B$5:$B$517,1,0)</f>
        <v>C5-2-602</v>
      </c>
    </row>
    <row r="310" spans="1:3">
      <c r="A310" t="s">
        <v>1460</v>
      </c>
      <c r="B310" s="18">
        <v>217463.4</v>
      </c>
      <c r="C310" t="str">
        <f>VLOOKUP(A310,多浪小镇一期!$B$5:$B$517,1,0)</f>
        <v>C5-3-201</v>
      </c>
    </row>
    <row r="311" spans="1:3">
      <c r="A311" t="s">
        <v>1462</v>
      </c>
      <c r="B311" s="18">
        <v>230299.65</v>
      </c>
      <c r="C311" t="str">
        <f>VLOOKUP(A311,多浪小镇一期!$B$5:$B$517,1,0)</f>
        <v>C5-3-202</v>
      </c>
    </row>
    <row r="312" spans="1:3">
      <c r="A312" t="s">
        <v>1464</v>
      </c>
      <c r="B312" s="18">
        <v>226304.4</v>
      </c>
      <c r="C312" t="str">
        <f>VLOOKUP(A312,多浪小镇一期!$B$5:$B$517,1,0)</f>
        <v>C5-3-301</v>
      </c>
    </row>
    <row r="313" spans="1:3">
      <c r="A313" t="s">
        <v>1466</v>
      </c>
      <c r="B313" s="18">
        <v>234162.6</v>
      </c>
      <c r="C313" t="str">
        <f>VLOOKUP(A313,多浪小镇一期!$B$5:$B$517,1,0)</f>
        <v>C5-3-302</v>
      </c>
    </row>
    <row r="314" spans="1:3">
      <c r="A314" t="s">
        <v>1468</v>
      </c>
      <c r="B314" s="18">
        <v>206464.398</v>
      </c>
      <c r="C314" t="str">
        <f>VLOOKUP(A314,多浪小镇一期!$B$5:$B$517,1,0)</f>
        <v>C5-3-401</v>
      </c>
    </row>
    <row r="315" spans="1:3">
      <c r="A315" t="s">
        <v>1470</v>
      </c>
      <c r="B315" s="18">
        <v>217166.25</v>
      </c>
      <c r="C315" t="str">
        <f>VLOOKUP(A315,多浪小镇一期!$B$5:$B$517,1,0)</f>
        <v>C5-3-402</v>
      </c>
    </row>
    <row r="316" spans="1:3">
      <c r="A316" t="s">
        <v>1472</v>
      </c>
      <c r="B316" s="18">
        <v>176799</v>
      </c>
      <c r="C316" t="str">
        <f>VLOOKUP(A316,多浪小镇一期!$B$5:$B$517,1,0)</f>
        <v>C5-3-501</v>
      </c>
    </row>
    <row r="317" spans="1:3">
      <c r="A317" t="s">
        <v>1474</v>
      </c>
      <c r="B317" s="18">
        <v>198282</v>
      </c>
      <c r="C317" t="str">
        <f>VLOOKUP(A317,多浪小镇一期!$B$5:$B$517,1,0)</f>
        <v>C5-3-502</v>
      </c>
    </row>
    <row r="318" spans="1:3">
      <c r="A318" t="s">
        <v>1476</v>
      </c>
      <c r="B318" s="18">
        <v>246859.2</v>
      </c>
      <c r="C318" t="str">
        <f>VLOOKUP(A318,多浪小镇一期!$B$5:$B$517,1,0)</f>
        <v>C5-3-601</v>
      </c>
    </row>
    <row r="319" spans="1:3">
      <c r="A319" t="s">
        <v>1479</v>
      </c>
      <c r="B319" s="18">
        <v>168822.15</v>
      </c>
      <c r="C319" t="str">
        <f>VLOOKUP(A319,多浪小镇一期!$B$5:$B$517,1,0)</f>
        <v>C5-3-602</v>
      </c>
    </row>
    <row r="320" spans="1:3">
      <c r="A320" t="s">
        <v>1481</v>
      </c>
      <c r="B320" s="18">
        <v>226249.8</v>
      </c>
      <c r="C320" t="str">
        <f>VLOOKUP(A320,多浪小镇一期!$B$5:$B$517,1,0)</f>
        <v>C6-1-101</v>
      </c>
    </row>
    <row r="321" spans="1:3">
      <c r="A321" t="s">
        <v>1483</v>
      </c>
      <c r="B321" s="18">
        <v>225200.85</v>
      </c>
      <c r="C321" t="str">
        <f>VLOOKUP(A321,多浪小镇一期!$B$5:$B$517,1,0)</f>
        <v>C6-1-102</v>
      </c>
    </row>
    <row r="322" spans="1:3">
      <c r="A322" t="s">
        <v>1485</v>
      </c>
      <c r="B322" s="18">
        <v>226249.8</v>
      </c>
      <c r="C322" t="str">
        <f>VLOOKUP(A322,多浪小镇一期!$B$5:$B$517,1,0)</f>
        <v>C6-1-201</v>
      </c>
    </row>
    <row r="323" spans="1:3">
      <c r="A323" t="s">
        <v>1487</v>
      </c>
      <c r="B323" s="18">
        <v>235201.05</v>
      </c>
      <c r="C323" t="str">
        <f>VLOOKUP(A323,多浪小镇一期!$B$5:$B$517,1,0)</f>
        <v>C6-1-202</v>
      </c>
    </row>
    <row r="324" spans="1:3">
      <c r="A324" t="s">
        <v>1489</v>
      </c>
      <c r="B324" s="18">
        <v>219200.3415</v>
      </c>
      <c r="C324" t="str">
        <f>VLOOKUP(A324,多浪小镇一期!$B$5:$B$517,1,0)</f>
        <v>C6-1-301</v>
      </c>
    </row>
    <row r="325" spans="1:3">
      <c r="A325" t="s">
        <v>1491</v>
      </c>
      <c r="B325" s="18">
        <v>222498.15</v>
      </c>
      <c r="C325" t="str">
        <f>VLOOKUP(A325,多浪小镇一期!$B$5:$B$517,1,0)</f>
        <v>C6-1-302</v>
      </c>
    </row>
    <row r="326" spans="1:3">
      <c r="A326" t="s">
        <v>1493</v>
      </c>
      <c r="B326" s="18">
        <v>199099.95</v>
      </c>
      <c r="C326" t="str">
        <f>VLOOKUP(A326,多浪小镇一期!$B$5:$B$517,1,0)</f>
        <v>C6-1-401</v>
      </c>
    </row>
    <row r="327" spans="1:3">
      <c r="A327" t="s">
        <v>1495</v>
      </c>
      <c r="B327" s="18">
        <v>198175.95</v>
      </c>
      <c r="C327" t="str">
        <f>VLOOKUP(A327,多浪小镇一期!$B$5:$B$517,1,0)</f>
        <v>C6-1-402</v>
      </c>
    </row>
    <row r="328" spans="1:3">
      <c r="A328" t="s">
        <v>1497</v>
      </c>
      <c r="B328" s="18">
        <v>171950.1</v>
      </c>
      <c r="C328" t="str">
        <f>VLOOKUP(A328,多浪小镇一期!$B$5:$B$517,1,0)</f>
        <v>C6-1-501</v>
      </c>
    </row>
    <row r="329" spans="1:3">
      <c r="A329" t="s">
        <v>1499</v>
      </c>
      <c r="B329" s="18">
        <v>178358.25</v>
      </c>
      <c r="C329" t="str">
        <f>VLOOKUP(A329,多浪小镇一期!$B$5:$B$517,1,0)</f>
        <v>C6-1-502</v>
      </c>
    </row>
    <row r="330" spans="1:3">
      <c r="A330" t="s">
        <v>1501</v>
      </c>
      <c r="B330" s="18">
        <v>221597.25</v>
      </c>
      <c r="C330" t="str">
        <f>VLOOKUP(A330,多浪小镇一期!$B$5:$B$517,1,0)</f>
        <v>C6-2-101</v>
      </c>
    </row>
    <row r="331" spans="1:3">
      <c r="A331" t="s">
        <v>1503</v>
      </c>
      <c r="B331" s="18">
        <v>235299.25</v>
      </c>
      <c r="C331" t="str">
        <f>VLOOKUP(A331,多浪小镇一期!$B$5:$B$517,1,0)</f>
        <v>C6-2-102</v>
      </c>
    </row>
    <row r="332" spans="1:3">
      <c r="A332" t="s">
        <v>1505</v>
      </c>
      <c r="B332" s="18">
        <v>220606.05</v>
      </c>
      <c r="C332" t="str">
        <f>VLOOKUP(A332,多浪小镇一期!$B$5:$B$517,1,0)</f>
        <v>C6-2-201</v>
      </c>
    </row>
    <row r="333" spans="1:3">
      <c r="A333" t="s">
        <v>1507</v>
      </c>
      <c r="B333" s="18">
        <v>226249.8</v>
      </c>
      <c r="C333" t="str">
        <f>VLOOKUP(A333,多浪小镇一期!$B$5:$B$517,1,0)</f>
        <v>C6-2-202</v>
      </c>
    </row>
    <row r="334" spans="1:3">
      <c r="A334" t="s">
        <v>1509</v>
      </c>
      <c r="B334" s="18">
        <v>217191.45</v>
      </c>
      <c r="C334" t="str">
        <f>VLOOKUP(A334,多浪小镇一期!$B$5:$B$517,1,0)</f>
        <v>C6-2-301</v>
      </c>
    </row>
    <row r="335" spans="1:3">
      <c r="A335" t="s">
        <v>1511</v>
      </c>
      <c r="B335" s="18">
        <v>236204.85</v>
      </c>
      <c r="C335" t="str">
        <f>VLOOKUP(A335,多浪小镇一期!$B$5:$B$517,1,0)</f>
        <v>C6-2-302</v>
      </c>
    </row>
    <row r="336" spans="1:3">
      <c r="A336" t="s">
        <v>1513</v>
      </c>
      <c r="B336" s="18">
        <v>198175.95</v>
      </c>
      <c r="C336" t="str">
        <f>VLOOKUP(A336,多浪小镇一期!$B$5:$B$517,1,0)</f>
        <v>C6-2-401</v>
      </c>
    </row>
    <row r="337" spans="1:3">
      <c r="A337" t="s">
        <v>1515</v>
      </c>
      <c r="B337" s="18">
        <v>199099.95</v>
      </c>
      <c r="C337" t="str">
        <f>VLOOKUP(A337,多浪小镇一期!$B$5:$B$517,1,0)</f>
        <v>C6-2-402</v>
      </c>
    </row>
    <row r="338" spans="1:3">
      <c r="A338" t="s">
        <v>1517</v>
      </c>
      <c r="B338" s="18">
        <v>180160.05</v>
      </c>
      <c r="C338" t="str">
        <f>VLOOKUP(A338,多浪小镇一期!$B$5:$B$517,1,0)</f>
        <v>C6-2-501</v>
      </c>
    </row>
    <row r="339" spans="1:3">
      <c r="A339" t="s">
        <v>1519</v>
      </c>
      <c r="B339" s="18">
        <v>190051.05</v>
      </c>
      <c r="C339" t="str">
        <f>VLOOKUP(A339,多浪小镇一期!$B$5:$B$517,1,0)</f>
        <v>C6-2-502</v>
      </c>
    </row>
    <row r="340" spans="1:3">
      <c r="A340" t="s">
        <v>1521</v>
      </c>
      <c r="B340" s="18">
        <v>220000.2</v>
      </c>
      <c r="C340" t="str">
        <f>VLOOKUP(A340,多浪小镇一期!$B$5:$B$517,1,0)</f>
        <v>C7-1-101</v>
      </c>
    </row>
    <row r="341" spans="1:3">
      <c r="A341" t="s">
        <v>1523</v>
      </c>
      <c r="B341" s="18">
        <v>211591.6005</v>
      </c>
      <c r="C341" t="str">
        <f>VLOOKUP(A341,多浪小镇一期!$B$5:$B$517,1,0)</f>
        <v>C7-1-102</v>
      </c>
    </row>
    <row r="342" spans="1:3">
      <c r="A342" t="s">
        <v>1525</v>
      </c>
      <c r="B342" s="18">
        <v>223820.1</v>
      </c>
      <c r="C342" t="str">
        <f>VLOOKUP(A342,多浪小镇一期!$B$5:$B$517,1,0)</f>
        <v>C7-1-201</v>
      </c>
    </row>
    <row r="343" spans="1:3">
      <c r="A343" t="s">
        <v>1527</v>
      </c>
      <c r="B343" s="18">
        <v>224575.05</v>
      </c>
      <c r="C343" t="str">
        <f>VLOOKUP(A343,多浪小镇一期!$B$5:$B$517,1,0)</f>
        <v>C7-1-202</v>
      </c>
    </row>
    <row r="344" spans="1:3">
      <c r="A344" t="s">
        <v>1529</v>
      </c>
      <c r="B344" s="18">
        <v>225625.05</v>
      </c>
      <c r="C344" t="str">
        <f>VLOOKUP(A344,多浪小镇一期!$B$5:$B$517,1,0)</f>
        <v>C7-1-301</v>
      </c>
    </row>
    <row r="345" spans="1:3">
      <c r="A345" t="s">
        <v>1531</v>
      </c>
      <c r="B345" s="18">
        <v>220981.95</v>
      </c>
      <c r="C345" t="str">
        <f>VLOOKUP(A345,多浪小镇一期!$B$5:$B$517,1,0)</f>
        <v>C7-1-302</v>
      </c>
    </row>
    <row r="346" spans="1:3">
      <c r="A346" t="s">
        <v>1533</v>
      </c>
      <c r="B346" s="18">
        <v>197647.8</v>
      </c>
      <c r="C346" t="str">
        <f>VLOOKUP(A346,多浪小镇一期!$B$5:$B$517,1,0)</f>
        <v>C7-1-401</v>
      </c>
    </row>
    <row r="347" spans="1:3">
      <c r="A347" t="s">
        <v>1535</v>
      </c>
      <c r="B347" s="18">
        <v>196728</v>
      </c>
      <c r="C347" t="str">
        <f>VLOOKUP(A347,多浪小镇一期!$B$5:$B$517,1,0)</f>
        <v>C7-1-402</v>
      </c>
    </row>
    <row r="348" spans="1:3">
      <c r="A348" t="s">
        <v>1537</v>
      </c>
      <c r="B348" s="18">
        <v>43023.75</v>
      </c>
      <c r="C348" t="str">
        <f>VLOOKUP(A348,多浪小镇一期!$B$5:$B$517,1,0)</f>
        <v>C7-1-501</v>
      </c>
    </row>
    <row r="349" spans="1:3">
      <c r="A349" t="s">
        <v>1539</v>
      </c>
      <c r="B349" s="18">
        <v>179659.2</v>
      </c>
      <c r="C349" t="str">
        <f>VLOOKUP(A349,多浪小镇一期!$B$5:$B$517,1,0)</f>
        <v>C7-1-502</v>
      </c>
    </row>
    <row r="350" spans="1:3">
      <c r="A350" t="s">
        <v>1541</v>
      </c>
      <c r="B350" s="18">
        <v>215592.3</v>
      </c>
      <c r="C350" t="str">
        <f>VLOOKUP(A350,多浪小镇一期!$B$5:$B$517,1,0)</f>
        <v>C7-2-101</v>
      </c>
    </row>
    <row r="351" spans="1:3">
      <c r="A351" t="s">
        <v>1543</v>
      </c>
      <c r="B351" s="18">
        <v>215591.25</v>
      </c>
      <c r="C351" t="str">
        <f>VLOOKUP(A351,多浪小镇一期!$B$5:$B$517,1,0)</f>
        <v>C7-2-102</v>
      </c>
    </row>
    <row r="352" spans="1:3">
      <c r="A352" t="s">
        <v>1545</v>
      </c>
      <c r="B352" s="18">
        <v>220982.0025</v>
      </c>
      <c r="C352" t="str">
        <f>VLOOKUP(A352,多浪小镇一期!$B$5:$B$517,1,0)</f>
        <v>C7-2-201</v>
      </c>
    </row>
    <row r="353" spans="1:3">
      <c r="A353" t="s">
        <v>1547</v>
      </c>
      <c r="B353" s="18">
        <v>224575.05</v>
      </c>
      <c r="C353" t="str">
        <f>VLOOKUP(A353,多浪小镇一期!$B$5:$B$517,1,0)</f>
        <v>C7-2-202</v>
      </c>
    </row>
    <row r="354" spans="1:3">
      <c r="A354" t="s">
        <v>1549</v>
      </c>
      <c r="B354" s="18">
        <v>220000.2</v>
      </c>
      <c r="C354" t="str">
        <f>VLOOKUP(A354,多浪小镇一期!$B$5:$B$517,1,0)</f>
        <v>C7-2-301</v>
      </c>
    </row>
    <row r="355" spans="1:3">
      <c r="A355" t="s">
        <v>1551</v>
      </c>
      <c r="B355" s="18">
        <v>220981.95</v>
      </c>
      <c r="C355" t="str">
        <f>VLOOKUP(A355,多浪小镇一期!$B$5:$B$517,1,0)</f>
        <v>C7-2-302</v>
      </c>
    </row>
    <row r="356" spans="1:3">
      <c r="A356" t="s">
        <v>1553</v>
      </c>
      <c r="B356" s="18">
        <v>196728</v>
      </c>
      <c r="C356" t="str">
        <f>VLOOKUP(A356,多浪小镇一期!$B$5:$B$517,1,0)</f>
        <v>C7-2-401</v>
      </c>
    </row>
    <row r="357" spans="1:3">
      <c r="A357" t="s">
        <v>1555</v>
      </c>
      <c r="B357" s="18">
        <v>196367.85</v>
      </c>
      <c r="C357" t="str">
        <f>VLOOKUP(A357,多浪小镇一期!$B$5:$B$517,1,0)</f>
        <v>C7-2-402</v>
      </c>
    </row>
    <row r="358" spans="1:3">
      <c r="A358" t="s">
        <v>1557</v>
      </c>
      <c r="B358" s="18">
        <v>175169.4</v>
      </c>
      <c r="C358" t="str">
        <f>VLOOKUP(A358,多浪小镇一期!$B$5:$B$517,1,0)</f>
        <v>C7-2-501</v>
      </c>
    </row>
    <row r="359" spans="1:3">
      <c r="A359" t="s">
        <v>1559</v>
      </c>
      <c r="B359" s="18">
        <v>166879.65</v>
      </c>
      <c r="C359" t="str">
        <f>VLOOKUP(A359,多浪小镇一期!$B$5:$B$517,1,0)</f>
        <v>C7-2-502</v>
      </c>
    </row>
    <row r="360" spans="1:3">
      <c r="A360" t="s">
        <v>1561</v>
      </c>
      <c r="B360" s="18">
        <v>229066.95</v>
      </c>
      <c r="C360" t="str">
        <f>VLOOKUP(A360,多浪小镇一期!$B$5:$B$517,1,0)</f>
        <v>C7-3-101</v>
      </c>
    </row>
    <row r="361" spans="1:3">
      <c r="A361" t="s">
        <v>1563</v>
      </c>
      <c r="B361" s="18">
        <v>230139</v>
      </c>
      <c r="C361" t="str">
        <f>VLOOKUP(A361,多浪小镇一期!$B$5:$B$517,1,0)</f>
        <v>C7-3-102</v>
      </c>
    </row>
    <row r="362" spans="1:3">
      <c r="A362" t="s">
        <v>1565</v>
      </c>
      <c r="B362" s="18">
        <v>220983</v>
      </c>
      <c r="C362" t="str">
        <f>VLOOKUP(A362,多浪小镇一期!$B$5:$B$517,1,0)</f>
        <v>C7-3-201</v>
      </c>
    </row>
    <row r="363" spans="1:3">
      <c r="A363" t="s">
        <v>1567</v>
      </c>
      <c r="B363" s="18">
        <v>224723.1</v>
      </c>
      <c r="C363" t="str">
        <f>VLOOKUP(A363,多浪小镇一期!$B$5:$B$517,1,0)</f>
        <v>C7-3-202</v>
      </c>
    </row>
    <row r="364" spans="1:3">
      <c r="A364" t="s">
        <v>1569</v>
      </c>
      <c r="B364" s="18">
        <v>220981.95</v>
      </c>
      <c r="C364" t="str">
        <f>VLOOKUP(A364,多浪小镇一期!$B$5:$B$517,1,0)</f>
        <v>C7-3-301</v>
      </c>
    </row>
    <row r="365" spans="1:3">
      <c r="A365" t="s">
        <v>1571</v>
      </c>
      <c r="B365" s="18">
        <v>222014.1</v>
      </c>
      <c r="C365" t="str">
        <f>VLOOKUP(A365,多浪小镇一期!$B$5:$B$517,1,0)</f>
        <v>C7-3-302</v>
      </c>
    </row>
    <row r="366" spans="1:3">
      <c r="A366" t="s">
        <v>1573</v>
      </c>
      <c r="B366" s="18">
        <v>196728</v>
      </c>
      <c r="C366" t="str">
        <f>VLOOKUP(A366,多浪小镇一期!$B$5:$B$517,1,0)</f>
        <v>C7-3-401</v>
      </c>
    </row>
    <row r="367" spans="1:3">
      <c r="A367" t="s">
        <v>1575</v>
      </c>
      <c r="B367" s="18">
        <v>200806.2</v>
      </c>
      <c r="C367" t="str">
        <f>VLOOKUP(A367,多浪小镇一期!$B$5:$B$517,1,0)</f>
        <v>C7-3-402</v>
      </c>
    </row>
    <row r="368" spans="1:3">
      <c r="A368" t="s">
        <v>1577</v>
      </c>
      <c r="B368" s="18">
        <v>174720</v>
      </c>
      <c r="C368" t="str">
        <f>VLOOKUP(A368,多浪小镇一期!$B$5:$B$517,1,0)</f>
        <v>C7-3-501</v>
      </c>
    </row>
    <row r="369" spans="1:3">
      <c r="A369" t="s">
        <v>1579</v>
      </c>
      <c r="B369" s="18">
        <v>170572.5</v>
      </c>
      <c r="C369" t="str">
        <f>VLOOKUP(A369,多浪小镇一期!$B$5:$B$517,1,0)</f>
        <v>C7-3-502</v>
      </c>
    </row>
    <row r="370" spans="1:3">
      <c r="A370" t="s">
        <v>1581</v>
      </c>
      <c r="B370" s="18">
        <v>296616.2</v>
      </c>
      <c r="C370" t="str">
        <f>VLOOKUP(A370,多浪小镇一期!$B$5:$B$517,1,0)</f>
        <v>C8-1-101</v>
      </c>
    </row>
    <row r="371" spans="1:3">
      <c r="A371" t="s">
        <v>1584</v>
      </c>
      <c r="B371" s="18">
        <v>209856.15</v>
      </c>
      <c r="C371" t="str">
        <f>VLOOKUP(A371,多浪小镇一期!$B$5:$B$517,1,0)</f>
        <v>C8-1-102</v>
      </c>
    </row>
    <row r="372" spans="1:3">
      <c r="A372" t="s">
        <v>1586</v>
      </c>
      <c r="B372" s="18">
        <v>299615.8515</v>
      </c>
      <c r="C372" t="str">
        <f>VLOOKUP(A372,多浪小镇一期!$B$5:$B$517,1,0)</f>
        <v>C8-1-201</v>
      </c>
    </row>
    <row r="373" spans="1:3">
      <c r="A373" t="s">
        <v>1589</v>
      </c>
      <c r="B373" s="18">
        <v>207328.8</v>
      </c>
      <c r="C373" t="str">
        <f>VLOOKUP(A373,多浪小镇一期!$B$5:$B$517,1,0)</f>
        <v>C8-1-202</v>
      </c>
    </row>
    <row r="374" spans="1:3">
      <c r="A374" t="s">
        <v>1591</v>
      </c>
      <c r="B374" s="18">
        <v>92031.45</v>
      </c>
      <c r="C374" t="str">
        <f>VLOOKUP(A374,多浪小镇一期!$B$5:$B$517,1,0)</f>
        <v>C8-1-301</v>
      </c>
    </row>
    <row r="375" spans="1:3">
      <c r="A375" t="s">
        <v>1593</v>
      </c>
      <c r="B375" s="18">
        <v>207328.8</v>
      </c>
      <c r="C375" t="str">
        <f>VLOOKUP(A375,多浪小镇一期!$B$5:$B$517,1,0)</f>
        <v>C8-1-302</v>
      </c>
    </row>
    <row r="376" spans="1:3">
      <c r="A376" t="s">
        <v>1595</v>
      </c>
      <c r="B376" s="18">
        <v>271897.5</v>
      </c>
      <c r="C376" t="str">
        <f>VLOOKUP(A376,多浪小镇一期!$B$5:$B$517,1,0)</f>
        <v>C8-1-401</v>
      </c>
    </row>
    <row r="377" spans="1:3">
      <c r="A377" t="s">
        <v>1597</v>
      </c>
      <c r="B377" s="18">
        <v>183729</v>
      </c>
      <c r="C377" t="str">
        <f>VLOOKUP(A377,多浪小镇一期!$B$5:$B$517,1,0)</f>
        <v>C8-1-402</v>
      </c>
    </row>
    <row r="378" spans="1:3">
      <c r="A378" t="s">
        <v>1599</v>
      </c>
      <c r="B378" s="18">
        <v>241001.25</v>
      </c>
      <c r="C378" t="str">
        <f>VLOOKUP(A378,多浪小镇一期!$B$5:$B$517,1,0)</f>
        <v>C8-1-501</v>
      </c>
    </row>
    <row r="379" spans="1:3">
      <c r="A379" t="s">
        <v>1601</v>
      </c>
      <c r="B379" s="18">
        <v>160132.35</v>
      </c>
      <c r="C379" t="str">
        <f>VLOOKUP(A379,多浪小镇一期!$B$5:$B$517,1,0)</f>
        <v>C8-1-502</v>
      </c>
    </row>
    <row r="380" spans="1:3">
      <c r="A380" t="s">
        <v>1603</v>
      </c>
      <c r="B380" s="18">
        <v>234820.95</v>
      </c>
      <c r="C380" t="str">
        <f>VLOOKUP(A380,多浪小镇一期!$B$5:$B$517,1,0)</f>
        <v>C8-1-601</v>
      </c>
    </row>
    <row r="381" spans="1:3">
      <c r="A381" t="s">
        <v>1605</v>
      </c>
      <c r="B381" s="18">
        <v>130634.7</v>
      </c>
      <c r="C381" t="str">
        <f>VLOOKUP(A381,多浪小镇一期!$B$5:$B$517,1,0)</f>
        <v>C8-1-602</v>
      </c>
    </row>
    <row r="382" spans="1:3">
      <c r="A382" t="s">
        <v>1607</v>
      </c>
      <c r="B382" s="18">
        <v>207328.8</v>
      </c>
      <c r="C382" t="str">
        <f>VLOOKUP(A382,多浪小镇一期!$B$5:$B$517,1,0)</f>
        <v>C8-2-101</v>
      </c>
    </row>
    <row r="383" spans="1:3">
      <c r="A383" t="s">
        <v>1609</v>
      </c>
      <c r="B383" s="18">
        <v>139499.85</v>
      </c>
      <c r="C383" t="str">
        <f>VLOOKUP(A383,多浪小镇一期!$B$5:$B$517,1,0)</f>
        <v>C8-2-102</v>
      </c>
    </row>
    <row r="384" spans="1:3">
      <c r="A384" t="s">
        <v>1611</v>
      </c>
      <c r="B384" s="18">
        <v>207328.8</v>
      </c>
      <c r="C384" t="str">
        <f>VLOOKUP(A384,多浪小镇一期!$B$5:$B$517,1,0)</f>
        <v>C8-2-201</v>
      </c>
    </row>
    <row r="385" spans="1:3">
      <c r="A385" t="s">
        <v>1613</v>
      </c>
      <c r="B385" s="18">
        <v>307457.85</v>
      </c>
      <c r="C385" t="str">
        <f>VLOOKUP(A385,多浪小镇一期!$B$5:$B$517,1,0)</f>
        <v>C8-2-202</v>
      </c>
    </row>
    <row r="386" spans="1:3">
      <c r="A386" t="s">
        <v>1615</v>
      </c>
      <c r="B386" s="18">
        <v>210700.35</v>
      </c>
      <c r="C386" t="str">
        <f>VLOOKUP(A386,多浪小镇一期!$B$5:$B$517,1,0)</f>
        <v>C8-2-301</v>
      </c>
    </row>
    <row r="387" spans="1:3">
      <c r="A387" t="s">
        <v>1617</v>
      </c>
      <c r="B387" s="18">
        <v>294500.85</v>
      </c>
      <c r="C387" t="str">
        <f>VLOOKUP(A387,多浪小镇一期!$B$5:$B$517,1,0)</f>
        <v>C8-2-302</v>
      </c>
    </row>
    <row r="388" spans="1:3">
      <c r="A388" t="s">
        <v>1619</v>
      </c>
      <c r="B388" s="18">
        <v>183730.05</v>
      </c>
      <c r="C388" t="str">
        <f>VLOOKUP(A388,多浪小镇一期!$B$5:$B$517,1,0)</f>
        <v>C8-2-401</v>
      </c>
    </row>
    <row r="389" spans="1:3">
      <c r="A389" t="s">
        <v>1621</v>
      </c>
      <c r="B389" s="18">
        <v>253269.45</v>
      </c>
      <c r="C389" t="str">
        <f>VLOOKUP(A389,多浪小镇一期!$B$5:$B$517,1,0)</f>
        <v>C8-2-402</v>
      </c>
    </row>
    <row r="390" spans="1:3">
      <c r="A390" t="s">
        <v>1623</v>
      </c>
      <c r="B390" s="18">
        <v>159289.2</v>
      </c>
      <c r="C390" t="str">
        <f>VLOOKUP(A390,多浪小镇一期!$B$5:$B$517,1,0)</f>
        <v>C8-2-501</v>
      </c>
    </row>
    <row r="391" spans="1:3">
      <c r="A391" t="s">
        <v>1625</v>
      </c>
      <c r="B391" s="18">
        <v>201108.6</v>
      </c>
      <c r="C391" t="str">
        <f>VLOOKUP(A391,多浪小镇一期!$B$5:$B$517,1,0)</f>
        <v>C8-2-502</v>
      </c>
    </row>
    <row r="392" spans="1:3">
      <c r="A392" t="s">
        <v>1627</v>
      </c>
      <c r="B392" s="18">
        <v>130633.65</v>
      </c>
      <c r="C392" t="str">
        <f>VLOOKUP(A392,多浪小镇一期!$B$5:$B$517,1,0)</f>
        <v>C8-2-601</v>
      </c>
    </row>
    <row r="393" spans="1:3">
      <c r="A393" t="s">
        <v>1629</v>
      </c>
      <c r="B393" s="18">
        <v>182589.75</v>
      </c>
      <c r="C393" t="str">
        <f>VLOOKUP(A393,多浪小镇一期!$B$5:$B$517,1,0)</f>
        <v>C8-2-602</v>
      </c>
    </row>
    <row r="394" spans="1:3">
      <c r="A394" t="s">
        <v>1631</v>
      </c>
      <c r="B394" s="18">
        <v>170700</v>
      </c>
      <c r="C394" t="str">
        <f>VLOOKUP(A394,多浪小镇一期!$B$5:$B$517,1,0)</f>
        <v>C8-3-101</v>
      </c>
    </row>
    <row r="395" spans="1:3">
      <c r="A395" t="s">
        <v>1633</v>
      </c>
      <c r="B395" s="18">
        <v>290436.3</v>
      </c>
      <c r="C395" t="str">
        <f>VLOOKUP(A395,多浪小镇一期!$B$5:$B$517,1,0)</f>
        <v>C8-3-102</v>
      </c>
    </row>
    <row r="396" spans="1:3">
      <c r="A396" t="s">
        <v>1635</v>
      </c>
      <c r="B396" s="18">
        <v>207328.8</v>
      </c>
      <c r="C396" t="str">
        <f>VLOOKUP(A396,多浪小镇一期!$B$5:$B$517,1,0)</f>
        <v>C8-3-201</v>
      </c>
    </row>
    <row r="397" spans="1:3">
      <c r="A397" t="s">
        <v>1637</v>
      </c>
      <c r="B397" s="18">
        <v>304030.65</v>
      </c>
      <c r="C397" t="str">
        <f>VLOOKUP(A397,多浪小镇一期!$B$5:$B$517,1,0)</f>
        <v>C8-3-202</v>
      </c>
    </row>
    <row r="398" spans="1:3">
      <c r="A398" t="s">
        <v>1639</v>
      </c>
      <c r="B398" s="18">
        <v>210699.3</v>
      </c>
      <c r="C398" t="str">
        <f>VLOOKUP(A398,多浪小镇一期!$B$5:$B$517,1,0)</f>
        <v>C8-3-301</v>
      </c>
    </row>
    <row r="399" spans="1:3">
      <c r="A399" t="s">
        <v>1641</v>
      </c>
      <c r="B399" s="18">
        <v>302976.45</v>
      </c>
      <c r="C399" t="str">
        <f>VLOOKUP(A399,多浪小镇一期!$B$5:$B$517,1,0)</f>
        <v>C8-3-302</v>
      </c>
    </row>
    <row r="400" spans="1:3">
      <c r="A400" t="s">
        <v>1643</v>
      </c>
      <c r="B400" s="18">
        <v>183730.05</v>
      </c>
      <c r="C400" t="str">
        <f>VLOOKUP(A400,多浪小镇一期!$B$5:$B$517,1,0)</f>
        <v>C8-3-401</v>
      </c>
    </row>
    <row r="401" spans="1:3">
      <c r="A401" t="s">
        <v>1645</v>
      </c>
      <c r="B401" s="18">
        <v>271897.5</v>
      </c>
      <c r="C401" t="str">
        <f>VLOOKUP(A401,多浪小镇一期!$B$5:$B$517,1,0)</f>
        <v>C8-3-402</v>
      </c>
    </row>
    <row r="402" spans="1:3">
      <c r="A402" t="s">
        <v>1647</v>
      </c>
      <c r="B402" s="18">
        <v>158447.1</v>
      </c>
      <c r="C402" t="str">
        <f>VLOOKUP(A402,多浪小镇一期!$B$5:$B$517,1,0)</f>
        <v>C8-3-501</v>
      </c>
    </row>
    <row r="403" spans="1:3">
      <c r="A403" t="s">
        <v>1649</v>
      </c>
      <c r="B403" s="18">
        <v>259539</v>
      </c>
      <c r="C403" t="str">
        <f>VLOOKUP(A403,多浪小镇一期!$B$5:$B$517,1,0)</f>
        <v>C8-3-502</v>
      </c>
    </row>
    <row r="404" spans="1:3">
      <c r="A404" t="s">
        <v>1651</v>
      </c>
      <c r="B404" s="18">
        <v>130633.65</v>
      </c>
      <c r="C404" t="str">
        <f>VLOOKUP(A404,多浪小镇一期!$B$5:$B$517,1,0)</f>
        <v>C8-3-601</v>
      </c>
    </row>
    <row r="405" spans="1:3">
      <c r="A405" t="s">
        <v>1653</v>
      </c>
      <c r="B405" s="18">
        <v>213811.5</v>
      </c>
      <c r="C405" t="str">
        <f>VLOOKUP(A405,多浪小镇一期!$B$5:$B$517,1,0)</f>
        <v>C8-3-602</v>
      </c>
    </row>
    <row r="406" spans="1:3">
      <c r="A406" t="s">
        <v>1655</v>
      </c>
      <c r="B406" s="18">
        <v>242736.4</v>
      </c>
      <c r="C406" t="str">
        <f>VLOOKUP(A406,多浪小镇一期!$B$5:$B$517,1,0)</f>
        <v>C9-1-101</v>
      </c>
    </row>
    <row r="407" spans="1:3">
      <c r="A407" t="s">
        <v>1657</v>
      </c>
      <c r="B407" s="18">
        <v>294643.65</v>
      </c>
      <c r="C407" t="str">
        <f>VLOOKUP(A407,多浪小镇一期!$B$5:$B$517,1,0)</f>
        <v>C9-1-102</v>
      </c>
    </row>
    <row r="408" spans="1:3">
      <c r="A408" t="s">
        <v>1659</v>
      </c>
      <c r="B408" s="18">
        <v>218260.35</v>
      </c>
      <c r="C408" t="str">
        <f>VLOOKUP(A408,多浪小镇一期!$B$5:$B$517,1,0)</f>
        <v>C9-1-201</v>
      </c>
    </row>
    <row r="409" spans="1:3">
      <c r="A409" t="s">
        <v>1661</v>
      </c>
      <c r="B409" s="18">
        <v>309784.65</v>
      </c>
      <c r="C409" t="str">
        <f>VLOOKUP(A409,多浪小镇一期!$B$5:$B$517,1,0)</f>
        <v>C9-1-202</v>
      </c>
    </row>
    <row r="410" spans="1:3">
      <c r="A410" t="s">
        <v>1663</v>
      </c>
      <c r="B410" s="18">
        <v>217450.8</v>
      </c>
      <c r="C410" t="str">
        <f>VLOOKUP(A410,多浪小镇一期!$B$5:$B$517,1,0)</f>
        <v>C9-1-301</v>
      </c>
    </row>
    <row r="411" spans="1:3">
      <c r="A411" t="s">
        <v>1666</v>
      </c>
      <c r="B411" s="18">
        <v>336594.3</v>
      </c>
      <c r="C411" t="str">
        <f>VLOOKUP(A411,多浪小镇一期!$B$5:$B$517,1,0)</f>
        <v>C9-1-401</v>
      </c>
    </row>
    <row r="412" spans="1:3">
      <c r="A412" t="s">
        <v>1668</v>
      </c>
      <c r="B412" s="18">
        <v>296425.5</v>
      </c>
      <c r="C412" t="str">
        <f>VLOOKUP(A412,多浪小镇一期!$B$5:$B$517,1,0)</f>
        <v>C9-1-402</v>
      </c>
    </row>
    <row r="413" spans="1:3">
      <c r="A413" t="s">
        <v>1670</v>
      </c>
      <c r="B413" s="18">
        <v>294115.5</v>
      </c>
      <c r="C413" t="str">
        <f>VLOOKUP(A413,多浪小镇一期!$B$5:$B$517,1,0)</f>
        <v>C9-1-501</v>
      </c>
    </row>
    <row r="414" spans="1:3">
      <c r="A414" t="s">
        <v>1672</v>
      </c>
      <c r="B414" s="18">
        <v>260796.9</v>
      </c>
      <c r="C414" t="str">
        <f>VLOOKUP(A414,多浪小镇一期!$B$5:$B$517,1,0)</f>
        <v>C9-1-502</v>
      </c>
    </row>
    <row r="415" spans="1:3">
      <c r="A415" t="s">
        <v>1674</v>
      </c>
      <c r="B415" s="18">
        <v>294643.65</v>
      </c>
      <c r="C415" t="str">
        <f>VLOOKUP(A415,多浪小镇一期!$B$5:$B$517,1,0)</f>
        <v>C9-2-101</v>
      </c>
    </row>
    <row r="416" spans="1:3">
      <c r="A416" t="s">
        <v>1676</v>
      </c>
      <c r="B416" s="18">
        <v>186155.55</v>
      </c>
      <c r="C416" t="str">
        <f>VLOOKUP(A416,多浪小镇一期!$B$5:$B$517,1,0)</f>
        <v>C9-2-102</v>
      </c>
    </row>
    <row r="417" spans="1:3">
      <c r="A417" t="s">
        <v>1678</v>
      </c>
      <c r="B417" s="18">
        <v>299988.15</v>
      </c>
      <c r="C417" t="str">
        <f>VLOOKUP(A417,多浪小镇一期!$B$5:$B$517,1,0)</f>
        <v>C9-2-201</v>
      </c>
    </row>
    <row r="418" spans="1:3">
      <c r="A418" t="s">
        <v>1680</v>
      </c>
      <c r="B418" s="18">
        <v>299988.15</v>
      </c>
      <c r="C418" t="str">
        <f>VLOOKUP(A418,多浪小镇一期!$B$5:$B$517,1,0)</f>
        <v>C9-2-202</v>
      </c>
    </row>
    <row r="419" spans="1:3">
      <c r="A419" t="s">
        <v>1682</v>
      </c>
      <c r="B419" s="18">
        <v>200408.25</v>
      </c>
      <c r="C419" t="str">
        <f>VLOOKUP(A419,多浪小镇一期!$B$5:$B$517,1,0)</f>
        <v>C9-2-301</v>
      </c>
    </row>
    <row r="420" spans="1:3">
      <c r="A420" t="s">
        <v>1684</v>
      </c>
      <c r="B420" s="18">
        <v>310676.1</v>
      </c>
      <c r="C420" t="str">
        <f>VLOOKUP(A420,多浪小镇一期!$B$5:$B$517,1,0)</f>
        <v>C9-2-302</v>
      </c>
    </row>
    <row r="421" spans="1:3">
      <c r="A421" t="s">
        <v>1686</v>
      </c>
      <c r="B421" s="18">
        <v>187047</v>
      </c>
      <c r="C421" t="str">
        <f>VLOOKUP(A421,多浪小镇一期!$B$5:$B$517,1,0)</f>
        <v>C9-2-401</v>
      </c>
    </row>
    <row r="422" spans="1:3">
      <c r="A422" t="s">
        <v>1688</v>
      </c>
      <c r="B422" s="18">
        <v>296425.5</v>
      </c>
      <c r="C422" t="str">
        <f>VLOOKUP(A422,多浪小镇一期!$B$5:$B$517,1,0)</f>
        <v>C9-2-402</v>
      </c>
    </row>
    <row r="423" spans="1:3">
      <c r="A423" t="s">
        <v>1690</v>
      </c>
      <c r="B423" s="18">
        <v>260796.9</v>
      </c>
      <c r="C423" t="str">
        <f>VLOOKUP(A423,多浪小镇一期!$B$5:$B$517,1,0)</f>
        <v>C9-2-501</v>
      </c>
    </row>
    <row r="424" spans="1:3">
      <c r="A424" t="s">
        <v>1692</v>
      </c>
      <c r="B424" s="18">
        <v>259016.1</v>
      </c>
      <c r="C424" t="str">
        <f>VLOOKUP(A424,多浪小镇一期!$B$5:$B$517,1,0)</f>
        <v>C9-2-502</v>
      </c>
    </row>
    <row r="425" spans="1:3">
      <c r="A425" t="s">
        <v>1694</v>
      </c>
      <c r="B425" s="18">
        <v>186155.55</v>
      </c>
      <c r="C425" t="str">
        <f>VLOOKUP(A425,多浪小镇一期!$B$5:$B$517,1,0)</f>
        <v>C9-3-101</v>
      </c>
    </row>
    <row r="426" spans="1:3">
      <c r="A426" t="s">
        <v>1696</v>
      </c>
      <c r="B426" s="18">
        <v>334570.95</v>
      </c>
      <c r="C426" t="str">
        <f>VLOOKUP(A426,多浪小镇一期!$B$5:$B$517,1,0)</f>
        <v>C9-3-102</v>
      </c>
    </row>
    <row r="427" spans="1:3">
      <c r="A427" t="s">
        <v>1698</v>
      </c>
      <c r="B427" s="18">
        <v>192390.45</v>
      </c>
      <c r="C427" t="str">
        <f>VLOOKUP(A427,多浪小镇一期!$B$5:$B$517,1,0)</f>
        <v>C9-3-201</v>
      </c>
    </row>
    <row r="428" spans="1:3">
      <c r="A428" t="s">
        <v>1700</v>
      </c>
      <c r="B428" s="18">
        <v>254489.55</v>
      </c>
      <c r="C428" t="str">
        <f>VLOOKUP(A428,多浪小镇一期!$B$5:$B$517,1,0)</f>
        <v>C9-3-202</v>
      </c>
    </row>
    <row r="429" spans="1:3">
      <c r="A429" t="s">
        <v>1702</v>
      </c>
      <c r="B429" s="18">
        <v>300878.55</v>
      </c>
      <c r="C429" t="str">
        <f>VLOOKUP(A429,多浪小镇一期!$B$5:$B$517,1,0)</f>
        <v>C9-3-301</v>
      </c>
    </row>
    <row r="430" spans="1:3">
      <c r="A430" t="s">
        <v>1704</v>
      </c>
      <c r="B430" s="18">
        <v>82850</v>
      </c>
      <c r="C430" t="str">
        <f>VLOOKUP(A430,多浪小镇一期!$B$5:$B$517,1,0)</f>
        <v>C9-3-302</v>
      </c>
    </row>
    <row r="431" spans="1:3">
      <c r="A431" t="s">
        <v>1707</v>
      </c>
      <c r="B431" s="18">
        <v>285736.5</v>
      </c>
      <c r="C431" t="str">
        <f>VLOOKUP(A431,多浪小镇一期!$B$5:$B$517,1,0)</f>
        <v>C9-3-401</v>
      </c>
    </row>
    <row r="432" spans="1:3">
      <c r="A432" t="s">
        <v>1709</v>
      </c>
      <c r="B432" s="18">
        <v>336594.3</v>
      </c>
      <c r="C432" t="str">
        <f>VLOOKUP(A432,多浪小镇一期!$B$5:$B$517,1,0)</f>
        <v>C9-3-402</v>
      </c>
    </row>
    <row r="433" spans="1:3">
      <c r="A433" t="s">
        <v>1711</v>
      </c>
      <c r="B433" s="18">
        <v>260796.9</v>
      </c>
      <c r="C433" t="str">
        <f>VLOOKUP(A433,多浪小镇一期!$B$5:$B$517,1,0)</f>
        <v>C9-3-501</v>
      </c>
    </row>
    <row r="434" spans="1:3">
      <c r="A434" t="s">
        <v>1713</v>
      </c>
      <c r="B434" s="18">
        <v>296137.8</v>
      </c>
      <c r="C434" t="str">
        <f>VLOOKUP(A434,多浪小镇一期!$B$5:$B$517,1,0)</f>
        <v>C9-3-502</v>
      </c>
    </row>
    <row r="435" spans="1:4">
      <c r="A435" t="s">
        <v>2923</v>
      </c>
      <c r="B435" s="20">
        <v>13394864</v>
      </c>
      <c r="C435" t="e">
        <f>VLOOKUP(A435,多浪小镇一期!$B$5:$B$517,1,0)</f>
        <v>#N/A</v>
      </c>
      <c r="D435" t="s">
        <v>7637</v>
      </c>
    </row>
    <row r="436" spans="1:4">
      <c r="A436" t="s">
        <v>2930</v>
      </c>
      <c r="B436" s="20">
        <v>6496000</v>
      </c>
      <c r="C436" t="e">
        <f>VLOOKUP(A436,多浪小镇一期!$B$5:$B$517,1,0)</f>
        <v>#N/A</v>
      </c>
      <c r="D436" t="s">
        <v>7637</v>
      </c>
    </row>
    <row r="437" spans="1:3">
      <c r="A437" t="s">
        <v>7633</v>
      </c>
      <c r="B437" s="18">
        <f>SUM(B2:B436)</f>
        <v>109283650.2345</v>
      </c>
      <c r="C437" t="e">
        <f>VLOOKUP(A437,多浪小镇一期!$B$5:$B$517,1,0)</f>
        <v>#N/A</v>
      </c>
    </row>
    <row r="438" spans="1:2">
      <c r="A438" t="s">
        <v>7638</v>
      </c>
      <c r="B438" s="18">
        <f>多浪小镇一期!J518</f>
        <v>89444130.5904999</v>
      </c>
    </row>
    <row r="439" spans="1:2">
      <c r="A439" t="s">
        <v>7636</v>
      </c>
      <c r="B439" s="18">
        <f>B437-B438-B436-B435</f>
        <v>-51344.3559999317</v>
      </c>
    </row>
  </sheetData>
  <autoFilter ref="A1:C439">
    <extLst/>
  </autoFilter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74"/>
  <sheetViews>
    <sheetView topLeftCell="A112" workbookViewId="0">
      <selection activeCell="W305" sqref="W305:X305"/>
    </sheetView>
  </sheetViews>
  <sheetFormatPr defaultColWidth="9" defaultRowHeight="13.5"/>
  <cols>
    <col min="1" max="1" width="12" style="13" customWidth="1"/>
    <col min="2" max="2" width="19.0666666666667" style="13" customWidth="1"/>
    <col min="3" max="3" width="22.5" style="13" customWidth="1"/>
    <col min="4" max="12" width="19.0666666666667" style="13" customWidth="1"/>
    <col min="13" max="16384" width="9" style="13"/>
  </cols>
  <sheetData>
    <row r="1" s="13" customFormat="1" ht="15" customHeight="1" spans="1:3">
      <c r="A1" s="13" t="s">
        <v>7639</v>
      </c>
      <c r="B1" s="13" t="s">
        <v>7640</v>
      </c>
      <c r="C1" s="13" t="s">
        <v>7641</v>
      </c>
    </row>
    <row r="2" s="13" customFormat="1" ht="15" customHeight="1" spans="1:11">
      <c r="A2" s="14" t="s">
        <v>7642</v>
      </c>
      <c r="B2" s="14" t="s">
        <v>2899</v>
      </c>
      <c r="C2" s="14" t="s">
        <v>7643</v>
      </c>
      <c r="D2" s="14" t="s">
        <v>7644</v>
      </c>
      <c r="E2" s="14" t="s">
        <v>7645</v>
      </c>
      <c r="G2" s="14" t="s">
        <v>7646</v>
      </c>
      <c r="I2" s="14" t="s">
        <v>7647</v>
      </c>
      <c r="K2" s="14" t="s">
        <v>7648</v>
      </c>
    </row>
    <row r="3" s="13" customFormat="1" ht="15" customHeight="1" spans="5:12">
      <c r="E3" s="13" t="s">
        <v>7649</v>
      </c>
      <c r="F3" s="13" t="s">
        <v>7650</v>
      </c>
      <c r="G3" s="13" t="s">
        <v>7649</v>
      </c>
      <c r="H3" s="13" t="s">
        <v>7650</v>
      </c>
      <c r="I3" s="13" t="s">
        <v>7649</v>
      </c>
      <c r="J3" s="13" t="s">
        <v>7650</v>
      </c>
      <c r="K3" s="13" t="s">
        <v>7649</v>
      </c>
      <c r="L3" s="13" t="s">
        <v>7650</v>
      </c>
    </row>
    <row r="4" s="13" customFormat="1" ht="15" customHeight="1" spans="2:10">
      <c r="B4" s="13" t="s">
        <v>7651</v>
      </c>
      <c r="C4" s="13" t="s">
        <v>7652</v>
      </c>
      <c r="D4" s="13" t="s">
        <v>7653</v>
      </c>
      <c r="G4" s="15">
        <v>185000</v>
      </c>
      <c r="H4" s="15">
        <v>185000</v>
      </c>
      <c r="I4" s="15">
        <v>185000</v>
      </c>
      <c r="J4" s="15">
        <v>185000</v>
      </c>
    </row>
    <row r="5" s="13" customFormat="1" ht="15" customHeight="1" spans="2:11">
      <c r="B5" s="13" t="s">
        <v>7651</v>
      </c>
      <c r="C5" s="13" t="s">
        <v>7654</v>
      </c>
      <c r="D5" s="16" t="s">
        <v>7655</v>
      </c>
      <c r="H5" s="15">
        <v>200000</v>
      </c>
      <c r="K5" s="15">
        <v>-200000</v>
      </c>
    </row>
    <row r="6" s="13" customFormat="1" ht="15" customHeight="1" spans="2:10">
      <c r="B6" s="13" t="s">
        <v>7651</v>
      </c>
      <c r="C6" s="13" t="s">
        <v>7656</v>
      </c>
      <c r="D6" s="13" t="s">
        <v>7657</v>
      </c>
      <c r="G6" s="15">
        <v>130000</v>
      </c>
      <c r="H6" s="15">
        <v>130000</v>
      </c>
      <c r="I6" s="15">
        <v>130000</v>
      </c>
      <c r="J6" s="15">
        <v>130000</v>
      </c>
    </row>
    <row r="7" s="13" customFormat="1" ht="15" customHeight="1" spans="2:11">
      <c r="B7" s="13" t="s">
        <v>7658</v>
      </c>
      <c r="C7" s="13" t="s">
        <v>7659</v>
      </c>
      <c r="D7" s="13" t="s">
        <v>7660</v>
      </c>
      <c r="G7" s="15">
        <v>3045</v>
      </c>
      <c r="K7" s="15">
        <v>3045</v>
      </c>
    </row>
    <row r="8" s="13" customFormat="1" ht="15" customHeight="1" spans="2:11">
      <c r="B8" s="13" t="s">
        <v>7658</v>
      </c>
      <c r="C8" s="13" t="s">
        <v>7661</v>
      </c>
      <c r="D8" s="13" t="s">
        <v>7662</v>
      </c>
      <c r="G8" s="15">
        <v>4010</v>
      </c>
      <c r="K8" s="15">
        <v>4010</v>
      </c>
    </row>
    <row r="9" s="13" customFormat="1" ht="15" customHeight="1" spans="2:11">
      <c r="B9" s="13" t="s">
        <v>7658</v>
      </c>
      <c r="C9" s="13" t="s">
        <v>7663</v>
      </c>
      <c r="D9" s="13" t="s">
        <v>7664</v>
      </c>
      <c r="G9" s="15">
        <v>200000</v>
      </c>
      <c r="H9" s="15">
        <v>-530000</v>
      </c>
      <c r="K9" s="15">
        <v>730000</v>
      </c>
    </row>
    <row r="10" s="13" customFormat="1" ht="15" customHeight="1" spans="2:11">
      <c r="B10" s="13" t="s">
        <v>7658</v>
      </c>
      <c r="C10" s="13" t="s">
        <v>7665</v>
      </c>
      <c r="D10" s="13" t="s">
        <v>7666</v>
      </c>
      <c r="G10" s="15">
        <v>1076800</v>
      </c>
      <c r="H10" s="15">
        <v>-900000</v>
      </c>
      <c r="K10" s="15">
        <v>1976800</v>
      </c>
    </row>
    <row r="11" s="13" customFormat="1" ht="15" customHeight="1" spans="2:11">
      <c r="B11" s="13" t="s">
        <v>7658</v>
      </c>
      <c r="C11" s="13" t="s">
        <v>7667</v>
      </c>
      <c r="D11" s="13" t="s">
        <v>7668</v>
      </c>
      <c r="G11" s="15">
        <v>10653.73</v>
      </c>
      <c r="I11" s="15">
        <v>6338.56</v>
      </c>
      <c r="K11" s="15">
        <v>10653.73</v>
      </c>
    </row>
    <row r="12" s="13" customFormat="1" ht="15" customHeight="1" spans="2:11">
      <c r="B12" s="13" t="s">
        <v>7658</v>
      </c>
      <c r="C12" s="13" t="s">
        <v>7669</v>
      </c>
      <c r="D12" s="13" t="s">
        <v>7670</v>
      </c>
      <c r="G12" s="15">
        <v>3300</v>
      </c>
      <c r="K12" s="15">
        <v>3300</v>
      </c>
    </row>
    <row r="13" s="13" customFormat="1" ht="15" customHeight="1" spans="2:11">
      <c r="B13" s="13" t="s">
        <v>7658</v>
      </c>
      <c r="C13" s="13" t="s">
        <v>7671</v>
      </c>
      <c r="D13" s="13" t="s">
        <v>7672</v>
      </c>
      <c r="G13" s="15">
        <v>4000</v>
      </c>
      <c r="K13" s="15">
        <v>4000</v>
      </c>
    </row>
    <row r="14" s="13" customFormat="1" ht="15" customHeight="1" spans="2:11">
      <c r="B14" s="13" t="s">
        <v>7658</v>
      </c>
      <c r="C14" s="13" t="s">
        <v>7673</v>
      </c>
      <c r="D14" s="13" t="s">
        <v>7674</v>
      </c>
      <c r="H14" s="15">
        <v>50000</v>
      </c>
      <c r="K14" s="15">
        <v>-50000</v>
      </c>
    </row>
    <row r="15" s="13" customFormat="1" ht="15" customHeight="1" spans="2:10">
      <c r="B15" s="13" t="s">
        <v>7658</v>
      </c>
      <c r="C15" s="13" t="s">
        <v>7675</v>
      </c>
      <c r="D15" s="13" t="s">
        <v>7676</v>
      </c>
      <c r="G15" s="15">
        <v>200000</v>
      </c>
      <c r="H15" s="17">
        <v>200000</v>
      </c>
      <c r="I15" s="15">
        <v>200000</v>
      </c>
      <c r="J15" s="15">
        <v>200000</v>
      </c>
    </row>
    <row r="16" s="13" customFormat="1" ht="15" customHeight="1" spans="2:11">
      <c r="B16" s="13" t="s">
        <v>7658</v>
      </c>
      <c r="C16" s="13" t="s">
        <v>7677</v>
      </c>
      <c r="D16" s="13" t="s">
        <v>7678</v>
      </c>
      <c r="G16" s="15">
        <v>32200</v>
      </c>
      <c r="H16" s="15">
        <v>23400</v>
      </c>
      <c r="I16" s="15">
        <v>11600</v>
      </c>
      <c r="J16" s="15">
        <v>23400</v>
      </c>
      <c r="K16" s="15">
        <v>8800</v>
      </c>
    </row>
    <row r="17" s="13" customFormat="1" ht="15" customHeight="1" spans="2:10">
      <c r="B17" s="13" t="s">
        <v>7658</v>
      </c>
      <c r="C17" s="13" t="s">
        <v>7679</v>
      </c>
      <c r="D17" s="13" t="s">
        <v>7680</v>
      </c>
      <c r="G17" s="15">
        <v>4000</v>
      </c>
      <c r="H17" s="15">
        <v>4000</v>
      </c>
      <c r="J17" s="15">
        <v>4000</v>
      </c>
    </row>
    <row r="18" s="13" customFormat="1" ht="15" customHeight="1" spans="2:11">
      <c r="B18" s="13" t="s">
        <v>7658</v>
      </c>
      <c r="C18" s="13" t="s">
        <v>7681</v>
      </c>
      <c r="D18" s="13" t="s">
        <v>7682</v>
      </c>
      <c r="H18" s="15">
        <v>32000</v>
      </c>
      <c r="J18" s="15">
        <v>32000</v>
      </c>
      <c r="K18" s="15">
        <v>-32000</v>
      </c>
    </row>
    <row r="19" s="13" customFormat="1" ht="15" customHeight="1" spans="2:11">
      <c r="B19" s="13" t="s">
        <v>7658</v>
      </c>
      <c r="C19" s="13" t="s">
        <v>7683</v>
      </c>
      <c r="D19" s="13" t="s">
        <v>7684</v>
      </c>
      <c r="G19" s="15">
        <v>7917</v>
      </c>
      <c r="K19" s="15">
        <v>7917</v>
      </c>
    </row>
    <row r="20" s="13" customFormat="1" ht="15" customHeight="1" spans="2:11">
      <c r="B20" s="13" t="s">
        <v>7658</v>
      </c>
      <c r="C20" s="13" t="s">
        <v>7685</v>
      </c>
      <c r="D20" s="13" t="s">
        <v>7686</v>
      </c>
      <c r="G20" s="15">
        <v>157.6</v>
      </c>
      <c r="K20" s="15">
        <v>157.6</v>
      </c>
    </row>
    <row r="21" s="13" customFormat="1" ht="15" customHeight="1" spans="2:11">
      <c r="B21" s="13" t="s">
        <v>7658</v>
      </c>
      <c r="C21" s="13" t="s">
        <v>7687</v>
      </c>
      <c r="D21" s="13" t="s">
        <v>7688</v>
      </c>
      <c r="G21" s="15">
        <v>6970</v>
      </c>
      <c r="H21" s="15">
        <v>1000</v>
      </c>
      <c r="K21" s="15">
        <v>5970</v>
      </c>
    </row>
    <row r="22" s="13" customFormat="1" ht="15" customHeight="1" spans="2:8">
      <c r="B22" s="13" t="s">
        <v>7658</v>
      </c>
      <c r="C22" s="13" t="s">
        <v>7689</v>
      </c>
      <c r="D22" s="13" t="s">
        <v>7690</v>
      </c>
      <c r="G22" s="15">
        <v>3300</v>
      </c>
      <c r="H22" s="15">
        <v>3300</v>
      </c>
    </row>
    <row r="23" s="13" customFormat="1" ht="15" customHeight="1" spans="2:11">
      <c r="B23" s="13" t="s">
        <v>7658</v>
      </c>
      <c r="C23" s="13" t="s">
        <v>7691</v>
      </c>
      <c r="D23" s="13" t="s">
        <v>7692</v>
      </c>
      <c r="G23" s="15">
        <v>0.2</v>
      </c>
      <c r="K23" s="15">
        <v>0.2</v>
      </c>
    </row>
    <row r="24" s="13" customFormat="1" ht="15" customHeight="1" spans="2:11">
      <c r="B24" s="13" t="s">
        <v>7658</v>
      </c>
      <c r="C24" s="13" t="s">
        <v>7693</v>
      </c>
      <c r="D24" s="13" t="s">
        <v>7694</v>
      </c>
      <c r="G24" s="15">
        <v>11852</v>
      </c>
      <c r="K24" s="15">
        <v>11852</v>
      </c>
    </row>
    <row r="25" s="13" customFormat="1" ht="15" customHeight="1" spans="2:11">
      <c r="B25" s="13" t="s">
        <v>7658</v>
      </c>
      <c r="C25" s="13" t="s">
        <v>7695</v>
      </c>
      <c r="D25" s="13" t="s">
        <v>7696</v>
      </c>
      <c r="G25" s="15">
        <v>4400</v>
      </c>
      <c r="K25" s="15">
        <v>4400</v>
      </c>
    </row>
    <row r="26" s="13" customFormat="1" ht="15" customHeight="1" spans="2:11">
      <c r="B26" s="13" t="s">
        <v>7658</v>
      </c>
      <c r="C26" s="13" t="s">
        <v>7697</v>
      </c>
      <c r="D26" s="13" t="s">
        <v>7698</v>
      </c>
      <c r="G26" s="15">
        <v>2800</v>
      </c>
      <c r="K26" s="15">
        <v>2800</v>
      </c>
    </row>
    <row r="27" s="13" customFormat="1" ht="15" customHeight="1" spans="2:11">
      <c r="B27" s="13" t="s">
        <v>7658</v>
      </c>
      <c r="C27" s="13" t="s">
        <v>7699</v>
      </c>
      <c r="D27" s="13" t="s">
        <v>7700</v>
      </c>
      <c r="G27" s="15">
        <v>4130</v>
      </c>
      <c r="K27" s="15">
        <v>4130</v>
      </c>
    </row>
    <row r="28" s="13" customFormat="1" ht="15" customHeight="1" spans="2:10">
      <c r="B28" s="13" t="s">
        <v>7658</v>
      </c>
      <c r="C28" s="13" t="s">
        <v>7701</v>
      </c>
      <c r="D28" s="13" t="s">
        <v>7702</v>
      </c>
      <c r="G28" s="15">
        <v>3700</v>
      </c>
      <c r="H28" s="15">
        <v>3700</v>
      </c>
      <c r="J28" s="15">
        <v>3700</v>
      </c>
    </row>
    <row r="29" s="13" customFormat="1" ht="15" customHeight="1" spans="2:11">
      <c r="B29" s="13" t="s">
        <v>7658</v>
      </c>
      <c r="C29" s="13" t="s">
        <v>7703</v>
      </c>
      <c r="D29" s="13" t="s">
        <v>7704</v>
      </c>
      <c r="G29" s="15">
        <v>2010</v>
      </c>
      <c r="K29" s="15">
        <v>2010</v>
      </c>
    </row>
    <row r="30" s="13" customFormat="1" ht="15" customHeight="1" spans="2:8">
      <c r="B30" s="13" t="s">
        <v>7658</v>
      </c>
      <c r="C30" s="13" t="s">
        <v>7705</v>
      </c>
      <c r="D30" s="13" t="s">
        <v>7706</v>
      </c>
      <c r="G30" s="15">
        <v>7100</v>
      </c>
      <c r="H30" s="15">
        <v>7100</v>
      </c>
    </row>
    <row r="31" s="13" customFormat="1" ht="15" customHeight="1" spans="2:11">
      <c r="B31" s="13" t="s">
        <v>7658</v>
      </c>
      <c r="C31" s="13" t="s">
        <v>7707</v>
      </c>
      <c r="D31" s="13" t="s">
        <v>7708</v>
      </c>
      <c r="G31" s="15">
        <v>3400</v>
      </c>
      <c r="I31" s="15">
        <v>3400</v>
      </c>
      <c r="K31" s="15">
        <v>3400</v>
      </c>
    </row>
    <row r="32" s="13" customFormat="1" ht="15" customHeight="1" spans="2:11">
      <c r="B32" s="13" t="s">
        <v>7658</v>
      </c>
      <c r="C32" s="13" t="s">
        <v>7709</v>
      </c>
      <c r="D32" s="13" t="s">
        <v>7710</v>
      </c>
      <c r="G32" s="15">
        <v>2300</v>
      </c>
      <c r="K32" s="15">
        <v>2300</v>
      </c>
    </row>
    <row r="33" s="13" customFormat="1" ht="15" customHeight="1" spans="2:11">
      <c r="B33" s="13" t="s">
        <v>7658</v>
      </c>
      <c r="C33" s="13" t="s">
        <v>7711</v>
      </c>
      <c r="D33" s="13" t="s">
        <v>7712</v>
      </c>
      <c r="G33" s="15">
        <v>9700</v>
      </c>
      <c r="I33" s="15">
        <v>9700</v>
      </c>
      <c r="K33" s="15">
        <v>9700</v>
      </c>
    </row>
    <row r="34" s="13" customFormat="1" ht="15" customHeight="1" spans="2:11">
      <c r="B34" s="13" t="s">
        <v>7658</v>
      </c>
      <c r="C34" s="13" t="s">
        <v>7713</v>
      </c>
      <c r="D34" s="13" t="s">
        <v>7714</v>
      </c>
      <c r="G34" s="15">
        <v>4300</v>
      </c>
      <c r="K34" s="15">
        <v>4300</v>
      </c>
    </row>
    <row r="35" s="13" customFormat="1" ht="15" customHeight="1" spans="2:11">
      <c r="B35" s="13" t="s">
        <v>7658</v>
      </c>
      <c r="C35" s="13" t="s">
        <v>7715</v>
      </c>
      <c r="D35" s="13" t="s">
        <v>7716</v>
      </c>
      <c r="G35" s="15">
        <v>3500</v>
      </c>
      <c r="K35" s="15">
        <v>3500</v>
      </c>
    </row>
    <row r="36" s="13" customFormat="1" ht="15" customHeight="1" spans="2:11">
      <c r="B36" s="13" t="s">
        <v>7658</v>
      </c>
      <c r="C36" s="13" t="s">
        <v>7717</v>
      </c>
      <c r="D36" s="13" t="s">
        <v>7718</v>
      </c>
      <c r="G36" s="15">
        <v>3600</v>
      </c>
      <c r="K36" s="15">
        <v>3600</v>
      </c>
    </row>
    <row r="37" s="13" customFormat="1" ht="15" customHeight="1" spans="2:11">
      <c r="B37" s="13" t="s">
        <v>7658</v>
      </c>
      <c r="C37" s="13" t="s">
        <v>7719</v>
      </c>
      <c r="D37" s="13" t="s">
        <v>7720</v>
      </c>
      <c r="H37" s="15">
        <v>50000</v>
      </c>
      <c r="K37" s="15">
        <v>-50000</v>
      </c>
    </row>
    <row r="38" s="13" customFormat="1" ht="15" customHeight="1" spans="2:11">
      <c r="B38" s="13" t="s">
        <v>7658</v>
      </c>
      <c r="C38" s="13" t="s">
        <v>7721</v>
      </c>
      <c r="D38" s="13" t="s">
        <v>7722</v>
      </c>
      <c r="G38" s="15">
        <v>3300</v>
      </c>
      <c r="K38" s="15">
        <v>3300</v>
      </c>
    </row>
    <row r="39" s="13" customFormat="1" ht="15" customHeight="1" spans="2:11">
      <c r="B39" s="13" t="s">
        <v>7658</v>
      </c>
      <c r="C39" s="13" t="s">
        <v>7723</v>
      </c>
      <c r="D39" s="13" t="s">
        <v>7724</v>
      </c>
      <c r="G39" s="15">
        <v>3700</v>
      </c>
      <c r="I39" s="15">
        <v>3700</v>
      </c>
      <c r="K39" s="15">
        <v>3700</v>
      </c>
    </row>
    <row r="40" s="13" customFormat="1" ht="15" customHeight="1" spans="2:11">
      <c r="B40" s="13" t="s">
        <v>7658</v>
      </c>
      <c r="C40" s="13" t="s">
        <v>7725</v>
      </c>
      <c r="D40" s="13" t="s">
        <v>7726</v>
      </c>
      <c r="H40" s="15">
        <v>78791</v>
      </c>
      <c r="J40" s="15">
        <v>78791</v>
      </c>
      <c r="K40" s="15">
        <v>-78791</v>
      </c>
    </row>
    <row r="41" s="13" customFormat="1" ht="15" customHeight="1" spans="1:11">
      <c r="A41" s="13" t="s">
        <v>7727</v>
      </c>
      <c r="B41" s="13" t="s">
        <v>7728</v>
      </c>
      <c r="G41" s="15">
        <v>69021905.17</v>
      </c>
      <c r="H41" s="15">
        <v>22283776.46</v>
      </c>
      <c r="J41" s="15">
        <v>18600</v>
      </c>
      <c r="K41" s="15">
        <v>46738128.71</v>
      </c>
    </row>
    <row r="42" s="13" customFormat="1" ht="15" customHeight="1" spans="3:11">
      <c r="C42" s="13" t="s">
        <v>7729</v>
      </c>
      <c r="D42" s="13" t="s">
        <v>7730</v>
      </c>
      <c r="H42" s="15">
        <v>149000</v>
      </c>
      <c r="K42" s="15">
        <v>-149000</v>
      </c>
    </row>
    <row r="43" s="13" customFormat="1" ht="15" customHeight="1" spans="3:4">
      <c r="C43" s="13" t="s">
        <v>7731</v>
      </c>
      <c r="D43" s="13" t="s">
        <v>7732</v>
      </c>
    </row>
    <row r="44" s="13" customFormat="1" ht="15" customHeight="1" spans="3:11">
      <c r="C44" s="13" t="s">
        <v>7733</v>
      </c>
      <c r="D44" s="13" t="s">
        <v>7734</v>
      </c>
      <c r="G44" s="15">
        <v>44430339</v>
      </c>
      <c r="H44" s="15">
        <v>5000000</v>
      </c>
      <c r="K44" s="15">
        <v>39430339</v>
      </c>
    </row>
    <row r="45" s="13" customFormat="1" ht="15" customHeight="1" spans="3:11">
      <c r="C45" s="13" t="s">
        <v>7735</v>
      </c>
      <c r="D45" s="13" t="s">
        <v>7736</v>
      </c>
      <c r="G45" s="15">
        <v>600</v>
      </c>
      <c r="K45" s="15">
        <v>600</v>
      </c>
    </row>
    <row r="46" s="13" customFormat="1" ht="15" customHeight="1" spans="3:11">
      <c r="C46" s="13" t="s">
        <v>7737</v>
      </c>
      <c r="D46" s="13" t="s">
        <v>7738</v>
      </c>
      <c r="G46" s="15">
        <v>5774.4</v>
      </c>
      <c r="K46" s="15">
        <v>5774.4</v>
      </c>
    </row>
    <row r="47" s="13" customFormat="1" ht="15" customHeight="1" spans="3:11">
      <c r="C47" s="13" t="s">
        <v>7739</v>
      </c>
      <c r="D47" s="13" t="s">
        <v>7740</v>
      </c>
      <c r="H47" s="15">
        <v>3458</v>
      </c>
      <c r="K47" s="15">
        <v>-3458</v>
      </c>
    </row>
    <row r="48" s="13" customFormat="1" ht="15" customHeight="1" spans="3:11">
      <c r="C48" s="13" t="s">
        <v>7741</v>
      </c>
      <c r="D48" s="13" t="s">
        <v>7742</v>
      </c>
      <c r="G48" s="15">
        <v>808826.76</v>
      </c>
      <c r="K48" s="15">
        <v>808826.76</v>
      </c>
    </row>
    <row r="49" s="13" customFormat="1" ht="15" customHeight="1" spans="3:11">
      <c r="C49" s="13" t="s">
        <v>7743</v>
      </c>
      <c r="D49" s="13" t="s">
        <v>7744</v>
      </c>
      <c r="G49" s="15">
        <v>34519.59</v>
      </c>
      <c r="H49" s="15">
        <v>10580</v>
      </c>
      <c r="K49" s="15">
        <v>23939.59</v>
      </c>
    </row>
    <row r="50" s="13" customFormat="1" ht="15" customHeight="1" spans="3:11">
      <c r="C50" s="13" t="s">
        <v>7745</v>
      </c>
      <c r="D50" s="13" t="s">
        <v>7746</v>
      </c>
      <c r="G50" s="15">
        <v>18235245.97</v>
      </c>
      <c r="H50" s="15">
        <v>16751741</v>
      </c>
      <c r="K50" s="15">
        <v>1483504.97</v>
      </c>
    </row>
    <row r="51" s="13" customFormat="1" ht="15" customHeight="1" spans="3:11">
      <c r="C51" s="13" t="s">
        <v>7747</v>
      </c>
      <c r="D51" s="13" t="s">
        <v>7748</v>
      </c>
      <c r="G51" s="15">
        <v>13860</v>
      </c>
      <c r="H51" s="15">
        <v>18360</v>
      </c>
      <c r="K51" s="15">
        <v>-4500</v>
      </c>
    </row>
    <row r="52" s="13" customFormat="1" ht="15" customHeight="1" spans="3:8">
      <c r="C52" s="13" t="s">
        <v>7749</v>
      </c>
      <c r="D52" s="13" t="s">
        <v>7750</v>
      </c>
      <c r="G52" s="15">
        <v>62829</v>
      </c>
      <c r="H52" s="15">
        <v>62829</v>
      </c>
    </row>
    <row r="53" s="13" customFormat="1" ht="15" customHeight="1" spans="3:8">
      <c r="C53" s="13" t="s">
        <v>7751</v>
      </c>
      <c r="D53" s="13" t="s">
        <v>7752</v>
      </c>
      <c r="G53" s="15">
        <v>1188</v>
      </c>
      <c r="H53" s="15">
        <v>1188</v>
      </c>
    </row>
    <row r="54" s="13" customFormat="1" ht="15" customHeight="1" spans="3:8">
      <c r="C54" s="13" t="s">
        <v>7753</v>
      </c>
      <c r="D54" s="13" t="s">
        <v>7754</v>
      </c>
      <c r="G54" s="15">
        <v>14060</v>
      </c>
      <c r="H54" s="15">
        <v>14060</v>
      </c>
    </row>
    <row r="55" s="13" customFormat="1" ht="15" customHeight="1" spans="3:11">
      <c r="C55" s="13" t="s">
        <v>7755</v>
      </c>
      <c r="D55" s="13" t="s">
        <v>7756</v>
      </c>
      <c r="G55" s="15">
        <v>5300</v>
      </c>
      <c r="K55" s="15">
        <v>5300</v>
      </c>
    </row>
    <row r="56" s="13" customFormat="1" ht="15" customHeight="1" spans="3:11">
      <c r="C56" s="13" t="s">
        <v>7757</v>
      </c>
      <c r="D56" s="13" t="s">
        <v>7758</v>
      </c>
      <c r="G56" s="15">
        <v>5000000</v>
      </c>
      <c r="K56" s="15">
        <v>5000000</v>
      </c>
    </row>
    <row r="57" s="13" customFormat="1" ht="15" customHeight="1" spans="3:11">
      <c r="C57" s="13" t="s">
        <v>7759</v>
      </c>
      <c r="D57" s="13" t="s">
        <v>7760</v>
      </c>
      <c r="H57" s="15">
        <v>30000</v>
      </c>
      <c r="K57" s="15">
        <v>-30000</v>
      </c>
    </row>
    <row r="58" s="13" customFormat="1" ht="15" customHeight="1" spans="3:11">
      <c r="C58" s="13" t="s">
        <v>7761</v>
      </c>
      <c r="D58" s="13" t="s">
        <v>7762</v>
      </c>
      <c r="G58" s="15">
        <v>2118</v>
      </c>
      <c r="K58" s="15">
        <v>2118</v>
      </c>
    </row>
    <row r="59" s="13" customFormat="1" ht="15" customHeight="1" spans="3:11">
      <c r="C59" s="13" t="s">
        <v>7763</v>
      </c>
      <c r="D59" s="13" t="s">
        <v>7764</v>
      </c>
      <c r="G59" s="15">
        <v>1080</v>
      </c>
      <c r="K59" s="15">
        <v>1080</v>
      </c>
    </row>
    <row r="60" s="13" customFormat="1" ht="15" customHeight="1" spans="3:11">
      <c r="C60" s="13" t="s">
        <v>7765</v>
      </c>
      <c r="D60" s="13" t="s">
        <v>7766</v>
      </c>
      <c r="G60" s="15">
        <v>16594.8</v>
      </c>
      <c r="K60" s="15">
        <v>16594.8</v>
      </c>
    </row>
    <row r="61" s="13" customFormat="1" ht="15" customHeight="1" spans="3:11">
      <c r="C61" s="13" t="s">
        <v>7767</v>
      </c>
      <c r="D61" s="13" t="s">
        <v>7768</v>
      </c>
      <c r="G61" s="15">
        <v>22734.25</v>
      </c>
      <c r="K61" s="15">
        <v>22734.25</v>
      </c>
    </row>
    <row r="62" s="13" customFormat="1" ht="15" customHeight="1" spans="3:11">
      <c r="C62" s="13" t="s">
        <v>7769</v>
      </c>
      <c r="D62" s="13" t="s">
        <v>7770</v>
      </c>
      <c r="G62" s="15">
        <v>98000</v>
      </c>
      <c r="H62" s="15">
        <v>130698.86</v>
      </c>
      <c r="K62" s="15">
        <v>-32698.86</v>
      </c>
    </row>
    <row r="63" s="13" customFormat="1" ht="15" customHeight="1" spans="3:11">
      <c r="C63" s="13" t="s">
        <v>7771</v>
      </c>
      <c r="D63" s="13" t="s">
        <v>7772</v>
      </c>
      <c r="G63" s="15">
        <v>5400</v>
      </c>
      <c r="K63" s="15">
        <v>5400</v>
      </c>
    </row>
    <row r="64" s="13" customFormat="1" ht="15" customHeight="1" spans="3:11">
      <c r="C64" s="13" t="s">
        <v>7773</v>
      </c>
      <c r="D64" s="13" t="s">
        <v>7774</v>
      </c>
      <c r="G64" s="15">
        <v>13808</v>
      </c>
      <c r="K64" s="15">
        <v>13808</v>
      </c>
    </row>
    <row r="65" s="13" customFormat="1" ht="15" customHeight="1" spans="3:11">
      <c r="C65" s="13" t="s">
        <v>7775</v>
      </c>
      <c r="D65" s="13" t="s">
        <v>7776</v>
      </c>
      <c r="H65" s="15">
        <v>834.2</v>
      </c>
      <c r="K65" s="15">
        <v>-834.2</v>
      </c>
    </row>
    <row r="66" s="13" customFormat="1" ht="15" customHeight="1" spans="3:11">
      <c r="C66" s="13" t="s">
        <v>7777</v>
      </c>
      <c r="D66" s="13" t="s">
        <v>7778</v>
      </c>
      <c r="G66" s="15">
        <v>100</v>
      </c>
      <c r="K66" s="15">
        <v>100</v>
      </c>
    </row>
    <row r="67" s="13" customFormat="1" ht="15" customHeight="1" spans="3:11">
      <c r="C67" s="13" t="s">
        <v>7779</v>
      </c>
      <c r="D67" s="13" t="s">
        <v>7780</v>
      </c>
      <c r="G67" s="15">
        <v>30000</v>
      </c>
      <c r="K67" s="15">
        <v>30000</v>
      </c>
    </row>
    <row r="68" s="13" customFormat="1" ht="15" customHeight="1" spans="3:11">
      <c r="C68" s="13" t="s">
        <v>7781</v>
      </c>
      <c r="D68" s="13" t="s">
        <v>7782</v>
      </c>
      <c r="G68" s="15">
        <v>13900</v>
      </c>
      <c r="K68" s="15">
        <v>13900</v>
      </c>
    </row>
    <row r="69" s="13" customFormat="1" ht="15" customHeight="1" spans="3:11">
      <c r="C69" s="13" t="s">
        <v>7783</v>
      </c>
      <c r="D69" s="13" t="s">
        <v>7784</v>
      </c>
      <c r="G69" s="15">
        <v>5200</v>
      </c>
      <c r="K69" s="15">
        <v>5200</v>
      </c>
    </row>
    <row r="70" s="13" customFormat="1" ht="15" customHeight="1" spans="3:11">
      <c r="C70" s="13" t="s">
        <v>7785</v>
      </c>
      <c r="D70" s="13" t="s">
        <v>7786</v>
      </c>
      <c r="H70" s="15">
        <v>3600</v>
      </c>
      <c r="K70" s="15">
        <v>-3600</v>
      </c>
    </row>
    <row r="71" s="13" customFormat="1" ht="15" customHeight="1" spans="3:8">
      <c r="C71" s="13" t="s">
        <v>7787</v>
      </c>
      <c r="D71" s="13" t="s">
        <v>7788</v>
      </c>
      <c r="G71" s="15">
        <v>10000</v>
      </c>
      <c r="H71" s="15">
        <v>10000</v>
      </c>
    </row>
    <row r="72" s="13" customFormat="1" ht="15" customHeight="1" spans="3:8">
      <c r="C72" s="13" t="s">
        <v>7789</v>
      </c>
      <c r="D72" s="13" t="s">
        <v>7790</v>
      </c>
      <c r="G72" s="15">
        <v>2466</v>
      </c>
      <c r="H72" s="15">
        <v>2466</v>
      </c>
    </row>
    <row r="73" s="13" customFormat="1" ht="15" customHeight="1" spans="3:11">
      <c r="C73" s="13" t="s">
        <v>7791</v>
      </c>
      <c r="D73" s="13" t="s">
        <v>7792</v>
      </c>
      <c r="G73" s="15">
        <v>8400</v>
      </c>
      <c r="H73" s="15">
        <v>4200</v>
      </c>
      <c r="K73" s="15">
        <v>4200</v>
      </c>
    </row>
    <row r="74" s="13" customFormat="1" ht="15" customHeight="1" spans="3:8">
      <c r="C74" s="13" t="s">
        <v>7793</v>
      </c>
      <c r="D74" s="13" t="s">
        <v>7794</v>
      </c>
      <c r="G74" s="15">
        <v>2800</v>
      </c>
      <c r="H74" s="15">
        <v>2800</v>
      </c>
    </row>
    <row r="75" s="13" customFormat="1" ht="15" customHeight="1" spans="3:11">
      <c r="C75" s="13" t="s">
        <v>7795</v>
      </c>
      <c r="D75" s="13" t="s">
        <v>7796</v>
      </c>
      <c r="G75" s="15">
        <v>3550</v>
      </c>
      <c r="K75" s="15">
        <v>3550</v>
      </c>
    </row>
    <row r="76" s="13" customFormat="1" ht="15" customHeight="1" spans="3:11">
      <c r="C76" s="13" t="s">
        <v>7797</v>
      </c>
      <c r="D76" s="13" t="s">
        <v>7798</v>
      </c>
      <c r="G76" s="15">
        <v>3900</v>
      </c>
      <c r="H76" s="15">
        <v>6800</v>
      </c>
      <c r="K76" s="15">
        <v>-2900</v>
      </c>
    </row>
    <row r="77" s="13" customFormat="1" ht="15" customHeight="1" spans="3:8">
      <c r="C77" s="13" t="s">
        <v>7799</v>
      </c>
      <c r="D77" s="13" t="s">
        <v>7800</v>
      </c>
      <c r="G77" s="15">
        <v>2100</v>
      </c>
      <c r="H77" s="15">
        <v>2100</v>
      </c>
    </row>
    <row r="78" s="13" customFormat="1" ht="15" customHeight="1" spans="3:11">
      <c r="C78" s="13" t="s">
        <v>7801</v>
      </c>
      <c r="D78" s="13" t="s">
        <v>7802</v>
      </c>
      <c r="G78" s="15">
        <v>3650</v>
      </c>
      <c r="H78" s="15">
        <v>7300</v>
      </c>
      <c r="K78" s="15">
        <v>-3650</v>
      </c>
    </row>
    <row r="79" s="13" customFormat="1" ht="15" customHeight="1" spans="3:8">
      <c r="C79" s="13" t="s">
        <v>7803</v>
      </c>
      <c r="D79" s="13" t="s">
        <v>7804</v>
      </c>
      <c r="G79" s="15">
        <v>7900</v>
      </c>
      <c r="H79" s="15">
        <v>7900</v>
      </c>
    </row>
    <row r="80" s="13" customFormat="1" ht="15" customHeight="1" spans="3:11">
      <c r="C80" s="13" t="s">
        <v>7805</v>
      </c>
      <c r="D80" s="13" t="s">
        <v>7806</v>
      </c>
      <c r="G80" s="15">
        <v>4200</v>
      </c>
      <c r="K80" s="15">
        <v>4200</v>
      </c>
    </row>
    <row r="81" s="13" customFormat="1" ht="15" customHeight="1" spans="3:8">
      <c r="C81" s="13" t="s">
        <v>7807</v>
      </c>
      <c r="D81" s="13" t="s">
        <v>7808</v>
      </c>
      <c r="G81" s="15">
        <v>19961.4</v>
      </c>
      <c r="H81" s="15">
        <v>19961.4</v>
      </c>
    </row>
    <row r="82" s="13" customFormat="1" ht="15" customHeight="1" spans="3:11">
      <c r="C82" s="13" t="s">
        <v>7809</v>
      </c>
      <c r="D82" s="13" t="s">
        <v>7810</v>
      </c>
      <c r="G82" s="15">
        <v>19100</v>
      </c>
      <c r="K82" s="15">
        <v>19100</v>
      </c>
    </row>
    <row r="83" s="13" customFormat="1" ht="15" customHeight="1" spans="3:11">
      <c r="C83" s="13" t="s">
        <v>7811</v>
      </c>
      <c r="D83" s="13" t="s">
        <v>7812</v>
      </c>
      <c r="G83" s="15">
        <v>3700</v>
      </c>
      <c r="K83" s="15">
        <v>3700</v>
      </c>
    </row>
    <row r="84" s="13" customFormat="1" ht="15" customHeight="1" spans="3:11">
      <c r="C84" s="13" t="s">
        <v>7813</v>
      </c>
      <c r="D84" s="13" t="s">
        <v>7814</v>
      </c>
      <c r="G84" s="15">
        <v>4000</v>
      </c>
      <c r="K84" s="15">
        <v>4000</v>
      </c>
    </row>
    <row r="85" s="13" customFormat="1" ht="15" customHeight="1" spans="3:8">
      <c r="C85" s="13" t="s">
        <v>7815</v>
      </c>
      <c r="D85" s="13" t="s">
        <v>7816</v>
      </c>
      <c r="G85" s="15">
        <v>3800</v>
      </c>
      <c r="H85" s="15">
        <v>3800</v>
      </c>
    </row>
    <row r="86" s="13" customFormat="1" ht="15" customHeight="1" spans="3:11">
      <c r="C86" s="13" t="s">
        <v>7817</v>
      </c>
      <c r="D86" s="13" t="s">
        <v>7818</v>
      </c>
      <c r="G86" s="15">
        <v>18000</v>
      </c>
      <c r="H86" s="15">
        <v>17600</v>
      </c>
      <c r="K86" s="15">
        <v>400</v>
      </c>
    </row>
    <row r="87" s="13" customFormat="1" ht="15" customHeight="1" spans="3:11">
      <c r="C87" s="13" t="s">
        <v>7819</v>
      </c>
      <c r="D87" s="13" t="s">
        <v>7820</v>
      </c>
      <c r="G87" s="15">
        <v>14500</v>
      </c>
      <c r="K87" s="15">
        <v>14500</v>
      </c>
    </row>
    <row r="88" s="13" customFormat="1" ht="15" customHeight="1" spans="3:11">
      <c r="C88" s="13" t="s">
        <v>7821</v>
      </c>
      <c r="D88" s="13" t="s">
        <v>7822</v>
      </c>
      <c r="G88" s="15">
        <v>4000</v>
      </c>
      <c r="K88" s="15">
        <v>4000</v>
      </c>
    </row>
    <row r="89" s="13" customFormat="1" ht="15" customHeight="1" spans="3:11">
      <c r="C89" s="13" t="s">
        <v>7823</v>
      </c>
      <c r="D89" s="13" t="s">
        <v>7824</v>
      </c>
      <c r="G89" s="15">
        <v>2000</v>
      </c>
      <c r="H89" s="15">
        <v>3900</v>
      </c>
      <c r="K89" s="15">
        <v>-1900</v>
      </c>
    </row>
    <row r="90" s="13" customFormat="1" ht="15" customHeight="1" spans="3:11">
      <c r="C90" s="13" t="s">
        <v>7825</v>
      </c>
      <c r="D90" s="13" t="s">
        <v>7826</v>
      </c>
      <c r="G90" s="15">
        <v>6900</v>
      </c>
      <c r="K90" s="15">
        <v>6900</v>
      </c>
    </row>
    <row r="91" s="13" customFormat="1" ht="15" customHeight="1" spans="3:11">
      <c r="C91" s="13" t="s">
        <v>7827</v>
      </c>
      <c r="D91" s="13" t="s">
        <v>7828</v>
      </c>
      <c r="G91" s="15">
        <v>9100</v>
      </c>
      <c r="K91" s="15">
        <v>9100</v>
      </c>
    </row>
    <row r="92" s="13" customFormat="1" ht="15" customHeight="1" spans="3:11">
      <c r="C92" s="13" t="s">
        <v>7829</v>
      </c>
      <c r="D92" s="13" t="s">
        <v>7830</v>
      </c>
      <c r="G92" s="15">
        <v>21900</v>
      </c>
      <c r="K92" s="15">
        <v>21900</v>
      </c>
    </row>
    <row r="93" s="13" customFormat="1" ht="15" customHeight="1" spans="3:11">
      <c r="C93" s="13" t="s">
        <v>7831</v>
      </c>
      <c r="D93" s="13" t="s">
        <v>7832</v>
      </c>
      <c r="G93" s="15">
        <v>1900</v>
      </c>
      <c r="K93" s="15">
        <v>1900</v>
      </c>
    </row>
    <row r="94" s="13" customFormat="1" ht="15" customHeight="1" spans="3:10">
      <c r="C94" s="13" t="s">
        <v>7833</v>
      </c>
      <c r="D94" s="13" t="s">
        <v>7834</v>
      </c>
      <c r="G94" s="15">
        <v>18600</v>
      </c>
      <c r="H94" s="15">
        <v>18600</v>
      </c>
      <c r="J94" s="15">
        <v>18600</v>
      </c>
    </row>
    <row r="95" s="13" customFormat="1" ht="15" customHeight="1" spans="3:11">
      <c r="C95" s="13" t="s">
        <v>7835</v>
      </c>
      <c r="D95" s="13" t="s">
        <v>7836</v>
      </c>
      <c r="G95" s="15">
        <v>4000</v>
      </c>
      <c r="K95" s="15">
        <v>4000</v>
      </c>
    </row>
    <row r="96" s="13" customFormat="1" ht="15" customHeight="1" spans="1:11">
      <c r="A96" s="13" t="s">
        <v>7837</v>
      </c>
      <c r="B96" s="13" t="s">
        <v>7838</v>
      </c>
      <c r="G96" s="15">
        <v>1327351.33</v>
      </c>
      <c r="H96" s="15">
        <v>1182699.03</v>
      </c>
      <c r="I96" s="15">
        <v>28965.4</v>
      </c>
      <c r="J96" s="15">
        <v>45994.97</v>
      </c>
      <c r="K96" s="15">
        <v>144652.3</v>
      </c>
    </row>
    <row r="97" s="13" customFormat="1" ht="15" customHeight="1" spans="3:11">
      <c r="C97" s="13" t="s">
        <v>7839</v>
      </c>
      <c r="D97" s="13" t="s">
        <v>7764</v>
      </c>
      <c r="G97" s="15">
        <v>11527.79</v>
      </c>
      <c r="H97" s="15">
        <v>100</v>
      </c>
      <c r="I97" s="15">
        <v>320</v>
      </c>
      <c r="K97" s="15">
        <v>11427.79</v>
      </c>
    </row>
    <row r="98" s="13" customFormat="1" ht="15" customHeight="1" spans="3:8">
      <c r="C98" s="13" t="s">
        <v>7840</v>
      </c>
      <c r="D98" s="13" t="s">
        <v>7841</v>
      </c>
      <c r="G98" s="15">
        <v>50799</v>
      </c>
      <c r="H98" s="15">
        <v>50799</v>
      </c>
    </row>
    <row r="99" s="13" customFormat="1" ht="15" customHeight="1" spans="3:11">
      <c r="C99" s="13" t="s">
        <v>7842</v>
      </c>
      <c r="D99" s="13" t="s">
        <v>7843</v>
      </c>
      <c r="G99" s="15">
        <v>59325.92</v>
      </c>
      <c r="H99" s="15">
        <v>62564.44</v>
      </c>
      <c r="K99" s="15">
        <v>-3238.52</v>
      </c>
    </row>
    <row r="100" s="13" customFormat="1" ht="15" customHeight="1" spans="3:11">
      <c r="C100" s="13" t="s">
        <v>7844</v>
      </c>
      <c r="D100" s="13" t="s">
        <v>7845</v>
      </c>
      <c r="G100" s="15">
        <v>2020</v>
      </c>
      <c r="I100" s="15">
        <v>276</v>
      </c>
      <c r="K100" s="15">
        <v>2020</v>
      </c>
    </row>
    <row r="101" s="13" customFormat="1" ht="15" customHeight="1" spans="3:11">
      <c r="C101" s="13" t="s">
        <v>7846</v>
      </c>
      <c r="D101" s="13" t="s">
        <v>7847</v>
      </c>
      <c r="G101" s="15">
        <v>368</v>
      </c>
      <c r="I101" s="15">
        <v>368</v>
      </c>
      <c r="K101" s="15">
        <v>368</v>
      </c>
    </row>
    <row r="102" s="13" customFormat="1" ht="15" customHeight="1" spans="3:11">
      <c r="C102" s="13" t="s">
        <v>7848</v>
      </c>
      <c r="D102" s="13" t="s">
        <v>7849</v>
      </c>
      <c r="G102" s="15">
        <v>2288</v>
      </c>
      <c r="H102" s="15">
        <v>92</v>
      </c>
      <c r="I102" s="15">
        <v>184</v>
      </c>
      <c r="J102" s="15">
        <v>92</v>
      </c>
      <c r="K102" s="15">
        <v>2196</v>
      </c>
    </row>
    <row r="103" s="13" customFormat="1" ht="15" customHeight="1" spans="3:11">
      <c r="C103" s="13" t="s">
        <v>7850</v>
      </c>
      <c r="D103" s="13" t="s">
        <v>7851</v>
      </c>
      <c r="G103" s="15">
        <v>92</v>
      </c>
      <c r="I103" s="15">
        <v>92</v>
      </c>
      <c r="K103" s="15">
        <v>92</v>
      </c>
    </row>
    <row r="104" s="13" customFormat="1" ht="15" customHeight="1" spans="3:11">
      <c r="C104" s="13" t="s">
        <v>7852</v>
      </c>
      <c r="D104" s="13" t="s">
        <v>7853</v>
      </c>
      <c r="G104" s="15">
        <v>2020</v>
      </c>
      <c r="I104" s="15">
        <v>276</v>
      </c>
      <c r="K104" s="15">
        <v>2020</v>
      </c>
    </row>
    <row r="105" s="13" customFormat="1" ht="15" customHeight="1" spans="3:11">
      <c r="C105" s="13" t="s">
        <v>7854</v>
      </c>
      <c r="D105" s="13" t="s">
        <v>7855</v>
      </c>
      <c r="G105" s="15">
        <v>368</v>
      </c>
      <c r="I105" s="15">
        <v>368</v>
      </c>
      <c r="K105" s="15">
        <v>368</v>
      </c>
    </row>
    <row r="106" s="13" customFormat="1" ht="15" customHeight="1" spans="3:11">
      <c r="C106" s="13" t="s">
        <v>7856</v>
      </c>
      <c r="D106" s="13" t="s">
        <v>7857</v>
      </c>
      <c r="G106" s="15">
        <v>1644</v>
      </c>
      <c r="K106" s="15">
        <v>1644</v>
      </c>
    </row>
    <row r="107" s="13" customFormat="1" ht="15" customHeight="1" spans="3:11">
      <c r="C107" s="13" t="s">
        <v>7858</v>
      </c>
      <c r="D107" s="13" t="s">
        <v>7859</v>
      </c>
      <c r="G107" s="15">
        <v>300</v>
      </c>
      <c r="K107" s="15">
        <v>300</v>
      </c>
    </row>
    <row r="108" s="13" customFormat="1" ht="15" customHeight="1" spans="3:11">
      <c r="C108" s="13" t="s">
        <v>7860</v>
      </c>
      <c r="D108" s="13" t="s">
        <v>7861</v>
      </c>
      <c r="G108" s="15">
        <v>300</v>
      </c>
      <c r="K108" s="15">
        <v>300</v>
      </c>
    </row>
    <row r="109" s="13" customFormat="1" ht="15" customHeight="1" spans="3:11">
      <c r="C109" s="13" t="s">
        <v>7862</v>
      </c>
      <c r="D109" s="13" t="s">
        <v>7863</v>
      </c>
      <c r="G109" s="15">
        <v>550.75</v>
      </c>
      <c r="K109" s="15">
        <v>550.75</v>
      </c>
    </row>
    <row r="110" s="13" customFormat="1" ht="15" customHeight="1" spans="3:11">
      <c r="C110" s="13" t="s">
        <v>7864</v>
      </c>
      <c r="D110" s="13" t="s">
        <v>7865</v>
      </c>
      <c r="G110" s="15">
        <v>1895.53</v>
      </c>
      <c r="K110" s="15">
        <v>1895.53</v>
      </c>
    </row>
    <row r="111" s="13" customFormat="1" ht="15" customHeight="1" spans="3:11">
      <c r="C111" s="13" t="s">
        <v>7866</v>
      </c>
      <c r="D111" s="13" t="s">
        <v>7867</v>
      </c>
      <c r="G111" s="15">
        <v>22671.94</v>
      </c>
      <c r="H111" s="15">
        <v>23347.44</v>
      </c>
      <c r="K111" s="15">
        <v>-675.5</v>
      </c>
    </row>
    <row r="112" s="13" customFormat="1" ht="15" customHeight="1" spans="3:11">
      <c r="C112" s="13" t="s">
        <v>7868</v>
      </c>
      <c r="D112" s="13" t="s">
        <v>7869</v>
      </c>
      <c r="G112" s="15">
        <v>8779.45</v>
      </c>
      <c r="H112" s="15">
        <v>2930.37</v>
      </c>
      <c r="K112" s="15">
        <v>5849.08</v>
      </c>
    </row>
    <row r="113" s="13" customFormat="1" ht="15" customHeight="1" spans="3:11">
      <c r="C113" s="13" t="s">
        <v>7870</v>
      </c>
      <c r="D113" s="13" t="s">
        <v>7871</v>
      </c>
      <c r="G113" s="15">
        <v>2380</v>
      </c>
      <c r="I113" s="15">
        <v>276</v>
      </c>
      <c r="K113" s="15">
        <v>2380</v>
      </c>
    </row>
    <row r="114" s="13" customFormat="1" ht="15" customHeight="1" spans="3:11">
      <c r="C114" s="13" t="s">
        <v>7872</v>
      </c>
      <c r="D114" s="13" t="s">
        <v>7873</v>
      </c>
      <c r="G114" s="15">
        <v>368</v>
      </c>
      <c r="I114" s="15">
        <v>368</v>
      </c>
      <c r="K114" s="15">
        <v>368</v>
      </c>
    </row>
    <row r="115" s="13" customFormat="1" ht="15" customHeight="1" spans="3:8">
      <c r="C115" s="13" t="s">
        <v>7874</v>
      </c>
      <c r="D115" s="13" t="s">
        <v>7875</v>
      </c>
      <c r="G115" s="15">
        <v>379237</v>
      </c>
      <c r="H115" s="15">
        <v>379237</v>
      </c>
    </row>
    <row r="116" s="13" customFormat="1" ht="15" customHeight="1" spans="3:11">
      <c r="C116" s="13" t="s">
        <v>7876</v>
      </c>
      <c r="D116" s="13" t="s">
        <v>7877</v>
      </c>
      <c r="G116" s="15">
        <v>7713.13</v>
      </c>
      <c r="H116" s="15">
        <v>7325.54</v>
      </c>
      <c r="K116" s="15">
        <v>387.59</v>
      </c>
    </row>
    <row r="117" s="13" customFormat="1" ht="15" customHeight="1" spans="3:11">
      <c r="C117" s="13" t="s">
        <v>7878</v>
      </c>
      <c r="D117" s="13" t="s">
        <v>7879</v>
      </c>
      <c r="G117" s="15">
        <v>13802.42</v>
      </c>
      <c r="H117" s="15">
        <v>11917.52</v>
      </c>
      <c r="I117" s="15">
        <v>2000</v>
      </c>
      <c r="J117" s="15">
        <v>3913.14</v>
      </c>
      <c r="K117" s="15">
        <v>1884.9</v>
      </c>
    </row>
    <row r="118" s="13" customFormat="1" ht="15" customHeight="1" spans="3:11">
      <c r="C118" s="13" t="s">
        <v>7880</v>
      </c>
      <c r="D118" s="13" t="s">
        <v>7881</v>
      </c>
      <c r="G118" s="15">
        <v>368</v>
      </c>
      <c r="I118" s="15">
        <v>368</v>
      </c>
      <c r="K118" s="15">
        <v>368</v>
      </c>
    </row>
    <row r="119" s="13" customFormat="1" ht="15" customHeight="1" spans="3:11">
      <c r="C119" s="13" t="s">
        <v>7882</v>
      </c>
      <c r="D119" s="13" t="s">
        <v>7883</v>
      </c>
      <c r="G119" s="15">
        <v>13134.91</v>
      </c>
      <c r="H119" s="15">
        <v>13591.48</v>
      </c>
      <c r="J119" s="15">
        <v>10913.14</v>
      </c>
      <c r="K119" s="15">
        <v>-456.57</v>
      </c>
    </row>
    <row r="120" s="13" customFormat="1" ht="15" customHeight="1" spans="3:11">
      <c r="C120" s="13" t="s">
        <v>7884</v>
      </c>
      <c r="D120" s="13" t="s">
        <v>7885</v>
      </c>
      <c r="G120" s="15">
        <v>3210</v>
      </c>
      <c r="K120" s="15">
        <v>3210</v>
      </c>
    </row>
    <row r="121" s="13" customFormat="1" ht="15" customHeight="1" spans="3:10">
      <c r="C121" s="13" t="s">
        <v>7886</v>
      </c>
      <c r="D121" s="13" t="s">
        <v>7887</v>
      </c>
      <c r="G121" s="15">
        <v>8745</v>
      </c>
      <c r="H121" s="15">
        <v>8745</v>
      </c>
      <c r="J121" s="15">
        <v>8745</v>
      </c>
    </row>
    <row r="122" s="13" customFormat="1" ht="15" customHeight="1" spans="3:11">
      <c r="C122" s="13" t="s">
        <v>7888</v>
      </c>
      <c r="D122" s="13" t="s">
        <v>7889</v>
      </c>
      <c r="G122" s="15">
        <v>368</v>
      </c>
      <c r="I122" s="15">
        <v>368</v>
      </c>
      <c r="K122" s="15">
        <v>368</v>
      </c>
    </row>
    <row r="123" s="13" customFormat="1" ht="15" customHeight="1" spans="3:11">
      <c r="C123" s="13" t="s">
        <v>7890</v>
      </c>
      <c r="D123" s="13" t="s">
        <v>7891</v>
      </c>
      <c r="G123" s="15">
        <v>3745</v>
      </c>
      <c r="K123" s="15">
        <v>3745</v>
      </c>
    </row>
    <row r="124" s="13" customFormat="1" ht="15" customHeight="1" spans="3:11">
      <c r="C124" s="13" t="s">
        <v>7892</v>
      </c>
      <c r="D124" s="13" t="s">
        <v>7893</v>
      </c>
      <c r="G124" s="15">
        <v>143750.36</v>
      </c>
      <c r="H124" s="15">
        <v>45000</v>
      </c>
      <c r="K124" s="15">
        <v>98750.36</v>
      </c>
    </row>
    <row r="125" s="13" customFormat="1" ht="15" customHeight="1" spans="3:11">
      <c r="C125" s="13" t="s">
        <v>7894</v>
      </c>
      <c r="D125" s="13" t="s">
        <v>7895</v>
      </c>
      <c r="G125" s="15">
        <v>63.81</v>
      </c>
      <c r="H125" s="15">
        <v>220.27</v>
      </c>
      <c r="K125" s="15">
        <v>-156.46</v>
      </c>
    </row>
    <row r="126" s="13" customFormat="1" ht="15" customHeight="1" spans="3:11">
      <c r="C126" s="13" t="s">
        <v>7896</v>
      </c>
      <c r="D126" s="13" t="s">
        <v>7897</v>
      </c>
      <c r="G126" s="15">
        <v>8949.4</v>
      </c>
      <c r="H126" s="15">
        <v>8969.4</v>
      </c>
      <c r="J126" s="15">
        <v>20</v>
      </c>
      <c r="K126" s="15">
        <v>-20</v>
      </c>
    </row>
    <row r="127" s="13" customFormat="1" ht="15" customHeight="1" spans="3:11">
      <c r="C127" s="13" t="s">
        <v>7898</v>
      </c>
      <c r="D127" s="13" t="s">
        <v>7899</v>
      </c>
      <c r="G127" s="15">
        <v>543558.19</v>
      </c>
      <c r="H127" s="15">
        <v>542820.92</v>
      </c>
      <c r="K127" s="15">
        <v>737.27</v>
      </c>
    </row>
    <row r="128" s="13" customFormat="1" ht="15" customHeight="1" spans="3:10">
      <c r="C128" s="13" t="s">
        <v>7900</v>
      </c>
      <c r="D128" s="13" t="s">
        <v>7901</v>
      </c>
      <c r="G128" s="15">
        <v>17683.53</v>
      </c>
      <c r="H128" s="15">
        <v>17683.53</v>
      </c>
      <c r="I128" s="15">
        <v>14500</v>
      </c>
      <c r="J128" s="15">
        <v>14956.57</v>
      </c>
    </row>
    <row r="129" s="13" customFormat="1" ht="15" customHeight="1" spans="3:11">
      <c r="C129" s="13" t="s">
        <v>7902</v>
      </c>
      <c r="D129" s="13" t="s">
        <v>7903</v>
      </c>
      <c r="G129" s="15">
        <v>3061.4</v>
      </c>
      <c r="K129" s="15">
        <v>3061.4</v>
      </c>
    </row>
    <row r="130" s="13" customFormat="1" ht="15" customHeight="1" spans="3:11">
      <c r="C130" s="13" t="s">
        <v>7904</v>
      </c>
      <c r="D130" s="13" t="s">
        <v>7905</v>
      </c>
      <c r="G130" s="15">
        <v>3061.4</v>
      </c>
      <c r="K130" s="15">
        <v>3061.4</v>
      </c>
    </row>
    <row r="131" s="13" customFormat="1" ht="15" customHeight="1" spans="3:11">
      <c r="C131" s="13" t="s">
        <v>7906</v>
      </c>
      <c r="D131" s="13" t="s">
        <v>7907</v>
      </c>
      <c r="G131" s="15">
        <v>9201.4</v>
      </c>
      <c r="H131" s="15">
        <v>6898.55</v>
      </c>
      <c r="I131" s="15">
        <v>9201.4</v>
      </c>
      <c r="J131" s="15">
        <v>6898.55</v>
      </c>
      <c r="K131" s="15">
        <v>2302.85</v>
      </c>
    </row>
    <row r="132" s="13" customFormat="1" ht="15" customHeight="1" spans="3:11">
      <c r="C132" s="13" t="s">
        <v>7908</v>
      </c>
      <c r="D132" s="13" t="s">
        <v>7909</v>
      </c>
      <c r="H132" s="15">
        <v>456.57</v>
      </c>
      <c r="J132" s="15">
        <v>456.57</v>
      </c>
      <c r="K132" s="15">
        <v>-456.57</v>
      </c>
    </row>
    <row r="133" s="13" customFormat="1" ht="15" customHeight="1" spans="1:11">
      <c r="A133" s="13" t="s">
        <v>7910</v>
      </c>
      <c r="B133" s="13" t="s">
        <v>7911</v>
      </c>
      <c r="G133" s="15">
        <v>16817328</v>
      </c>
      <c r="H133" s="15">
        <v>17166861</v>
      </c>
      <c r="I133" s="15">
        <v>16817328</v>
      </c>
      <c r="J133" s="15">
        <v>17166861</v>
      </c>
      <c r="K133" s="15">
        <v>-349533</v>
      </c>
    </row>
    <row r="134" s="13" customFormat="1" ht="15" customHeight="1" spans="1:11">
      <c r="A134" s="13" t="s">
        <v>7912</v>
      </c>
      <c r="B134" s="13" t="s">
        <v>7913</v>
      </c>
      <c r="G134" s="15">
        <v>124660</v>
      </c>
      <c r="H134" s="15">
        <v>355488</v>
      </c>
      <c r="I134" s="15">
        <v>124660</v>
      </c>
      <c r="J134" s="15">
        <v>355488</v>
      </c>
      <c r="K134" s="15">
        <v>-230828</v>
      </c>
    </row>
    <row r="135" s="13" customFormat="1" ht="15" customHeight="1" spans="3:11">
      <c r="C135" s="13" t="s">
        <v>7914</v>
      </c>
      <c r="D135" s="13" t="s">
        <v>2906</v>
      </c>
      <c r="G135" s="15">
        <v>121450</v>
      </c>
      <c r="H135" s="15">
        <v>355488</v>
      </c>
      <c r="I135" s="15">
        <v>121450</v>
      </c>
      <c r="J135" s="15">
        <v>355488</v>
      </c>
      <c r="K135" s="15">
        <v>-234038</v>
      </c>
    </row>
    <row r="136" s="13" customFormat="1" ht="15" customHeight="1" spans="3:11">
      <c r="C136" s="13" t="s">
        <v>7915</v>
      </c>
      <c r="D136" s="13" t="s">
        <v>7916</v>
      </c>
      <c r="G136" s="15">
        <v>2675</v>
      </c>
      <c r="I136" s="15">
        <v>2675</v>
      </c>
      <c r="K136" s="15">
        <v>2675</v>
      </c>
    </row>
    <row r="137" s="13" customFormat="1" ht="15" customHeight="1" spans="3:11">
      <c r="C137" s="13" t="s">
        <v>7917</v>
      </c>
      <c r="D137" s="13" t="s">
        <v>7918</v>
      </c>
      <c r="G137" s="15">
        <v>535</v>
      </c>
      <c r="I137" s="15">
        <v>535</v>
      </c>
      <c r="K137" s="15">
        <v>535</v>
      </c>
    </row>
    <row r="138" s="13" customFormat="1" ht="15" customHeight="1" spans="1:11">
      <c r="A138" s="13" t="s">
        <v>7919</v>
      </c>
      <c r="B138" s="13" t="s">
        <v>7920</v>
      </c>
      <c r="G138" s="15">
        <v>16692668</v>
      </c>
      <c r="H138" s="15">
        <v>16811373</v>
      </c>
      <c r="I138" s="15">
        <v>16692668</v>
      </c>
      <c r="J138" s="15">
        <v>16811373</v>
      </c>
      <c r="K138" s="15">
        <v>-118705</v>
      </c>
    </row>
    <row r="139" s="13" customFormat="1" ht="15" customHeight="1" spans="3:11">
      <c r="C139" s="13" t="s">
        <v>7921</v>
      </c>
      <c r="D139" s="13" t="s">
        <v>7922</v>
      </c>
      <c r="G139" s="15">
        <v>181968</v>
      </c>
      <c r="H139" s="15">
        <v>310481</v>
      </c>
      <c r="I139" s="15">
        <v>181968</v>
      </c>
      <c r="J139" s="15">
        <v>310481</v>
      </c>
      <c r="K139" s="15">
        <v>-128513</v>
      </c>
    </row>
    <row r="140" s="13" customFormat="1" ht="15" customHeight="1" spans="3:11">
      <c r="C140" s="13" t="s">
        <v>7923</v>
      </c>
      <c r="D140" s="13" t="s">
        <v>7924</v>
      </c>
      <c r="G140" s="15">
        <v>16510700</v>
      </c>
      <c r="H140" s="15">
        <v>10500000</v>
      </c>
      <c r="I140" s="15">
        <v>16510700</v>
      </c>
      <c r="J140" s="15">
        <v>10500000</v>
      </c>
      <c r="K140" s="15">
        <v>6010700</v>
      </c>
    </row>
    <row r="141" s="13" customFormat="1" ht="15" customHeight="1" spans="3:11">
      <c r="C141" s="13" t="s">
        <v>7925</v>
      </c>
      <c r="D141" s="13" t="s">
        <v>7926</v>
      </c>
      <c r="H141" s="15">
        <v>892</v>
      </c>
      <c r="J141" s="15">
        <v>892</v>
      </c>
      <c r="K141" s="15">
        <v>-892</v>
      </c>
    </row>
    <row r="142" s="13" customFormat="1" ht="15" customHeight="1" spans="3:11">
      <c r="C142" s="13" t="s">
        <v>7927</v>
      </c>
      <c r="D142" s="13" t="s">
        <v>7928</v>
      </c>
      <c r="H142" s="15">
        <v>6000000</v>
      </c>
      <c r="J142" s="15">
        <v>6000000</v>
      </c>
      <c r="K142" s="15">
        <v>-6000000</v>
      </c>
    </row>
    <row r="143" s="13" customFormat="1" ht="15" customHeight="1" spans="1:11">
      <c r="A143" s="13" t="s">
        <v>7929</v>
      </c>
      <c r="B143" s="13" t="s">
        <v>7930</v>
      </c>
      <c r="G143" s="15">
        <v>28100088.95</v>
      </c>
      <c r="H143" s="15">
        <v>16330692.22</v>
      </c>
      <c r="I143" s="15">
        <v>907218.5</v>
      </c>
      <c r="J143" s="15">
        <v>4891117.83</v>
      </c>
      <c r="K143" s="15">
        <v>11769396.73</v>
      </c>
    </row>
    <row r="144" s="13" customFormat="1" ht="15" customHeight="1" spans="3:11">
      <c r="C144" s="13" t="s">
        <v>7931</v>
      </c>
      <c r="D144" s="13" t="s">
        <v>7932</v>
      </c>
      <c r="H144" s="15">
        <v>509847.45</v>
      </c>
      <c r="J144" s="15">
        <v>509847.45</v>
      </c>
      <c r="K144" s="15">
        <v>-509847.45</v>
      </c>
    </row>
    <row r="145" s="13" customFormat="1" ht="15" customHeight="1" spans="3:11">
      <c r="C145" s="13" t="s">
        <v>7933</v>
      </c>
      <c r="D145" s="13" t="s">
        <v>7934</v>
      </c>
      <c r="H145" s="15">
        <v>163970.38</v>
      </c>
      <c r="J145" s="15">
        <v>163970.38</v>
      </c>
      <c r="K145" s="15">
        <v>-163970.38</v>
      </c>
    </row>
    <row r="146" s="13" customFormat="1" ht="15" customHeight="1" spans="3:11">
      <c r="C146" s="13" t="s">
        <v>7935</v>
      </c>
      <c r="D146" s="13" t="s">
        <v>7936</v>
      </c>
      <c r="G146" s="15">
        <v>28100088.95</v>
      </c>
      <c r="H146" s="15">
        <v>15656874.39</v>
      </c>
      <c r="I146" s="15">
        <v>907218.5</v>
      </c>
      <c r="J146" s="15">
        <v>4217300</v>
      </c>
      <c r="K146" s="15">
        <v>12443214.56</v>
      </c>
    </row>
    <row r="147" s="13" customFormat="1" ht="15" customHeight="1" spans="1:11">
      <c r="A147" s="13" t="s">
        <v>7937</v>
      </c>
      <c r="B147" s="13" t="s">
        <v>7938</v>
      </c>
      <c r="G147" s="15">
        <v>2000</v>
      </c>
      <c r="K147" s="15">
        <v>2000</v>
      </c>
    </row>
    <row r="148" s="13" customFormat="1" ht="15" customHeight="1" spans="3:11">
      <c r="C148" s="13" t="s">
        <v>7939</v>
      </c>
      <c r="D148" s="13" t="s">
        <v>7939</v>
      </c>
      <c r="G148" s="15">
        <v>2000</v>
      </c>
      <c r="K148" s="15">
        <v>2000</v>
      </c>
    </row>
    <row r="149" s="13" customFormat="1" ht="15" customHeight="1" spans="1:12">
      <c r="A149" s="13" t="s">
        <v>7940</v>
      </c>
      <c r="B149" s="13" t="s">
        <v>7941</v>
      </c>
      <c r="H149" s="15">
        <v>2000</v>
      </c>
      <c r="L149" s="15">
        <v>2000</v>
      </c>
    </row>
    <row r="150" s="13" customFormat="1" ht="15" customHeight="1" spans="3:12">
      <c r="C150" s="13" t="s">
        <v>7942</v>
      </c>
      <c r="D150" s="13" t="s">
        <v>7936</v>
      </c>
      <c r="H150" s="15">
        <v>2000</v>
      </c>
      <c r="L150" s="15">
        <v>2000</v>
      </c>
    </row>
    <row r="151" s="13" customFormat="1" ht="15" customHeight="1" spans="1:12">
      <c r="A151" s="13" t="s">
        <v>7943</v>
      </c>
      <c r="B151" s="13" t="s">
        <v>7944</v>
      </c>
      <c r="G151" s="15">
        <v>38998096.89</v>
      </c>
      <c r="H151" s="15">
        <v>66105897.73</v>
      </c>
      <c r="I151" s="15">
        <v>216194.75</v>
      </c>
      <c r="J151" s="15">
        <v>20285677.68</v>
      </c>
      <c r="L151" s="15">
        <v>27107800.84</v>
      </c>
    </row>
    <row r="152" s="13" customFormat="1" ht="15" customHeight="1" spans="1:12">
      <c r="A152" s="13" t="s">
        <v>7945</v>
      </c>
      <c r="B152" s="13" t="s">
        <v>7946</v>
      </c>
      <c r="G152" s="15">
        <v>38998096.89</v>
      </c>
      <c r="H152" s="15">
        <v>66105897.73</v>
      </c>
      <c r="I152" s="15">
        <v>216194.75</v>
      </c>
      <c r="J152" s="15">
        <v>20285677.68</v>
      </c>
      <c r="L152" s="15">
        <v>27107800.84</v>
      </c>
    </row>
    <row r="153" s="13" customFormat="1" ht="15" customHeight="1" spans="3:12">
      <c r="C153" s="13" t="s">
        <v>7947</v>
      </c>
      <c r="D153" s="13" t="s">
        <v>7948</v>
      </c>
      <c r="G153" s="15">
        <v>29121857.68</v>
      </c>
      <c r="H153" s="15">
        <v>54636028.15</v>
      </c>
      <c r="J153" s="15">
        <v>20069482.93</v>
      </c>
      <c r="L153" s="15">
        <v>25514170.47</v>
      </c>
    </row>
    <row r="154" s="13" customFormat="1" ht="15" customHeight="1" spans="3:12">
      <c r="C154" s="13" t="s">
        <v>7949</v>
      </c>
      <c r="D154" s="13" t="s">
        <v>7950</v>
      </c>
      <c r="G154" s="15">
        <v>142500</v>
      </c>
      <c r="H154" s="15">
        <v>150000</v>
      </c>
      <c r="L154" s="15">
        <v>7500</v>
      </c>
    </row>
    <row r="155" s="13" customFormat="1" ht="15" customHeight="1" spans="3:12">
      <c r="C155" s="13" t="s">
        <v>7951</v>
      </c>
      <c r="D155" s="13" t="s">
        <v>7952</v>
      </c>
      <c r="G155" s="15">
        <v>3049</v>
      </c>
      <c r="L155" s="15">
        <v>-3049</v>
      </c>
    </row>
    <row r="156" s="13" customFormat="1" ht="15" customHeight="1" spans="3:8">
      <c r="C156" s="13" t="s">
        <v>7953</v>
      </c>
      <c r="D156" s="13" t="s">
        <v>7954</v>
      </c>
      <c r="G156" s="15">
        <v>706662.56</v>
      </c>
      <c r="H156" s="15">
        <v>706662.56</v>
      </c>
    </row>
    <row r="157" s="13" customFormat="1" ht="15" customHeight="1" spans="3:12">
      <c r="C157" s="13" t="s">
        <v>7955</v>
      </c>
      <c r="D157" s="13" t="s">
        <v>7956</v>
      </c>
      <c r="H157" s="15">
        <v>2800</v>
      </c>
      <c r="L157" s="15">
        <v>2800</v>
      </c>
    </row>
    <row r="158" s="13" customFormat="1" ht="15" customHeight="1" spans="3:12">
      <c r="C158" s="13" t="s">
        <v>7957</v>
      </c>
      <c r="D158" s="13" t="s">
        <v>7958</v>
      </c>
      <c r="G158" s="15">
        <v>293434.61</v>
      </c>
      <c r="H158" s="15">
        <v>294434.61</v>
      </c>
      <c r="L158" s="15">
        <v>1000</v>
      </c>
    </row>
    <row r="159" s="13" customFormat="1" ht="15" customHeight="1" spans="3:8">
      <c r="C159" s="13" t="s">
        <v>7959</v>
      </c>
      <c r="D159" s="13" t="s">
        <v>7960</v>
      </c>
      <c r="G159" s="15">
        <v>10828.84</v>
      </c>
      <c r="H159" s="15">
        <v>10828.84</v>
      </c>
    </row>
    <row r="160" s="13" customFormat="1" ht="15" customHeight="1" spans="3:8">
      <c r="C160" s="13" t="s">
        <v>7961</v>
      </c>
      <c r="D160" s="13" t="s">
        <v>7962</v>
      </c>
      <c r="G160" s="15">
        <v>305849</v>
      </c>
      <c r="H160" s="15">
        <v>305849</v>
      </c>
    </row>
    <row r="161" s="13" customFormat="1" ht="15" customHeight="1" spans="3:12">
      <c r="C161" s="13" t="s">
        <v>7963</v>
      </c>
      <c r="D161" s="13" t="s">
        <v>7964</v>
      </c>
      <c r="G161" s="15">
        <v>500000</v>
      </c>
      <c r="H161" s="15">
        <v>590000</v>
      </c>
      <c r="L161" s="15">
        <v>90000</v>
      </c>
    </row>
    <row r="162" s="13" customFormat="1" ht="15" customHeight="1" spans="3:8">
      <c r="C162" s="13" t="s">
        <v>7965</v>
      </c>
      <c r="D162" s="13" t="s">
        <v>7966</v>
      </c>
      <c r="G162" s="15">
        <v>38414</v>
      </c>
      <c r="H162" s="15">
        <v>38414</v>
      </c>
    </row>
    <row r="163" s="13" customFormat="1" ht="15" customHeight="1" spans="3:8">
      <c r="C163" s="13" t="s">
        <v>7967</v>
      </c>
      <c r="D163" s="13" t="s">
        <v>7968</v>
      </c>
      <c r="G163" s="15">
        <v>95000</v>
      </c>
      <c r="H163" s="15">
        <v>95000</v>
      </c>
    </row>
    <row r="164" s="13" customFormat="1" ht="15" customHeight="1" spans="3:8">
      <c r="C164" s="13" t="s">
        <v>7969</v>
      </c>
      <c r="D164" s="13" t="s">
        <v>7970</v>
      </c>
      <c r="G164" s="15">
        <v>200000</v>
      </c>
      <c r="H164" s="15">
        <v>200000</v>
      </c>
    </row>
    <row r="165" s="13" customFormat="1" ht="15" customHeight="1" spans="3:12">
      <c r="C165" s="13" t="s">
        <v>7971</v>
      </c>
      <c r="D165" s="13" t="s">
        <v>7972</v>
      </c>
      <c r="H165" s="15">
        <v>3867</v>
      </c>
      <c r="L165" s="15">
        <v>3867</v>
      </c>
    </row>
    <row r="166" s="13" customFormat="1" ht="15" customHeight="1" spans="3:12">
      <c r="C166" s="13" t="s">
        <v>7973</v>
      </c>
      <c r="D166" s="13" t="s">
        <v>7974</v>
      </c>
      <c r="G166" s="15">
        <v>11650</v>
      </c>
      <c r="H166" s="15">
        <v>16200</v>
      </c>
      <c r="L166" s="15">
        <v>4550</v>
      </c>
    </row>
    <row r="167" s="13" customFormat="1" ht="15" customHeight="1" spans="3:8">
      <c r="C167" s="13" t="s">
        <v>7975</v>
      </c>
      <c r="D167" s="13" t="s">
        <v>7976</v>
      </c>
      <c r="G167" s="15">
        <v>135000</v>
      </c>
      <c r="H167" s="15">
        <v>135000</v>
      </c>
    </row>
    <row r="168" s="13" customFormat="1" ht="15" customHeight="1" spans="3:8">
      <c r="C168" s="13" t="s">
        <v>7977</v>
      </c>
      <c r="D168" s="13" t="s">
        <v>7978</v>
      </c>
      <c r="G168" s="15">
        <v>3600</v>
      </c>
      <c r="H168" s="15">
        <v>3600</v>
      </c>
    </row>
    <row r="169" s="13" customFormat="1" ht="15" customHeight="1" spans="3:8">
      <c r="C169" s="13" t="s">
        <v>7979</v>
      </c>
      <c r="D169" s="13" t="s">
        <v>7980</v>
      </c>
      <c r="G169" s="15">
        <v>5250</v>
      </c>
      <c r="H169" s="15">
        <v>5250</v>
      </c>
    </row>
    <row r="170" s="13" customFormat="1" ht="15" customHeight="1" spans="3:8">
      <c r="C170" s="13" t="s">
        <v>7981</v>
      </c>
      <c r="D170" s="13" t="s">
        <v>7982</v>
      </c>
      <c r="G170" s="15">
        <v>28000</v>
      </c>
      <c r="H170" s="15">
        <v>28000</v>
      </c>
    </row>
    <row r="171" s="13" customFormat="1" ht="15" customHeight="1" spans="3:8">
      <c r="C171" s="13" t="s">
        <v>7983</v>
      </c>
      <c r="D171" s="13" t="s">
        <v>7984</v>
      </c>
      <c r="G171" s="15">
        <v>892514.45</v>
      </c>
      <c r="H171" s="15">
        <v>892514.45</v>
      </c>
    </row>
    <row r="172" s="13" customFormat="1" ht="15" customHeight="1" spans="3:12">
      <c r="C172" s="13" t="s">
        <v>7985</v>
      </c>
      <c r="D172" s="13" t="s">
        <v>7986</v>
      </c>
      <c r="H172" s="15">
        <v>12300</v>
      </c>
      <c r="L172" s="15">
        <v>12300</v>
      </c>
    </row>
    <row r="173" s="13" customFormat="1" ht="15" customHeight="1" spans="3:12">
      <c r="C173" s="13" t="s">
        <v>7987</v>
      </c>
      <c r="D173" s="13" t="s">
        <v>7988</v>
      </c>
      <c r="H173" s="15">
        <v>149378</v>
      </c>
      <c r="L173" s="15">
        <v>149378</v>
      </c>
    </row>
    <row r="174" s="13" customFormat="1" ht="15" customHeight="1" spans="3:12">
      <c r="C174" s="13" t="s">
        <v>7989</v>
      </c>
      <c r="D174" s="13" t="s">
        <v>7990</v>
      </c>
      <c r="H174" s="15">
        <v>1200498</v>
      </c>
      <c r="L174" s="15">
        <v>1200498</v>
      </c>
    </row>
    <row r="175" s="13" customFormat="1" ht="15" customHeight="1" spans="3:12">
      <c r="C175" s="13" t="s">
        <v>7991</v>
      </c>
      <c r="D175" s="13" t="s">
        <v>7992</v>
      </c>
      <c r="G175" s="15">
        <v>10000</v>
      </c>
      <c r="H175" s="15">
        <v>57540.3</v>
      </c>
      <c r="L175" s="15">
        <v>47540.3</v>
      </c>
    </row>
    <row r="176" s="13" customFormat="1" ht="15" customHeight="1" spans="3:12">
      <c r="C176" s="13" t="s">
        <v>7993</v>
      </c>
      <c r="D176" s="13" t="s">
        <v>7994</v>
      </c>
      <c r="H176" s="15">
        <v>0.2</v>
      </c>
      <c r="L176" s="15">
        <v>0.2</v>
      </c>
    </row>
    <row r="177" s="13" customFormat="1" ht="15" customHeight="1" spans="3:12">
      <c r="C177" s="13" t="s">
        <v>7995</v>
      </c>
      <c r="D177" s="13" t="s">
        <v>7996</v>
      </c>
      <c r="H177" s="15">
        <v>32103.7</v>
      </c>
      <c r="L177" s="15">
        <v>32103.7</v>
      </c>
    </row>
    <row r="178" s="13" customFormat="1" ht="15" customHeight="1" spans="3:12">
      <c r="C178" s="13" t="s">
        <v>7997</v>
      </c>
      <c r="D178" s="13" t="s">
        <v>7998</v>
      </c>
      <c r="G178" s="15">
        <v>20</v>
      </c>
      <c r="L178" s="15">
        <v>-20</v>
      </c>
    </row>
    <row r="179" s="13" customFormat="1" ht="15" customHeight="1" spans="3:12">
      <c r="C179" s="13" t="s">
        <v>7999</v>
      </c>
      <c r="D179" s="13" t="s">
        <v>8000</v>
      </c>
      <c r="H179" s="15">
        <v>8150</v>
      </c>
      <c r="L179" s="15">
        <v>8150</v>
      </c>
    </row>
    <row r="180" s="13" customFormat="1" ht="15" customHeight="1" spans="3:12">
      <c r="C180" s="13" t="s">
        <v>8001</v>
      </c>
      <c r="D180" s="13" t="s">
        <v>8002</v>
      </c>
      <c r="H180" s="15">
        <v>1350</v>
      </c>
      <c r="L180" s="15">
        <v>1350</v>
      </c>
    </row>
    <row r="181" s="13" customFormat="1" ht="15" customHeight="1" spans="3:12">
      <c r="C181" s="13" t="s">
        <v>8003</v>
      </c>
      <c r="D181" s="13" t="s">
        <v>8004</v>
      </c>
      <c r="G181" s="15">
        <v>35000</v>
      </c>
      <c r="L181" s="15">
        <v>-35000</v>
      </c>
    </row>
    <row r="182" s="13" customFormat="1" ht="15" customHeight="1" spans="3:12">
      <c r="C182" s="13" t="s">
        <v>8005</v>
      </c>
      <c r="D182" s="13" t="s">
        <v>8006</v>
      </c>
      <c r="G182" s="15">
        <v>29000</v>
      </c>
      <c r="H182" s="15">
        <v>31000</v>
      </c>
      <c r="L182" s="15">
        <v>2000</v>
      </c>
    </row>
    <row r="183" s="13" customFormat="1" ht="15" customHeight="1" spans="3:12">
      <c r="C183" s="13" t="s">
        <v>8007</v>
      </c>
      <c r="D183" s="13" t="s">
        <v>8008</v>
      </c>
      <c r="H183" s="15">
        <v>2288</v>
      </c>
      <c r="L183" s="15">
        <v>2288</v>
      </c>
    </row>
    <row r="184" s="13" customFormat="1" ht="15" customHeight="1" spans="3:8">
      <c r="C184" s="13" t="s">
        <v>8009</v>
      </c>
      <c r="D184" s="13" t="s">
        <v>8010</v>
      </c>
      <c r="G184" s="15">
        <v>3000000</v>
      </c>
      <c r="H184" s="15">
        <v>3000000</v>
      </c>
    </row>
    <row r="185" s="13" customFormat="1" ht="15" customHeight="1" spans="3:8">
      <c r="C185" s="13" t="s">
        <v>8011</v>
      </c>
      <c r="D185" s="13" t="s">
        <v>8012</v>
      </c>
      <c r="G185" s="15">
        <v>70000</v>
      </c>
      <c r="H185" s="15">
        <v>70000</v>
      </c>
    </row>
    <row r="186" s="13" customFormat="1" ht="15" customHeight="1" spans="3:8">
      <c r="C186" s="13" t="s">
        <v>8013</v>
      </c>
      <c r="D186" s="13" t="s">
        <v>8014</v>
      </c>
      <c r="G186" s="15">
        <v>115390</v>
      </c>
      <c r="H186" s="15">
        <v>115390</v>
      </c>
    </row>
    <row r="187" s="13" customFormat="1" ht="15" customHeight="1" spans="3:8">
      <c r="C187" s="13" t="s">
        <v>8015</v>
      </c>
      <c r="D187" s="13" t="s">
        <v>8016</v>
      </c>
      <c r="G187" s="15">
        <v>1100000</v>
      </c>
      <c r="H187" s="15">
        <v>1100000</v>
      </c>
    </row>
    <row r="188" s="13" customFormat="1" ht="15" customHeight="1" spans="3:8">
      <c r="C188" s="13" t="s">
        <v>8017</v>
      </c>
      <c r="D188" s="13" t="s">
        <v>8018</v>
      </c>
      <c r="G188" s="15">
        <v>1436159</v>
      </c>
      <c r="H188" s="15">
        <v>1436159</v>
      </c>
    </row>
    <row r="189" s="13" customFormat="1" ht="15" customHeight="1" spans="3:10">
      <c r="C189" s="13" t="s">
        <v>8019</v>
      </c>
      <c r="D189" s="13" t="s">
        <v>8020</v>
      </c>
      <c r="G189" s="15">
        <v>113750</v>
      </c>
      <c r="H189" s="15">
        <v>113750</v>
      </c>
      <c r="I189" s="15">
        <v>113750</v>
      </c>
      <c r="J189" s="15">
        <v>113750</v>
      </c>
    </row>
    <row r="190" s="13" customFormat="1" ht="15" customHeight="1" spans="3:8">
      <c r="C190" s="13" t="s">
        <v>8021</v>
      </c>
      <c r="D190" s="13" t="s">
        <v>8022</v>
      </c>
      <c r="G190" s="15">
        <v>341250</v>
      </c>
      <c r="H190" s="15">
        <v>341250</v>
      </c>
    </row>
    <row r="191" s="13" customFormat="1" ht="15" customHeight="1" spans="3:12">
      <c r="C191" s="13" t="s">
        <v>8023</v>
      </c>
      <c r="D191" s="13" t="s">
        <v>8024</v>
      </c>
      <c r="H191" s="15">
        <v>10374.17</v>
      </c>
      <c r="L191" s="15">
        <v>10374.17</v>
      </c>
    </row>
    <row r="192" s="13" customFormat="1" ht="15" customHeight="1" spans="3:12">
      <c r="C192" s="13" t="s">
        <v>8025</v>
      </c>
      <c r="D192" s="13" t="s">
        <v>8026</v>
      </c>
      <c r="G192" s="15">
        <v>24000</v>
      </c>
      <c r="H192" s="15">
        <v>80000</v>
      </c>
      <c r="L192" s="15">
        <v>56000</v>
      </c>
    </row>
    <row r="193" s="13" customFormat="1" ht="15" customHeight="1" spans="3:8">
      <c r="C193" s="13" t="s">
        <v>8027</v>
      </c>
      <c r="D193" s="13" t="s">
        <v>8028</v>
      </c>
      <c r="G193" s="15">
        <v>77473</v>
      </c>
      <c r="H193" s="15">
        <v>77473</v>
      </c>
    </row>
    <row r="194" s="13" customFormat="1" ht="15" customHeight="1" spans="3:8">
      <c r="C194" s="13" t="s">
        <v>8029</v>
      </c>
      <c r="D194" s="13" t="s">
        <v>8030</v>
      </c>
      <c r="G194" s="15">
        <v>50000</v>
      </c>
      <c r="H194" s="15">
        <v>50000</v>
      </c>
    </row>
    <row r="195" s="13" customFormat="1" ht="15" customHeight="1" spans="3:10">
      <c r="C195" s="13" t="s">
        <v>8031</v>
      </c>
      <c r="D195" s="13" t="s">
        <v>8032</v>
      </c>
      <c r="G195" s="15">
        <v>102444.75</v>
      </c>
      <c r="H195" s="15">
        <v>102444.75</v>
      </c>
      <c r="I195" s="15">
        <v>102444.75</v>
      </c>
      <c r="J195" s="15">
        <v>102444.75</v>
      </c>
    </row>
    <row r="196" s="13" customFormat="1" ht="15" customHeight="1" spans="1:12">
      <c r="A196" s="13" t="s">
        <v>8033</v>
      </c>
      <c r="B196" s="13" t="s">
        <v>25</v>
      </c>
      <c r="G196" s="15">
        <v>85169562.23</v>
      </c>
      <c r="H196" s="15">
        <v>126372465.84</v>
      </c>
      <c r="I196" s="15">
        <v>6504298</v>
      </c>
      <c r="J196" s="15">
        <v>4567053</v>
      </c>
      <c r="L196" s="15">
        <v>41202903.61</v>
      </c>
    </row>
    <row r="197" s="13" customFormat="1" ht="15" customHeight="1" spans="1:12">
      <c r="A197" s="13" t="s">
        <v>5631</v>
      </c>
      <c r="B197" s="13" t="s">
        <v>8034</v>
      </c>
      <c r="G197" s="15">
        <v>85169562.23</v>
      </c>
      <c r="H197" s="15">
        <v>126372465.84</v>
      </c>
      <c r="I197" s="15">
        <v>6504298</v>
      </c>
      <c r="J197" s="15">
        <v>4567053</v>
      </c>
      <c r="L197" s="15">
        <v>41202903.61</v>
      </c>
    </row>
    <row r="198" s="13" customFormat="1" ht="15" customHeight="1" spans="3:12">
      <c r="C198" s="13" t="s">
        <v>8035</v>
      </c>
      <c r="D198" s="13" t="s">
        <v>8036</v>
      </c>
      <c r="H198" s="15">
        <v>204672</v>
      </c>
      <c r="J198" s="15">
        <v>204672</v>
      </c>
      <c r="L198" s="15">
        <v>204672</v>
      </c>
    </row>
    <row r="199" s="13" customFormat="1" ht="15" customHeight="1" spans="3:12">
      <c r="C199" s="13" t="s">
        <v>8037</v>
      </c>
      <c r="D199" s="13" t="s">
        <v>7619</v>
      </c>
      <c r="H199" s="15">
        <v>13000</v>
      </c>
      <c r="J199" s="15">
        <v>13000</v>
      </c>
      <c r="L199" s="15">
        <v>13000</v>
      </c>
    </row>
    <row r="200" s="13" customFormat="1" ht="15" customHeight="1" spans="3:12">
      <c r="C200" s="13" t="s">
        <v>8038</v>
      </c>
      <c r="D200" s="13" t="s">
        <v>7620</v>
      </c>
      <c r="H200" s="15">
        <v>5000</v>
      </c>
      <c r="J200" s="15">
        <v>5000</v>
      </c>
      <c r="L200" s="15">
        <v>5000</v>
      </c>
    </row>
    <row r="201" s="13" customFormat="1" ht="15" customHeight="1" spans="3:12">
      <c r="C201" s="13" t="s">
        <v>8039</v>
      </c>
      <c r="D201" s="13" t="s">
        <v>8040</v>
      </c>
      <c r="H201" s="15">
        <v>20000</v>
      </c>
      <c r="J201" s="15">
        <v>20000</v>
      </c>
      <c r="L201" s="15">
        <v>20000</v>
      </c>
    </row>
    <row r="202" s="13" customFormat="1" ht="15" customHeight="1" spans="3:12">
      <c r="C202" s="13" t="s">
        <v>8041</v>
      </c>
      <c r="D202" s="13" t="s">
        <v>7621</v>
      </c>
      <c r="H202" s="15">
        <v>20000</v>
      </c>
      <c r="J202" s="15">
        <v>20000</v>
      </c>
      <c r="L202" s="15">
        <v>20000</v>
      </c>
    </row>
    <row r="203" s="13" customFormat="1" ht="15" customHeight="1" spans="3:12">
      <c r="C203" s="13" t="s">
        <v>8042</v>
      </c>
      <c r="D203" s="13" t="s">
        <v>8043</v>
      </c>
      <c r="H203" s="15">
        <v>30000</v>
      </c>
      <c r="J203" s="15">
        <v>30000</v>
      </c>
      <c r="L203" s="15">
        <v>30000</v>
      </c>
    </row>
    <row r="204" s="13" customFormat="1" ht="15" customHeight="1" spans="3:12">
      <c r="C204" s="13" t="s">
        <v>8044</v>
      </c>
      <c r="D204" s="13" t="s">
        <v>8045</v>
      </c>
      <c r="H204" s="15">
        <v>30000</v>
      </c>
      <c r="J204" s="15">
        <v>30000</v>
      </c>
      <c r="L204" s="15">
        <v>30000</v>
      </c>
    </row>
    <row r="205" s="13" customFormat="1" ht="15" customHeight="1" spans="3:12">
      <c r="C205" s="13" t="s">
        <v>8046</v>
      </c>
      <c r="D205" s="13" t="s">
        <v>8047</v>
      </c>
      <c r="H205" s="15">
        <v>20000</v>
      </c>
      <c r="J205" s="15">
        <v>20000</v>
      </c>
      <c r="L205" s="15">
        <v>20000</v>
      </c>
    </row>
    <row r="206" s="13" customFormat="1" ht="15" customHeight="1" spans="3:12">
      <c r="C206" s="13" t="s">
        <v>8048</v>
      </c>
      <c r="D206" s="13" t="s">
        <v>8049</v>
      </c>
      <c r="H206" s="15">
        <v>20000</v>
      </c>
      <c r="J206" s="15">
        <v>20000</v>
      </c>
      <c r="L206" s="15">
        <v>20000</v>
      </c>
    </row>
    <row r="207" s="13" customFormat="1" ht="15" customHeight="1" spans="3:12">
      <c r="C207" s="13" t="s">
        <v>8050</v>
      </c>
      <c r="D207" s="13" t="s">
        <v>8051</v>
      </c>
      <c r="H207" s="15">
        <v>20000</v>
      </c>
      <c r="J207" s="15">
        <v>20000</v>
      </c>
      <c r="L207" s="15">
        <v>20000</v>
      </c>
    </row>
    <row r="208" s="13" customFormat="1" ht="15" customHeight="1" spans="3:12">
      <c r="C208" s="13" t="s">
        <v>8052</v>
      </c>
      <c r="D208" s="13" t="s">
        <v>8053</v>
      </c>
      <c r="H208" s="15">
        <v>20000</v>
      </c>
      <c r="J208" s="15">
        <v>20000</v>
      </c>
      <c r="L208" s="15">
        <v>20000</v>
      </c>
    </row>
    <row r="209" s="13" customFormat="1" ht="15" customHeight="1" spans="3:12">
      <c r="C209" s="13" t="s">
        <v>8054</v>
      </c>
      <c r="D209" s="13" t="s">
        <v>8055</v>
      </c>
      <c r="H209" s="15">
        <v>20000</v>
      </c>
      <c r="J209" s="15">
        <v>20000</v>
      </c>
      <c r="L209" s="15">
        <v>20000</v>
      </c>
    </row>
    <row r="210" s="13" customFormat="1" ht="15" customHeight="1" spans="3:12">
      <c r="C210" s="13" t="s">
        <v>8056</v>
      </c>
      <c r="D210" s="13" t="s">
        <v>8057</v>
      </c>
      <c r="H210" s="15">
        <v>20000</v>
      </c>
      <c r="J210" s="15">
        <v>20000</v>
      </c>
      <c r="L210" s="15">
        <v>20000</v>
      </c>
    </row>
    <row r="211" s="13" customFormat="1" ht="15" customHeight="1" spans="3:12">
      <c r="C211" s="13" t="s">
        <v>8058</v>
      </c>
      <c r="D211" s="13" t="s">
        <v>8059</v>
      </c>
      <c r="H211" s="15">
        <v>20000</v>
      </c>
      <c r="J211" s="15">
        <v>20000</v>
      </c>
      <c r="L211" s="15">
        <v>20000</v>
      </c>
    </row>
    <row r="212" s="13" customFormat="1" ht="15" customHeight="1" spans="3:12">
      <c r="C212" s="13" t="s">
        <v>8060</v>
      </c>
      <c r="D212" s="13" t="s">
        <v>8061</v>
      </c>
      <c r="H212" s="15">
        <v>20000</v>
      </c>
      <c r="J212" s="15">
        <v>20000</v>
      </c>
      <c r="L212" s="15">
        <v>20000</v>
      </c>
    </row>
    <row r="213" s="13" customFormat="1" ht="15" customHeight="1" spans="3:12">
      <c r="C213" s="13" t="s">
        <v>8062</v>
      </c>
      <c r="D213" s="13" t="s">
        <v>8063</v>
      </c>
      <c r="H213" s="15">
        <v>20000</v>
      </c>
      <c r="J213" s="15">
        <v>20000</v>
      </c>
      <c r="L213" s="15">
        <v>20000</v>
      </c>
    </row>
    <row r="214" s="13" customFormat="1" ht="15" customHeight="1" spans="3:12">
      <c r="C214" s="13" t="s">
        <v>8064</v>
      </c>
      <c r="D214" s="13" t="s">
        <v>8065</v>
      </c>
      <c r="H214" s="15">
        <v>20000</v>
      </c>
      <c r="J214" s="15">
        <v>20000</v>
      </c>
      <c r="L214" s="15">
        <v>20000</v>
      </c>
    </row>
    <row r="215" s="13" customFormat="1" ht="15" customHeight="1" spans="3:12">
      <c r="C215" s="13" t="s">
        <v>8066</v>
      </c>
      <c r="D215" s="13" t="s">
        <v>8067</v>
      </c>
      <c r="G215" s="15">
        <v>270216</v>
      </c>
      <c r="H215" s="15">
        <v>1134</v>
      </c>
      <c r="L215" s="15">
        <v>-269082</v>
      </c>
    </row>
    <row r="216" s="13" customFormat="1" ht="15" customHeight="1" spans="3:12">
      <c r="C216" s="13" t="s">
        <v>8068</v>
      </c>
      <c r="D216" s="13" t="s">
        <v>8069</v>
      </c>
      <c r="H216" s="15">
        <v>245247</v>
      </c>
      <c r="L216" s="15">
        <v>245247</v>
      </c>
    </row>
    <row r="217" s="13" customFormat="1" ht="15" customHeight="1" spans="3:12">
      <c r="C217" s="13" t="s">
        <v>8070</v>
      </c>
      <c r="D217" s="13" t="s">
        <v>7622</v>
      </c>
      <c r="H217" s="15">
        <v>10000</v>
      </c>
      <c r="J217" s="15">
        <v>5000</v>
      </c>
      <c r="L217" s="15">
        <v>10000</v>
      </c>
    </row>
    <row r="218" s="13" customFormat="1" ht="15" customHeight="1" spans="3:12">
      <c r="C218" s="13" t="s">
        <v>8071</v>
      </c>
      <c r="D218" s="13" t="s">
        <v>8072</v>
      </c>
      <c r="G218" s="15">
        <v>780000</v>
      </c>
      <c r="H218" s="15">
        <v>490000</v>
      </c>
      <c r="I218" s="15">
        <v>780000</v>
      </c>
      <c r="L218" s="15">
        <v>-290000</v>
      </c>
    </row>
    <row r="219" s="13" customFormat="1" ht="15" customHeight="1" spans="3:9">
      <c r="C219" s="13" t="s">
        <v>8073</v>
      </c>
      <c r="D219" s="13" t="s">
        <v>8074</v>
      </c>
      <c r="G219" s="15">
        <v>204669</v>
      </c>
      <c r="H219" s="15">
        <v>204669</v>
      </c>
      <c r="I219" s="15">
        <v>204669</v>
      </c>
    </row>
    <row r="220" s="13" customFormat="1" ht="15" customHeight="1" spans="3:12">
      <c r="C220" s="13" t="s">
        <v>8075</v>
      </c>
      <c r="D220" s="13" t="s">
        <v>8076</v>
      </c>
      <c r="G220" s="15">
        <v>223750</v>
      </c>
      <c r="L220" s="15">
        <v>-223750</v>
      </c>
    </row>
    <row r="221" s="13" customFormat="1" ht="15" customHeight="1" spans="3:12">
      <c r="C221" s="13" t="s">
        <v>8077</v>
      </c>
      <c r="D221" s="13" t="s">
        <v>8078</v>
      </c>
      <c r="H221" s="15">
        <v>900000</v>
      </c>
      <c r="J221" s="15">
        <v>800000</v>
      </c>
      <c r="L221" s="15">
        <v>900000</v>
      </c>
    </row>
    <row r="222" s="13" customFormat="1" ht="15" customHeight="1" spans="3:12">
      <c r="C222" s="13" t="s">
        <v>8079</v>
      </c>
      <c r="D222" s="13" t="s">
        <v>8080</v>
      </c>
      <c r="G222" s="15">
        <v>6530</v>
      </c>
      <c r="H222" s="15">
        <v>274530</v>
      </c>
      <c r="I222" s="15">
        <v>6530</v>
      </c>
      <c r="J222" s="15">
        <v>274530</v>
      </c>
      <c r="L222" s="15">
        <v>268000</v>
      </c>
    </row>
    <row r="223" s="13" customFormat="1" ht="15" customHeight="1" spans="3:12">
      <c r="C223" s="13" t="s">
        <v>8081</v>
      </c>
      <c r="D223" s="13" t="s">
        <v>7623</v>
      </c>
      <c r="H223" s="15">
        <v>190973</v>
      </c>
      <c r="J223" s="15">
        <v>190973</v>
      </c>
      <c r="L223" s="15">
        <v>190973</v>
      </c>
    </row>
    <row r="224" s="13" customFormat="1" ht="15" customHeight="1" spans="3:12">
      <c r="C224" s="13" t="s">
        <v>8082</v>
      </c>
      <c r="D224" s="13" t="s">
        <v>8083</v>
      </c>
      <c r="H224" s="15">
        <v>320068</v>
      </c>
      <c r="J224" s="15">
        <v>320068</v>
      </c>
      <c r="L224" s="15">
        <v>320068</v>
      </c>
    </row>
    <row r="225" s="13" customFormat="1" ht="15" customHeight="1" spans="3:4">
      <c r="C225" s="13" t="s">
        <v>8084</v>
      </c>
      <c r="D225" s="13" t="s">
        <v>8085</v>
      </c>
    </row>
    <row r="226" s="13" customFormat="1" ht="15" customHeight="1" spans="3:12">
      <c r="C226" s="13" t="s">
        <v>8086</v>
      </c>
      <c r="D226" s="13" t="s">
        <v>8087</v>
      </c>
      <c r="G226" s="15">
        <v>305070</v>
      </c>
      <c r="I226" s="15">
        <v>305070</v>
      </c>
      <c r="L226" s="15">
        <v>-305070</v>
      </c>
    </row>
    <row r="227" s="13" customFormat="1" ht="15" customHeight="1" spans="3:10">
      <c r="C227" s="13" t="s">
        <v>8088</v>
      </c>
      <c r="D227" s="13" t="s">
        <v>8089</v>
      </c>
      <c r="G227" s="15">
        <v>262010</v>
      </c>
      <c r="H227" s="15">
        <v>262010</v>
      </c>
      <c r="I227" s="15">
        <v>262010</v>
      </c>
      <c r="J227" s="15">
        <v>262010</v>
      </c>
    </row>
    <row r="228" s="13" customFormat="1" ht="15" customHeight="1" spans="3:10">
      <c r="C228" s="13" t="s">
        <v>8090</v>
      </c>
      <c r="D228" s="13" t="s">
        <v>8091</v>
      </c>
      <c r="G228" s="15">
        <v>273400</v>
      </c>
      <c r="H228" s="15">
        <v>273400</v>
      </c>
      <c r="I228" s="15">
        <v>273400</v>
      </c>
      <c r="J228" s="15">
        <v>273400</v>
      </c>
    </row>
    <row r="229" s="13" customFormat="1" ht="15" customHeight="1" spans="3:12">
      <c r="C229" s="13" t="s">
        <v>8092</v>
      </c>
      <c r="D229" s="13" t="s">
        <v>7624</v>
      </c>
      <c r="H229" s="15">
        <v>108973</v>
      </c>
      <c r="J229" s="15">
        <v>108973</v>
      </c>
      <c r="L229" s="15">
        <v>108973</v>
      </c>
    </row>
    <row r="230" s="13" customFormat="1" ht="15" customHeight="1" spans="3:10">
      <c r="C230" s="13" t="s">
        <v>8093</v>
      </c>
      <c r="D230" s="13" t="s">
        <v>8094</v>
      </c>
      <c r="G230" s="15">
        <v>83124</v>
      </c>
      <c r="H230" s="15">
        <v>83124</v>
      </c>
      <c r="I230" s="15">
        <v>83124</v>
      </c>
      <c r="J230" s="15">
        <v>83124</v>
      </c>
    </row>
    <row r="231" s="13" customFormat="1" ht="15" customHeight="1" spans="3:4">
      <c r="C231" s="13" t="s">
        <v>8095</v>
      </c>
      <c r="D231" s="13" t="s">
        <v>8096</v>
      </c>
    </row>
    <row r="232" s="13" customFormat="1" ht="15" customHeight="1" spans="3:4">
      <c r="C232" s="13" t="s">
        <v>8097</v>
      </c>
      <c r="D232" s="13" t="s">
        <v>8098</v>
      </c>
    </row>
    <row r="233" s="13" customFormat="1" ht="15" customHeight="1" spans="3:12">
      <c r="C233" s="13" t="s">
        <v>8099</v>
      </c>
      <c r="D233" s="13" t="s">
        <v>8100</v>
      </c>
      <c r="H233" s="15">
        <v>7665143</v>
      </c>
      <c r="L233" s="15">
        <v>7665143</v>
      </c>
    </row>
    <row r="234" s="13" customFormat="1" ht="15" customHeight="1" spans="3:8">
      <c r="C234" s="13" t="s">
        <v>8101</v>
      </c>
      <c r="D234" s="13" t="s">
        <v>8102</v>
      </c>
      <c r="G234" s="15">
        <v>200850</v>
      </c>
      <c r="H234" s="15">
        <v>200850</v>
      </c>
    </row>
    <row r="235" s="13" customFormat="1" ht="15" customHeight="1" spans="3:12">
      <c r="C235" s="13" t="s">
        <v>8103</v>
      </c>
      <c r="D235" s="13" t="s">
        <v>8104</v>
      </c>
      <c r="H235" s="15">
        <v>208575</v>
      </c>
      <c r="L235" s="15">
        <v>208575</v>
      </c>
    </row>
    <row r="236" s="13" customFormat="1" ht="15" customHeight="1" spans="3:8">
      <c r="C236" s="13" t="s">
        <v>8105</v>
      </c>
      <c r="D236" s="13" t="s">
        <v>8106</v>
      </c>
      <c r="G236" s="15">
        <v>248000</v>
      </c>
      <c r="H236" s="15">
        <v>248000</v>
      </c>
    </row>
    <row r="237" s="13" customFormat="1" ht="15" customHeight="1" spans="3:8">
      <c r="C237" s="13" t="s">
        <v>8107</v>
      </c>
      <c r="D237" s="13" t="s">
        <v>8108</v>
      </c>
      <c r="G237" s="15">
        <v>284820</v>
      </c>
      <c r="H237" s="15">
        <v>284820</v>
      </c>
    </row>
    <row r="238" s="13" customFormat="1" ht="15" customHeight="1" spans="3:12">
      <c r="C238" s="13" t="s">
        <v>8109</v>
      </c>
      <c r="D238" s="13" t="s">
        <v>8110</v>
      </c>
      <c r="H238" s="15">
        <v>267990</v>
      </c>
      <c r="L238" s="15">
        <v>267990</v>
      </c>
    </row>
    <row r="239" s="13" customFormat="1" ht="15" customHeight="1" spans="3:8">
      <c r="C239" s="13" t="s">
        <v>8111</v>
      </c>
      <c r="D239" s="13" t="s">
        <v>8112</v>
      </c>
      <c r="G239" s="15">
        <v>142500</v>
      </c>
      <c r="H239" s="15">
        <v>142500</v>
      </c>
    </row>
    <row r="240" s="13" customFormat="1" ht="15" customHeight="1" spans="3:12">
      <c r="C240" s="13" t="s">
        <v>8113</v>
      </c>
      <c r="D240" s="13" t="s">
        <v>8114</v>
      </c>
      <c r="H240" s="15">
        <v>274040</v>
      </c>
      <c r="L240" s="15">
        <v>274040</v>
      </c>
    </row>
    <row r="241" s="13" customFormat="1" ht="15" customHeight="1" spans="3:12">
      <c r="C241" s="13" t="s">
        <v>8115</v>
      </c>
      <c r="D241" s="13" t="s">
        <v>8116</v>
      </c>
      <c r="G241" s="15">
        <v>496842</v>
      </c>
      <c r="H241" s="15">
        <v>283350</v>
      </c>
      <c r="L241" s="15">
        <v>-213492</v>
      </c>
    </row>
    <row r="242" s="13" customFormat="1" ht="15" customHeight="1" spans="3:12">
      <c r="C242" s="13" t="s">
        <v>8117</v>
      </c>
      <c r="D242" s="13" t="s">
        <v>8118</v>
      </c>
      <c r="G242" s="15">
        <v>119070</v>
      </c>
      <c r="H242" s="15">
        <v>120070</v>
      </c>
      <c r="L242" s="15">
        <v>1000</v>
      </c>
    </row>
    <row r="243" s="13" customFormat="1" ht="15" customHeight="1" spans="3:8">
      <c r="C243" s="13" t="s">
        <v>8119</v>
      </c>
      <c r="D243" s="13" t="s">
        <v>8120</v>
      </c>
      <c r="G243" s="15">
        <v>160970</v>
      </c>
      <c r="H243" s="15">
        <v>160970</v>
      </c>
    </row>
    <row r="244" s="13" customFormat="1" ht="15" customHeight="1" spans="3:8">
      <c r="C244" s="13" t="s">
        <v>8121</v>
      </c>
      <c r="D244" s="13" t="s">
        <v>8122</v>
      </c>
      <c r="G244" s="15">
        <v>265000</v>
      </c>
      <c r="H244" s="15">
        <v>265000</v>
      </c>
    </row>
    <row r="245" s="13" customFormat="1" ht="15" customHeight="1" spans="3:8">
      <c r="C245" s="13" t="s">
        <v>8123</v>
      </c>
      <c r="D245" s="13" t="s">
        <v>8124</v>
      </c>
      <c r="G245" s="15">
        <v>200382</v>
      </c>
      <c r="H245" s="15">
        <v>200382</v>
      </c>
    </row>
    <row r="246" s="13" customFormat="1" ht="15" customHeight="1" spans="3:8">
      <c r="C246" s="13" t="s">
        <v>8125</v>
      </c>
      <c r="D246" s="13" t="s">
        <v>8126</v>
      </c>
      <c r="G246" s="15">
        <v>568638</v>
      </c>
      <c r="H246" s="15">
        <v>568638</v>
      </c>
    </row>
    <row r="247" s="13" customFormat="1" ht="15" customHeight="1" spans="3:8">
      <c r="C247" s="13" t="s">
        <v>8127</v>
      </c>
      <c r="D247" s="13" t="s">
        <v>8128</v>
      </c>
      <c r="G247" s="15">
        <v>280000</v>
      </c>
      <c r="H247" s="15">
        <v>280000</v>
      </c>
    </row>
    <row r="248" s="13" customFormat="1" ht="15" customHeight="1" spans="3:8">
      <c r="C248" s="13" t="s">
        <v>8129</v>
      </c>
      <c r="D248" s="13" t="s">
        <v>8130</v>
      </c>
      <c r="G248" s="15">
        <v>264404</v>
      </c>
      <c r="H248" s="15">
        <v>264404</v>
      </c>
    </row>
    <row r="249" s="13" customFormat="1" ht="15" customHeight="1" spans="3:12">
      <c r="C249" s="13" t="s">
        <v>8131</v>
      </c>
      <c r="D249" s="13" t="s">
        <v>8132</v>
      </c>
      <c r="G249" s="15">
        <v>292354</v>
      </c>
      <c r="H249" s="15">
        <v>292415</v>
      </c>
      <c r="L249" s="15">
        <v>61</v>
      </c>
    </row>
    <row r="250" s="13" customFormat="1" ht="15" customHeight="1" spans="3:12">
      <c r="C250" s="13" t="s">
        <v>8133</v>
      </c>
      <c r="D250" s="13" t="s">
        <v>8134</v>
      </c>
      <c r="H250" s="15">
        <v>208879</v>
      </c>
      <c r="L250" s="15">
        <v>208879</v>
      </c>
    </row>
    <row r="251" s="13" customFormat="1" ht="15" customHeight="1" spans="3:10">
      <c r="C251" s="13" t="s">
        <v>8135</v>
      </c>
      <c r="D251" s="13" t="s">
        <v>8136</v>
      </c>
      <c r="G251" s="15">
        <v>202644</v>
      </c>
      <c r="H251" s="15">
        <v>202644</v>
      </c>
      <c r="I251" s="15">
        <v>202644</v>
      </c>
      <c r="J251" s="15">
        <v>2000</v>
      </c>
    </row>
    <row r="252" s="13" customFormat="1" ht="15" customHeight="1" spans="3:8">
      <c r="C252" s="13" t="s">
        <v>8137</v>
      </c>
      <c r="D252" s="13" t="s">
        <v>8138</v>
      </c>
      <c r="G252" s="15">
        <v>242721</v>
      </c>
      <c r="H252" s="15">
        <v>242721</v>
      </c>
    </row>
    <row r="253" s="13" customFormat="1" ht="15" customHeight="1" spans="3:12">
      <c r="C253" s="13" t="s">
        <v>8139</v>
      </c>
      <c r="D253" s="13" t="s">
        <v>8140</v>
      </c>
      <c r="H253" s="15">
        <v>5000</v>
      </c>
      <c r="L253" s="15">
        <v>5000</v>
      </c>
    </row>
    <row r="254" s="13" customFormat="1" ht="15" customHeight="1" spans="3:12">
      <c r="C254" s="13" t="s">
        <v>8141</v>
      </c>
      <c r="D254" s="13" t="s">
        <v>8142</v>
      </c>
      <c r="H254" s="15">
        <v>210404</v>
      </c>
      <c r="L254" s="15">
        <v>210404</v>
      </c>
    </row>
    <row r="255" s="13" customFormat="1" ht="15" customHeight="1" spans="3:9">
      <c r="C255" s="13" t="s">
        <v>8143</v>
      </c>
      <c r="D255" s="13" t="s">
        <v>8144</v>
      </c>
      <c r="G255" s="15">
        <v>277000</v>
      </c>
      <c r="H255" s="15">
        <v>277000</v>
      </c>
      <c r="I255" s="15">
        <v>277000</v>
      </c>
    </row>
    <row r="256" s="13" customFormat="1" ht="15" customHeight="1" spans="3:8">
      <c r="C256" s="13" t="s">
        <v>8145</v>
      </c>
      <c r="D256" s="13" t="s">
        <v>8146</v>
      </c>
      <c r="G256" s="15">
        <v>228060</v>
      </c>
      <c r="H256" s="15">
        <v>228060</v>
      </c>
    </row>
    <row r="257" s="13" customFormat="1" ht="15" customHeight="1" spans="3:12">
      <c r="C257" s="13" t="s">
        <v>8147</v>
      </c>
      <c r="D257" s="13" t="s">
        <v>8148</v>
      </c>
      <c r="G257" s="15">
        <v>262970.4</v>
      </c>
      <c r="H257" s="15">
        <v>262970</v>
      </c>
      <c r="L257" s="15">
        <v>-0.4</v>
      </c>
    </row>
    <row r="258" s="13" customFormat="1" ht="15" customHeight="1" spans="3:12">
      <c r="C258" s="13" t="s">
        <v>8149</v>
      </c>
      <c r="D258" s="13" t="s">
        <v>8150</v>
      </c>
      <c r="H258" s="15">
        <v>264678</v>
      </c>
      <c r="L258" s="15">
        <v>264678</v>
      </c>
    </row>
    <row r="259" s="13" customFormat="1" ht="15" customHeight="1" spans="3:8">
      <c r="C259" s="13" t="s">
        <v>8151</v>
      </c>
      <c r="D259" s="13" t="s">
        <v>8152</v>
      </c>
      <c r="G259" s="15">
        <v>239064</v>
      </c>
      <c r="H259" s="15">
        <v>239064</v>
      </c>
    </row>
    <row r="260" s="13" customFormat="1" ht="15" customHeight="1" spans="3:8">
      <c r="C260" s="13" t="s">
        <v>8153</v>
      </c>
      <c r="D260" s="13" t="s">
        <v>8154</v>
      </c>
      <c r="G260" s="15">
        <v>237580</v>
      </c>
      <c r="H260" s="15">
        <v>237580</v>
      </c>
    </row>
    <row r="261" s="13" customFormat="1" ht="15" customHeight="1" spans="3:12">
      <c r="C261" s="13" t="s">
        <v>8155</v>
      </c>
      <c r="D261" s="13" t="s">
        <v>8156</v>
      </c>
      <c r="G261" s="15">
        <v>224853</v>
      </c>
      <c r="H261" s="15">
        <v>369853</v>
      </c>
      <c r="L261" s="15">
        <v>145000</v>
      </c>
    </row>
    <row r="262" s="13" customFormat="1" ht="15" customHeight="1" spans="3:12">
      <c r="C262" s="13" t="s">
        <v>8157</v>
      </c>
      <c r="D262" s="13" t="s">
        <v>8158</v>
      </c>
      <c r="H262" s="15">
        <v>2381</v>
      </c>
      <c r="L262" s="15">
        <v>2381</v>
      </c>
    </row>
    <row r="263" s="13" customFormat="1" ht="15" customHeight="1" spans="3:12">
      <c r="C263" s="13" t="s">
        <v>8159</v>
      </c>
      <c r="D263" s="13" t="s">
        <v>8160</v>
      </c>
      <c r="H263" s="15">
        <v>1976800</v>
      </c>
      <c r="L263" s="15">
        <v>1976800</v>
      </c>
    </row>
    <row r="264" s="13" customFormat="1" ht="15" customHeight="1" spans="3:8">
      <c r="C264" s="13" t="s">
        <v>8161</v>
      </c>
      <c r="D264" s="13" t="s">
        <v>8162</v>
      </c>
      <c r="G264" s="15">
        <v>1274510</v>
      </c>
      <c r="H264" s="15">
        <v>1274510</v>
      </c>
    </row>
    <row r="265" s="13" customFormat="1" ht="15" customHeight="1" spans="3:9">
      <c r="C265" s="13" t="s">
        <v>8163</v>
      </c>
      <c r="D265" s="13" t="s">
        <v>8164</v>
      </c>
      <c r="G265" s="15">
        <v>400000</v>
      </c>
      <c r="H265" s="15">
        <v>400000</v>
      </c>
      <c r="I265" s="15">
        <v>400000</v>
      </c>
    </row>
    <row r="266" s="13" customFormat="1" ht="15" customHeight="1" spans="3:12">
      <c r="C266" s="13" t="s">
        <v>8165</v>
      </c>
      <c r="D266" s="13" t="s">
        <v>8166</v>
      </c>
      <c r="G266" s="15">
        <v>670000</v>
      </c>
      <c r="H266" s="15">
        <v>770000</v>
      </c>
      <c r="L266" s="15">
        <v>100000</v>
      </c>
    </row>
    <row r="267" s="13" customFormat="1" ht="15" customHeight="1" spans="3:8">
      <c r="C267" s="13" t="s">
        <v>8167</v>
      </c>
      <c r="D267" s="13" t="s">
        <v>8168</v>
      </c>
      <c r="G267" s="15">
        <v>200000</v>
      </c>
      <c r="H267" s="15">
        <v>200000</v>
      </c>
    </row>
    <row r="268" s="13" customFormat="1" ht="15" customHeight="1" spans="3:8">
      <c r="C268" s="13" t="s">
        <v>8169</v>
      </c>
      <c r="D268" s="13" t="s">
        <v>8170</v>
      </c>
      <c r="G268" s="15">
        <v>263520</v>
      </c>
      <c r="H268" s="15">
        <v>263520</v>
      </c>
    </row>
    <row r="269" s="13" customFormat="1" ht="15" customHeight="1" spans="3:8">
      <c r="C269" s="13" t="s">
        <v>8171</v>
      </c>
      <c r="D269" s="13" t="s">
        <v>8172</v>
      </c>
      <c r="G269" s="15">
        <v>227042</v>
      </c>
      <c r="H269" s="15">
        <v>227042</v>
      </c>
    </row>
    <row r="270" s="13" customFormat="1" ht="15" customHeight="1" spans="3:8">
      <c r="C270" s="13" t="s">
        <v>8173</v>
      </c>
      <c r="D270" s="13" t="s">
        <v>8174</v>
      </c>
      <c r="G270" s="15">
        <v>267000</v>
      </c>
      <c r="H270" s="15">
        <v>267000</v>
      </c>
    </row>
    <row r="271" s="13" customFormat="1" ht="15" customHeight="1" spans="3:8">
      <c r="C271" s="13" t="s">
        <v>8175</v>
      </c>
      <c r="D271" s="13" t="s">
        <v>8176</v>
      </c>
      <c r="G271" s="15">
        <v>238815</v>
      </c>
      <c r="H271" s="15">
        <v>238815</v>
      </c>
    </row>
    <row r="272" s="13" customFormat="1" ht="15" customHeight="1" spans="3:12">
      <c r="C272" s="13" t="s">
        <v>8177</v>
      </c>
      <c r="D272" s="13" t="s">
        <v>8178</v>
      </c>
      <c r="H272" s="15">
        <v>248355</v>
      </c>
      <c r="L272" s="15">
        <v>248355</v>
      </c>
    </row>
    <row r="273" s="13" customFormat="1" ht="15" customHeight="1" spans="3:8">
      <c r="C273" s="13" t="s">
        <v>8179</v>
      </c>
      <c r="D273" s="13" t="s">
        <v>8180</v>
      </c>
      <c r="G273" s="15">
        <v>259184</v>
      </c>
      <c r="H273" s="15">
        <v>259184</v>
      </c>
    </row>
    <row r="274" s="13" customFormat="1" ht="15" customHeight="1" spans="3:8">
      <c r="C274" s="13" t="s">
        <v>8181</v>
      </c>
      <c r="D274" s="13" t="s">
        <v>8182</v>
      </c>
      <c r="G274" s="15">
        <v>221798</v>
      </c>
      <c r="H274" s="15">
        <v>221798</v>
      </c>
    </row>
    <row r="275" s="13" customFormat="1" ht="15" customHeight="1" spans="3:8">
      <c r="C275" s="13" t="s">
        <v>8183</v>
      </c>
      <c r="D275" s="13" t="s">
        <v>8184</v>
      </c>
      <c r="G275" s="15">
        <v>244794</v>
      </c>
      <c r="H275" s="15">
        <v>244794</v>
      </c>
    </row>
    <row r="276" s="13" customFormat="1" ht="15" customHeight="1" spans="3:8">
      <c r="C276" s="13" t="s">
        <v>8185</v>
      </c>
      <c r="D276" s="13" t="s">
        <v>8186</v>
      </c>
      <c r="G276" s="15">
        <v>259463.97</v>
      </c>
      <c r="H276" s="15">
        <v>259463.97</v>
      </c>
    </row>
    <row r="277" s="13" customFormat="1" ht="15" customHeight="1" spans="3:8">
      <c r="C277" s="13" t="s">
        <v>8187</v>
      </c>
      <c r="D277" s="13" t="s">
        <v>8188</v>
      </c>
      <c r="G277" s="15">
        <v>207704</v>
      </c>
      <c r="H277" s="15">
        <v>207704</v>
      </c>
    </row>
    <row r="278" s="13" customFormat="1" ht="15" customHeight="1" spans="3:8">
      <c r="C278" s="13" t="s">
        <v>8189</v>
      </c>
      <c r="D278" s="13" t="s">
        <v>8190</v>
      </c>
      <c r="G278" s="15">
        <v>248000</v>
      </c>
      <c r="H278" s="15">
        <v>248000</v>
      </c>
    </row>
    <row r="279" s="13" customFormat="1" ht="15" customHeight="1" spans="3:8">
      <c r="C279" s="13" t="s">
        <v>8191</v>
      </c>
      <c r="D279" s="13" t="s">
        <v>8192</v>
      </c>
      <c r="G279" s="15">
        <v>248503</v>
      </c>
      <c r="H279" s="15">
        <v>248503</v>
      </c>
    </row>
    <row r="280" s="13" customFormat="1" ht="15" customHeight="1" spans="3:8">
      <c r="C280" s="13" t="s">
        <v>8193</v>
      </c>
      <c r="D280" s="13" t="s">
        <v>8194</v>
      </c>
      <c r="G280" s="15">
        <v>221160</v>
      </c>
      <c r="H280" s="15">
        <v>221160</v>
      </c>
    </row>
    <row r="281" s="13" customFormat="1" ht="15" customHeight="1" spans="3:8">
      <c r="C281" s="13" t="s">
        <v>8195</v>
      </c>
      <c r="D281" s="13" t="s">
        <v>8196</v>
      </c>
      <c r="G281" s="15">
        <v>235553</v>
      </c>
      <c r="H281" s="15">
        <v>235553</v>
      </c>
    </row>
    <row r="282" s="13" customFormat="1" ht="15" customHeight="1" spans="3:8">
      <c r="C282" s="13" t="s">
        <v>8197</v>
      </c>
      <c r="D282" s="13" t="s">
        <v>8198</v>
      </c>
      <c r="G282" s="15">
        <v>229767</v>
      </c>
      <c r="H282" s="15">
        <v>229767</v>
      </c>
    </row>
    <row r="283" s="13" customFormat="1" ht="15" customHeight="1" spans="3:12">
      <c r="C283" s="13" t="s">
        <v>8199</v>
      </c>
      <c r="D283" s="13" t="s">
        <v>8200</v>
      </c>
      <c r="H283" s="15">
        <v>197664</v>
      </c>
      <c r="L283" s="15">
        <v>197664</v>
      </c>
    </row>
    <row r="284" s="13" customFormat="1" ht="15" customHeight="1" spans="3:8">
      <c r="C284" s="13" t="s">
        <v>8201</v>
      </c>
      <c r="D284" s="13" t="s">
        <v>8202</v>
      </c>
      <c r="G284" s="15">
        <v>214988</v>
      </c>
      <c r="H284" s="15">
        <v>214988</v>
      </c>
    </row>
    <row r="285" s="13" customFormat="1" ht="15" customHeight="1" spans="3:8">
      <c r="C285" s="13" t="s">
        <v>8203</v>
      </c>
      <c r="D285" s="13" t="s">
        <v>8204</v>
      </c>
      <c r="G285" s="15">
        <v>190754</v>
      </c>
      <c r="H285" s="15">
        <v>190754</v>
      </c>
    </row>
    <row r="286" s="13" customFormat="1" ht="15" customHeight="1" spans="3:12">
      <c r="C286" s="13" t="s">
        <v>8205</v>
      </c>
      <c r="D286" s="13" t="s">
        <v>8206</v>
      </c>
      <c r="H286" s="15">
        <v>168142</v>
      </c>
      <c r="L286" s="15">
        <v>168142</v>
      </c>
    </row>
    <row r="287" s="13" customFormat="1" ht="15" customHeight="1" spans="3:8">
      <c r="C287" s="13" t="s">
        <v>8207</v>
      </c>
      <c r="D287" s="13" t="s">
        <v>8208</v>
      </c>
      <c r="G287" s="15">
        <v>178652</v>
      </c>
      <c r="H287" s="15">
        <v>178652</v>
      </c>
    </row>
    <row r="288" s="13" customFormat="1" ht="15" customHeight="1" spans="3:8">
      <c r="C288" s="13" t="s">
        <v>8209</v>
      </c>
      <c r="D288" s="13" t="s">
        <v>8210</v>
      </c>
      <c r="G288" s="15">
        <v>228917</v>
      </c>
      <c r="H288" s="15">
        <v>228917</v>
      </c>
    </row>
    <row r="289" s="13" customFormat="1" ht="15" customHeight="1" spans="3:8">
      <c r="C289" s="13" t="s">
        <v>8211</v>
      </c>
      <c r="D289" s="13" t="s">
        <v>8212</v>
      </c>
      <c r="G289" s="15">
        <v>164084</v>
      </c>
      <c r="H289" s="15">
        <v>164084</v>
      </c>
    </row>
    <row r="290" s="13" customFormat="1" ht="15" customHeight="1" spans="3:8">
      <c r="C290" s="13" t="s">
        <v>8213</v>
      </c>
      <c r="D290" s="13" t="s">
        <v>8214</v>
      </c>
      <c r="G290" s="15">
        <v>255343</v>
      </c>
      <c r="H290" s="15">
        <v>255343</v>
      </c>
    </row>
    <row r="291" s="13" customFormat="1" ht="15" customHeight="1" spans="3:8">
      <c r="C291" s="13" t="s">
        <v>8215</v>
      </c>
      <c r="D291" s="13" t="s">
        <v>8216</v>
      </c>
      <c r="G291" s="15">
        <v>169683</v>
      </c>
      <c r="H291" s="15">
        <v>169683</v>
      </c>
    </row>
    <row r="292" s="13" customFormat="1" ht="15" customHeight="1" spans="3:8">
      <c r="C292" s="13" t="s">
        <v>8217</v>
      </c>
      <c r="D292" s="13" t="s">
        <v>8218</v>
      </c>
      <c r="G292" s="15">
        <v>160350</v>
      </c>
      <c r="H292" s="15">
        <v>160350</v>
      </c>
    </row>
    <row r="293" s="13" customFormat="1" ht="15" customHeight="1" spans="3:12">
      <c r="C293" s="13" t="s">
        <v>8219</v>
      </c>
      <c r="D293" s="13" t="s">
        <v>8220</v>
      </c>
      <c r="G293" s="15">
        <v>220713</v>
      </c>
      <c r="H293" s="15">
        <v>220734</v>
      </c>
      <c r="L293" s="15">
        <v>21</v>
      </c>
    </row>
    <row r="294" s="13" customFormat="1" ht="15" customHeight="1" spans="3:8">
      <c r="C294" s="13" t="s">
        <v>8221</v>
      </c>
      <c r="D294" s="13" t="s">
        <v>8222</v>
      </c>
      <c r="G294" s="15">
        <v>156600</v>
      </c>
      <c r="H294" s="15">
        <v>156600</v>
      </c>
    </row>
    <row r="295" s="13" customFormat="1" ht="15" customHeight="1" spans="3:8">
      <c r="C295" s="13" t="s">
        <v>8223</v>
      </c>
      <c r="D295" s="13" t="s">
        <v>8224</v>
      </c>
      <c r="G295" s="15">
        <v>149241</v>
      </c>
      <c r="H295" s="15">
        <v>149241</v>
      </c>
    </row>
    <row r="296" s="13" customFormat="1" ht="15" customHeight="1" spans="3:8">
      <c r="C296" s="13" t="s">
        <v>8225</v>
      </c>
      <c r="D296" s="13" t="s">
        <v>8226</v>
      </c>
      <c r="G296" s="15">
        <v>170148</v>
      </c>
      <c r="H296" s="15">
        <v>170148</v>
      </c>
    </row>
    <row r="297" s="13" customFormat="1" ht="15" customHeight="1" spans="3:12">
      <c r="C297" s="13" t="s">
        <v>8227</v>
      </c>
      <c r="D297" s="13" t="s">
        <v>8228</v>
      </c>
      <c r="H297" s="15">
        <v>159836</v>
      </c>
      <c r="L297" s="15">
        <v>159836</v>
      </c>
    </row>
    <row r="298" s="13" customFormat="1" ht="15" customHeight="1" spans="3:8">
      <c r="C298" s="13" t="s">
        <v>8229</v>
      </c>
      <c r="D298" s="13" t="s">
        <v>8230</v>
      </c>
      <c r="G298" s="15">
        <v>252285</v>
      </c>
      <c r="H298" s="15">
        <v>252285</v>
      </c>
    </row>
    <row r="299" s="13" customFormat="1" ht="15" customHeight="1" spans="3:8">
      <c r="C299" s="13" t="s">
        <v>8231</v>
      </c>
      <c r="D299" s="13" t="s">
        <v>8232</v>
      </c>
      <c r="G299" s="15">
        <v>229350</v>
      </c>
      <c r="H299" s="15">
        <v>229350</v>
      </c>
    </row>
    <row r="300" s="13" customFormat="1" ht="15" customHeight="1" spans="3:8">
      <c r="C300" s="13" t="s">
        <v>8233</v>
      </c>
      <c r="D300" s="13" t="s">
        <v>8234</v>
      </c>
      <c r="G300" s="15">
        <v>197000</v>
      </c>
      <c r="H300" s="15">
        <v>197000</v>
      </c>
    </row>
    <row r="301" s="13" customFormat="1" ht="15" customHeight="1" spans="3:8">
      <c r="C301" s="13" t="s">
        <v>8235</v>
      </c>
      <c r="D301" s="13" t="s">
        <v>8236</v>
      </c>
      <c r="G301" s="15">
        <v>264000</v>
      </c>
      <c r="H301" s="15">
        <v>264000</v>
      </c>
    </row>
    <row r="302" s="13" customFormat="1" ht="15" customHeight="1" spans="3:8">
      <c r="C302" s="13" t="s">
        <v>8237</v>
      </c>
      <c r="D302" s="13" t="s">
        <v>8238</v>
      </c>
      <c r="G302" s="15">
        <v>225741</v>
      </c>
      <c r="H302" s="15">
        <v>225741</v>
      </c>
    </row>
    <row r="303" s="13" customFormat="1" ht="15" customHeight="1" spans="3:8">
      <c r="C303" s="13" t="s">
        <v>8239</v>
      </c>
      <c r="D303" s="13" t="s">
        <v>8240</v>
      </c>
      <c r="G303" s="15">
        <v>264966</v>
      </c>
      <c r="H303" s="15">
        <v>264966</v>
      </c>
    </row>
    <row r="304" s="13" customFormat="1" ht="15" customHeight="1" spans="3:8">
      <c r="C304" s="13" t="s">
        <v>8241</v>
      </c>
      <c r="D304" s="13" t="s">
        <v>8242</v>
      </c>
      <c r="G304" s="15">
        <v>237749</v>
      </c>
      <c r="H304" s="15">
        <v>237749</v>
      </c>
    </row>
    <row r="305" s="13" customFormat="1" ht="15" customHeight="1" spans="3:8">
      <c r="C305" s="13" t="s">
        <v>8243</v>
      </c>
      <c r="D305" s="13" t="s">
        <v>8244</v>
      </c>
      <c r="G305" s="15">
        <v>262784</v>
      </c>
      <c r="H305" s="15">
        <v>262784</v>
      </c>
    </row>
    <row r="306" s="13" customFormat="1" ht="15" customHeight="1" spans="3:8">
      <c r="C306" s="13" t="s">
        <v>8245</v>
      </c>
      <c r="D306" s="13" t="s">
        <v>8246</v>
      </c>
      <c r="G306" s="15">
        <v>275102</v>
      </c>
      <c r="H306" s="15">
        <v>275102</v>
      </c>
    </row>
    <row r="307" s="13" customFormat="1" ht="15" customHeight="1" spans="3:8">
      <c r="C307" s="13" t="s">
        <v>8247</v>
      </c>
      <c r="D307" s="13" t="s">
        <v>8248</v>
      </c>
      <c r="G307" s="15">
        <v>234042</v>
      </c>
      <c r="H307" s="15">
        <v>234042</v>
      </c>
    </row>
    <row r="308" s="13" customFormat="1" ht="15" customHeight="1" spans="3:8">
      <c r="C308" s="13" t="s">
        <v>8249</v>
      </c>
      <c r="D308" s="13" t="s">
        <v>8250</v>
      </c>
      <c r="G308" s="15">
        <v>250466</v>
      </c>
      <c r="H308" s="15">
        <v>250466</v>
      </c>
    </row>
    <row r="309" s="13" customFormat="1" ht="15" customHeight="1" spans="3:8">
      <c r="C309" s="13" t="s">
        <v>8251</v>
      </c>
      <c r="D309" s="13" t="s">
        <v>8252</v>
      </c>
      <c r="G309" s="15">
        <v>240150</v>
      </c>
      <c r="H309" s="15">
        <v>240150</v>
      </c>
    </row>
    <row r="310" s="13" customFormat="1" ht="15" customHeight="1" spans="3:12">
      <c r="C310" s="13" t="s">
        <v>8253</v>
      </c>
      <c r="D310" s="13" t="s">
        <v>8254</v>
      </c>
      <c r="H310" s="15">
        <v>280000</v>
      </c>
      <c r="L310" s="15">
        <v>280000</v>
      </c>
    </row>
    <row r="311" s="13" customFormat="1" ht="15" customHeight="1" spans="3:8">
      <c r="C311" s="13" t="s">
        <v>8255</v>
      </c>
      <c r="D311" s="13" t="s">
        <v>8256</v>
      </c>
      <c r="G311" s="15">
        <v>400000</v>
      </c>
      <c r="H311" s="15">
        <v>400000</v>
      </c>
    </row>
    <row r="312" s="13" customFormat="1" ht="15" customHeight="1" spans="3:12">
      <c r="C312" s="13" t="s">
        <v>8257</v>
      </c>
      <c r="D312" s="13" t="s">
        <v>8258</v>
      </c>
      <c r="G312" s="15">
        <v>229025</v>
      </c>
      <c r="H312" s="15">
        <v>224025</v>
      </c>
      <c r="L312" s="15">
        <v>-5000</v>
      </c>
    </row>
    <row r="313" s="13" customFormat="1" ht="15" customHeight="1" spans="3:12">
      <c r="C313" s="13" t="s">
        <v>8259</v>
      </c>
      <c r="D313" s="13" t="s">
        <v>8260</v>
      </c>
      <c r="H313" s="15">
        <v>246844</v>
      </c>
      <c r="L313" s="15">
        <v>246844</v>
      </c>
    </row>
    <row r="314" s="13" customFormat="1" ht="15" customHeight="1" spans="3:12">
      <c r="C314" s="13" t="s">
        <v>8261</v>
      </c>
      <c r="D314" s="13" t="s">
        <v>8262</v>
      </c>
      <c r="H314" s="15">
        <v>274040</v>
      </c>
      <c r="L314" s="15">
        <v>274040</v>
      </c>
    </row>
    <row r="315" s="13" customFormat="1" ht="15" customHeight="1" spans="3:12">
      <c r="C315" s="13" t="s">
        <v>8263</v>
      </c>
      <c r="D315" s="13" t="s">
        <v>8264</v>
      </c>
      <c r="H315" s="15">
        <v>140000</v>
      </c>
      <c r="L315" s="15">
        <v>140000</v>
      </c>
    </row>
    <row r="316" s="13" customFormat="1" ht="15" customHeight="1" spans="3:12">
      <c r="C316" s="13" t="s">
        <v>8265</v>
      </c>
      <c r="D316" s="13" t="s">
        <v>8266</v>
      </c>
      <c r="H316" s="15">
        <v>137768</v>
      </c>
      <c r="L316" s="15">
        <v>137768</v>
      </c>
    </row>
    <row r="317" s="13" customFormat="1" ht="15" customHeight="1" spans="3:8">
      <c r="C317" s="13" t="s">
        <v>8267</v>
      </c>
      <c r="D317" s="13" t="s">
        <v>8268</v>
      </c>
      <c r="G317" s="15">
        <v>132000</v>
      </c>
      <c r="H317" s="15">
        <v>132000</v>
      </c>
    </row>
    <row r="318" s="13" customFormat="1" ht="15" customHeight="1" spans="3:8">
      <c r="C318" s="13" t="s">
        <v>8269</v>
      </c>
      <c r="D318" s="13" t="s">
        <v>8270</v>
      </c>
      <c r="G318" s="15">
        <v>232433</v>
      </c>
      <c r="H318" s="15">
        <v>232433</v>
      </c>
    </row>
    <row r="319" s="13" customFormat="1" ht="15" customHeight="1" spans="3:8">
      <c r="C319" s="13" t="s">
        <v>8271</v>
      </c>
      <c r="D319" s="13" t="s">
        <v>8272</v>
      </c>
      <c r="G319" s="15">
        <v>232261</v>
      </c>
      <c r="H319" s="15">
        <v>232261</v>
      </c>
    </row>
    <row r="320" s="13" customFormat="1" ht="15" customHeight="1" spans="3:8">
      <c r="C320" s="13" t="s">
        <v>8273</v>
      </c>
      <c r="D320" s="13" t="s">
        <v>8274</v>
      </c>
      <c r="G320" s="15">
        <v>207620</v>
      </c>
      <c r="H320" s="15">
        <v>207620</v>
      </c>
    </row>
    <row r="321" s="13" customFormat="1" ht="15" customHeight="1" spans="3:8">
      <c r="C321" s="13" t="s">
        <v>8275</v>
      </c>
      <c r="D321" s="13" t="s">
        <v>8276</v>
      </c>
      <c r="G321" s="15">
        <v>1050000</v>
      </c>
      <c r="H321" s="15">
        <v>1050000</v>
      </c>
    </row>
    <row r="322" s="13" customFormat="1" ht="15" customHeight="1" spans="3:8">
      <c r="C322" s="13" t="s">
        <v>8277</v>
      </c>
      <c r="D322" s="13" t="s">
        <v>8278</v>
      </c>
      <c r="G322" s="15">
        <v>209873</v>
      </c>
      <c r="H322" s="15">
        <v>209873</v>
      </c>
    </row>
    <row r="323" s="13" customFormat="1" ht="15" customHeight="1" spans="3:12">
      <c r="C323" s="13" t="s">
        <v>8279</v>
      </c>
      <c r="D323" s="13" t="s">
        <v>8280</v>
      </c>
      <c r="H323" s="15">
        <v>218492</v>
      </c>
      <c r="L323" s="15">
        <v>218492</v>
      </c>
    </row>
    <row r="324" s="13" customFormat="1" ht="15" customHeight="1" spans="3:12">
      <c r="C324" s="13" t="s">
        <v>8281</v>
      </c>
      <c r="D324" s="13" t="s">
        <v>8282</v>
      </c>
      <c r="H324" s="15">
        <v>128040</v>
      </c>
      <c r="L324" s="15">
        <v>128040</v>
      </c>
    </row>
    <row r="325" s="13" customFormat="1" ht="15" customHeight="1" spans="3:12">
      <c r="C325" s="13" t="s">
        <v>8283</v>
      </c>
      <c r="D325" s="13" t="s">
        <v>8284</v>
      </c>
      <c r="H325" s="15">
        <v>418923</v>
      </c>
      <c r="L325" s="15">
        <v>418923</v>
      </c>
    </row>
    <row r="326" s="13" customFormat="1" ht="15" customHeight="1" spans="3:8">
      <c r="C326" s="13" t="s">
        <v>8285</v>
      </c>
      <c r="D326" s="13" t="s">
        <v>8286</v>
      </c>
      <c r="G326" s="15">
        <v>129954</v>
      </c>
      <c r="H326" s="15">
        <v>129954</v>
      </c>
    </row>
    <row r="327" s="13" customFormat="1" ht="15" customHeight="1" spans="3:12">
      <c r="C327" s="13" t="s">
        <v>8287</v>
      </c>
      <c r="D327" s="13" t="s">
        <v>7625</v>
      </c>
      <c r="H327" s="15">
        <v>206255</v>
      </c>
      <c r="L327" s="15">
        <v>206255</v>
      </c>
    </row>
    <row r="328" s="13" customFormat="1" ht="15" customHeight="1" spans="3:12">
      <c r="C328" s="13" t="s">
        <v>8288</v>
      </c>
      <c r="D328" s="13" t="s">
        <v>8289</v>
      </c>
      <c r="H328" s="15">
        <v>191781</v>
      </c>
      <c r="L328" s="15">
        <v>191781</v>
      </c>
    </row>
    <row r="329" s="13" customFormat="1" ht="15" customHeight="1" spans="3:9">
      <c r="C329" s="13" t="s">
        <v>8290</v>
      </c>
      <c r="D329" s="13" t="s">
        <v>8291</v>
      </c>
      <c r="G329" s="15">
        <v>217110</v>
      </c>
      <c r="H329" s="15">
        <v>217110</v>
      </c>
      <c r="I329" s="15">
        <v>217110</v>
      </c>
    </row>
    <row r="330" s="13" customFormat="1" ht="15" customHeight="1" spans="3:12">
      <c r="C330" s="13" t="s">
        <v>8292</v>
      </c>
      <c r="D330" s="13" t="s">
        <v>8293</v>
      </c>
      <c r="H330" s="15">
        <v>224025</v>
      </c>
      <c r="L330" s="15">
        <v>224025</v>
      </c>
    </row>
    <row r="331" s="13" customFormat="1" ht="15" customHeight="1" spans="3:12">
      <c r="C331" s="13" t="s">
        <v>8294</v>
      </c>
      <c r="D331" s="13" t="s">
        <v>8295</v>
      </c>
      <c r="H331" s="15">
        <v>186780</v>
      </c>
      <c r="L331" s="15">
        <v>186780</v>
      </c>
    </row>
    <row r="332" s="13" customFormat="1" ht="15" customHeight="1" spans="3:12">
      <c r="C332" s="13" t="s">
        <v>8296</v>
      </c>
      <c r="D332" s="13" t="s">
        <v>8297</v>
      </c>
      <c r="H332" s="15">
        <v>200434</v>
      </c>
      <c r="L332" s="15">
        <v>200434</v>
      </c>
    </row>
    <row r="333" s="13" customFormat="1" ht="15" customHeight="1" spans="3:12">
      <c r="C333" s="13" t="s">
        <v>8298</v>
      </c>
      <c r="D333" s="13" t="s">
        <v>8299</v>
      </c>
      <c r="H333" s="15">
        <v>146798</v>
      </c>
      <c r="L333" s="15">
        <v>146798</v>
      </c>
    </row>
    <row r="334" s="13" customFormat="1" ht="15" customHeight="1" spans="3:12">
      <c r="C334" s="13" t="s">
        <v>8300</v>
      </c>
      <c r="D334" s="13" t="s">
        <v>8301</v>
      </c>
      <c r="G334" s="15">
        <v>217394</v>
      </c>
      <c r="H334" s="15">
        <v>224394</v>
      </c>
      <c r="L334" s="15">
        <v>7000</v>
      </c>
    </row>
    <row r="335" s="13" customFormat="1" ht="15" customHeight="1" spans="3:10">
      <c r="C335" s="13" t="s">
        <v>8302</v>
      </c>
      <c r="D335" s="13" t="s">
        <v>8303</v>
      </c>
      <c r="J335" s="15">
        <v>-110000</v>
      </c>
    </row>
    <row r="336" s="13" customFormat="1" ht="15" customHeight="1" spans="3:12">
      <c r="C336" s="13" t="s">
        <v>8304</v>
      </c>
      <c r="D336" s="13" t="s">
        <v>8305</v>
      </c>
      <c r="H336" s="15">
        <v>116000</v>
      </c>
      <c r="L336" s="15">
        <v>116000</v>
      </c>
    </row>
    <row r="337" s="13" customFormat="1" ht="15" customHeight="1" spans="3:8">
      <c r="C337" s="13" t="s">
        <v>8306</v>
      </c>
      <c r="D337" s="13" t="s">
        <v>8307</v>
      </c>
      <c r="G337" s="15">
        <v>250293</v>
      </c>
      <c r="H337" s="15">
        <v>250293</v>
      </c>
    </row>
    <row r="338" s="13" customFormat="1" ht="15" customHeight="1" spans="3:8">
      <c r="C338" s="13" t="s">
        <v>8308</v>
      </c>
      <c r="D338" s="13" t="s">
        <v>8309</v>
      </c>
      <c r="G338" s="15">
        <v>232258</v>
      </c>
      <c r="H338" s="15">
        <v>232258</v>
      </c>
    </row>
    <row r="339" s="13" customFormat="1" ht="15" customHeight="1" spans="3:8">
      <c r="C339" s="13" t="s">
        <v>8310</v>
      </c>
      <c r="D339" s="13" t="s">
        <v>8311</v>
      </c>
      <c r="G339" s="15">
        <v>219800</v>
      </c>
      <c r="H339" s="15">
        <v>219800</v>
      </c>
    </row>
    <row r="340" s="13" customFormat="1" ht="15" customHeight="1" spans="3:8">
      <c r="C340" s="13" t="s">
        <v>8312</v>
      </c>
      <c r="D340" s="13" t="s">
        <v>8313</v>
      </c>
      <c r="G340" s="15">
        <v>450000</v>
      </c>
      <c r="H340" s="15">
        <v>450000</v>
      </c>
    </row>
    <row r="341" s="13" customFormat="1" ht="15" customHeight="1" spans="3:8">
      <c r="C341" s="13" t="s">
        <v>8314</v>
      </c>
      <c r="D341" s="13" t="s">
        <v>8315</v>
      </c>
      <c r="G341" s="15">
        <v>269000</v>
      </c>
      <c r="H341" s="15">
        <v>269000</v>
      </c>
    </row>
    <row r="342" s="13" customFormat="1" ht="15" customHeight="1" spans="3:12">
      <c r="C342" s="13" t="s">
        <v>8316</v>
      </c>
      <c r="D342" s="13" t="s">
        <v>8317</v>
      </c>
      <c r="H342" s="15">
        <v>10000</v>
      </c>
      <c r="L342" s="15">
        <v>10000</v>
      </c>
    </row>
    <row r="343" s="13" customFormat="1" ht="15" customHeight="1" spans="3:12">
      <c r="C343" s="13" t="s">
        <v>8318</v>
      </c>
      <c r="D343" s="13" t="s">
        <v>8319</v>
      </c>
      <c r="G343" s="15">
        <v>145485</v>
      </c>
      <c r="H343" s="15">
        <v>151485</v>
      </c>
      <c r="L343" s="15">
        <v>6000</v>
      </c>
    </row>
    <row r="344" s="13" customFormat="1" ht="15" customHeight="1" spans="3:8">
      <c r="C344" s="13" t="s">
        <v>8320</v>
      </c>
      <c r="D344" s="13" t="s">
        <v>8321</v>
      </c>
      <c r="G344" s="15">
        <v>316341</v>
      </c>
      <c r="H344" s="15">
        <v>316341</v>
      </c>
    </row>
    <row r="345" s="13" customFormat="1" ht="15" customHeight="1" spans="3:8">
      <c r="C345" s="13" t="s">
        <v>8322</v>
      </c>
      <c r="D345" s="13" t="s">
        <v>8323</v>
      </c>
      <c r="G345" s="15">
        <v>264404</v>
      </c>
      <c r="H345" s="15">
        <v>264404</v>
      </c>
    </row>
    <row r="346" s="13" customFormat="1" ht="15" customHeight="1" spans="3:8">
      <c r="C346" s="13" t="s">
        <v>8324</v>
      </c>
      <c r="D346" s="13" t="s">
        <v>8325</v>
      </c>
      <c r="G346" s="15">
        <v>246792</v>
      </c>
      <c r="H346" s="15">
        <v>246792</v>
      </c>
    </row>
    <row r="347" s="13" customFormat="1" ht="15" customHeight="1" spans="3:8">
      <c r="C347" s="13" t="s">
        <v>8326</v>
      </c>
      <c r="D347" s="13" t="s">
        <v>8327</v>
      </c>
      <c r="G347" s="15">
        <v>202644</v>
      </c>
      <c r="H347" s="15">
        <v>202644</v>
      </c>
    </row>
    <row r="348" s="13" customFormat="1" ht="15" customHeight="1" spans="3:8">
      <c r="C348" s="13" t="s">
        <v>8328</v>
      </c>
      <c r="D348" s="13" t="s">
        <v>8329</v>
      </c>
      <c r="G348" s="15">
        <v>213018</v>
      </c>
      <c r="H348" s="15">
        <v>213018</v>
      </c>
    </row>
    <row r="349" s="13" customFormat="1" ht="15" customHeight="1" spans="3:8">
      <c r="C349" s="13" t="s">
        <v>8330</v>
      </c>
      <c r="D349" s="13" t="s">
        <v>8331</v>
      </c>
      <c r="G349" s="15">
        <v>233820</v>
      </c>
      <c r="H349" s="15">
        <v>233820</v>
      </c>
    </row>
    <row r="350" s="13" customFormat="1" ht="15" customHeight="1" spans="3:12">
      <c r="C350" s="13" t="s">
        <v>8332</v>
      </c>
      <c r="D350" s="13" t="s">
        <v>8333</v>
      </c>
      <c r="H350" s="15">
        <v>213018</v>
      </c>
      <c r="L350" s="15">
        <v>213018</v>
      </c>
    </row>
    <row r="351" s="13" customFormat="1" ht="15" customHeight="1" spans="3:12">
      <c r="C351" s="13" t="s">
        <v>8334</v>
      </c>
      <c r="D351" s="13" t="s">
        <v>8335</v>
      </c>
      <c r="H351" s="15">
        <v>225790</v>
      </c>
      <c r="L351" s="15">
        <v>225790</v>
      </c>
    </row>
    <row r="352" s="13" customFormat="1" ht="15" customHeight="1" spans="3:8">
      <c r="C352" s="13" t="s">
        <v>8336</v>
      </c>
      <c r="D352" s="13" t="s">
        <v>8337</v>
      </c>
      <c r="G352" s="15">
        <v>244000</v>
      </c>
      <c r="H352" s="15">
        <v>244000</v>
      </c>
    </row>
    <row r="353" s="13" customFormat="1" ht="15" customHeight="1" spans="3:8">
      <c r="C353" s="13" t="s">
        <v>8338</v>
      </c>
      <c r="D353" s="13" t="s">
        <v>8339</v>
      </c>
      <c r="G353" s="15">
        <v>229404</v>
      </c>
      <c r="H353" s="15">
        <v>229404</v>
      </c>
    </row>
    <row r="354" s="13" customFormat="1" ht="15" customHeight="1" spans="3:9">
      <c r="C354" s="13" t="s">
        <v>8340</v>
      </c>
      <c r="D354" s="13" t="s">
        <v>8341</v>
      </c>
      <c r="G354" s="15">
        <v>229404</v>
      </c>
      <c r="H354" s="15">
        <v>229404</v>
      </c>
      <c r="I354" s="15">
        <v>229404</v>
      </c>
    </row>
    <row r="355" s="13" customFormat="1" ht="15" customHeight="1" spans="3:8">
      <c r="C355" s="13" t="s">
        <v>8342</v>
      </c>
      <c r="D355" s="13" t="s">
        <v>8343</v>
      </c>
      <c r="G355" s="15">
        <v>229404</v>
      </c>
      <c r="H355" s="15">
        <v>229404</v>
      </c>
    </row>
    <row r="356" s="13" customFormat="1" ht="15" customHeight="1" spans="3:12">
      <c r="C356" s="13" t="s">
        <v>8344</v>
      </c>
      <c r="D356" s="13" t="s">
        <v>8345</v>
      </c>
      <c r="H356" s="15">
        <v>101654</v>
      </c>
      <c r="L356" s="15">
        <v>101654</v>
      </c>
    </row>
    <row r="357" s="13" customFormat="1" ht="15" customHeight="1" spans="3:12">
      <c r="C357" s="13" t="s">
        <v>8346</v>
      </c>
      <c r="D357" s="13" t="s">
        <v>8347</v>
      </c>
      <c r="H357" s="15">
        <v>245790</v>
      </c>
      <c r="L357" s="15">
        <v>245790</v>
      </c>
    </row>
    <row r="358" s="13" customFormat="1" ht="15" customHeight="1" spans="3:8">
      <c r="C358" s="13" t="s">
        <v>8348</v>
      </c>
      <c r="D358" s="13" t="s">
        <v>8349</v>
      </c>
      <c r="G358" s="15">
        <v>95900</v>
      </c>
      <c r="H358" s="15">
        <v>95900</v>
      </c>
    </row>
    <row r="359" s="13" customFormat="1" ht="15" customHeight="1" spans="3:8">
      <c r="C359" s="13" t="s">
        <v>8350</v>
      </c>
      <c r="D359" s="13" t="s">
        <v>8351</v>
      </c>
      <c r="G359" s="15">
        <v>228060</v>
      </c>
      <c r="H359" s="15">
        <v>228060</v>
      </c>
    </row>
    <row r="360" s="13" customFormat="1" ht="15" customHeight="1" spans="3:8">
      <c r="C360" s="13" t="s">
        <v>8352</v>
      </c>
      <c r="D360" s="13" t="s">
        <v>8353</v>
      </c>
      <c r="G360" s="15">
        <v>271520</v>
      </c>
      <c r="H360" s="15">
        <v>271520</v>
      </c>
    </row>
    <row r="361" s="13" customFormat="1" ht="15" customHeight="1" spans="3:8">
      <c r="C361" s="13" t="s">
        <v>8354</v>
      </c>
      <c r="D361" s="13" t="s">
        <v>8355</v>
      </c>
      <c r="G361" s="15">
        <v>260409</v>
      </c>
      <c r="H361" s="15">
        <v>260409</v>
      </c>
    </row>
    <row r="362" s="13" customFormat="1" ht="15" customHeight="1" spans="3:8">
      <c r="C362" s="13" t="s">
        <v>8356</v>
      </c>
      <c r="D362" s="13" t="s">
        <v>8357</v>
      </c>
      <c r="G362" s="15">
        <v>243333</v>
      </c>
      <c r="H362" s="15">
        <v>243333</v>
      </c>
    </row>
    <row r="363" s="13" customFormat="1" ht="15" customHeight="1" spans="3:12">
      <c r="C363" s="13" t="s">
        <v>8358</v>
      </c>
      <c r="D363" s="13" t="s">
        <v>8359</v>
      </c>
      <c r="H363" s="15">
        <v>263035</v>
      </c>
      <c r="L363" s="15">
        <v>263035</v>
      </c>
    </row>
    <row r="364" s="13" customFormat="1" ht="15" customHeight="1" spans="3:8">
      <c r="C364" s="13" t="s">
        <v>8360</v>
      </c>
      <c r="D364" s="13" t="s">
        <v>8361</v>
      </c>
      <c r="G364" s="15">
        <v>220610</v>
      </c>
      <c r="H364" s="15">
        <v>220610</v>
      </c>
    </row>
    <row r="365" s="13" customFormat="1" ht="15" customHeight="1" spans="3:12">
      <c r="C365" s="13" t="s">
        <v>8362</v>
      </c>
      <c r="D365" s="13" t="s">
        <v>8363</v>
      </c>
      <c r="H365" s="15">
        <v>272700</v>
      </c>
      <c r="J365" s="15">
        <v>52700</v>
      </c>
      <c r="L365" s="15">
        <v>272700</v>
      </c>
    </row>
    <row r="366" s="13" customFormat="1" ht="15" customHeight="1" spans="3:12">
      <c r="C366" s="13" t="s">
        <v>8364</v>
      </c>
      <c r="D366" s="13" t="s">
        <v>8365</v>
      </c>
      <c r="G366" s="15">
        <v>393954</v>
      </c>
      <c r="L366" s="15">
        <v>-393954</v>
      </c>
    </row>
    <row r="367" s="13" customFormat="1" ht="15" customHeight="1" spans="3:8">
      <c r="C367" s="13" t="s">
        <v>8366</v>
      </c>
      <c r="D367" s="13" t="s">
        <v>8367</v>
      </c>
      <c r="G367" s="15">
        <v>199848</v>
      </c>
      <c r="H367" s="15">
        <v>199848</v>
      </c>
    </row>
    <row r="368" s="13" customFormat="1" ht="15" customHeight="1" spans="3:8">
      <c r="C368" s="13" t="s">
        <v>8368</v>
      </c>
      <c r="D368" s="13" t="s">
        <v>8369</v>
      </c>
      <c r="G368" s="15">
        <v>367540</v>
      </c>
      <c r="H368" s="15">
        <v>367540</v>
      </c>
    </row>
    <row r="369" s="13" customFormat="1" ht="15" customHeight="1" spans="3:12">
      <c r="C369" s="13" t="s">
        <v>8370</v>
      </c>
      <c r="D369" s="13" t="s">
        <v>8371</v>
      </c>
      <c r="H369" s="15">
        <v>367540</v>
      </c>
      <c r="L369" s="15">
        <v>367540</v>
      </c>
    </row>
    <row r="370" s="13" customFormat="1" ht="15" customHeight="1" spans="3:8">
      <c r="C370" s="13" t="s">
        <v>8372</v>
      </c>
      <c r="D370" s="13" t="s">
        <v>8373</v>
      </c>
      <c r="G370" s="15">
        <v>410986.86</v>
      </c>
      <c r="H370" s="15">
        <v>410986.86</v>
      </c>
    </row>
    <row r="371" s="13" customFormat="1" ht="15" customHeight="1" spans="3:8">
      <c r="C371" s="13" t="s">
        <v>8374</v>
      </c>
      <c r="D371" s="13" t="s">
        <v>8375</v>
      </c>
      <c r="G371" s="15">
        <v>21000</v>
      </c>
      <c r="H371" s="15">
        <v>21000</v>
      </c>
    </row>
    <row r="372" s="13" customFormat="1" ht="15" customHeight="1" spans="3:9">
      <c r="C372" s="13" t="s">
        <v>8376</v>
      </c>
      <c r="D372" s="13" t="s">
        <v>8377</v>
      </c>
      <c r="G372" s="15">
        <v>824713</v>
      </c>
      <c r="H372" s="15">
        <v>824713</v>
      </c>
      <c r="I372" s="15">
        <v>824713</v>
      </c>
    </row>
    <row r="373" s="13" customFormat="1" ht="15" customHeight="1" spans="3:8">
      <c r="C373" s="13" t="s">
        <v>8378</v>
      </c>
      <c r="D373" s="13" t="s">
        <v>8379</v>
      </c>
      <c r="G373" s="15">
        <v>247000</v>
      </c>
      <c r="H373" s="15">
        <v>247000</v>
      </c>
    </row>
    <row r="374" s="13" customFormat="1" ht="15" customHeight="1" spans="3:8">
      <c r="C374" s="13" t="s">
        <v>8380</v>
      </c>
      <c r="D374" s="13" t="s">
        <v>8381</v>
      </c>
      <c r="G374" s="15">
        <v>222576</v>
      </c>
      <c r="H374" s="15">
        <v>222576</v>
      </c>
    </row>
    <row r="375" s="13" customFormat="1" ht="15" customHeight="1" spans="3:8">
      <c r="C375" s="13" t="s">
        <v>8382</v>
      </c>
      <c r="D375" s="13" t="s">
        <v>8383</v>
      </c>
      <c r="G375" s="15">
        <v>246396</v>
      </c>
      <c r="H375" s="15">
        <v>246396</v>
      </c>
    </row>
    <row r="376" s="13" customFormat="1" ht="15" customHeight="1" spans="3:8">
      <c r="C376" s="13" t="s">
        <v>8384</v>
      </c>
      <c r="D376" s="13" t="s">
        <v>8385</v>
      </c>
      <c r="G376" s="15">
        <v>238208</v>
      </c>
      <c r="H376" s="15">
        <v>238208</v>
      </c>
    </row>
    <row r="377" s="13" customFormat="1" ht="15" customHeight="1" spans="3:8">
      <c r="C377" s="13" t="s">
        <v>8386</v>
      </c>
      <c r="D377" s="13" t="s">
        <v>8387</v>
      </c>
      <c r="G377" s="15">
        <v>251168</v>
      </c>
      <c r="H377" s="15">
        <v>251168</v>
      </c>
    </row>
    <row r="378" s="13" customFormat="1" ht="15" customHeight="1" spans="3:8">
      <c r="C378" s="13" t="s">
        <v>8388</v>
      </c>
      <c r="D378" s="13" t="s">
        <v>8389</v>
      </c>
      <c r="G378" s="15">
        <v>235230</v>
      </c>
      <c r="H378" s="15">
        <v>235230</v>
      </c>
    </row>
    <row r="379" s="13" customFormat="1" ht="15" customHeight="1" spans="3:8">
      <c r="C379" s="13" t="s">
        <v>8390</v>
      </c>
      <c r="D379" s="13" t="s">
        <v>8391</v>
      </c>
      <c r="G379" s="15">
        <v>208432</v>
      </c>
      <c r="H379" s="15">
        <v>208432</v>
      </c>
    </row>
    <row r="380" s="13" customFormat="1" ht="15" customHeight="1" spans="3:8">
      <c r="C380" s="13" t="s">
        <v>8392</v>
      </c>
      <c r="D380" s="13" t="s">
        <v>8393</v>
      </c>
      <c r="G380" s="15">
        <v>245652</v>
      </c>
      <c r="H380" s="15">
        <v>245652</v>
      </c>
    </row>
    <row r="381" s="13" customFormat="1" ht="15" customHeight="1" spans="3:8">
      <c r="C381" s="13" t="s">
        <v>8394</v>
      </c>
      <c r="D381" s="13" t="s">
        <v>8395</v>
      </c>
      <c r="G381" s="15">
        <v>247050</v>
      </c>
      <c r="H381" s="15">
        <v>247050</v>
      </c>
    </row>
    <row r="382" s="13" customFormat="1" ht="15" customHeight="1" spans="3:9">
      <c r="C382" s="13" t="s">
        <v>8396</v>
      </c>
      <c r="D382" s="13" t="s">
        <v>8397</v>
      </c>
      <c r="G382" s="15">
        <v>275873</v>
      </c>
      <c r="H382" s="15">
        <v>275873</v>
      </c>
      <c r="I382" s="15">
        <v>275873</v>
      </c>
    </row>
    <row r="383" s="13" customFormat="1" ht="15" customHeight="1" spans="3:8">
      <c r="C383" s="13" t="s">
        <v>8398</v>
      </c>
      <c r="D383" s="13" t="s">
        <v>8399</v>
      </c>
      <c r="G383" s="15">
        <v>275873</v>
      </c>
      <c r="H383" s="15">
        <v>275873</v>
      </c>
    </row>
    <row r="384" s="13" customFormat="1" ht="15" customHeight="1" spans="3:8">
      <c r="C384" s="13" t="s">
        <v>8400</v>
      </c>
      <c r="D384" s="13" t="s">
        <v>8401</v>
      </c>
      <c r="G384" s="15">
        <v>275873</v>
      </c>
      <c r="H384" s="15">
        <v>275873</v>
      </c>
    </row>
    <row r="385" s="13" customFormat="1" ht="15" customHeight="1" spans="3:8">
      <c r="C385" s="13" t="s">
        <v>8402</v>
      </c>
      <c r="D385" s="13" t="s">
        <v>8403</v>
      </c>
      <c r="G385" s="15">
        <v>275873</v>
      </c>
      <c r="H385" s="15">
        <v>275873</v>
      </c>
    </row>
    <row r="386" s="13" customFormat="1" ht="15" customHeight="1" spans="3:8">
      <c r="C386" s="13" t="s">
        <v>8404</v>
      </c>
      <c r="D386" s="13" t="s">
        <v>8405</v>
      </c>
      <c r="G386" s="15">
        <v>260000</v>
      </c>
      <c r="H386" s="15">
        <v>260000</v>
      </c>
    </row>
    <row r="387" s="13" customFormat="1" ht="15" customHeight="1" spans="3:8">
      <c r="C387" s="13" t="s">
        <v>8406</v>
      </c>
      <c r="D387" s="13" t="s">
        <v>8407</v>
      </c>
      <c r="G387" s="15">
        <v>275225</v>
      </c>
      <c r="H387" s="15">
        <v>275225</v>
      </c>
    </row>
    <row r="388" s="13" customFormat="1" ht="15" customHeight="1" spans="3:8">
      <c r="C388" s="13" t="s">
        <v>8408</v>
      </c>
      <c r="D388" s="13" t="s">
        <v>8409</v>
      </c>
      <c r="G388" s="15">
        <v>268613</v>
      </c>
      <c r="H388" s="15">
        <v>268613</v>
      </c>
    </row>
    <row r="389" s="13" customFormat="1" ht="15" customHeight="1" spans="3:8">
      <c r="C389" s="13" t="s">
        <v>8410</v>
      </c>
      <c r="D389" s="13" t="s">
        <v>8411</v>
      </c>
      <c r="G389" s="15">
        <v>236680</v>
      </c>
      <c r="H389" s="15">
        <v>236680</v>
      </c>
    </row>
    <row r="390" s="13" customFormat="1" ht="15" customHeight="1" spans="3:8">
      <c r="C390" s="13" t="s">
        <v>8412</v>
      </c>
      <c r="D390" s="13" t="s">
        <v>8413</v>
      </c>
      <c r="G390" s="15">
        <v>244794</v>
      </c>
      <c r="H390" s="15">
        <v>244794</v>
      </c>
    </row>
    <row r="391" s="13" customFormat="1" ht="15" customHeight="1" spans="3:8">
      <c r="C391" s="13" t="s">
        <v>8414</v>
      </c>
      <c r="D391" s="13" t="s">
        <v>8415</v>
      </c>
      <c r="G391" s="15">
        <v>273572</v>
      </c>
      <c r="H391" s="15">
        <v>273572</v>
      </c>
    </row>
    <row r="392" s="13" customFormat="1" ht="15" customHeight="1" spans="3:8">
      <c r="C392" s="13" t="s">
        <v>8416</v>
      </c>
      <c r="D392" s="13" t="s">
        <v>8417</v>
      </c>
      <c r="G392" s="15">
        <v>276878</v>
      </c>
      <c r="H392" s="15">
        <v>276878</v>
      </c>
    </row>
    <row r="393" s="13" customFormat="1" ht="15" customHeight="1" spans="3:9">
      <c r="C393" s="13" t="s">
        <v>8418</v>
      </c>
      <c r="D393" s="13" t="s">
        <v>8419</v>
      </c>
      <c r="G393" s="15">
        <v>225730</v>
      </c>
      <c r="H393" s="15">
        <v>225730</v>
      </c>
      <c r="I393" s="15">
        <v>225730</v>
      </c>
    </row>
    <row r="394" s="13" customFormat="1" ht="15" customHeight="1" spans="3:12">
      <c r="C394" s="13" t="s">
        <v>8420</v>
      </c>
      <c r="D394" s="13" t="s">
        <v>8421</v>
      </c>
      <c r="H394" s="15">
        <v>231744</v>
      </c>
      <c r="L394" s="15">
        <v>231744</v>
      </c>
    </row>
    <row r="395" s="13" customFormat="1" ht="15" customHeight="1" spans="3:8">
      <c r="C395" s="13" t="s">
        <v>8422</v>
      </c>
      <c r="D395" s="13" t="s">
        <v>8423</v>
      </c>
      <c r="G395" s="15">
        <v>224928</v>
      </c>
      <c r="H395" s="15">
        <v>224928</v>
      </c>
    </row>
    <row r="396" s="13" customFormat="1" ht="15" customHeight="1" spans="3:8">
      <c r="C396" s="13" t="s">
        <v>8424</v>
      </c>
      <c r="D396" s="13" t="s">
        <v>8425</v>
      </c>
      <c r="G396" s="15">
        <v>221000</v>
      </c>
      <c r="H396" s="15">
        <v>221000</v>
      </c>
    </row>
    <row r="397" s="13" customFormat="1" ht="15" customHeight="1" spans="3:8">
      <c r="C397" s="13" t="s">
        <v>8426</v>
      </c>
      <c r="D397" s="13" t="s">
        <v>8427</v>
      </c>
      <c r="G397" s="15">
        <v>220838</v>
      </c>
      <c r="H397" s="15">
        <v>220838</v>
      </c>
    </row>
    <row r="398" s="13" customFormat="1" ht="15" customHeight="1" spans="3:8">
      <c r="C398" s="13" t="s">
        <v>8428</v>
      </c>
      <c r="D398" s="13" t="s">
        <v>8429</v>
      </c>
      <c r="G398" s="15">
        <v>189485</v>
      </c>
      <c r="H398" s="15">
        <v>189485</v>
      </c>
    </row>
    <row r="399" s="13" customFormat="1" ht="15" customHeight="1" spans="3:8">
      <c r="C399" s="13" t="s">
        <v>8430</v>
      </c>
      <c r="D399" s="13" t="s">
        <v>8431</v>
      </c>
      <c r="G399" s="15">
        <v>226291</v>
      </c>
      <c r="H399" s="15">
        <v>226291</v>
      </c>
    </row>
    <row r="400" s="13" customFormat="1" ht="15" customHeight="1" spans="3:12">
      <c r="C400" s="13" t="s">
        <v>8432</v>
      </c>
      <c r="D400" s="13" t="s">
        <v>8433</v>
      </c>
      <c r="H400" s="15">
        <v>148728</v>
      </c>
      <c r="J400" s="15">
        <v>148728</v>
      </c>
      <c r="L400" s="15">
        <v>148728</v>
      </c>
    </row>
    <row r="401" s="13" customFormat="1" ht="15" customHeight="1" spans="3:8">
      <c r="C401" s="13" t="s">
        <v>8434</v>
      </c>
      <c r="D401" s="13" t="s">
        <v>8435</v>
      </c>
      <c r="G401" s="15">
        <v>188000</v>
      </c>
      <c r="H401" s="15">
        <v>188000</v>
      </c>
    </row>
    <row r="402" s="13" customFormat="1" ht="15" customHeight="1" spans="3:8">
      <c r="C402" s="13" t="s">
        <v>8436</v>
      </c>
      <c r="D402" s="13" t="s">
        <v>8437</v>
      </c>
      <c r="G402" s="15">
        <v>190174</v>
      </c>
      <c r="H402" s="15">
        <v>190174</v>
      </c>
    </row>
    <row r="403" s="13" customFormat="1" ht="15" customHeight="1" spans="3:8">
      <c r="C403" s="13" t="s">
        <v>8438</v>
      </c>
      <c r="D403" s="13" t="s">
        <v>8439</v>
      </c>
      <c r="G403" s="15">
        <v>208932</v>
      </c>
      <c r="H403" s="15">
        <v>208932</v>
      </c>
    </row>
    <row r="404" s="13" customFormat="1" ht="15" customHeight="1" spans="3:8">
      <c r="C404" s="13" t="s">
        <v>8440</v>
      </c>
      <c r="D404" s="13" t="s">
        <v>8441</v>
      </c>
      <c r="G404" s="15">
        <v>224829</v>
      </c>
      <c r="H404" s="15">
        <v>224829</v>
      </c>
    </row>
    <row r="405" s="13" customFormat="1" ht="15" customHeight="1" spans="3:8">
      <c r="C405" s="13" t="s">
        <v>8442</v>
      </c>
      <c r="D405" s="13" t="s">
        <v>8443</v>
      </c>
      <c r="G405" s="15">
        <v>194233</v>
      </c>
      <c r="H405" s="15">
        <v>194233</v>
      </c>
    </row>
    <row r="406" s="13" customFormat="1" ht="15" customHeight="1" spans="3:8">
      <c r="C406" s="13" t="s">
        <v>8444</v>
      </c>
      <c r="D406" s="13" t="s">
        <v>8445</v>
      </c>
      <c r="G406" s="15">
        <v>211296</v>
      </c>
      <c r="H406" s="15">
        <v>211296</v>
      </c>
    </row>
    <row r="407" s="13" customFormat="1" ht="15" customHeight="1" spans="3:8">
      <c r="C407" s="13" t="s">
        <v>8446</v>
      </c>
      <c r="D407" s="13" t="s">
        <v>8447</v>
      </c>
      <c r="G407" s="15">
        <v>169683</v>
      </c>
      <c r="H407" s="15">
        <v>169683</v>
      </c>
    </row>
    <row r="408" s="13" customFormat="1" ht="15" customHeight="1" spans="3:12">
      <c r="C408" s="13" t="s">
        <v>8448</v>
      </c>
      <c r="D408" s="13" t="s">
        <v>8449</v>
      </c>
      <c r="H408" s="15">
        <v>141000</v>
      </c>
      <c r="L408" s="15">
        <v>141000</v>
      </c>
    </row>
    <row r="409" s="13" customFormat="1" ht="15" customHeight="1" spans="3:8">
      <c r="C409" s="13" t="s">
        <v>8450</v>
      </c>
      <c r="D409" s="13" t="s">
        <v>8451</v>
      </c>
      <c r="G409" s="15">
        <v>229350</v>
      </c>
      <c r="H409" s="15">
        <v>229350</v>
      </c>
    </row>
    <row r="410" s="13" customFormat="1" ht="15" customHeight="1" spans="3:8">
      <c r="C410" s="13" t="s">
        <v>8452</v>
      </c>
      <c r="D410" s="13" t="s">
        <v>8453</v>
      </c>
      <c r="G410" s="15">
        <v>156630</v>
      </c>
      <c r="H410" s="15">
        <v>156630</v>
      </c>
    </row>
    <row r="411" s="13" customFormat="1" ht="15" customHeight="1" spans="3:8">
      <c r="C411" s="13" t="s">
        <v>8454</v>
      </c>
      <c r="D411" s="13" t="s">
        <v>8455</v>
      </c>
      <c r="G411" s="15">
        <v>252285</v>
      </c>
      <c r="H411" s="15">
        <v>252285</v>
      </c>
    </row>
    <row r="412" s="13" customFormat="1" ht="15" customHeight="1" spans="3:8">
      <c r="C412" s="13" t="s">
        <v>8456</v>
      </c>
      <c r="D412" s="13" t="s">
        <v>8457</v>
      </c>
      <c r="G412" s="15">
        <v>256000</v>
      </c>
      <c r="H412" s="15">
        <v>256000</v>
      </c>
    </row>
    <row r="413" s="13" customFormat="1" ht="15" customHeight="1" spans="3:8">
      <c r="C413" s="13" t="s">
        <v>8458</v>
      </c>
      <c r="D413" s="13" t="s">
        <v>8459</v>
      </c>
      <c r="G413" s="15">
        <v>228547</v>
      </c>
      <c r="H413" s="15">
        <v>228547</v>
      </c>
    </row>
    <row r="414" s="13" customFormat="1" ht="15" customHeight="1" spans="3:8">
      <c r="C414" s="13" t="s">
        <v>8460</v>
      </c>
      <c r="D414" s="13" t="s">
        <v>8461</v>
      </c>
      <c r="G414" s="15">
        <v>177400</v>
      </c>
      <c r="H414" s="15">
        <v>177400</v>
      </c>
    </row>
    <row r="415" s="13" customFormat="1" ht="15" customHeight="1" spans="3:8">
      <c r="C415" s="13" t="s">
        <v>8462</v>
      </c>
      <c r="D415" s="13" t="s">
        <v>8463</v>
      </c>
      <c r="G415" s="15">
        <v>149524</v>
      </c>
      <c r="H415" s="15">
        <v>149524</v>
      </c>
    </row>
    <row r="416" s="13" customFormat="1" ht="15" customHeight="1" spans="3:12">
      <c r="C416" s="13" t="s">
        <v>8464</v>
      </c>
      <c r="D416" s="13" t="s">
        <v>8465</v>
      </c>
      <c r="G416" s="15">
        <v>240000</v>
      </c>
      <c r="H416" s="15">
        <v>210000</v>
      </c>
      <c r="L416" s="15">
        <v>-30000</v>
      </c>
    </row>
    <row r="417" s="13" customFormat="1" ht="15" customHeight="1" spans="3:8">
      <c r="C417" s="13" t="s">
        <v>8466</v>
      </c>
      <c r="D417" s="13" t="s">
        <v>8467</v>
      </c>
      <c r="G417" s="15">
        <v>139212</v>
      </c>
      <c r="H417" s="15">
        <v>139212</v>
      </c>
    </row>
    <row r="418" s="13" customFormat="1" ht="15" customHeight="1" spans="3:8">
      <c r="C418" s="13" t="s">
        <v>8468</v>
      </c>
      <c r="D418" s="13" t="s">
        <v>8469</v>
      </c>
      <c r="G418" s="15">
        <v>182735</v>
      </c>
      <c r="H418" s="15">
        <v>182735</v>
      </c>
    </row>
    <row r="419" s="13" customFormat="1" ht="15" customHeight="1" spans="3:12">
      <c r="C419" s="13" t="s">
        <v>8470</v>
      </c>
      <c r="D419" s="13" t="s">
        <v>8471</v>
      </c>
      <c r="H419" s="15">
        <v>212017</v>
      </c>
      <c r="L419" s="15">
        <v>212017</v>
      </c>
    </row>
    <row r="420" s="13" customFormat="1" ht="15" customHeight="1" spans="3:8">
      <c r="C420" s="13" t="s">
        <v>8472</v>
      </c>
      <c r="D420" s="13" t="s">
        <v>8473</v>
      </c>
      <c r="G420" s="15">
        <v>165000</v>
      </c>
      <c r="H420" s="15">
        <v>165000</v>
      </c>
    </row>
    <row r="421" s="13" customFormat="1" ht="15" customHeight="1" spans="3:8">
      <c r="C421" s="13" t="s">
        <v>8474</v>
      </c>
      <c r="D421" s="13" t="s">
        <v>8475</v>
      </c>
      <c r="G421" s="15">
        <v>167570</v>
      </c>
      <c r="H421" s="15">
        <v>167570</v>
      </c>
    </row>
    <row r="422" s="13" customFormat="1" ht="15" customHeight="1" spans="3:8">
      <c r="C422" s="13" t="s">
        <v>8476</v>
      </c>
      <c r="D422" s="13" t="s">
        <v>8477</v>
      </c>
      <c r="G422" s="15">
        <v>250756</v>
      </c>
      <c r="H422" s="15">
        <v>250756</v>
      </c>
    </row>
    <row r="423" s="13" customFormat="1" ht="15" customHeight="1" spans="3:8">
      <c r="C423" s="13" t="s">
        <v>8478</v>
      </c>
      <c r="D423" s="13" t="s">
        <v>8479</v>
      </c>
      <c r="G423" s="15">
        <v>266776</v>
      </c>
      <c r="H423" s="15">
        <v>266776</v>
      </c>
    </row>
    <row r="424" s="13" customFormat="1" ht="15" customHeight="1" spans="3:8">
      <c r="C424" s="13" t="s">
        <v>8480</v>
      </c>
      <c r="D424" s="13" t="s">
        <v>8481</v>
      </c>
      <c r="G424" s="15">
        <v>264000</v>
      </c>
      <c r="H424" s="15">
        <v>264000</v>
      </c>
    </row>
    <row r="425" s="13" customFormat="1" ht="15" customHeight="1" spans="3:8">
      <c r="C425" s="13" t="s">
        <v>8482</v>
      </c>
      <c r="D425" s="13" t="s">
        <v>8483</v>
      </c>
      <c r="G425" s="15">
        <v>270996</v>
      </c>
      <c r="H425" s="15">
        <v>270996</v>
      </c>
    </row>
    <row r="426" s="13" customFormat="1" ht="15" customHeight="1" spans="3:8">
      <c r="C426" s="13" t="s">
        <v>8484</v>
      </c>
      <c r="D426" s="13" t="s">
        <v>8485</v>
      </c>
      <c r="G426" s="15">
        <v>264165</v>
      </c>
      <c r="H426" s="15">
        <v>264165</v>
      </c>
    </row>
    <row r="427" s="13" customFormat="1" ht="15" customHeight="1" spans="3:8">
      <c r="C427" s="13" t="s">
        <v>8486</v>
      </c>
      <c r="D427" s="13" t="s">
        <v>8487</v>
      </c>
      <c r="G427" s="15">
        <v>264165</v>
      </c>
      <c r="H427" s="15">
        <v>264165</v>
      </c>
    </row>
    <row r="428" s="13" customFormat="1" ht="15" customHeight="1" spans="3:10">
      <c r="C428" s="13" t="s">
        <v>8488</v>
      </c>
      <c r="D428" s="13" t="s">
        <v>8489</v>
      </c>
      <c r="G428" s="15">
        <v>139955</v>
      </c>
      <c r="H428" s="15">
        <v>139955</v>
      </c>
      <c r="I428" s="15">
        <v>139955</v>
      </c>
      <c r="J428" s="15">
        <v>139955</v>
      </c>
    </row>
    <row r="429" s="13" customFormat="1" ht="15" customHeight="1" spans="3:12">
      <c r="C429" s="13" t="s">
        <v>8490</v>
      </c>
      <c r="D429" s="13" t="s">
        <v>8491</v>
      </c>
      <c r="H429" s="15">
        <v>193952</v>
      </c>
      <c r="L429" s="15">
        <v>193952</v>
      </c>
    </row>
    <row r="430" s="13" customFormat="1" ht="15" customHeight="1" spans="3:8">
      <c r="C430" s="13" t="s">
        <v>8492</v>
      </c>
      <c r="D430" s="13" t="s">
        <v>7626</v>
      </c>
      <c r="G430" s="15">
        <v>216300</v>
      </c>
      <c r="H430" s="15">
        <v>216300</v>
      </c>
    </row>
    <row r="431" s="13" customFormat="1" ht="15" customHeight="1" spans="3:8">
      <c r="C431" s="13" t="s">
        <v>8493</v>
      </c>
      <c r="D431" s="13" t="s">
        <v>8494</v>
      </c>
      <c r="G431" s="15">
        <v>134877</v>
      </c>
      <c r="H431" s="15">
        <v>134877</v>
      </c>
    </row>
    <row r="432" s="13" customFormat="1" ht="15" customHeight="1" spans="3:12">
      <c r="C432" s="13" t="s">
        <v>8495</v>
      </c>
      <c r="D432" s="13" t="s">
        <v>8496</v>
      </c>
      <c r="H432" s="15">
        <v>217110</v>
      </c>
      <c r="L432" s="15">
        <v>217110</v>
      </c>
    </row>
    <row r="433" s="13" customFormat="1" ht="15" customHeight="1" spans="3:12">
      <c r="C433" s="13" t="s">
        <v>8497</v>
      </c>
      <c r="D433" s="13" t="s">
        <v>8498</v>
      </c>
      <c r="H433" s="15">
        <v>175925</v>
      </c>
      <c r="L433" s="15">
        <v>175925</v>
      </c>
    </row>
    <row r="434" s="13" customFormat="1" ht="15" customHeight="1" spans="3:8">
      <c r="C434" s="13" t="s">
        <v>8499</v>
      </c>
      <c r="D434" s="13" t="s">
        <v>8500</v>
      </c>
      <c r="G434" s="15">
        <v>234299</v>
      </c>
      <c r="H434" s="15">
        <v>234299</v>
      </c>
    </row>
    <row r="435" s="13" customFormat="1" ht="15" customHeight="1" spans="3:8">
      <c r="C435" s="13" t="s">
        <v>8501</v>
      </c>
      <c r="D435" s="13" t="s">
        <v>8502</v>
      </c>
      <c r="G435" s="15">
        <v>263000</v>
      </c>
      <c r="H435" s="15">
        <v>263000</v>
      </c>
    </row>
    <row r="436" s="13" customFormat="1" ht="15" customHeight="1" spans="3:12">
      <c r="C436" s="13" t="s">
        <v>8503</v>
      </c>
      <c r="D436" s="13" t="s">
        <v>8504</v>
      </c>
      <c r="H436" s="15">
        <v>160973</v>
      </c>
      <c r="L436" s="15">
        <v>160973</v>
      </c>
    </row>
    <row r="437" s="13" customFormat="1" ht="15" customHeight="1" spans="3:12">
      <c r="C437" s="13" t="s">
        <v>8505</v>
      </c>
      <c r="D437" s="13" t="s">
        <v>8506</v>
      </c>
      <c r="G437" s="15">
        <v>161985</v>
      </c>
      <c r="H437" s="15">
        <v>156985</v>
      </c>
      <c r="I437" s="15">
        <v>161985</v>
      </c>
      <c r="L437" s="15">
        <v>-5000</v>
      </c>
    </row>
    <row r="438" s="13" customFormat="1" ht="15" customHeight="1" spans="3:9">
      <c r="C438" s="13" t="s">
        <v>8507</v>
      </c>
      <c r="D438" s="13" t="s">
        <v>8508</v>
      </c>
      <c r="G438" s="15">
        <v>292000</v>
      </c>
      <c r="H438" s="15">
        <v>292000</v>
      </c>
      <c r="I438" s="15">
        <v>292000</v>
      </c>
    </row>
    <row r="439" s="13" customFormat="1" ht="15" customHeight="1" spans="3:12">
      <c r="C439" s="13" t="s">
        <v>8509</v>
      </c>
      <c r="D439" s="13" t="s">
        <v>8510</v>
      </c>
      <c r="G439" s="15">
        <v>163138</v>
      </c>
      <c r="H439" s="15">
        <v>163108</v>
      </c>
      <c r="L439" s="15">
        <v>-30</v>
      </c>
    </row>
    <row r="440" s="13" customFormat="1" ht="15" customHeight="1" spans="3:8">
      <c r="C440" s="13" t="s">
        <v>8511</v>
      </c>
      <c r="D440" s="13" t="s">
        <v>8512</v>
      </c>
      <c r="G440" s="15">
        <v>151000</v>
      </c>
      <c r="H440" s="15">
        <v>151000</v>
      </c>
    </row>
    <row r="441" s="13" customFormat="1" ht="15" customHeight="1" spans="3:12">
      <c r="C441" s="13" t="s">
        <v>8513</v>
      </c>
      <c r="D441" s="13" t="s">
        <v>8514</v>
      </c>
      <c r="H441" s="15">
        <v>254968</v>
      </c>
      <c r="L441" s="15">
        <v>254968</v>
      </c>
    </row>
    <row r="442" s="13" customFormat="1" ht="15" customHeight="1" spans="3:8">
      <c r="C442" s="13" t="s">
        <v>8515</v>
      </c>
      <c r="D442" s="13" t="s">
        <v>8516</v>
      </c>
      <c r="G442" s="15">
        <v>456057</v>
      </c>
      <c r="H442" s="15">
        <v>456057</v>
      </c>
    </row>
    <row r="443" s="13" customFormat="1" ht="15" customHeight="1" spans="3:12">
      <c r="C443" s="13" t="s">
        <v>8517</v>
      </c>
      <c r="D443" s="13" t="s">
        <v>8518</v>
      </c>
      <c r="H443" s="15">
        <v>237120</v>
      </c>
      <c r="L443" s="15">
        <v>237120</v>
      </c>
    </row>
    <row r="444" s="13" customFormat="1" ht="15" customHeight="1" spans="3:12">
      <c r="C444" s="13" t="s">
        <v>8519</v>
      </c>
      <c r="D444" s="13" t="s">
        <v>8520</v>
      </c>
      <c r="H444" s="15">
        <v>139025</v>
      </c>
      <c r="L444" s="15">
        <v>139025</v>
      </c>
    </row>
    <row r="445" s="13" customFormat="1" ht="15" customHeight="1" spans="3:8">
      <c r="C445" s="13" t="s">
        <v>8521</v>
      </c>
      <c r="D445" s="13" t="s">
        <v>8522</v>
      </c>
      <c r="G445" s="15">
        <v>163688</v>
      </c>
      <c r="H445" s="15">
        <v>163688</v>
      </c>
    </row>
    <row r="446" s="13" customFormat="1" ht="15" customHeight="1" spans="3:12">
      <c r="C446" s="13" t="s">
        <v>8523</v>
      </c>
      <c r="D446" s="13" t="s">
        <v>8524</v>
      </c>
      <c r="H446" s="15">
        <v>107030</v>
      </c>
      <c r="L446" s="15">
        <v>107030</v>
      </c>
    </row>
    <row r="447" s="13" customFormat="1" ht="15" customHeight="1" spans="3:12">
      <c r="C447" s="13" t="s">
        <v>8525</v>
      </c>
      <c r="D447" s="13" t="s">
        <v>8526</v>
      </c>
      <c r="H447" s="15">
        <v>226482</v>
      </c>
      <c r="L447" s="15">
        <v>226482</v>
      </c>
    </row>
    <row r="448" s="13" customFormat="1" ht="15" customHeight="1" spans="3:12">
      <c r="C448" s="13" t="s">
        <v>8527</v>
      </c>
      <c r="D448" s="13" t="s">
        <v>8528</v>
      </c>
      <c r="H448" s="15">
        <v>257000</v>
      </c>
      <c r="L448" s="15">
        <v>257000</v>
      </c>
    </row>
    <row r="449" s="13" customFormat="1" ht="15" customHeight="1" spans="3:12">
      <c r="C449" s="13" t="s">
        <v>8529</v>
      </c>
      <c r="D449" s="13" t="s">
        <v>8530</v>
      </c>
      <c r="H449" s="15">
        <v>223820</v>
      </c>
      <c r="L449" s="15">
        <v>223820</v>
      </c>
    </row>
    <row r="450" s="13" customFormat="1" ht="15" customHeight="1" spans="3:12">
      <c r="C450" s="13" t="s">
        <v>8531</v>
      </c>
      <c r="D450" s="13" t="s">
        <v>8532</v>
      </c>
      <c r="H450" s="15">
        <v>215894</v>
      </c>
      <c r="L450" s="15">
        <v>215894</v>
      </c>
    </row>
    <row r="451" s="13" customFormat="1" ht="15" customHeight="1" spans="3:12">
      <c r="C451" s="13" t="s">
        <v>8533</v>
      </c>
      <c r="D451" s="13" t="s">
        <v>8534</v>
      </c>
      <c r="H451" s="15">
        <v>666000</v>
      </c>
      <c r="L451" s="15">
        <v>666000</v>
      </c>
    </row>
    <row r="452" s="13" customFormat="1" ht="15" customHeight="1" spans="3:12">
      <c r="C452" s="13" t="s">
        <v>8535</v>
      </c>
      <c r="D452" s="13" t="s">
        <v>8536</v>
      </c>
      <c r="H452" s="15">
        <v>1523810</v>
      </c>
      <c r="L452" s="15">
        <v>1523810</v>
      </c>
    </row>
    <row r="453" s="13" customFormat="1" ht="15" customHeight="1" spans="3:8">
      <c r="C453" s="13" t="s">
        <v>8537</v>
      </c>
      <c r="D453" s="13" t="s">
        <v>8538</v>
      </c>
      <c r="G453" s="15">
        <v>200850</v>
      </c>
      <c r="H453" s="15">
        <v>200850</v>
      </c>
    </row>
    <row r="454" s="13" customFormat="1" ht="15" customHeight="1" spans="3:12">
      <c r="C454" s="13" t="s">
        <v>8539</v>
      </c>
      <c r="D454" s="13" t="s">
        <v>8540</v>
      </c>
      <c r="G454" s="15">
        <v>195399</v>
      </c>
      <c r="H454" s="15">
        <v>195400</v>
      </c>
      <c r="L454" s="15">
        <v>1</v>
      </c>
    </row>
    <row r="455" s="13" customFormat="1" ht="15" customHeight="1" spans="3:8">
      <c r="C455" s="13" t="s">
        <v>8541</v>
      </c>
      <c r="D455" s="13" t="s">
        <v>8542</v>
      </c>
      <c r="G455" s="15">
        <v>194675</v>
      </c>
      <c r="H455" s="15">
        <v>194675</v>
      </c>
    </row>
    <row r="456" s="13" customFormat="1" ht="15" customHeight="1" spans="3:12">
      <c r="C456" s="13" t="s">
        <v>8543</v>
      </c>
      <c r="D456" s="13" t="s">
        <v>8544</v>
      </c>
      <c r="H456" s="15">
        <v>133000</v>
      </c>
      <c r="L456" s="15">
        <v>133000</v>
      </c>
    </row>
    <row r="457" s="13" customFormat="1" ht="15" customHeight="1" spans="3:8">
      <c r="C457" s="13" t="s">
        <v>8545</v>
      </c>
      <c r="D457" s="13" t="s">
        <v>8546</v>
      </c>
      <c r="G457" s="15">
        <v>215583</v>
      </c>
      <c r="H457" s="15">
        <v>215583</v>
      </c>
    </row>
    <row r="458" s="13" customFormat="1" ht="15" customHeight="1" spans="3:8">
      <c r="C458" s="13" t="s">
        <v>8547</v>
      </c>
      <c r="D458" s="13" t="s">
        <v>8548</v>
      </c>
      <c r="G458" s="15">
        <v>204152</v>
      </c>
      <c r="H458" s="15">
        <v>204152</v>
      </c>
    </row>
    <row r="459" s="13" customFormat="1" ht="15" customHeight="1" spans="3:8">
      <c r="C459" s="13" t="s">
        <v>8549</v>
      </c>
      <c r="D459" s="13" t="s">
        <v>8550</v>
      </c>
      <c r="G459" s="15">
        <v>481932</v>
      </c>
      <c r="H459" s="15">
        <v>481932</v>
      </c>
    </row>
    <row r="460" s="13" customFormat="1" ht="15" customHeight="1" spans="3:8">
      <c r="C460" s="13" t="s">
        <v>8551</v>
      </c>
      <c r="D460" s="13" t="s">
        <v>8552</v>
      </c>
      <c r="G460" s="15">
        <v>267990</v>
      </c>
      <c r="H460" s="15">
        <v>267990</v>
      </c>
    </row>
    <row r="461" s="13" customFormat="1" ht="15" customHeight="1" spans="3:12">
      <c r="C461" s="13" t="s">
        <v>8553</v>
      </c>
      <c r="D461" s="13" t="s">
        <v>8554</v>
      </c>
      <c r="H461" s="15">
        <v>133185</v>
      </c>
      <c r="L461" s="15">
        <v>133185</v>
      </c>
    </row>
    <row r="462" s="13" customFormat="1" ht="15" customHeight="1" spans="3:12">
      <c r="C462" s="13" t="s">
        <v>8555</v>
      </c>
      <c r="D462" s="13" t="s">
        <v>8556</v>
      </c>
      <c r="H462" s="15">
        <v>231634</v>
      </c>
      <c r="L462" s="15">
        <v>231634</v>
      </c>
    </row>
    <row r="463" s="13" customFormat="1" ht="15" customHeight="1" spans="3:12">
      <c r="C463" s="13" t="s">
        <v>8557</v>
      </c>
      <c r="D463" s="13" t="s">
        <v>7627</v>
      </c>
      <c r="H463" s="15">
        <v>136275</v>
      </c>
      <c r="L463" s="15">
        <v>136275</v>
      </c>
    </row>
    <row r="464" s="13" customFormat="1" ht="15" customHeight="1" spans="3:12">
      <c r="C464" s="13" t="s">
        <v>8558</v>
      </c>
      <c r="D464" s="13" t="s">
        <v>7628</v>
      </c>
      <c r="H464" s="15">
        <v>238979</v>
      </c>
      <c r="J464" s="15">
        <v>150000</v>
      </c>
      <c r="L464" s="15">
        <v>238979</v>
      </c>
    </row>
    <row r="465" s="13" customFormat="1" ht="15" customHeight="1" spans="3:12">
      <c r="C465" s="13" t="s">
        <v>8559</v>
      </c>
      <c r="D465" s="13" t="s">
        <v>8560</v>
      </c>
      <c r="H465" s="15">
        <v>292000.01</v>
      </c>
      <c r="L465" s="15">
        <v>292000.01</v>
      </c>
    </row>
    <row r="466" s="13" customFormat="1" ht="15" customHeight="1" spans="3:8">
      <c r="C466" s="13" t="s">
        <v>8561</v>
      </c>
      <c r="D466" s="13" t="s">
        <v>8562</v>
      </c>
      <c r="G466" s="15">
        <v>264460</v>
      </c>
      <c r="H466" s="15">
        <v>264460</v>
      </c>
    </row>
    <row r="467" s="13" customFormat="1" ht="15" customHeight="1" spans="3:12">
      <c r="C467" s="13" t="s">
        <v>8563</v>
      </c>
      <c r="D467" s="13" t="s">
        <v>8564</v>
      </c>
      <c r="H467" s="15">
        <v>245570</v>
      </c>
      <c r="L467" s="15">
        <v>245570</v>
      </c>
    </row>
    <row r="468" s="13" customFormat="1" ht="15" customHeight="1" spans="3:8">
      <c r="C468" s="13" t="s">
        <v>8565</v>
      </c>
      <c r="D468" s="13" t="s">
        <v>8566</v>
      </c>
      <c r="G468" s="15">
        <v>133725</v>
      </c>
      <c r="H468" s="15">
        <v>133725</v>
      </c>
    </row>
    <row r="469" s="13" customFormat="1" ht="15" customHeight="1" spans="3:8">
      <c r="C469" s="13" t="s">
        <v>8567</v>
      </c>
      <c r="D469" s="13" t="s">
        <v>8568</v>
      </c>
      <c r="G469" s="15">
        <v>278569</v>
      </c>
      <c r="H469" s="15">
        <v>278569</v>
      </c>
    </row>
    <row r="470" s="13" customFormat="1" ht="15" customHeight="1" spans="3:9">
      <c r="C470" s="13" t="s">
        <v>8569</v>
      </c>
      <c r="D470" s="13" t="s">
        <v>8570</v>
      </c>
      <c r="G470" s="15">
        <v>232206</v>
      </c>
      <c r="H470" s="15">
        <v>232206</v>
      </c>
      <c r="I470" s="15">
        <v>232206</v>
      </c>
    </row>
    <row r="471" s="13" customFormat="1" ht="15" customHeight="1" spans="3:12">
      <c r="C471" s="13" t="s">
        <v>8571</v>
      </c>
      <c r="D471" s="13" t="s">
        <v>8572</v>
      </c>
      <c r="H471" s="15">
        <v>35000</v>
      </c>
      <c r="L471" s="15">
        <v>35000</v>
      </c>
    </row>
    <row r="472" s="13" customFormat="1" ht="15" customHeight="1" spans="3:8">
      <c r="C472" s="13" t="s">
        <v>8573</v>
      </c>
      <c r="D472" s="13" t="s">
        <v>8574</v>
      </c>
      <c r="G472" s="15">
        <v>162166</v>
      </c>
      <c r="H472" s="15">
        <v>162166</v>
      </c>
    </row>
    <row r="473" s="13" customFormat="1" ht="15" customHeight="1" spans="3:8">
      <c r="C473" s="13" t="s">
        <v>8575</v>
      </c>
      <c r="D473" s="13" t="s">
        <v>8576</v>
      </c>
      <c r="G473" s="15">
        <v>227650</v>
      </c>
      <c r="H473" s="15">
        <v>227650</v>
      </c>
    </row>
    <row r="474" s="13" customFormat="1" ht="15" customHeight="1" spans="3:8">
      <c r="C474" s="13" t="s">
        <v>8577</v>
      </c>
      <c r="D474" s="13" t="s">
        <v>8578</v>
      </c>
      <c r="G474" s="15">
        <v>155000</v>
      </c>
      <c r="H474" s="15">
        <v>155000</v>
      </c>
    </row>
    <row r="475" s="13" customFormat="1" ht="15" customHeight="1" spans="3:8">
      <c r="C475" s="13" t="s">
        <v>8579</v>
      </c>
      <c r="D475" s="13" t="s">
        <v>8580</v>
      </c>
      <c r="G475" s="15">
        <v>117279</v>
      </c>
      <c r="H475" s="15">
        <v>117279</v>
      </c>
    </row>
    <row r="476" s="13" customFormat="1" ht="15" customHeight="1" spans="3:12">
      <c r="C476" s="13" t="s">
        <v>8581</v>
      </c>
      <c r="D476" s="13" t="s">
        <v>8582</v>
      </c>
      <c r="H476" s="15">
        <v>116839</v>
      </c>
      <c r="L476" s="15">
        <v>116839</v>
      </c>
    </row>
    <row r="477" s="13" customFormat="1" ht="15" customHeight="1" spans="3:12">
      <c r="C477" s="13" t="s">
        <v>8583</v>
      </c>
      <c r="D477" s="13" t="s">
        <v>8584</v>
      </c>
      <c r="H477" s="15">
        <v>140000</v>
      </c>
      <c r="L477" s="15">
        <v>140000</v>
      </c>
    </row>
    <row r="478" s="13" customFormat="1" ht="15" customHeight="1" spans="3:8">
      <c r="C478" s="13" t="s">
        <v>8585</v>
      </c>
      <c r="D478" s="13" t="s">
        <v>8586</v>
      </c>
      <c r="G478" s="15">
        <v>164700</v>
      </c>
      <c r="H478" s="15">
        <v>164700</v>
      </c>
    </row>
    <row r="479" s="13" customFormat="1" ht="15" customHeight="1" spans="3:8">
      <c r="C479" s="13" t="s">
        <v>8587</v>
      </c>
      <c r="D479" s="13" t="s">
        <v>8588</v>
      </c>
      <c r="G479" s="15">
        <v>155453</v>
      </c>
      <c r="H479" s="15">
        <v>155453</v>
      </c>
    </row>
    <row r="480" s="13" customFormat="1" ht="15" customHeight="1" spans="3:8">
      <c r="C480" s="13" t="s">
        <v>8589</v>
      </c>
      <c r="D480" s="13" t="s">
        <v>8590</v>
      </c>
      <c r="G480" s="15">
        <v>250000</v>
      </c>
      <c r="H480" s="15">
        <v>250000</v>
      </c>
    </row>
    <row r="481" s="13" customFormat="1" ht="15" customHeight="1" spans="3:8">
      <c r="C481" s="13" t="s">
        <v>8591</v>
      </c>
      <c r="D481" s="13" t="s">
        <v>8592</v>
      </c>
      <c r="G481" s="15">
        <v>245518</v>
      </c>
      <c r="H481" s="15">
        <v>245518</v>
      </c>
    </row>
    <row r="482" s="13" customFormat="1" ht="15" customHeight="1" spans="3:8">
      <c r="C482" s="13" t="s">
        <v>8593</v>
      </c>
      <c r="D482" s="13" t="s">
        <v>8594</v>
      </c>
      <c r="G482" s="15">
        <v>456813</v>
      </c>
      <c r="H482" s="15">
        <v>456813</v>
      </c>
    </row>
    <row r="483" s="13" customFormat="1" ht="15" customHeight="1" spans="3:8">
      <c r="C483" s="13" t="s">
        <v>8595</v>
      </c>
      <c r="D483" s="13" t="s">
        <v>8596</v>
      </c>
      <c r="G483" s="15">
        <v>217453</v>
      </c>
      <c r="H483" s="15">
        <v>217453</v>
      </c>
    </row>
    <row r="484" s="13" customFormat="1" ht="15" customHeight="1" spans="3:8">
      <c r="C484" s="13" t="s">
        <v>8597</v>
      </c>
      <c r="D484" s="13" t="s">
        <v>8598</v>
      </c>
      <c r="G484" s="15">
        <v>202644</v>
      </c>
      <c r="H484" s="15">
        <v>202644</v>
      </c>
    </row>
    <row r="485" s="13" customFormat="1" ht="15" customHeight="1" spans="3:12">
      <c r="C485" s="13" t="s">
        <v>8599</v>
      </c>
      <c r="D485" s="13" t="s">
        <v>8600</v>
      </c>
      <c r="H485" s="15">
        <v>229923</v>
      </c>
      <c r="L485" s="15">
        <v>229923</v>
      </c>
    </row>
    <row r="486" s="13" customFormat="1" ht="15" customHeight="1" spans="3:8">
      <c r="C486" s="13" t="s">
        <v>8601</v>
      </c>
      <c r="D486" s="13" t="s">
        <v>8602</v>
      </c>
      <c r="G486" s="15">
        <v>217115</v>
      </c>
      <c r="H486" s="15">
        <v>217115</v>
      </c>
    </row>
    <row r="487" s="13" customFormat="1" ht="15" customHeight="1" spans="3:12">
      <c r="C487" s="13" t="s">
        <v>8603</v>
      </c>
      <c r="D487" s="13" t="s">
        <v>8604</v>
      </c>
      <c r="H487" s="15">
        <v>252332</v>
      </c>
      <c r="L487" s="15">
        <v>252332</v>
      </c>
    </row>
    <row r="488" s="13" customFormat="1" ht="15" customHeight="1" spans="3:12">
      <c r="C488" s="13" t="s">
        <v>8605</v>
      </c>
      <c r="D488" s="13" t="s">
        <v>8606</v>
      </c>
      <c r="H488" s="15">
        <v>228820</v>
      </c>
      <c r="L488" s="15">
        <v>228820</v>
      </c>
    </row>
    <row r="489" s="13" customFormat="1" ht="15" customHeight="1" spans="3:8">
      <c r="C489" s="13" t="s">
        <v>8607</v>
      </c>
      <c r="D489" s="13" t="s">
        <v>8608</v>
      </c>
      <c r="G489" s="15">
        <v>219915</v>
      </c>
      <c r="H489" s="15">
        <v>219915</v>
      </c>
    </row>
    <row r="490" s="13" customFormat="1" ht="15" customHeight="1" spans="3:8">
      <c r="C490" s="13" t="s">
        <v>8609</v>
      </c>
      <c r="D490" s="13" t="s">
        <v>8610</v>
      </c>
      <c r="G490" s="15">
        <v>230223</v>
      </c>
      <c r="H490" s="15">
        <v>230223</v>
      </c>
    </row>
    <row r="491" s="13" customFormat="1" ht="15" customHeight="1" spans="3:8">
      <c r="C491" s="13" t="s">
        <v>8611</v>
      </c>
      <c r="D491" s="13" t="s">
        <v>8612</v>
      </c>
      <c r="G491" s="15">
        <v>240055</v>
      </c>
      <c r="H491" s="15">
        <v>240055</v>
      </c>
    </row>
    <row r="492" s="13" customFormat="1" ht="15" customHeight="1" spans="3:12">
      <c r="C492" s="13" t="s">
        <v>8613</v>
      </c>
      <c r="D492" s="13" t="s">
        <v>8614</v>
      </c>
      <c r="G492" s="15">
        <v>534677</v>
      </c>
      <c r="H492" s="15">
        <v>242677</v>
      </c>
      <c r="L492" s="15">
        <v>-292000</v>
      </c>
    </row>
    <row r="493" s="13" customFormat="1" ht="15" customHeight="1" spans="3:8">
      <c r="C493" s="13" t="s">
        <v>8615</v>
      </c>
      <c r="D493" s="13" t="s">
        <v>8616</v>
      </c>
      <c r="G493" s="15">
        <v>240000</v>
      </c>
      <c r="H493" s="15">
        <v>240000</v>
      </c>
    </row>
    <row r="494" s="13" customFormat="1" ht="15" customHeight="1" spans="3:8">
      <c r="C494" s="13" t="s">
        <v>8617</v>
      </c>
      <c r="D494" s="13" t="s">
        <v>8618</v>
      </c>
      <c r="G494" s="15">
        <v>230000</v>
      </c>
      <c r="H494" s="15">
        <v>230000</v>
      </c>
    </row>
    <row r="495" s="13" customFormat="1" ht="15" customHeight="1" spans="3:12">
      <c r="C495" s="13" t="s">
        <v>8619</v>
      </c>
      <c r="D495" s="13" t="s">
        <v>8620</v>
      </c>
      <c r="H495" s="15">
        <v>241614</v>
      </c>
      <c r="L495" s="15">
        <v>241614</v>
      </c>
    </row>
    <row r="496" s="13" customFormat="1" ht="15" customHeight="1" spans="3:12">
      <c r="C496" s="13" t="s">
        <v>8621</v>
      </c>
      <c r="D496" s="13" t="s">
        <v>8622</v>
      </c>
      <c r="H496" s="15">
        <v>271520</v>
      </c>
      <c r="L496" s="15">
        <v>271520</v>
      </c>
    </row>
    <row r="497" s="13" customFormat="1" ht="15" customHeight="1" spans="3:8">
      <c r="C497" s="13" t="s">
        <v>8623</v>
      </c>
      <c r="D497" s="13" t="s">
        <v>8624</v>
      </c>
      <c r="G497" s="15">
        <v>273216</v>
      </c>
      <c r="H497" s="15">
        <v>273216</v>
      </c>
    </row>
    <row r="498" s="13" customFormat="1" ht="15" customHeight="1" spans="3:8">
      <c r="C498" s="13" t="s">
        <v>8625</v>
      </c>
      <c r="D498" s="13" t="s">
        <v>8626</v>
      </c>
      <c r="G498" s="15">
        <v>254550</v>
      </c>
      <c r="H498" s="15">
        <v>254550</v>
      </c>
    </row>
    <row r="499" s="13" customFormat="1" ht="15" customHeight="1" spans="3:8">
      <c r="C499" s="13" t="s">
        <v>8627</v>
      </c>
      <c r="D499" s="13" t="s">
        <v>8628</v>
      </c>
      <c r="G499" s="15">
        <v>254432</v>
      </c>
      <c r="H499" s="15">
        <v>254432</v>
      </c>
    </row>
    <row r="500" s="13" customFormat="1" ht="15" customHeight="1" spans="3:12">
      <c r="C500" s="13" t="s">
        <v>8629</v>
      </c>
      <c r="D500" s="13" t="s">
        <v>8630</v>
      </c>
      <c r="H500" s="15">
        <v>253480</v>
      </c>
      <c r="L500" s="15">
        <v>253480</v>
      </c>
    </row>
    <row r="501" s="13" customFormat="1" ht="15" customHeight="1" spans="3:8">
      <c r="C501" s="13" t="s">
        <v>8631</v>
      </c>
      <c r="D501" s="13" t="s">
        <v>8632</v>
      </c>
      <c r="G501" s="15">
        <v>249312</v>
      </c>
      <c r="H501" s="15">
        <v>249312</v>
      </c>
    </row>
    <row r="502" s="13" customFormat="1" ht="15" customHeight="1" spans="3:8">
      <c r="C502" s="13" t="s">
        <v>8633</v>
      </c>
      <c r="D502" s="13" t="s">
        <v>8634</v>
      </c>
      <c r="G502" s="15">
        <v>237580</v>
      </c>
      <c r="H502" s="15">
        <v>237580</v>
      </c>
    </row>
    <row r="503" s="13" customFormat="1" ht="15" customHeight="1" spans="3:12">
      <c r="C503" s="13" t="s">
        <v>8635</v>
      </c>
      <c r="D503" s="13" t="s">
        <v>8636</v>
      </c>
      <c r="H503" s="15">
        <v>221988</v>
      </c>
      <c r="L503" s="15">
        <v>221988</v>
      </c>
    </row>
    <row r="504" s="13" customFormat="1" ht="15" customHeight="1" spans="3:12">
      <c r="C504" s="13" t="s">
        <v>8637</v>
      </c>
      <c r="D504" s="13" t="s">
        <v>8638</v>
      </c>
      <c r="H504" s="15">
        <v>245247</v>
      </c>
      <c r="L504" s="15">
        <v>245247</v>
      </c>
    </row>
    <row r="505" s="13" customFormat="1" ht="15" customHeight="1" spans="3:8">
      <c r="C505" s="13" t="s">
        <v>8639</v>
      </c>
      <c r="D505" s="13" t="s">
        <v>8640</v>
      </c>
      <c r="G505" s="15">
        <v>375000</v>
      </c>
      <c r="H505" s="15">
        <v>375000</v>
      </c>
    </row>
    <row r="506" s="13" customFormat="1" ht="15" customHeight="1" spans="3:12">
      <c r="C506" s="13" t="s">
        <v>8641</v>
      </c>
      <c r="D506" s="13" t="s">
        <v>8642</v>
      </c>
      <c r="H506" s="15">
        <v>1467841</v>
      </c>
      <c r="J506" s="15">
        <v>728920</v>
      </c>
      <c r="L506" s="15">
        <v>1467841</v>
      </c>
    </row>
    <row r="507" s="13" customFormat="1" ht="15" customHeight="1" spans="3:12">
      <c r="C507" s="13" t="s">
        <v>8643</v>
      </c>
      <c r="D507" s="13" t="s">
        <v>8644</v>
      </c>
      <c r="G507" s="15">
        <v>370546</v>
      </c>
      <c r="H507" s="15">
        <v>370584</v>
      </c>
      <c r="L507" s="15">
        <v>38</v>
      </c>
    </row>
    <row r="508" s="13" customFormat="1" ht="15" customHeight="1" spans="3:12">
      <c r="C508" s="13" t="s">
        <v>8645</v>
      </c>
      <c r="D508" s="13" t="s">
        <v>8646</v>
      </c>
      <c r="H508" s="15">
        <v>2100</v>
      </c>
      <c r="L508" s="15">
        <v>2100</v>
      </c>
    </row>
    <row r="509" s="13" customFormat="1" ht="15" customHeight="1" spans="3:8">
      <c r="C509" s="13" t="s">
        <v>8647</v>
      </c>
      <c r="D509" s="13" t="s">
        <v>8648</v>
      </c>
      <c r="G509" s="15">
        <v>70000</v>
      </c>
      <c r="H509" s="15">
        <v>70000</v>
      </c>
    </row>
    <row r="510" s="13" customFormat="1" ht="15" customHeight="1" spans="3:8">
      <c r="C510" s="13" t="s">
        <v>8649</v>
      </c>
      <c r="D510" s="13" t="s">
        <v>8650</v>
      </c>
      <c r="G510" s="15">
        <v>88769</v>
      </c>
      <c r="H510" s="15">
        <v>88769</v>
      </c>
    </row>
    <row r="511" s="13" customFormat="1" ht="15" customHeight="1" spans="3:8">
      <c r="C511" s="13" t="s">
        <v>8651</v>
      </c>
      <c r="D511" s="13" t="s">
        <v>8652</v>
      </c>
      <c r="G511" s="15">
        <v>70000</v>
      </c>
      <c r="H511" s="15">
        <v>70000</v>
      </c>
    </row>
    <row r="512" s="13" customFormat="1" ht="15" customHeight="1" spans="3:8">
      <c r="C512" s="13" t="s">
        <v>8653</v>
      </c>
      <c r="D512" s="13" t="s">
        <v>8654</v>
      </c>
      <c r="G512" s="15">
        <v>50000</v>
      </c>
      <c r="H512" s="15">
        <v>50000</v>
      </c>
    </row>
    <row r="513" s="13" customFormat="1" ht="15" customHeight="1" spans="3:12">
      <c r="C513" s="13" t="s">
        <v>8655</v>
      </c>
      <c r="D513" s="13" t="s">
        <v>7629</v>
      </c>
      <c r="H513" s="15">
        <v>900000</v>
      </c>
      <c r="J513" s="15">
        <v>600000</v>
      </c>
      <c r="L513" s="15">
        <v>900000</v>
      </c>
    </row>
    <row r="514" s="13" customFormat="1" ht="15" customHeight="1" spans="3:8">
      <c r="C514" s="13" t="s">
        <v>8656</v>
      </c>
      <c r="D514" s="13" t="s">
        <v>8657</v>
      </c>
      <c r="G514" s="15">
        <v>249262</v>
      </c>
      <c r="H514" s="15">
        <v>249262</v>
      </c>
    </row>
    <row r="515" s="13" customFormat="1" ht="15" customHeight="1" spans="3:12">
      <c r="C515" s="13" t="s">
        <v>8658</v>
      </c>
      <c r="D515" s="13" t="s">
        <v>8659</v>
      </c>
      <c r="H515" s="15">
        <v>249000</v>
      </c>
      <c r="L515" s="15">
        <v>249000</v>
      </c>
    </row>
    <row r="516" s="13" customFormat="1" ht="15" customHeight="1" spans="3:8">
      <c r="C516" s="13" t="s">
        <v>8660</v>
      </c>
      <c r="D516" s="13" t="s">
        <v>8661</v>
      </c>
      <c r="G516" s="15">
        <v>245652</v>
      </c>
      <c r="H516" s="15">
        <v>245652</v>
      </c>
    </row>
    <row r="517" s="13" customFormat="1" ht="15" customHeight="1" spans="3:4">
      <c r="C517" s="13" t="s">
        <v>8662</v>
      </c>
      <c r="D517" s="13" t="s">
        <v>8663</v>
      </c>
    </row>
    <row r="518" s="13" customFormat="1" ht="15" customHeight="1" spans="3:8">
      <c r="C518" s="13" t="s">
        <v>8664</v>
      </c>
      <c r="D518" s="13" t="s">
        <v>8665</v>
      </c>
      <c r="G518" s="15">
        <v>212154</v>
      </c>
      <c r="H518" s="15">
        <v>212154</v>
      </c>
    </row>
    <row r="519" s="13" customFormat="1" ht="15" customHeight="1" spans="3:8">
      <c r="C519" s="13" t="s">
        <v>8666</v>
      </c>
      <c r="D519" s="13" t="s">
        <v>8667</v>
      </c>
      <c r="G519" s="15">
        <v>230580</v>
      </c>
      <c r="H519" s="15">
        <v>230580</v>
      </c>
    </row>
    <row r="520" s="13" customFormat="1" ht="15" customHeight="1" spans="3:12">
      <c r="C520" s="13" t="s">
        <v>8668</v>
      </c>
      <c r="D520" s="13" t="s">
        <v>8669</v>
      </c>
      <c r="H520" s="15">
        <v>271755</v>
      </c>
      <c r="L520" s="15">
        <v>271755</v>
      </c>
    </row>
    <row r="521" s="13" customFormat="1" ht="15" customHeight="1" spans="3:8">
      <c r="C521" s="13" t="s">
        <v>8670</v>
      </c>
      <c r="D521" s="13" t="s">
        <v>8671</v>
      </c>
      <c r="G521" s="15">
        <v>278000</v>
      </c>
      <c r="H521" s="15">
        <v>278000</v>
      </c>
    </row>
    <row r="522" s="13" customFormat="1" ht="15" customHeight="1" spans="3:8">
      <c r="C522" s="13" t="s">
        <v>8672</v>
      </c>
      <c r="D522" s="13" t="s">
        <v>8673</v>
      </c>
      <c r="G522" s="15">
        <v>236000</v>
      </c>
      <c r="H522" s="15">
        <v>236000</v>
      </c>
    </row>
    <row r="523" s="13" customFormat="1" ht="15" customHeight="1" spans="3:8">
      <c r="C523" s="13" t="s">
        <v>8674</v>
      </c>
      <c r="D523" s="13" t="s">
        <v>8675</v>
      </c>
      <c r="G523" s="15">
        <v>281010</v>
      </c>
      <c r="H523" s="15">
        <v>281010</v>
      </c>
    </row>
    <row r="524" s="13" customFormat="1" ht="15" customHeight="1" spans="3:8">
      <c r="C524" s="13" t="s">
        <v>8676</v>
      </c>
      <c r="D524" s="13" t="s">
        <v>8677</v>
      </c>
      <c r="G524" s="15">
        <v>258098</v>
      </c>
      <c r="H524" s="15">
        <v>258098</v>
      </c>
    </row>
    <row r="525" s="13" customFormat="1" ht="15" customHeight="1" spans="3:8">
      <c r="C525" s="13" t="s">
        <v>8678</v>
      </c>
      <c r="D525" s="13" t="s">
        <v>8679</v>
      </c>
      <c r="G525" s="15">
        <v>272745</v>
      </c>
      <c r="H525" s="15">
        <v>272745</v>
      </c>
    </row>
    <row r="526" s="13" customFormat="1" ht="15" customHeight="1" spans="3:8">
      <c r="C526" s="13" t="s">
        <v>8680</v>
      </c>
      <c r="D526" s="13" t="s">
        <v>8681</v>
      </c>
      <c r="G526" s="15">
        <v>224024</v>
      </c>
      <c r="H526" s="15">
        <v>224024</v>
      </c>
    </row>
    <row r="527" s="13" customFormat="1" ht="15" customHeight="1" spans="3:8">
      <c r="C527" s="13" t="s">
        <v>8682</v>
      </c>
      <c r="D527" s="13" t="s">
        <v>8683</v>
      </c>
      <c r="G527" s="15">
        <v>207704</v>
      </c>
      <c r="H527" s="15">
        <v>207704</v>
      </c>
    </row>
    <row r="528" s="13" customFormat="1" ht="15" customHeight="1" spans="3:8">
      <c r="C528" s="13" t="s">
        <v>8684</v>
      </c>
      <c r="D528" s="13" t="s">
        <v>8685</v>
      </c>
      <c r="G528" s="15">
        <v>232800</v>
      </c>
      <c r="H528" s="15">
        <v>232800</v>
      </c>
    </row>
    <row r="529" s="13" customFormat="1" ht="15" customHeight="1" spans="3:8">
      <c r="C529" s="13" t="s">
        <v>8686</v>
      </c>
      <c r="D529" s="13" t="s">
        <v>8687</v>
      </c>
      <c r="G529" s="15">
        <v>256080</v>
      </c>
      <c r="H529" s="15">
        <v>256080</v>
      </c>
    </row>
    <row r="530" s="13" customFormat="1" ht="15" customHeight="1" spans="3:8">
      <c r="C530" s="13" t="s">
        <v>8688</v>
      </c>
      <c r="D530" s="13" t="s">
        <v>8689</v>
      </c>
      <c r="G530" s="15">
        <v>247950</v>
      </c>
      <c r="H530" s="15">
        <v>247950</v>
      </c>
    </row>
    <row r="531" s="13" customFormat="1" ht="15" customHeight="1" spans="3:8">
      <c r="C531" s="13" t="s">
        <v>8690</v>
      </c>
      <c r="D531" s="13" t="s">
        <v>8691</v>
      </c>
      <c r="G531" s="15">
        <v>221160</v>
      </c>
      <c r="H531" s="15">
        <v>221160</v>
      </c>
    </row>
    <row r="532" s="13" customFormat="1" ht="15" customHeight="1" spans="3:8">
      <c r="C532" s="13" t="s">
        <v>8692</v>
      </c>
      <c r="D532" s="13" t="s">
        <v>8693</v>
      </c>
      <c r="G532" s="15">
        <v>247544</v>
      </c>
      <c r="H532" s="15">
        <v>247544</v>
      </c>
    </row>
    <row r="533" s="13" customFormat="1" ht="15" customHeight="1" spans="3:8">
      <c r="C533" s="13" t="s">
        <v>8694</v>
      </c>
      <c r="D533" s="13" t="s">
        <v>8695</v>
      </c>
      <c r="G533" s="15">
        <v>229900</v>
      </c>
      <c r="H533" s="15">
        <v>229900</v>
      </c>
    </row>
    <row r="534" s="13" customFormat="1" ht="15" customHeight="1" spans="3:8">
      <c r="C534" s="13" t="s">
        <v>8696</v>
      </c>
      <c r="D534" s="13" t="s">
        <v>8697</v>
      </c>
      <c r="G534" s="15">
        <v>229000</v>
      </c>
      <c r="H534" s="15">
        <v>229000</v>
      </c>
    </row>
    <row r="535" s="13" customFormat="1" ht="15" customHeight="1" spans="3:8">
      <c r="C535" s="13" t="s">
        <v>8698</v>
      </c>
      <c r="D535" s="13" t="s">
        <v>8699</v>
      </c>
      <c r="G535" s="15">
        <v>189600</v>
      </c>
      <c r="H535" s="15">
        <v>189600</v>
      </c>
    </row>
    <row r="536" s="13" customFormat="1" ht="15" customHeight="1" spans="3:12">
      <c r="C536" s="13" t="s">
        <v>8700</v>
      </c>
      <c r="D536" s="13" t="s">
        <v>8701</v>
      </c>
      <c r="G536" s="15">
        <v>208092</v>
      </c>
      <c r="H536" s="15">
        <v>208112</v>
      </c>
      <c r="L536" s="15">
        <v>20</v>
      </c>
    </row>
    <row r="537" s="13" customFormat="1" ht="15" customHeight="1" spans="3:8">
      <c r="C537" s="13" t="s">
        <v>8702</v>
      </c>
      <c r="D537" s="13" t="s">
        <v>8703</v>
      </c>
      <c r="G537" s="15">
        <v>200984</v>
      </c>
      <c r="H537" s="15">
        <v>200984</v>
      </c>
    </row>
    <row r="538" s="13" customFormat="1" ht="15" customHeight="1" spans="3:8">
      <c r="C538" s="13" t="s">
        <v>8704</v>
      </c>
      <c r="D538" s="13" t="s">
        <v>8705</v>
      </c>
      <c r="G538" s="15">
        <v>205904</v>
      </c>
      <c r="H538" s="15">
        <v>205904</v>
      </c>
    </row>
    <row r="539" s="13" customFormat="1" ht="15" customHeight="1" spans="3:8">
      <c r="C539" s="13" t="s">
        <v>8706</v>
      </c>
      <c r="D539" s="13" t="s">
        <v>8707</v>
      </c>
      <c r="G539" s="15">
        <v>218016</v>
      </c>
      <c r="H539" s="15">
        <v>218016</v>
      </c>
    </row>
    <row r="540" s="13" customFormat="1" ht="15" customHeight="1" spans="3:8">
      <c r="C540" s="13" t="s">
        <v>8708</v>
      </c>
      <c r="D540" s="13" t="s">
        <v>8709</v>
      </c>
      <c r="G540" s="15">
        <v>193792</v>
      </c>
      <c r="H540" s="15">
        <v>193792</v>
      </c>
    </row>
    <row r="541" s="13" customFormat="1" ht="15" customHeight="1" spans="3:12">
      <c r="C541" s="13" t="s">
        <v>8710</v>
      </c>
      <c r="D541" s="13" t="s">
        <v>8711</v>
      </c>
      <c r="G541" s="15">
        <v>202930</v>
      </c>
      <c r="L541" s="15">
        <v>-202930</v>
      </c>
    </row>
    <row r="542" s="13" customFormat="1" ht="15" customHeight="1" spans="3:12">
      <c r="C542" s="13" t="s">
        <v>8712</v>
      </c>
      <c r="D542" s="13" t="s">
        <v>8713</v>
      </c>
      <c r="H542" s="15">
        <v>207930</v>
      </c>
      <c r="L542" s="15">
        <v>207930</v>
      </c>
    </row>
    <row r="543" s="13" customFormat="1" ht="15" customHeight="1" spans="3:8">
      <c r="C543" s="13" t="s">
        <v>8714</v>
      </c>
      <c r="D543" s="13" t="s">
        <v>8715</v>
      </c>
      <c r="G543" s="15">
        <v>221000</v>
      </c>
      <c r="H543" s="15">
        <v>221000</v>
      </c>
    </row>
    <row r="544" s="13" customFormat="1" ht="15" customHeight="1" spans="3:8">
      <c r="C544" s="13" t="s">
        <v>8716</v>
      </c>
      <c r="D544" s="13" t="s">
        <v>8717</v>
      </c>
      <c r="G544" s="15">
        <v>172596</v>
      </c>
      <c r="H544" s="15">
        <v>172596</v>
      </c>
    </row>
    <row r="545" s="13" customFormat="1" ht="15" customHeight="1" spans="3:12">
      <c r="C545" s="13" t="s">
        <v>8718</v>
      </c>
      <c r="D545" s="13" t="s">
        <v>8719</v>
      </c>
      <c r="G545" s="15">
        <v>988</v>
      </c>
      <c r="H545" s="15">
        <v>214988</v>
      </c>
      <c r="L545" s="15">
        <v>214000</v>
      </c>
    </row>
    <row r="546" s="13" customFormat="1" ht="15" customHeight="1" spans="3:8">
      <c r="C546" s="13" t="s">
        <v>8720</v>
      </c>
      <c r="D546" s="13" t="s">
        <v>8721</v>
      </c>
      <c r="G546" s="15">
        <v>173940</v>
      </c>
      <c r="H546" s="15">
        <v>173940</v>
      </c>
    </row>
    <row r="547" s="13" customFormat="1" ht="15" customHeight="1" spans="3:12">
      <c r="C547" s="13" t="s">
        <v>8722</v>
      </c>
      <c r="D547" s="13" t="s">
        <v>8723</v>
      </c>
      <c r="G547" s="15">
        <v>218557</v>
      </c>
      <c r="H547" s="15">
        <v>218573</v>
      </c>
      <c r="L547" s="15">
        <v>16</v>
      </c>
    </row>
    <row r="548" s="13" customFormat="1" ht="15" customHeight="1" spans="3:8">
      <c r="C548" s="13" t="s">
        <v>8724</v>
      </c>
      <c r="D548" s="13" t="s">
        <v>8725</v>
      </c>
      <c r="G548" s="15">
        <v>172293</v>
      </c>
      <c r="H548" s="15">
        <v>172293</v>
      </c>
    </row>
    <row r="549" s="13" customFormat="1" ht="15" customHeight="1" spans="3:8">
      <c r="C549" s="13" t="s">
        <v>8726</v>
      </c>
      <c r="D549" s="13" t="s">
        <v>8727</v>
      </c>
      <c r="G549" s="15">
        <v>148799</v>
      </c>
      <c r="H549" s="15">
        <v>148799</v>
      </c>
    </row>
    <row r="550" s="13" customFormat="1" ht="15" customHeight="1" spans="3:8">
      <c r="C550" s="13" t="s">
        <v>8728</v>
      </c>
      <c r="D550" s="13" t="s">
        <v>8729</v>
      </c>
      <c r="G550" s="15">
        <v>226391</v>
      </c>
      <c r="H550" s="15">
        <v>226391</v>
      </c>
    </row>
    <row r="551" s="13" customFormat="1" ht="15" customHeight="1" spans="3:8">
      <c r="C551" s="13" t="s">
        <v>8730</v>
      </c>
      <c r="D551" s="13" t="s">
        <v>8731</v>
      </c>
      <c r="G551" s="15">
        <v>225000</v>
      </c>
      <c r="H551" s="15">
        <v>225000</v>
      </c>
    </row>
    <row r="552" s="13" customFormat="1" ht="15" customHeight="1" spans="3:8">
      <c r="C552" s="13" t="s">
        <v>8732</v>
      </c>
      <c r="D552" s="13" t="s">
        <v>8733</v>
      </c>
      <c r="G552" s="15">
        <v>182735</v>
      </c>
      <c r="H552" s="15">
        <v>182735</v>
      </c>
    </row>
    <row r="553" s="13" customFormat="1" ht="15" customHeight="1" spans="3:12">
      <c r="C553" s="13" t="s">
        <v>8734</v>
      </c>
      <c r="D553" s="13" t="s">
        <v>8735</v>
      </c>
      <c r="H553" s="15">
        <v>182735</v>
      </c>
      <c r="L553" s="15">
        <v>182735</v>
      </c>
    </row>
    <row r="554" s="13" customFormat="1" ht="15" customHeight="1" spans="3:12">
      <c r="C554" s="13" t="s">
        <v>8736</v>
      </c>
      <c r="D554" s="13" t="s">
        <v>8737</v>
      </c>
      <c r="H554" s="15">
        <v>217118</v>
      </c>
      <c r="L554" s="15">
        <v>217118</v>
      </c>
    </row>
    <row r="555" s="13" customFormat="1" ht="15" customHeight="1" spans="3:8">
      <c r="C555" s="13" t="s">
        <v>8738</v>
      </c>
      <c r="D555" s="13" t="s">
        <v>8739</v>
      </c>
      <c r="G555" s="15">
        <v>219204</v>
      </c>
      <c r="H555" s="15">
        <v>219204</v>
      </c>
    </row>
    <row r="556" s="13" customFormat="1" ht="15" customHeight="1" spans="3:12">
      <c r="C556" s="13" t="s">
        <v>8740</v>
      </c>
      <c r="D556" s="13" t="s">
        <v>8741</v>
      </c>
      <c r="H556" s="15">
        <v>252958</v>
      </c>
      <c r="L556" s="15">
        <v>252958</v>
      </c>
    </row>
    <row r="557" s="13" customFormat="1" ht="15" customHeight="1" spans="3:8">
      <c r="C557" s="13" t="s">
        <v>8742</v>
      </c>
      <c r="D557" s="13" t="s">
        <v>8743</v>
      </c>
      <c r="G557" s="15">
        <v>276000</v>
      </c>
      <c r="H557" s="15">
        <v>276000</v>
      </c>
    </row>
    <row r="558" s="13" customFormat="1" ht="15" customHeight="1" spans="3:4">
      <c r="C558" s="13" t="s">
        <v>8744</v>
      </c>
      <c r="D558" s="13" t="s">
        <v>8745</v>
      </c>
    </row>
    <row r="559" s="13" customFormat="1" ht="15" customHeight="1" spans="3:8">
      <c r="C559" s="13" t="s">
        <v>8746</v>
      </c>
      <c r="D559" s="13" t="s">
        <v>8747</v>
      </c>
      <c r="G559" s="15">
        <v>262564</v>
      </c>
      <c r="H559" s="15">
        <v>262564</v>
      </c>
    </row>
    <row r="560" s="13" customFormat="1" ht="15" customHeight="1" spans="3:8">
      <c r="C560" s="13" t="s">
        <v>8748</v>
      </c>
      <c r="D560" s="13" t="s">
        <v>8749</v>
      </c>
      <c r="G560" s="15">
        <v>270996</v>
      </c>
      <c r="H560" s="15">
        <v>270996</v>
      </c>
    </row>
    <row r="561" s="13" customFormat="1" ht="15" customHeight="1" spans="3:8">
      <c r="C561" s="13" t="s">
        <v>8750</v>
      </c>
      <c r="D561" s="13" t="s">
        <v>8751</v>
      </c>
      <c r="G561" s="15">
        <v>244718</v>
      </c>
      <c r="H561" s="15">
        <v>244718</v>
      </c>
    </row>
    <row r="562" s="13" customFormat="1" ht="15" customHeight="1" spans="3:8">
      <c r="C562" s="13" t="s">
        <v>8752</v>
      </c>
      <c r="D562" s="13" t="s">
        <v>8753</v>
      </c>
      <c r="G562" s="15">
        <v>250763</v>
      </c>
      <c r="H562" s="15">
        <v>250763</v>
      </c>
    </row>
    <row r="563" s="13" customFormat="1" ht="15" customHeight="1" spans="3:8">
      <c r="C563" s="13" t="s">
        <v>8754</v>
      </c>
      <c r="D563" s="13" t="s">
        <v>8755</v>
      </c>
      <c r="G563" s="15">
        <v>234042</v>
      </c>
      <c r="H563" s="15">
        <v>234042</v>
      </c>
    </row>
    <row r="564" s="13" customFormat="1" ht="15" customHeight="1" spans="3:8">
      <c r="C564" s="13" t="s">
        <v>8756</v>
      </c>
      <c r="D564" s="13" t="s">
        <v>8757</v>
      </c>
      <c r="G564" s="15">
        <v>426230</v>
      </c>
      <c r="H564" s="15">
        <v>426230</v>
      </c>
    </row>
    <row r="565" s="13" customFormat="1" ht="15" customHeight="1" spans="3:8">
      <c r="C565" s="13" t="s">
        <v>8758</v>
      </c>
      <c r="D565" s="13" t="s">
        <v>8759</v>
      </c>
      <c r="G565" s="15">
        <v>428000</v>
      </c>
      <c r="H565" s="15">
        <v>428000</v>
      </c>
    </row>
    <row r="566" s="13" customFormat="1" ht="15" customHeight="1" spans="3:8">
      <c r="C566" s="13" t="s">
        <v>8760</v>
      </c>
      <c r="D566" s="13" t="s">
        <v>8761</v>
      </c>
      <c r="G566" s="15">
        <v>131435</v>
      </c>
      <c r="H566" s="15">
        <v>131435</v>
      </c>
    </row>
    <row r="567" s="13" customFormat="1" ht="15" customHeight="1" spans="3:8">
      <c r="C567" s="13" t="s">
        <v>8762</v>
      </c>
      <c r="D567" s="13" t="s">
        <v>8763</v>
      </c>
      <c r="G567" s="15">
        <v>231750</v>
      </c>
      <c r="H567" s="15">
        <v>231750</v>
      </c>
    </row>
    <row r="568" s="13" customFormat="1" ht="15" customHeight="1" spans="3:8">
      <c r="C568" s="13" t="s">
        <v>8764</v>
      </c>
      <c r="D568" s="13" t="s">
        <v>8765</v>
      </c>
      <c r="G568" s="15">
        <v>215663</v>
      </c>
      <c r="H568" s="15">
        <v>215663</v>
      </c>
    </row>
    <row r="569" s="13" customFormat="1" ht="15" customHeight="1" spans="3:12">
      <c r="C569" s="13" t="s">
        <v>8766</v>
      </c>
      <c r="D569" s="13" t="s">
        <v>8767</v>
      </c>
      <c r="H569" s="15">
        <v>195399</v>
      </c>
      <c r="L569" s="15">
        <v>195399</v>
      </c>
    </row>
    <row r="570" s="13" customFormat="1" ht="15" customHeight="1" spans="3:12">
      <c r="C570" s="13" t="s">
        <v>8768</v>
      </c>
      <c r="D570" s="13" t="s">
        <v>8769</v>
      </c>
      <c r="H570" s="15">
        <v>216000</v>
      </c>
      <c r="L570" s="15">
        <v>216000</v>
      </c>
    </row>
    <row r="571" s="13" customFormat="1" ht="15" customHeight="1" spans="3:12">
      <c r="C571" s="13" t="s">
        <v>8770</v>
      </c>
      <c r="D571" s="13" t="s">
        <v>8771</v>
      </c>
      <c r="G571" s="15">
        <v>217110</v>
      </c>
      <c r="H571" s="15">
        <v>217220</v>
      </c>
      <c r="L571" s="15">
        <v>110</v>
      </c>
    </row>
    <row r="572" s="13" customFormat="1" ht="15" customHeight="1" spans="3:12">
      <c r="C572" s="13" t="s">
        <v>8772</v>
      </c>
      <c r="D572" s="13" t="s">
        <v>8773</v>
      </c>
      <c r="H572" s="15">
        <v>195399</v>
      </c>
      <c r="L572" s="15">
        <v>195399</v>
      </c>
    </row>
    <row r="573" s="13" customFormat="1" ht="15" customHeight="1" spans="3:8">
      <c r="C573" s="13" t="s">
        <v>8774</v>
      </c>
      <c r="D573" s="13" t="s">
        <v>8775</v>
      </c>
      <c r="G573" s="15">
        <v>208426</v>
      </c>
      <c r="H573" s="15">
        <v>208426</v>
      </c>
    </row>
    <row r="574" s="13" customFormat="1" ht="15" customHeight="1" spans="3:8">
      <c r="C574" s="13" t="s">
        <v>8776</v>
      </c>
      <c r="D574" s="13" t="s">
        <v>8777</v>
      </c>
      <c r="G574" s="15">
        <v>370202</v>
      </c>
      <c r="H574" s="15">
        <v>370202</v>
      </c>
    </row>
    <row r="575" s="13" customFormat="1" ht="15" customHeight="1" spans="3:8">
      <c r="C575" s="13" t="s">
        <v>8778</v>
      </c>
      <c r="D575" s="13" t="s">
        <v>8779</v>
      </c>
      <c r="G575" s="15">
        <v>294314</v>
      </c>
      <c r="H575" s="15">
        <v>294314</v>
      </c>
    </row>
    <row r="576" s="13" customFormat="1" ht="15" customHeight="1" spans="3:12">
      <c r="C576" s="13" t="s">
        <v>8780</v>
      </c>
      <c r="D576" s="13" t="s">
        <v>8781</v>
      </c>
      <c r="H576" s="15">
        <v>166463</v>
      </c>
      <c r="L576" s="15">
        <v>166463</v>
      </c>
    </row>
    <row r="577" s="13" customFormat="1" ht="15" customHeight="1" spans="3:8">
      <c r="C577" s="13" t="s">
        <v>8782</v>
      </c>
      <c r="D577" s="13" t="s">
        <v>8783</v>
      </c>
      <c r="G577" s="15">
        <v>223782</v>
      </c>
      <c r="H577" s="15">
        <v>223782</v>
      </c>
    </row>
    <row r="578" s="13" customFormat="1" ht="15" customHeight="1" spans="3:12">
      <c r="C578" s="13" t="s">
        <v>8784</v>
      </c>
      <c r="D578" s="13" t="s">
        <v>8785</v>
      </c>
      <c r="H578" s="15">
        <v>219856</v>
      </c>
      <c r="L578" s="15">
        <v>219856</v>
      </c>
    </row>
    <row r="579" s="13" customFormat="1" ht="15" customHeight="1" spans="3:12">
      <c r="C579" s="13" t="s">
        <v>8786</v>
      </c>
      <c r="D579" s="13" t="s">
        <v>8787</v>
      </c>
      <c r="H579" s="15">
        <v>126036</v>
      </c>
      <c r="L579" s="15">
        <v>126036</v>
      </c>
    </row>
    <row r="580" s="13" customFormat="1" ht="15" customHeight="1" spans="3:8">
      <c r="C580" s="13" t="s">
        <v>8788</v>
      </c>
      <c r="D580" s="13" t="s">
        <v>8789</v>
      </c>
      <c r="G580" s="15">
        <v>283000</v>
      </c>
      <c r="H580" s="15">
        <v>283000</v>
      </c>
    </row>
    <row r="581" s="13" customFormat="1" ht="15" customHeight="1" spans="3:12">
      <c r="C581" s="13" t="s">
        <v>8790</v>
      </c>
      <c r="D581" s="13" t="s">
        <v>8791</v>
      </c>
      <c r="H581" s="15">
        <v>130000</v>
      </c>
      <c r="L581" s="15">
        <v>130000</v>
      </c>
    </row>
    <row r="582" s="13" customFormat="1" ht="15" customHeight="1" spans="3:8">
      <c r="C582" s="13" t="s">
        <v>8792</v>
      </c>
      <c r="D582" s="13" t="s">
        <v>8793</v>
      </c>
      <c r="G582" s="15">
        <v>123480</v>
      </c>
      <c r="H582" s="15">
        <v>123480</v>
      </c>
    </row>
    <row r="583" s="13" customFormat="1" ht="15" customHeight="1" spans="3:8">
      <c r="C583" s="13" t="s">
        <v>8794</v>
      </c>
      <c r="D583" s="13" t="s">
        <v>8795</v>
      </c>
      <c r="G583" s="15">
        <v>283000</v>
      </c>
      <c r="H583" s="15">
        <v>283000</v>
      </c>
    </row>
    <row r="584" s="13" customFormat="1" ht="15" customHeight="1" spans="3:9">
      <c r="C584" s="13" t="s">
        <v>8796</v>
      </c>
      <c r="D584" s="13" t="s">
        <v>8797</v>
      </c>
      <c r="G584" s="15">
        <v>211997</v>
      </c>
      <c r="H584" s="15">
        <v>211997</v>
      </c>
      <c r="I584" s="15">
        <v>211997</v>
      </c>
    </row>
    <row r="585" s="13" customFormat="1" ht="15" customHeight="1" spans="3:12">
      <c r="C585" s="13" t="s">
        <v>8798</v>
      </c>
      <c r="D585" s="13" t="s">
        <v>8799</v>
      </c>
      <c r="H585" s="15">
        <v>274040</v>
      </c>
      <c r="L585" s="15">
        <v>274040</v>
      </c>
    </row>
    <row r="586" s="13" customFormat="1" ht="15" customHeight="1" spans="3:8">
      <c r="C586" s="13" t="s">
        <v>8800</v>
      </c>
      <c r="D586" s="13" t="s">
        <v>8801</v>
      </c>
      <c r="G586" s="15">
        <v>288728</v>
      </c>
      <c r="H586" s="15">
        <v>288728</v>
      </c>
    </row>
    <row r="587" s="13" customFormat="1" ht="15" customHeight="1" spans="3:12">
      <c r="C587" s="13" t="s">
        <v>8802</v>
      </c>
      <c r="D587" s="13" t="s">
        <v>8803</v>
      </c>
      <c r="H587" s="15">
        <v>137500</v>
      </c>
      <c r="L587" s="15">
        <v>137500</v>
      </c>
    </row>
    <row r="588" s="13" customFormat="1" ht="15" customHeight="1" spans="3:12">
      <c r="C588" s="13" t="s">
        <v>8804</v>
      </c>
      <c r="D588" s="13" t="s">
        <v>8805</v>
      </c>
      <c r="H588" s="15">
        <v>140000</v>
      </c>
      <c r="L588" s="15">
        <v>140000</v>
      </c>
    </row>
    <row r="589" s="13" customFormat="1" ht="15" customHeight="1" spans="3:12">
      <c r="C589" s="13" t="s">
        <v>8806</v>
      </c>
      <c r="D589" s="13" t="s">
        <v>8807</v>
      </c>
      <c r="H589" s="15">
        <v>393954</v>
      </c>
      <c r="L589" s="15">
        <v>393954</v>
      </c>
    </row>
    <row r="590" s="13" customFormat="1" ht="15" customHeight="1" spans="3:12">
      <c r="C590" s="13" t="s">
        <v>8808</v>
      </c>
      <c r="D590" s="13" t="s">
        <v>8809</v>
      </c>
      <c r="H590" s="15">
        <v>283290</v>
      </c>
      <c r="L590" s="15">
        <v>283290</v>
      </c>
    </row>
    <row r="591" s="13" customFormat="1" ht="15" customHeight="1" spans="3:8">
      <c r="C591" s="13" t="s">
        <v>8810</v>
      </c>
      <c r="D591" s="13" t="s">
        <v>8811</v>
      </c>
      <c r="G591" s="15">
        <v>254534</v>
      </c>
      <c r="H591" s="15">
        <v>254534</v>
      </c>
    </row>
    <row r="592" s="13" customFormat="1" ht="15" customHeight="1" spans="3:12">
      <c r="C592" s="13" t="s">
        <v>8812</v>
      </c>
      <c r="D592" s="13" t="s">
        <v>8813</v>
      </c>
      <c r="H592" s="15">
        <v>140485</v>
      </c>
      <c r="L592" s="15">
        <v>140485</v>
      </c>
    </row>
    <row r="593" s="13" customFormat="1" ht="15" customHeight="1" spans="3:12">
      <c r="C593" s="13" t="s">
        <v>8814</v>
      </c>
      <c r="D593" s="13" t="s">
        <v>8815</v>
      </c>
      <c r="G593" s="15">
        <v>229423</v>
      </c>
      <c r="H593" s="15">
        <v>233423</v>
      </c>
      <c r="J593" s="15">
        <v>4000</v>
      </c>
      <c r="L593" s="15">
        <v>4000</v>
      </c>
    </row>
    <row r="594" s="13" customFormat="1" ht="15" customHeight="1" spans="3:8">
      <c r="C594" s="13" t="s">
        <v>8816</v>
      </c>
      <c r="D594" s="13" t="s">
        <v>8817</v>
      </c>
      <c r="G594" s="15">
        <v>220000</v>
      </c>
      <c r="H594" s="15">
        <v>220000</v>
      </c>
    </row>
    <row r="595" s="13" customFormat="1" ht="15" customHeight="1" spans="3:12">
      <c r="C595" s="13" t="s">
        <v>8818</v>
      </c>
      <c r="D595" s="13" t="s">
        <v>8819</v>
      </c>
      <c r="H595" s="15">
        <v>201694</v>
      </c>
      <c r="L595" s="15">
        <v>201694</v>
      </c>
    </row>
    <row r="596" s="13" customFormat="1" ht="15" customHeight="1" spans="3:9">
      <c r="C596" s="13" t="s">
        <v>8820</v>
      </c>
      <c r="D596" s="13" t="s">
        <v>8821</v>
      </c>
      <c r="G596" s="15">
        <v>245790</v>
      </c>
      <c r="H596" s="15">
        <v>245790</v>
      </c>
      <c r="I596" s="15">
        <v>245790</v>
      </c>
    </row>
    <row r="597" s="13" customFormat="1" ht="15" customHeight="1" spans="3:8">
      <c r="C597" s="13" t="s">
        <v>8822</v>
      </c>
      <c r="D597" s="13" t="s">
        <v>8823</v>
      </c>
      <c r="G597" s="15">
        <v>221739</v>
      </c>
      <c r="H597" s="15">
        <v>221739</v>
      </c>
    </row>
    <row r="598" s="13" customFormat="1" ht="15" customHeight="1" spans="3:12">
      <c r="C598" s="13" t="s">
        <v>8824</v>
      </c>
      <c r="D598" s="13" t="s">
        <v>8825</v>
      </c>
      <c r="G598" s="15">
        <v>241614</v>
      </c>
      <c r="H598" s="15">
        <v>246614</v>
      </c>
      <c r="L598" s="15">
        <v>5000</v>
      </c>
    </row>
    <row r="599" s="13" customFormat="1" ht="15" customHeight="1" spans="3:8">
      <c r="C599" s="13" t="s">
        <v>8826</v>
      </c>
      <c r="D599" s="13" t="s">
        <v>8827</v>
      </c>
      <c r="G599" s="15">
        <v>236205</v>
      </c>
      <c r="H599" s="15">
        <v>236205</v>
      </c>
    </row>
    <row r="600" s="13" customFormat="1" ht="15" customHeight="1" spans="3:9">
      <c r="C600" s="13" t="s">
        <v>8828</v>
      </c>
      <c r="D600" s="13" t="s">
        <v>8829</v>
      </c>
      <c r="G600" s="15">
        <v>218232</v>
      </c>
      <c r="H600" s="15">
        <v>218232</v>
      </c>
      <c r="I600" s="15">
        <v>218232</v>
      </c>
    </row>
    <row r="601" s="13" customFormat="1" ht="15" customHeight="1" spans="3:8">
      <c r="C601" s="13" t="s">
        <v>8830</v>
      </c>
      <c r="D601" s="13" t="s">
        <v>8831</v>
      </c>
      <c r="G601" s="15">
        <v>248821</v>
      </c>
      <c r="H601" s="15">
        <v>248821</v>
      </c>
    </row>
    <row r="602" s="13" customFormat="1" ht="15" customHeight="1" spans="3:8">
      <c r="C602" s="13" t="s">
        <v>8832</v>
      </c>
      <c r="D602" s="13" t="s">
        <v>8833</v>
      </c>
      <c r="G602" s="15">
        <v>241000</v>
      </c>
      <c r="H602" s="15">
        <v>241000</v>
      </c>
    </row>
    <row r="603" s="13" customFormat="1" ht="15" customHeight="1" spans="3:8">
      <c r="C603" s="13" t="s">
        <v>8834</v>
      </c>
      <c r="D603" s="13" t="s">
        <v>8835</v>
      </c>
      <c r="G603" s="15">
        <v>237597</v>
      </c>
      <c r="H603" s="15">
        <v>237597</v>
      </c>
    </row>
    <row r="604" s="13" customFormat="1" ht="15" customHeight="1" spans="3:12">
      <c r="C604" s="13" t="s">
        <v>8836</v>
      </c>
      <c r="D604" s="13" t="s">
        <v>8837</v>
      </c>
      <c r="H604" s="15">
        <v>1950476</v>
      </c>
      <c r="L604" s="15">
        <v>1950476</v>
      </c>
    </row>
    <row r="605" s="13" customFormat="1" ht="15" customHeight="1" spans="3:8">
      <c r="C605" s="13" t="s">
        <v>8838</v>
      </c>
      <c r="D605" s="13" t="s">
        <v>8839</v>
      </c>
      <c r="G605" s="15">
        <v>428736</v>
      </c>
      <c r="H605" s="15">
        <v>428736</v>
      </c>
    </row>
    <row r="606" s="13" customFormat="1" ht="15" customHeight="1" spans="3:12">
      <c r="C606" s="13" t="s">
        <v>8840</v>
      </c>
      <c r="D606" s="13" t="s">
        <v>8841</v>
      </c>
      <c r="H606" s="15">
        <v>412619</v>
      </c>
      <c r="L606" s="15">
        <v>412619</v>
      </c>
    </row>
    <row r="607" s="13" customFormat="1" ht="15" customHeight="1" spans="3:12">
      <c r="C607" s="13" t="s">
        <v>8842</v>
      </c>
      <c r="D607" s="13" t="s">
        <v>8843</v>
      </c>
      <c r="H607" s="15">
        <v>135000</v>
      </c>
      <c r="L607" s="15">
        <v>135000</v>
      </c>
    </row>
    <row r="608" s="13" customFormat="1" ht="15" customHeight="1" spans="3:8">
      <c r="C608" s="13" t="s">
        <v>8844</v>
      </c>
      <c r="D608" s="13" t="s">
        <v>8845</v>
      </c>
      <c r="G608" s="15">
        <v>137224</v>
      </c>
      <c r="H608" s="15">
        <v>137224</v>
      </c>
    </row>
    <row r="609" s="13" customFormat="1" ht="15" customHeight="1" spans="3:9">
      <c r="C609" s="13" t="s">
        <v>8846</v>
      </c>
      <c r="D609" s="13" t="s">
        <v>8847</v>
      </c>
      <c r="G609" s="15">
        <v>205452</v>
      </c>
      <c r="H609" s="15">
        <v>205452</v>
      </c>
      <c r="I609" s="15">
        <v>205452</v>
      </c>
    </row>
    <row r="610" s="13" customFormat="1" ht="15" customHeight="1" spans="3:12">
      <c r="C610" s="13" t="s">
        <v>8848</v>
      </c>
      <c r="D610" s="13" t="s">
        <v>8849</v>
      </c>
      <c r="H610" s="15">
        <v>218163</v>
      </c>
      <c r="L610" s="15">
        <v>218163</v>
      </c>
    </row>
    <row r="611" s="13" customFormat="1" ht="15" customHeight="1" spans="3:12">
      <c r="C611" s="13" t="s">
        <v>8850</v>
      </c>
      <c r="D611" s="13" t="s">
        <v>8851</v>
      </c>
      <c r="H611" s="15">
        <v>195399</v>
      </c>
      <c r="L611" s="15">
        <v>195399</v>
      </c>
    </row>
    <row r="612" s="13" customFormat="1" ht="15" customHeight="1" spans="3:12">
      <c r="C612" s="13" t="s">
        <v>8852</v>
      </c>
      <c r="D612" s="13" t="s">
        <v>8853</v>
      </c>
      <c r="H612" s="15">
        <v>450000</v>
      </c>
      <c r="L612" s="15">
        <v>450000</v>
      </c>
    </row>
    <row r="613" s="13" customFormat="1" ht="15" customHeight="1" spans="3:8">
      <c r="C613" s="13" t="s">
        <v>8854</v>
      </c>
      <c r="D613" s="13" t="s">
        <v>8855</v>
      </c>
      <c r="G613" s="15">
        <v>219856</v>
      </c>
      <c r="H613" s="15">
        <v>219856</v>
      </c>
    </row>
    <row r="614" s="13" customFormat="1" ht="15" customHeight="1" spans="3:12">
      <c r="C614" s="13" t="s">
        <v>8856</v>
      </c>
      <c r="D614" s="13" t="s">
        <v>8857</v>
      </c>
      <c r="H614" s="15">
        <v>240000</v>
      </c>
      <c r="L614" s="15">
        <v>240000</v>
      </c>
    </row>
    <row r="615" s="13" customFormat="1" ht="15" customHeight="1" spans="3:8">
      <c r="C615" s="13" t="s">
        <v>8858</v>
      </c>
      <c r="D615" s="13" t="s">
        <v>8859</v>
      </c>
      <c r="G615" s="15">
        <v>463000</v>
      </c>
      <c r="H615" s="15">
        <v>463000</v>
      </c>
    </row>
    <row r="616" s="13" customFormat="1" ht="15" customHeight="1" spans="3:8">
      <c r="C616" s="13" t="s">
        <v>8860</v>
      </c>
      <c r="D616" s="13" t="s">
        <v>8861</v>
      </c>
      <c r="G616" s="15">
        <v>133782</v>
      </c>
      <c r="H616" s="15">
        <v>133782</v>
      </c>
    </row>
    <row r="617" s="13" customFormat="1" ht="15" customHeight="1" spans="3:8">
      <c r="C617" s="13" t="s">
        <v>8862</v>
      </c>
      <c r="D617" s="13" t="s">
        <v>8863</v>
      </c>
      <c r="G617" s="15">
        <v>586105</v>
      </c>
      <c r="H617" s="15">
        <v>586105</v>
      </c>
    </row>
    <row r="618" s="13" customFormat="1" ht="15" customHeight="1" spans="3:12">
      <c r="C618" s="13" t="s">
        <v>8864</v>
      </c>
      <c r="D618" s="13" t="s">
        <v>8865</v>
      </c>
      <c r="H618" s="15">
        <v>241380</v>
      </c>
      <c r="L618" s="15">
        <v>241380</v>
      </c>
    </row>
    <row r="619" s="13" customFormat="1" ht="15" customHeight="1" spans="3:12">
      <c r="C619" s="13" t="s">
        <v>8866</v>
      </c>
      <c r="D619" s="13" t="s">
        <v>8867</v>
      </c>
      <c r="H619" s="15">
        <v>147245</v>
      </c>
      <c r="L619" s="15">
        <v>147245</v>
      </c>
    </row>
    <row r="620" s="13" customFormat="1" ht="15" customHeight="1" spans="3:8">
      <c r="C620" s="13" t="s">
        <v>8868</v>
      </c>
      <c r="D620" s="13" t="s">
        <v>8869</v>
      </c>
      <c r="G620" s="15">
        <v>229000</v>
      </c>
      <c r="H620" s="15">
        <v>229000</v>
      </c>
    </row>
    <row r="621" s="13" customFormat="1" ht="15" customHeight="1" spans="3:8">
      <c r="C621" s="13" t="s">
        <v>8870</v>
      </c>
      <c r="D621" s="13" t="s">
        <v>8871</v>
      </c>
      <c r="G621" s="15">
        <v>145022</v>
      </c>
      <c r="H621" s="15">
        <v>145022</v>
      </c>
    </row>
    <row r="622" s="13" customFormat="1" ht="15" customHeight="1" spans="3:12">
      <c r="C622" s="13" t="s">
        <v>8872</v>
      </c>
      <c r="D622" s="13" t="s">
        <v>8873</v>
      </c>
      <c r="G622" s="15">
        <v>148257</v>
      </c>
      <c r="H622" s="15">
        <v>153257</v>
      </c>
      <c r="L622" s="15">
        <v>5000</v>
      </c>
    </row>
    <row r="623" s="13" customFormat="1" ht="15" customHeight="1" spans="3:12">
      <c r="C623" s="13" t="s">
        <v>8874</v>
      </c>
      <c r="D623" s="13" t="s">
        <v>8875</v>
      </c>
      <c r="H623" s="15">
        <v>291000</v>
      </c>
      <c r="L623" s="15">
        <v>291000</v>
      </c>
    </row>
    <row r="624" s="13" customFormat="1" ht="15" customHeight="1" spans="3:8">
      <c r="C624" s="13" t="s">
        <v>8876</v>
      </c>
      <c r="D624" s="13" t="s">
        <v>8877</v>
      </c>
      <c r="G624" s="15">
        <v>264460</v>
      </c>
      <c r="H624" s="15">
        <v>264460</v>
      </c>
    </row>
    <row r="625" s="13" customFormat="1" ht="15" customHeight="1" spans="3:12">
      <c r="C625" s="13" t="s">
        <v>8878</v>
      </c>
      <c r="D625" s="13" t="s">
        <v>8879</v>
      </c>
      <c r="H625" s="15">
        <v>267930</v>
      </c>
      <c r="L625" s="15">
        <v>267930</v>
      </c>
    </row>
    <row r="626" s="13" customFormat="1" ht="15" customHeight="1" spans="3:12">
      <c r="C626" s="13" t="s">
        <v>8880</v>
      </c>
      <c r="D626" s="13" t="s">
        <v>8881</v>
      </c>
      <c r="H626" s="15">
        <v>269760</v>
      </c>
      <c r="L626" s="15">
        <v>269760</v>
      </c>
    </row>
    <row r="627" s="13" customFormat="1" ht="15" customHeight="1" spans="3:8">
      <c r="C627" s="13" t="s">
        <v>8882</v>
      </c>
      <c r="D627" s="13" t="s">
        <v>8883</v>
      </c>
      <c r="G627" s="15">
        <v>242771</v>
      </c>
      <c r="H627" s="15">
        <v>242771</v>
      </c>
    </row>
    <row r="628" s="13" customFormat="1" ht="15" customHeight="1" spans="3:8">
      <c r="C628" s="13" t="s">
        <v>8884</v>
      </c>
      <c r="D628" s="13" t="s">
        <v>8885</v>
      </c>
      <c r="G628" s="15">
        <v>204100</v>
      </c>
      <c r="H628" s="15">
        <v>204100</v>
      </c>
    </row>
    <row r="629" s="13" customFormat="1" ht="15" customHeight="1" spans="3:8">
      <c r="C629" s="13" t="s">
        <v>8886</v>
      </c>
      <c r="D629" s="13" t="s">
        <v>8887</v>
      </c>
      <c r="G629" s="15">
        <v>280014</v>
      </c>
      <c r="H629" s="15">
        <v>280014</v>
      </c>
    </row>
    <row r="630" s="13" customFormat="1" ht="15" customHeight="1" spans="3:8">
      <c r="C630" s="13" t="s">
        <v>8888</v>
      </c>
      <c r="D630" s="13" t="s">
        <v>8889</v>
      </c>
      <c r="G630" s="15">
        <v>292000</v>
      </c>
      <c r="H630" s="15">
        <v>292000</v>
      </c>
    </row>
    <row r="631" s="13" customFormat="1" ht="15" customHeight="1" spans="3:8">
      <c r="C631" s="13" t="s">
        <v>8890</v>
      </c>
      <c r="D631" s="13" t="s">
        <v>8891</v>
      </c>
      <c r="G631" s="15">
        <v>148257</v>
      </c>
      <c r="H631" s="15">
        <v>148257</v>
      </c>
    </row>
    <row r="632" s="13" customFormat="1" ht="15" customHeight="1" spans="3:8">
      <c r="C632" s="13" t="s">
        <v>8892</v>
      </c>
      <c r="D632" s="13" t="s">
        <v>8893</v>
      </c>
      <c r="G632" s="15">
        <v>146727</v>
      </c>
      <c r="H632" s="15">
        <v>146727</v>
      </c>
    </row>
    <row r="633" s="13" customFormat="1" ht="15" customHeight="1" spans="3:8">
      <c r="C633" s="13" t="s">
        <v>8894</v>
      </c>
      <c r="D633" s="13" t="s">
        <v>8895</v>
      </c>
      <c r="G633" s="15">
        <v>280014</v>
      </c>
      <c r="H633" s="15">
        <v>280014</v>
      </c>
    </row>
    <row r="634" s="13" customFormat="1" ht="15" customHeight="1" spans="3:8">
      <c r="C634" s="13" t="s">
        <v>8896</v>
      </c>
      <c r="D634" s="13" t="s">
        <v>8897</v>
      </c>
      <c r="G634" s="15">
        <v>160973</v>
      </c>
      <c r="H634" s="15">
        <v>160973</v>
      </c>
    </row>
    <row r="635" s="13" customFormat="1" ht="15" customHeight="1" spans="3:12">
      <c r="C635" s="13" t="s">
        <v>8898</v>
      </c>
      <c r="D635" s="13" t="s">
        <v>8899</v>
      </c>
      <c r="H635" s="15">
        <v>219800</v>
      </c>
      <c r="L635" s="15">
        <v>219800</v>
      </c>
    </row>
    <row r="636" s="13" customFormat="1" ht="15" customHeight="1" spans="3:12">
      <c r="C636" s="13" t="s">
        <v>8900</v>
      </c>
      <c r="D636" s="13" t="s">
        <v>8901</v>
      </c>
      <c r="H636" s="15">
        <v>148230</v>
      </c>
      <c r="L636" s="15">
        <v>148230</v>
      </c>
    </row>
    <row r="637" s="13" customFormat="1" ht="15" customHeight="1" spans="3:12">
      <c r="C637" s="13" t="s">
        <v>8902</v>
      </c>
      <c r="D637" s="13" t="s">
        <v>8903</v>
      </c>
      <c r="G637" s="15">
        <v>276861</v>
      </c>
      <c r="H637" s="15">
        <v>281861</v>
      </c>
      <c r="L637" s="15">
        <v>5000</v>
      </c>
    </row>
    <row r="638" s="13" customFormat="1" ht="15" customHeight="1" spans="3:12">
      <c r="C638" s="13" t="s">
        <v>8904</v>
      </c>
      <c r="D638" s="13" t="s">
        <v>8905</v>
      </c>
      <c r="H638" s="15">
        <v>124891</v>
      </c>
      <c r="L638" s="15">
        <v>124891</v>
      </c>
    </row>
    <row r="639" s="13" customFormat="1" ht="15" customHeight="1" spans="3:12">
      <c r="C639" s="13" t="s">
        <v>8906</v>
      </c>
      <c r="D639" s="13" t="s">
        <v>8907</v>
      </c>
      <c r="H639" s="15">
        <v>215796</v>
      </c>
      <c r="L639" s="15">
        <v>215796</v>
      </c>
    </row>
    <row r="640" s="13" customFormat="1" ht="15" customHeight="1" spans="3:8">
      <c r="C640" s="13" t="s">
        <v>8908</v>
      </c>
      <c r="D640" s="13" t="s">
        <v>8909</v>
      </c>
      <c r="G640" s="15">
        <v>208089</v>
      </c>
      <c r="H640" s="15">
        <v>208089</v>
      </c>
    </row>
    <row r="641" s="13" customFormat="1" ht="15" customHeight="1" spans="3:8">
      <c r="C641" s="13" t="s">
        <v>8910</v>
      </c>
      <c r="D641" s="13" t="s">
        <v>8911</v>
      </c>
      <c r="G641" s="15">
        <v>265776</v>
      </c>
      <c r="H641" s="15">
        <v>265776</v>
      </c>
    </row>
    <row r="642" s="13" customFormat="1" ht="15" customHeight="1" spans="3:12">
      <c r="C642" s="13" t="s">
        <v>8912</v>
      </c>
      <c r="D642" s="13" t="s">
        <v>8913</v>
      </c>
      <c r="G642" s="15">
        <v>528808</v>
      </c>
      <c r="H642" s="15">
        <v>245518</v>
      </c>
      <c r="L642" s="15">
        <v>-283290</v>
      </c>
    </row>
    <row r="643" s="13" customFormat="1" ht="15" customHeight="1" spans="3:8">
      <c r="C643" s="13" t="s">
        <v>8914</v>
      </c>
      <c r="D643" s="13" t="s">
        <v>8915</v>
      </c>
      <c r="G643" s="15">
        <v>202644</v>
      </c>
      <c r="H643" s="15">
        <v>202644</v>
      </c>
    </row>
    <row r="644" s="13" customFormat="1" ht="15" customHeight="1" spans="3:8">
      <c r="C644" s="13" t="s">
        <v>8916</v>
      </c>
      <c r="D644" s="13" t="s">
        <v>8917</v>
      </c>
      <c r="G644" s="15">
        <v>229923</v>
      </c>
      <c r="H644" s="15">
        <v>229923</v>
      </c>
    </row>
    <row r="645" s="13" customFormat="1" ht="15" customHeight="1" spans="3:12">
      <c r="C645" s="13" t="s">
        <v>8918</v>
      </c>
      <c r="D645" s="13" t="s">
        <v>8919</v>
      </c>
      <c r="H645" s="15">
        <v>10000</v>
      </c>
      <c r="J645" s="15">
        <v>10000</v>
      </c>
      <c r="L645" s="15">
        <v>10000</v>
      </c>
    </row>
    <row r="646" s="13" customFormat="1" ht="15" customHeight="1" spans="3:8">
      <c r="C646" s="13" t="s">
        <v>8920</v>
      </c>
      <c r="D646" s="13" t="s">
        <v>8921</v>
      </c>
      <c r="G646" s="15">
        <v>208879</v>
      </c>
      <c r="H646" s="15">
        <v>208879</v>
      </c>
    </row>
    <row r="647" s="13" customFormat="1" ht="15" customHeight="1" spans="3:12">
      <c r="C647" s="13" t="s">
        <v>8922</v>
      </c>
      <c r="D647" s="13" t="s">
        <v>8923</v>
      </c>
      <c r="H647" s="15">
        <v>241694</v>
      </c>
      <c r="L647" s="15">
        <v>241694</v>
      </c>
    </row>
    <row r="648" s="13" customFormat="1" ht="15" customHeight="1" spans="3:9">
      <c r="C648" s="13" t="s">
        <v>8924</v>
      </c>
      <c r="D648" s="13" t="s">
        <v>8925</v>
      </c>
      <c r="G648" s="15">
        <v>229404</v>
      </c>
      <c r="H648" s="15">
        <v>229404</v>
      </c>
      <c r="I648" s="15">
        <v>229404</v>
      </c>
    </row>
    <row r="649" s="13" customFormat="1" ht="15" customHeight="1" spans="3:8">
      <c r="C649" s="13" t="s">
        <v>8926</v>
      </c>
      <c r="D649" s="13" t="s">
        <v>8927</v>
      </c>
      <c r="G649" s="15">
        <v>92064</v>
      </c>
      <c r="H649" s="15">
        <v>92064</v>
      </c>
    </row>
    <row r="650" s="13" customFormat="1" ht="15" customHeight="1" spans="3:8">
      <c r="C650" s="13" t="s">
        <v>8928</v>
      </c>
      <c r="D650" s="13" t="s">
        <v>8929</v>
      </c>
      <c r="G650" s="15">
        <v>215843</v>
      </c>
      <c r="H650" s="15">
        <v>215843</v>
      </c>
    </row>
    <row r="651" s="13" customFormat="1" ht="15" customHeight="1" spans="3:12">
      <c r="C651" s="13" t="s">
        <v>8930</v>
      </c>
      <c r="D651" s="13" t="s">
        <v>8931</v>
      </c>
      <c r="H651" s="15">
        <v>218232</v>
      </c>
      <c r="L651" s="15">
        <v>218232</v>
      </c>
    </row>
    <row r="652" s="13" customFormat="1" ht="15" customHeight="1" spans="3:8">
      <c r="C652" s="13" t="s">
        <v>8932</v>
      </c>
      <c r="D652" s="13" t="s">
        <v>8933</v>
      </c>
      <c r="G652" s="15">
        <v>229000</v>
      </c>
      <c r="H652" s="15">
        <v>229000</v>
      </c>
    </row>
    <row r="653" s="13" customFormat="1" ht="15" customHeight="1" spans="3:8">
      <c r="C653" s="13" t="s">
        <v>8934</v>
      </c>
      <c r="D653" s="13" t="s">
        <v>8935</v>
      </c>
      <c r="G653" s="15">
        <v>241614</v>
      </c>
      <c r="H653" s="15">
        <v>241614</v>
      </c>
    </row>
    <row r="654" s="13" customFormat="1" ht="15" customHeight="1" spans="3:8">
      <c r="C654" s="13" t="s">
        <v>8936</v>
      </c>
      <c r="D654" s="13" t="s">
        <v>8937</v>
      </c>
      <c r="G654" s="15">
        <v>244350</v>
      </c>
      <c r="H654" s="15">
        <v>244350</v>
      </c>
    </row>
    <row r="655" s="13" customFormat="1" ht="15" customHeight="1" spans="3:8">
      <c r="C655" s="13" t="s">
        <v>8938</v>
      </c>
      <c r="D655" s="13" t="s">
        <v>8939</v>
      </c>
      <c r="G655" s="15">
        <v>233820</v>
      </c>
      <c r="H655" s="15">
        <v>233820</v>
      </c>
    </row>
    <row r="656" s="13" customFormat="1" ht="15" customHeight="1" spans="3:8">
      <c r="C656" s="13" t="s">
        <v>8940</v>
      </c>
      <c r="D656" s="13" t="s">
        <v>8941</v>
      </c>
      <c r="G656" s="15">
        <v>233820</v>
      </c>
      <c r="H656" s="15">
        <v>233820</v>
      </c>
    </row>
    <row r="657" s="13" customFormat="1" ht="15" customHeight="1" spans="3:8">
      <c r="C657" s="13" t="s">
        <v>8942</v>
      </c>
      <c r="D657" s="13" t="s">
        <v>8943</v>
      </c>
      <c r="G657" s="15">
        <v>261338</v>
      </c>
      <c r="H657" s="15">
        <v>261338</v>
      </c>
    </row>
    <row r="658" s="13" customFormat="1" ht="15" customHeight="1" spans="3:12">
      <c r="C658" s="13" t="s">
        <v>8944</v>
      </c>
      <c r="D658" s="13" t="s">
        <v>8945</v>
      </c>
      <c r="H658" s="15">
        <v>254432</v>
      </c>
      <c r="L658" s="15">
        <v>254432</v>
      </c>
    </row>
    <row r="659" s="13" customFormat="1" ht="15" customHeight="1" spans="3:8">
      <c r="C659" s="13" t="s">
        <v>8946</v>
      </c>
      <c r="D659" s="13" t="s">
        <v>8947</v>
      </c>
      <c r="G659" s="15">
        <v>261338</v>
      </c>
      <c r="H659" s="15">
        <v>261338</v>
      </c>
    </row>
    <row r="660" s="13" customFormat="1" ht="15" customHeight="1" spans="3:12">
      <c r="C660" s="13" t="s">
        <v>8948</v>
      </c>
      <c r="D660" s="13" t="s">
        <v>8949</v>
      </c>
      <c r="G660" s="15">
        <v>221988</v>
      </c>
      <c r="H660" s="15">
        <v>76988</v>
      </c>
      <c r="L660" s="15">
        <v>-145000</v>
      </c>
    </row>
    <row r="661" s="13" customFormat="1" ht="15" customHeight="1" spans="3:8">
      <c r="C661" s="13" t="s">
        <v>8950</v>
      </c>
      <c r="D661" s="13" t="s">
        <v>8951</v>
      </c>
      <c r="G661" s="15">
        <v>414800</v>
      </c>
      <c r="H661" s="15">
        <v>414800</v>
      </c>
    </row>
    <row r="662" s="13" customFormat="1" ht="15" customHeight="1" spans="3:8">
      <c r="C662" s="13" t="s">
        <v>8952</v>
      </c>
      <c r="D662" s="13" t="s">
        <v>8953</v>
      </c>
      <c r="G662" s="15">
        <v>411818</v>
      </c>
      <c r="H662" s="15">
        <v>411818</v>
      </c>
    </row>
    <row r="663" s="13" customFormat="1" ht="15" customHeight="1" spans="3:12">
      <c r="C663" s="13" t="s">
        <v>8954</v>
      </c>
      <c r="D663" s="13" t="s">
        <v>8955</v>
      </c>
      <c r="H663" s="15">
        <v>730000</v>
      </c>
      <c r="L663" s="15">
        <v>730000</v>
      </c>
    </row>
    <row r="664" s="13" customFormat="1" ht="15" customHeight="1" spans="3:12">
      <c r="C664" s="13" t="s">
        <v>8956</v>
      </c>
      <c r="D664" s="13" t="s">
        <v>8957</v>
      </c>
      <c r="G664" s="15">
        <v>50000</v>
      </c>
      <c r="H664" s="15">
        <v>506859</v>
      </c>
      <c r="L664" s="15">
        <v>456859</v>
      </c>
    </row>
    <row r="665" s="13" customFormat="1" ht="15" customHeight="1" spans="3:8">
      <c r="C665" s="13" t="s">
        <v>8958</v>
      </c>
      <c r="D665" s="13" t="s">
        <v>8959</v>
      </c>
      <c r="G665" s="15">
        <v>275873</v>
      </c>
      <c r="H665" s="15">
        <v>275873</v>
      </c>
    </row>
    <row r="666" s="13" customFormat="1" ht="15" customHeight="1" spans="3:8">
      <c r="C666" s="13" t="s">
        <v>8960</v>
      </c>
      <c r="D666" s="13" t="s">
        <v>8961</v>
      </c>
      <c r="G666" s="15">
        <v>247761</v>
      </c>
      <c r="H666" s="15">
        <v>247761</v>
      </c>
    </row>
    <row r="667" s="13" customFormat="1" ht="15" customHeight="1" spans="3:8">
      <c r="C667" s="13" t="s">
        <v>8962</v>
      </c>
      <c r="D667" s="13" t="s">
        <v>8963</v>
      </c>
      <c r="G667" s="15">
        <v>237000</v>
      </c>
      <c r="H667" s="15">
        <v>237000</v>
      </c>
    </row>
    <row r="668" s="13" customFormat="1" ht="15" customHeight="1" spans="3:8">
      <c r="C668" s="13" t="s">
        <v>8964</v>
      </c>
      <c r="D668" s="13" t="s">
        <v>8965</v>
      </c>
      <c r="G668" s="15">
        <v>245992</v>
      </c>
      <c r="H668" s="15">
        <v>245992</v>
      </c>
    </row>
    <row r="669" s="13" customFormat="1" ht="15" customHeight="1" spans="3:12">
      <c r="C669" s="13" t="s">
        <v>8966</v>
      </c>
      <c r="D669" s="13" t="s">
        <v>8967</v>
      </c>
      <c r="H669" s="15">
        <v>247950</v>
      </c>
      <c r="L669" s="15">
        <v>247950</v>
      </c>
    </row>
    <row r="670" s="13" customFormat="1" ht="15" customHeight="1" spans="3:12">
      <c r="C670" s="13" t="s">
        <v>8968</v>
      </c>
      <c r="D670" s="13" t="s">
        <v>8969</v>
      </c>
      <c r="H670" s="15">
        <v>232800</v>
      </c>
      <c r="L670" s="15">
        <v>232800</v>
      </c>
    </row>
    <row r="671" s="13" customFormat="1" ht="15" customHeight="1" spans="3:8">
      <c r="C671" s="13" t="s">
        <v>8970</v>
      </c>
      <c r="D671" s="13" t="s">
        <v>8971</v>
      </c>
      <c r="G671" s="15">
        <v>259960</v>
      </c>
      <c r="H671" s="15">
        <v>259960</v>
      </c>
    </row>
    <row r="672" s="13" customFormat="1" ht="15" customHeight="1" spans="3:8">
      <c r="C672" s="13" t="s">
        <v>8972</v>
      </c>
      <c r="D672" s="13" t="s">
        <v>8973</v>
      </c>
      <c r="G672" s="15">
        <v>231968</v>
      </c>
      <c r="H672" s="15">
        <v>231968</v>
      </c>
    </row>
    <row r="673" s="13" customFormat="1" ht="15" customHeight="1" spans="3:8">
      <c r="C673" s="13" t="s">
        <v>8974</v>
      </c>
      <c r="D673" s="13" t="s">
        <v>8975</v>
      </c>
      <c r="G673" s="15">
        <v>203171</v>
      </c>
      <c r="H673" s="15">
        <v>203171</v>
      </c>
    </row>
    <row r="674" s="13" customFormat="1" ht="15" customHeight="1" spans="3:8">
      <c r="C674" s="13" t="s">
        <v>8976</v>
      </c>
      <c r="D674" s="13" t="s">
        <v>7630</v>
      </c>
      <c r="G674" s="15">
        <v>215510</v>
      </c>
      <c r="H674" s="15">
        <v>215510</v>
      </c>
    </row>
    <row r="675" s="13" customFormat="1" ht="15" customHeight="1" spans="3:12">
      <c r="C675" s="13" t="s">
        <v>8977</v>
      </c>
      <c r="D675" s="13" t="s">
        <v>8978</v>
      </c>
      <c r="H675" s="15">
        <v>220060</v>
      </c>
      <c r="L675" s="15">
        <v>220060</v>
      </c>
    </row>
    <row r="676" s="13" customFormat="1" ht="15" customHeight="1" spans="3:8">
      <c r="C676" s="13" t="s">
        <v>8979</v>
      </c>
      <c r="D676" s="13" t="s">
        <v>8980</v>
      </c>
      <c r="G676" s="15">
        <v>224829</v>
      </c>
      <c r="H676" s="15">
        <v>224829</v>
      </c>
    </row>
    <row r="677" s="13" customFormat="1" ht="15" customHeight="1" spans="3:8">
      <c r="C677" s="13" t="s">
        <v>8981</v>
      </c>
      <c r="D677" s="13" t="s">
        <v>8982</v>
      </c>
      <c r="G677" s="15">
        <v>202000</v>
      </c>
      <c r="H677" s="15">
        <v>202000</v>
      </c>
    </row>
    <row r="678" s="13" customFormat="1" ht="15" customHeight="1" spans="3:8">
      <c r="C678" s="13" t="s">
        <v>8983</v>
      </c>
      <c r="D678" s="13" t="s">
        <v>8984</v>
      </c>
      <c r="G678" s="15">
        <v>200000</v>
      </c>
      <c r="H678" s="15">
        <v>200000</v>
      </c>
    </row>
    <row r="679" s="13" customFormat="1" ht="15" customHeight="1" spans="3:8">
      <c r="C679" s="13" t="s">
        <v>8985</v>
      </c>
      <c r="D679" s="13" t="s">
        <v>8986</v>
      </c>
      <c r="G679" s="15">
        <v>166540</v>
      </c>
      <c r="H679" s="15">
        <v>166540</v>
      </c>
    </row>
    <row r="680" s="13" customFormat="1" ht="15" customHeight="1" spans="3:8">
      <c r="C680" s="13" t="s">
        <v>8987</v>
      </c>
      <c r="D680" s="13" t="s">
        <v>8988</v>
      </c>
      <c r="G680" s="15">
        <v>179738</v>
      </c>
      <c r="H680" s="15">
        <v>179738</v>
      </c>
    </row>
    <row r="681" s="13" customFormat="1" ht="15" customHeight="1" spans="3:8">
      <c r="C681" s="13" t="s">
        <v>8989</v>
      </c>
      <c r="D681" s="13" t="s">
        <v>8990</v>
      </c>
      <c r="G681" s="15">
        <v>181680</v>
      </c>
      <c r="H681" s="15">
        <v>181680</v>
      </c>
    </row>
    <row r="682" s="13" customFormat="1" ht="15" customHeight="1" spans="3:12">
      <c r="C682" s="13" t="s">
        <v>8991</v>
      </c>
      <c r="D682" s="13" t="s">
        <v>8992</v>
      </c>
      <c r="H682" s="15">
        <v>188435</v>
      </c>
      <c r="L682" s="15">
        <v>188435</v>
      </c>
    </row>
    <row r="683" s="13" customFormat="1" ht="15" customHeight="1" spans="3:8">
      <c r="C683" s="13" t="s">
        <v>8993</v>
      </c>
      <c r="D683" s="13" t="s">
        <v>8994</v>
      </c>
      <c r="G683" s="15">
        <v>193500</v>
      </c>
      <c r="H683" s="15">
        <v>193500</v>
      </c>
    </row>
    <row r="684" s="13" customFormat="1" ht="15" customHeight="1" spans="3:8">
      <c r="C684" s="13" t="s">
        <v>8995</v>
      </c>
      <c r="D684" s="13" t="s">
        <v>8996</v>
      </c>
      <c r="G684" s="15">
        <v>241582</v>
      </c>
      <c r="H684" s="15">
        <v>241582</v>
      </c>
    </row>
    <row r="685" s="13" customFormat="1" ht="15" customHeight="1" spans="3:8">
      <c r="C685" s="13" t="s">
        <v>8997</v>
      </c>
      <c r="D685" s="13" t="s">
        <v>8998</v>
      </c>
      <c r="G685" s="15">
        <v>215610</v>
      </c>
      <c r="H685" s="15">
        <v>215610</v>
      </c>
    </row>
    <row r="686" s="13" customFormat="1" ht="15" customHeight="1" spans="3:12">
      <c r="C686" s="13" t="s">
        <v>8999</v>
      </c>
      <c r="D686" s="13" t="s">
        <v>9000</v>
      </c>
      <c r="H686" s="15">
        <v>150000</v>
      </c>
      <c r="L686" s="15">
        <v>150000</v>
      </c>
    </row>
    <row r="687" s="13" customFormat="1" ht="15" customHeight="1" spans="3:8">
      <c r="C687" s="13" t="s">
        <v>9001</v>
      </c>
      <c r="D687" s="13" t="s">
        <v>9002</v>
      </c>
      <c r="G687" s="15">
        <v>200579</v>
      </c>
      <c r="H687" s="15">
        <v>200579</v>
      </c>
    </row>
    <row r="688" s="13" customFormat="1" ht="15" customHeight="1" spans="3:8">
      <c r="C688" s="13" t="s">
        <v>9003</v>
      </c>
      <c r="D688" s="13" t="s">
        <v>9004</v>
      </c>
      <c r="G688" s="15">
        <v>233578</v>
      </c>
      <c r="H688" s="15">
        <v>233578</v>
      </c>
    </row>
    <row r="689" s="13" customFormat="1" ht="15" customHeight="1" spans="3:8">
      <c r="C689" s="13" t="s">
        <v>9005</v>
      </c>
      <c r="D689" s="13" t="s">
        <v>9006</v>
      </c>
      <c r="G689" s="15">
        <v>182735</v>
      </c>
      <c r="H689" s="15">
        <v>182735</v>
      </c>
    </row>
    <row r="690" s="13" customFormat="1" ht="15" customHeight="1" spans="3:8">
      <c r="C690" s="13" t="s">
        <v>9007</v>
      </c>
      <c r="D690" s="13" t="s">
        <v>9008</v>
      </c>
      <c r="G690" s="15">
        <v>256108</v>
      </c>
      <c r="H690" s="15">
        <v>256108</v>
      </c>
    </row>
    <row r="691" s="13" customFormat="1" ht="15" customHeight="1" spans="3:8">
      <c r="C691" s="13" t="s">
        <v>9009</v>
      </c>
      <c r="D691" s="13" t="s">
        <v>9010</v>
      </c>
      <c r="G691" s="15">
        <v>170000</v>
      </c>
      <c r="H691" s="15">
        <v>170000</v>
      </c>
    </row>
    <row r="692" s="13" customFormat="1" ht="15" customHeight="1" spans="3:8">
      <c r="C692" s="13" t="s">
        <v>9011</v>
      </c>
      <c r="D692" s="13" t="s">
        <v>9012</v>
      </c>
      <c r="G692" s="15">
        <v>217000</v>
      </c>
      <c r="H692" s="15">
        <v>217000</v>
      </c>
    </row>
    <row r="693" s="13" customFormat="1" ht="15" customHeight="1" spans="3:8">
      <c r="C693" s="13" t="s">
        <v>9013</v>
      </c>
      <c r="D693" s="13" t="s">
        <v>9014</v>
      </c>
      <c r="G693" s="15">
        <v>165000</v>
      </c>
      <c r="H693" s="15">
        <v>165000</v>
      </c>
    </row>
    <row r="694" s="13" customFormat="1" ht="15" customHeight="1" spans="3:8">
      <c r="C694" s="13" t="s">
        <v>9015</v>
      </c>
      <c r="D694" s="13" t="s">
        <v>9016</v>
      </c>
      <c r="G694" s="15">
        <v>170148</v>
      </c>
      <c r="H694" s="15">
        <v>170148</v>
      </c>
    </row>
    <row r="695" s="13" customFormat="1" ht="15" customHeight="1" spans="3:8">
      <c r="C695" s="13" t="s">
        <v>9017</v>
      </c>
      <c r="D695" s="13" t="s">
        <v>9018</v>
      </c>
      <c r="G695" s="15">
        <v>248463</v>
      </c>
      <c r="H695" s="15">
        <v>248463</v>
      </c>
    </row>
    <row r="696" s="13" customFormat="1" ht="15" customHeight="1" spans="3:4">
      <c r="C696" s="13" t="s">
        <v>9019</v>
      </c>
      <c r="D696" s="13" t="s">
        <v>9020</v>
      </c>
    </row>
    <row r="697" s="13" customFormat="1" ht="15" customHeight="1" spans="3:8">
      <c r="C697" s="13" t="s">
        <v>9021</v>
      </c>
      <c r="D697" s="13" t="s">
        <v>9022</v>
      </c>
      <c r="G697" s="15">
        <v>274000</v>
      </c>
      <c r="H697" s="15">
        <v>274000</v>
      </c>
    </row>
    <row r="698" s="13" customFormat="1" ht="15" customHeight="1" spans="3:8">
      <c r="C698" s="13" t="s">
        <v>9023</v>
      </c>
      <c r="D698" s="13" t="s">
        <v>9024</v>
      </c>
      <c r="G698" s="15">
        <v>275102</v>
      </c>
      <c r="H698" s="15">
        <v>275102</v>
      </c>
    </row>
    <row r="699" s="13" customFormat="1" ht="15" customHeight="1" spans="3:8">
      <c r="C699" s="13" t="s">
        <v>9025</v>
      </c>
      <c r="D699" s="13" t="s">
        <v>9026</v>
      </c>
      <c r="G699" s="15">
        <v>228143</v>
      </c>
      <c r="H699" s="15">
        <v>228143</v>
      </c>
    </row>
    <row r="700" s="13" customFormat="1" ht="15" customHeight="1" spans="3:4">
      <c r="C700" s="13" t="s">
        <v>9027</v>
      </c>
      <c r="D700" s="13" t="s">
        <v>9028</v>
      </c>
    </row>
    <row r="701" s="13" customFormat="1" ht="15" customHeight="1" spans="3:12">
      <c r="C701" s="13" t="s">
        <v>9029</v>
      </c>
      <c r="D701" s="13" t="s">
        <v>9030</v>
      </c>
      <c r="H701" s="15">
        <v>100000</v>
      </c>
      <c r="L701" s="15">
        <v>100000</v>
      </c>
    </row>
    <row r="702" s="13" customFormat="1" ht="15" customHeight="1" spans="1:12">
      <c r="A702" s="13" t="s">
        <v>9031</v>
      </c>
      <c r="B702" s="13" t="s">
        <v>9032</v>
      </c>
      <c r="G702" s="15">
        <v>2024647.84</v>
      </c>
      <c r="H702" s="15">
        <v>2026749.97</v>
      </c>
      <c r="I702" s="15">
        <v>417350.11</v>
      </c>
      <c r="J702" s="15">
        <v>417081.19</v>
      </c>
      <c r="L702" s="15">
        <v>2102.13</v>
      </c>
    </row>
    <row r="703" s="13" customFormat="1" ht="15" customHeight="1" spans="1:12">
      <c r="A703" s="13" t="s">
        <v>9033</v>
      </c>
      <c r="B703" s="13" t="s">
        <v>9034</v>
      </c>
      <c r="G703" s="15">
        <v>1858473.53</v>
      </c>
      <c r="H703" s="15">
        <v>1881690.27</v>
      </c>
      <c r="I703" s="15">
        <v>294350.2</v>
      </c>
      <c r="J703" s="15">
        <v>294350.2</v>
      </c>
      <c r="L703" s="15">
        <v>23216.74</v>
      </c>
    </row>
    <row r="704" s="13" customFormat="1" ht="15" customHeight="1" spans="1:12">
      <c r="A704" s="13" t="s">
        <v>9035</v>
      </c>
      <c r="B704" s="13" t="s">
        <v>9036</v>
      </c>
      <c r="G704" s="15">
        <v>18500</v>
      </c>
      <c r="L704" s="15">
        <v>-18500</v>
      </c>
    </row>
    <row r="705" s="13" customFormat="1" ht="15" customHeight="1" spans="1:10">
      <c r="A705" s="13" t="s">
        <v>9037</v>
      </c>
      <c r="B705" s="13" t="s">
        <v>9038</v>
      </c>
      <c r="G705" s="15">
        <v>116578.29</v>
      </c>
      <c r="H705" s="15">
        <v>116578.29</v>
      </c>
      <c r="I705" s="15">
        <v>116578.29</v>
      </c>
      <c r="J705" s="15">
        <v>116578.29</v>
      </c>
    </row>
    <row r="706" s="13" customFormat="1" ht="15" customHeight="1" spans="1:12">
      <c r="A706" s="13" t="s">
        <v>9039</v>
      </c>
      <c r="B706" s="13" t="s">
        <v>9040</v>
      </c>
      <c r="G706" s="15">
        <v>31096.02</v>
      </c>
      <c r="H706" s="15">
        <v>28481.41</v>
      </c>
      <c r="I706" s="15">
        <v>6421.62</v>
      </c>
      <c r="J706" s="15">
        <v>6152.7</v>
      </c>
      <c r="L706" s="15">
        <v>-2614.61</v>
      </c>
    </row>
    <row r="707" s="13" customFormat="1" ht="15" customHeight="1" spans="1:12">
      <c r="A707" s="13" t="s">
        <v>9041</v>
      </c>
      <c r="B707" s="13" t="s">
        <v>9042</v>
      </c>
      <c r="G707" s="15">
        <v>28982318.41</v>
      </c>
      <c r="H707" s="15">
        <v>20441235.61</v>
      </c>
      <c r="I707" s="15">
        <v>2296130.42</v>
      </c>
      <c r="J707" s="15">
        <v>977950.97</v>
      </c>
      <c r="L707" s="15">
        <v>-8541082.8</v>
      </c>
    </row>
    <row r="708" s="13" customFormat="1" ht="15" customHeight="1" spans="1:12">
      <c r="A708" s="13" t="s">
        <v>9043</v>
      </c>
      <c r="B708" s="13" t="s">
        <v>9044</v>
      </c>
      <c r="G708" s="15">
        <v>9269779.51</v>
      </c>
      <c r="H708" s="15">
        <v>12677473.2</v>
      </c>
      <c r="I708" s="15">
        <v>1692394.26</v>
      </c>
      <c r="J708" s="15">
        <v>456517.86</v>
      </c>
      <c r="L708" s="15">
        <v>3407693.69</v>
      </c>
    </row>
    <row r="709" s="13" customFormat="1" ht="15" customHeight="1" spans="1:11">
      <c r="A709" s="13" t="s">
        <v>9045</v>
      </c>
      <c r="B709" s="13" t="s">
        <v>9046</v>
      </c>
      <c r="G709" s="15">
        <v>8020446.57</v>
      </c>
      <c r="H709" s="15">
        <v>388358.33</v>
      </c>
      <c r="I709" s="15">
        <v>1665738.59</v>
      </c>
      <c r="J709" s="15">
        <v>2387.73</v>
      </c>
      <c r="K709" s="15">
        <v>7632088.24</v>
      </c>
    </row>
    <row r="710" s="13" customFormat="1" ht="15" customHeight="1" spans="3:11">
      <c r="C710" s="13" t="s">
        <v>9047</v>
      </c>
      <c r="D710" s="13" t="s">
        <v>9048</v>
      </c>
      <c r="G710" s="15">
        <v>369.33</v>
      </c>
      <c r="H710" s="15">
        <v>189.5</v>
      </c>
      <c r="I710" s="15">
        <v>369.33</v>
      </c>
      <c r="J710" s="15">
        <v>189.5</v>
      </c>
      <c r="K710" s="15">
        <v>179.83</v>
      </c>
    </row>
    <row r="711" s="13" customFormat="1" ht="15" customHeight="1" spans="3:11">
      <c r="C711" s="13" t="s">
        <v>9049</v>
      </c>
      <c r="D711" s="13" t="s">
        <v>9050</v>
      </c>
      <c r="G711" s="15">
        <v>23.45</v>
      </c>
      <c r="I711" s="15">
        <v>23.45</v>
      </c>
      <c r="K711" s="15">
        <v>23.45</v>
      </c>
    </row>
    <row r="712" s="13" customFormat="1" ht="15" customHeight="1" spans="3:10">
      <c r="C712" s="13" t="s">
        <v>9051</v>
      </c>
      <c r="D712" s="13" t="s">
        <v>9052</v>
      </c>
      <c r="G712" s="15">
        <v>208.9</v>
      </c>
      <c r="H712" s="15">
        <v>208.9</v>
      </c>
      <c r="I712" s="15">
        <v>208.9</v>
      </c>
      <c r="J712" s="15">
        <v>208.9</v>
      </c>
    </row>
    <row r="713" s="13" customFormat="1" ht="15" customHeight="1" spans="3:11">
      <c r="C713" s="13" t="s">
        <v>9053</v>
      </c>
      <c r="D713" s="13" t="s">
        <v>9054</v>
      </c>
      <c r="G713" s="15">
        <v>1126.24</v>
      </c>
      <c r="I713" s="15">
        <v>1126.24</v>
      </c>
      <c r="K713" s="15">
        <v>1126.24</v>
      </c>
    </row>
    <row r="714" s="13" customFormat="1" ht="15" customHeight="1" spans="3:11">
      <c r="C714" s="13" t="s">
        <v>9055</v>
      </c>
      <c r="D714" s="13" t="s">
        <v>9056</v>
      </c>
      <c r="G714" s="15">
        <v>49.5</v>
      </c>
      <c r="I714" s="15">
        <v>49.5</v>
      </c>
      <c r="K714" s="15">
        <v>49.5</v>
      </c>
    </row>
    <row r="715" s="13" customFormat="1" ht="15" customHeight="1" spans="3:11">
      <c r="C715" s="13" t="s">
        <v>9057</v>
      </c>
      <c r="D715" s="13" t="s">
        <v>9058</v>
      </c>
      <c r="G715" s="15">
        <v>287.07</v>
      </c>
      <c r="I715" s="15">
        <v>287.07</v>
      </c>
      <c r="K715" s="15">
        <v>287.07</v>
      </c>
    </row>
    <row r="716" s="13" customFormat="1" ht="15" customHeight="1" spans="3:11">
      <c r="C716" s="13" t="s">
        <v>9059</v>
      </c>
      <c r="D716" s="13" t="s">
        <v>9060</v>
      </c>
      <c r="G716" s="15">
        <v>566.04</v>
      </c>
      <c r="I716" s="15">
        <v>566.04</v>
      </c>
      <c r="K716" s="15">
        <v>566.04</v>
      </c>
    </row>
    <row r="717" s="13" customFormat="1" ht="15" customHeight="1" spans="3:11">
      <c r="C717" s="13" t="s">
        <v>9061</v>
      </c>
      <c r="D717" s="13" t="s">
        <v>9062</v>
      </c>
      <c r="G717" s="15">
        <v>580087.52</v>
      </c>
      <c r="I717" s="15">
        <v>580087.52</v>
      </c>
      <c r="K717" s="15">
        <v>580087.52</v>
      </c>
    </row>
    <row r="718" s="13" customFormat="1" ht="15" customHeight="1" spans="3:11">
      <c r="C718" s="13" t="s">
        <v>9063</v>
      </c>
      <c r="D718" s="13" t="s">
        <v>9064</v>
      </c>
      <c r="G718" s="15">
        <v>845831.39</v>
      </c>
      <c r="I718" s="15">
        <v>845831.39</v>
      </c>
      <c r="K718" s="15">
        <v>845831.39</v>
      </c>
    </row>
    <row r="719" s="13" customFormat="1" ht="15" customHeight="1" spans="3:10">
      <c r="C719" s="13" t="s">
        <v>9065</v>
      </c>
      <c r="D719" s="13" t="s">
        <v>9066</v>
      </c>
      <c r="G719" s="15">
        <v>1197.25</v>
      </c>
      <c r="H719" s="15">
        <v>1197.25</v>
      </c>
      <c r="I719" s="15">
        <v>1197.25</v>
      </c>
      <c r="J719" s="15">
        <v>1197.25</v>
      </c>
    </row>
    <row r="720" s="13" customFormat="1" ht="15" customHeight="1" spans="3:11">
      <c r="C720" s="13" t="s">
        <v>9067</v>
      </c>
      <c r="D720" s="13" t="s">
        <v>9068</v>
      </c>
      <c r="G720" s="15">
        <v>2991.16</v>
      </c>
      <c r="I720" s="15">
        <v>2991.16</v>
      </c>
      <c r="K720" s="15">
        <v>2991.16</v>
      </c>
    </row>
    <row r="721" s="13" customFormat="1" ht="15" customHeight="1" spans="3:11">
      <c r="C721" s="13" t="s">
        <v>9069</v>
      </c>
      <c r="D721" s="13" t="s">
        <v>9070</v>
      </c>
      <c r="G721" s="15">
        <v>1014.31</v>
      </c>
      <c r="I721" s="15">
        <v>1014.31</v>
      </c>
      <c r="K721" s="15">
        <v>1014.31</v>
      </c>
    </row>
    <row r="722" s="13" customFormat="1" ht="15" customHeight="1" spans="3:11">
      <c r="C722" s="13" t="s">
        <v>9071</v>
      </c>
      <c r="D722" s="13" t="s">
        <v>9072</v>
      </c>
      <c r="G722" s="15">
        <v>231194.35</v>
      </c>
      <c r="I722" s="15">
        <v>231194.35</v>
      </c>
      <c r="K722" s="15">
        <v>231194.35</v>
      </c>
    </row>
    <row r="723" s="13" customFormat="1" ht="15" customHeight="1" spans="3:11">
      <c r="C723" s="13" t="s">
        <v>9073</v>
      </c>
      <c r="D723" s="13" t="s">
        <v>9074</v>
      </c>
      <c r="G723" s="15">
        <v>6355500.06</v>
      </c>
      <c r="H723" s="15">
        <v>386762.68</v>
      </c>
      <c r="I723" s="15">
        <v>792.08</v>
      </c>
      <c r="J723" s="15">
        <v>792.08</v>
      </c>
      <c r="K723" s="15">
        <v>5968737.38</v>
      </c>
    </row>
    <row r="724" s="13" customFormat="1" ht="15" customHeight="1" spans="1:12">
      <c r="A724" s="13" t="s">
        <v>9075</v>
      </c>
      <c r="B724" s="13" t="s">
        <v>9076</v>
      </c>
      <c r="G724" s="15">
        <v>988828.09</v>
      </c>
      <c r="H724" s="15">
        <v>11751084.05</v>
      </c>
      <c r="I724" s="15">
        <v>26375.67</v>
      </c>
      <c r="J724" s="15">
        <v>454130.13</v>
      </c>
      <c r="L724" s="15">
        <v>10762255.96</v>
      </c>
    </row>
    <row r="725" s="13" customFormat="1" ht="15" customHeight="1" spans="3:8">
      <c r="C725" s="13" t="s">
        <v>9077</v>
      </c>
      <c r="D725" s="13" t="s">
        <v>5082</v>
      </c>
      <c r="G725" s="15">
        <v>27410.45</v>
      </c>
      <c r="H725" s="15">
        <v>27410.45</v>
      </c>
    </row>
    <row r="726" s="13" customFormat="1" ht="15" customHeight="1" spans="3:12">
      <c r="C726" s="13" t="s">
        <v>7931</v>
      </c>
      <c r="D726" s="13" t="s">
        <v>7932</v>
      </c>
      <c r="G726" s="15">
        <v>85106.61</v>
      </c>
      <c r="H726" s="15">
        <v>99280.44</v>
      </c>
      <c r="I726" s="15">
        <v>26375.67</v>
      </c>
      <c r="J726" s="15">
        <v>226654.91</v>
      </c>
      <c r="L726" s="15">
        <v>14173.83</v>
      </c>
    </row>
    <row r="727" s="13" customFormat="1" ht="15" customHeight="1" spans="3:12">
      <c r="C727" s="13" t="s">
        <v>7933</v>
      </c>
      <c r="D727" s="13" t="s">
        <v>7934</v>
      </c>
      <c r="G727" s="15">
        <v>15088.21</v>
      </c>
      <c r="H727" s="15">
        <v>-57878.17</v>
      </c>
      <c r="J727" s="15">
        <v>35537.54</v>
      </c>
      <c r="L727" s="15">
        <v>-72966.38</v>
      </c>
    </row>
    <row r="728" s="13" customFormat="1" ht="15" customHeight="1" spans="3:12">
      <c r="C728" s="13" t="s">
        <v>9078</v>
      </c>
      <c r="D728" s="13" t="s">
        <v>4511</v>
      </c>
      <c r="H728" s="15">
        <v>42727.77</v>
      </c>
      <c r="J728" s="15">
        <v>103418.72</v>
      </c>
      <c r="L728" s="15">
        <v>42727.77</v>
      </c>
    </row>
    <row r="729" s="13" customFormat="1" ht="15" customHeight="1" spans="3:12">
      <c r="C729" s="13" t="s">
        <v>7935</v>
      </c>
      <c r="D729" s="13" t="s">
        <v>7936</v>
      </c>
      <c r="G729" s="15">
        <v>861222.82</v>
      </c>
      <c r="H729" s="15">
        <v>11639543.56</v>
      </c>
      <c r="J729" s="15">
        <v>88518.96</v>
      </c>
      <c r="L729" s="15">
        <v>10778320.74</v>
      </c>
    </row>
    <row r="730" s="13" customFormat="1" ht="15" customHeight="1" spans="1:12">
      <c r="A730" s="13" t="s">
        <v>9079</v>
      </c>
      <c r="B730" s="13" t="s">
        <v>9080</v>
      </c>
      <c r="G730" s="15">
        <v>260224.85</v>
      </c>
      <c r="H730" s="15">
        <v>538030.82</v>
      </c>
      <c r="L730" s="15">
        <v>277805.97</v>
      </c>
    </row>
    <row r="731" s="13" customFormat="1" ht="15" customHeight="1" spans="3:12">
      <c r="C731" s="13" t="s">
        <v>7935</v>
      </c>
      <c r="D731" s="13" t="s">
        <v>7936</v>
      </c>
      <c r="G731" s="15">
        <v>260224.85</v>
      </c>
      <c r="H731" s="15">
        <v>538030.82</v>
      </c>
      <c r="L731" s="15">
        <v>277805.97</v>
      </c>
    </row>
    <row r="732" s="13" customFormat="1" ht="15" customHeight="1" spans="1:12">
      <c r="A732" s="13" t="s">
        <v>9081</v>
      </c>
      <c r="B732" s="13" t="s">
        <v>9082</v>
      </c>
      <c r="G732" s="15">
        <v>280</v>
      </c>
      <c r="I732" s="15">
        <v>280</v>
      </c>
      <c r="L732" s="15">
        <v>-280</v>
      </c>
    </row>
    <row r="733" s="13" customFormat="1" ht="15" customHeight="1" spans="1:12">
      <c r="A733" s="13" t="s">
        <v>9083</v>
      </c>
      <c r="B733" s="13" t="s">
        <v>9084</v>
      </c>
      <c r="G733" s="15">
        <v>39492.67</v>
      </c>
      <c r="H733" s="15">
        <v>127605.27</v>
      </c>
      <c r="I733" s="15">
        <v>26375.67</v>
      </c>
      <c r="J733" s="15">
        <v>26375.67</v>
      </c>
      <c r="L733" s="15">
        <v>88112.6</v>
      </c>
    </row>
    <row r="734" s="13" customFormat="1" ht="15" customHeight="1" spans="1:12">
      <c r="A734" s="13" t="s">
        <v>9085</v>
      </c>
      <c r="B734" s="13" t="s">
        <v>9086</v>
      </c>
      <c r="G734" s="15">
        <v>5578597.22</v>
      </c>
      <c r="H734" s="15">
        <v>844495.15</v>
      </c>
      <c r="I734" s="15">
        <v>155174.5</v>
      </c>
      <c r="J734" s="15">
        <v>155174.5</v>
      </c>
      <c r="L734" s="15">
        <v>-4734102.07</v>
      </c>
    </row>
    <row r="735" s="13" customFormat="1" ht="15" customHeight="1" spans="1:12">
      <c r="A735" s="13" t="s">
        <v>9087</v>
      </c>
      <c r="B735" s="13" t="s">
        <v>9088</v>
      </c>
      <c r="G735" s="15">
        <v>1420136.31</v>
      </c>
      <c r="H735" s="15">
        <v>962889.22</v>
      </c>
      <c r="I735" s="15">
        <v>130417.87</v>
      </c>
      <c r="J735" s="15">
        <v>139203.43</v>
      </c>
      <c r="L735" s="15">
        <v>-457247.09</v>
      </c>
    </row>
    <row r="736" s="13" customFormat="1" ht="15" customHeight="1" spans="3:12">
      <c r="C736" s="13" t="s">
        <v>9089</v>
      </c>
      <c r="D736" s="13" t="s">
        <v>9090</v>
      </c>
      <c r="G736" s="15">
        <v>190.48</v>
      </c>
      <c r="L736" s="15">
        <v>-190.48</v>
      </c>
    </row>
    <row r="737" s="13" customFormat="1" ht="15" customHeight="1" spans="3:12">
      <c r="C737" s="13" t="s">
        <v>7931</v>
      </c>
      <c r="D737" s="13" t="s">
        <v>7932</v>
      </c>
      <c r="G737" s="15">
        <v>769510.8</v>
      </c>
      <c r="H737" s="15">
        <v>458629.44</v>
      </c>
      <c r="J737" s="15">
        <v>1653.71</v>
      </c>
      <c r="L737" s="15">
        <v>-310881.36</v>
      </c>
    </row>
    <row r="738" s="13" customFormat="1" ht="15" customHeight="1" spans="3:12">
      <c r="C738" s="13" t="s">
        <v>9091</v>
      </c>
      <c r="D738" s="13" t="s">
        <v>9092</v>
      </c>
      <c r="G738" s="15">
        <v>9067.87</v>
      </c>
      <c r="H738" s="15">
        <v>8633.26</v>
      </c>
      <c r="I738" s="15">
        <v>9067.87</v>
      </c>
      <c r="J738" s="15">
        <v>8633.26</v>
      </c>
      <c r="L738" s="15">
        <v>-434.61</v>
      </c>
    </row>
    <row r="739" s="13" customFormat="1" ht="15" customHeight="1" spans="3:12">
      <c r="C739" s="13" t="s">
        <v>9093</v>
      </c>
      <c r="D739" s="13" t="s">
        <v>9094</v>
      </c>
      <c r="G739" s="15">
        <v>34274.87</v>
      </c>
      <c r="H739" s="15">
        <v>41073.03</v>
      </c>
      <c r="I739" s="15">
        <v>34274.87</v>
      </c>
      <c r="J739" s="15">
        <v>41073.03</v>
      </c>
      <c r="L739" s="15">
        <v>6798.16</v>
      </c>
    </row>
    <row r="740" s="13" customFormat="1" ht="15" customHeight="1" spans="3:12">
      <c r="C740" s="13" t="s">
        <v>9095</v>
      </c>
      <c r="D740" s="13" t="s">
        <v>9096</v>
      </c>
      <c r="G740" s="15">
        <v>219.1</v>
      </c>
      <c r="I740" s="15">
        <v>219.1</v>
      </c>
      <c r="L740" s="15">
        <v>-219.1</v>
      </c>
    </row>
    <row r="741" s="13" customFormat="1" ht="15" customHeight="1" spans="3:12">
      <c r="C741" s="13" t="s">
        <v>7933</v>
      </c>
      <c r="D741" s="13" t="s">
        <v>7934</v>
      </c>
      <c r="G741" s="15">
        <v>367879.15</v>
      </c>
      <c r="H741" s="15">
        <v>349889.65</v>
      </c>
      <c r="J741" s="15">
        <v>356.87</v>
      </c>
      <c r="L741" s="15">
        <v>-17989.5</v>
      </c>
    </row>
    <row r="742" s="13" customFormat="1" ht="15" customHeight="1" spans="3:12">
      <c r="C742" s="13" t="s">
        <v>9097</v>
      </c>
      <c r="D742" s="13" t="s">
        <v>9098</v>
      </c>
      <c r="G742" s="15">
        <v>366.97</v>
      </c>
      <c r="H742" s="15">
        <v>997.5</v>
      </c>
      <c r="I742" s="15">
        <v>366.97</v>
      </c>
      <c r="J742" s="15">
        <v>997.5</v>
      </c>
      <c r="L742" s="15">
        <v>630.53</v>
      </c>
    </row>
    <row r="743" s="13" customFormat="1" ht="15" customHeight="1" spans="3:12">
      <c r="C743" s="13" t="s">
        <v>9099</v>
      </c>
      <c r="D743" s="13" t="s">
        <v>5124</v>
      </c>
      <c r="G743" s="15">
        <v>15238.1</v>
      </c>
      <c r="L743" s="15">
        <v>-15238.1</v>
      </c>
    </row>
    <row r="744" s="13" customFormat="1" ht="15" customHeight="1" spans="3:12">
      <c r="C744" s="13" t="s">
        <v>9078</v>
      </c>
      <c r="D744" s="13" t="s">
        <v>4511</v>
      </c>
      <c r="G744" s="15">
        <v>136899.91</v>
      </c>
      <c r="H744" s="15">
        <v>81456.73</v>
      </c>
      <c r="J744" s="15">
        <v>64279.45</v>
      </c>
      <c r="L744" s="15">
        <v>-55443.18</v>
      </c>
    </row>
    <row r="745" s="13" customFormat="1" ht="15" customHeight="1" spans="3:10">
      <c r="C745" s="13" t="s">
        <v>9100</v>
      </c>
      <c r="D745" s="13" t="s">
        <v>9101</v>
      </c>
      <c r="G745" s="15">
        <v>2495.33</v>
      </c>
      <c r="H745" s="15">
        <v>2495.33</v>
      </c>
      <c r="I745" s="15">
        <v>2495.33</v>
      </c>
      <c r="J745" s="15">
        <v>2495.33</v>
      </c>
    </row>
    <row r="746" s="13" customFormat="1" ht="15" customHeight="1" spans="3:12">
      <c r="C746" s="13" t="s">
        <v>9102</v>
      </c>
      <c r="D746" s="13" t="s">
        <v>9103</v>
      </c>
      <c r="G746" s="15">
        <v>38144.79</v>
      </c>
      <c r="H746" s="15">
        <v>19714.28</v>
      </c>
      <c r="I746" s="15">
        <v>38144.79</v>
      </c>
      <c r="J746" s="15">
        <v>19714.28</v>
      </c>
      <c r="L746" s="15">
        <v>-18430.51</v>
      </c>
    </row>
    <row r="747" s="13" customFormat="1" ht="15" customHeight="1" spans="3:12">
      <c r="C747" s="13" t="s">
        <v>9104</v>
      </c>
      <c r="D747" s="13" t="s">
        <v>9105</v>
      </c>
      <c r="G747" s="15">
        <v>45848.94</v>
      </c>
      <c r="I747" s="15">
        <v>45848.94</v>
      </c>
      <c r="L747" s="15">
        <v>-45848.94</v>
      </c>
    </row>
    <row r="748" s="13" customFormat="1" ht="15" customHeight="1" spans="1:12">
      <c r="A748" s="13" t="s">
        <v>9106</v>
      </c>
      <c r="B748" s="13" t="s">
        <v>9107</v>
      </c>
      <c r="G748" s="15">
        <v>366881.9</v>
      </c>
      <c r="H748" s="15">
        <v>223971.01</v>
      </c>
      <c r="I748" s="15">
        <v>8201.06</v>
      </c>
      <c r="J748" s="15">
        <v>8962.9</v>
      </c>
      <c r="L748" s="15">
        <v>-142910.89</v>
      </c>
    </row>
    <row r="749" s="13" customFormat="1" ht="15" customHeight="1" spans="3:12">
      <c r="C749" s="13" t="s">
        <v>9089</v>
      </c>
      <c r="D749" s="13" t="s">
        <v>9090</v>
      </c>
      <c r="G749" s="15">
        <v>40</v>
      </c>
      <c r="L749" s="15">
        <v>-40</v>
      </c>
    </row>
    <row r="750" s="13" customFormat="1" ht="15" customHeight="1" spans="3:12">
      <c r="C750" s="13" t="s">
        <v>7931</v>
      </c>
      <c r="D750" s="13" t="s">
        <v>7932</v>
      </c>
      <c r="G750" s="15">
        <v>193332.92</v>
      </c>
      <c r="H750" s="15">
        <v>122207.43</v>
      </c>
      <c r="I750" s="15">
        <v>4346.9</v>
      </c>
      <c r="J750" s="15">
        <v>4905.62</v>
      </c>
      <c r="L750" s="15">
        <v>-71125.49</v>
      </c>
    </row>
    <row r="751" s="13" customFormat="1" ht="15" customHeight="1" spans="3:12">
      <c r="C751" s="13" t="s">
        <v>7933</v>
      </c>
      <c r="D751" s="13" t="s">
        <v>7934</v>
      </c>
      <c r="G751" s="15">
        <v>78219.93</v>
      </c>
      <c r="H751" s="15">
        <v>76165.97</v>
      </c>
      <c r="I751" s="15">
        <v>77.06</v>
      </c>
      <c r="J751" s="15">
        <v>280.18</v>
      </c>
      <c r="L751" s="15">
        <v>-2053.96</v>
      </c>
    </row>
    <row r="752" s="13" customFormat="1" ht="15" customHeight="1" spans="3:12">
      <c r="C752" s="13" t="s">
        <v>9099</v>
      </c>
      <c r="D752" s="13" t="s">
        <v>5124</v>
      </c>
      <c r="G752" s="15">
        <v>3200</v>
      </c>
      <c r="L752" s="15">
        <v>-3200</v>
      </c>
    </row>
    <row r="753" s="13" customFormat="1" ht="15" customHeight="1" spans="3:12">
      <c r="C753" s="13" t="s">
        <v>9078</v>
      </c>
      <c r="D753" s="13" t="s">
        <v>4511</v>
      </c>
      <c r="G753" s="15">
        <v>92079.05</v>
      </c>
      <c r="H753" s="15">
        <v>25587.61</v>
      </c>
      <c r="I753" s="15">
        <v>3777.1</v>
      </c>
      <c r="J753" s="15">
        <v>3777.1</v>
      </c>
      <c r="L753" s="15">
        <v>-66491.44</v>
      </c>
    </row>
    <row r="754" s="13" customFormat="1" ht="15" customHeight="1" spans="3:8">
      <c r="C754" s="13" t="s">
        <v>7935</v>
      </c>
      <c r="D754" s="13" t="s">
        <v>7936</v>
      </c>
      <c r="G754" s="15">
        <v>10</v>
      </c>
      <c r="H754" s="15">
        <v>10</v>
      </c>
    </row>
    <row r="755" s="13" customFormat="1" ht="15" customHeight="1" spans="1:12">
      <c r="A755" s="13" t="s">
        <v>9108</v>
      </c>
      <c r="B755" s="13" t="s">
        <v>9109</v>
      </c>
      <c r="G755" s="15">
        <v>27033.64</v>
      </c>
      <c r="H755" s="15">
        <v>8518.06</v>
      </c>
      <c r="I755" s="15">
        <v>2843.77</v>
      </c>
      <c r="J755" s="15">
        <v>2843.77</v>
      </c>
      <c r="L755" s="15">
        <v>-18515.58</v>
      </c>
    </row>
    <row r="756" s="13" customFormat="1" ht="15" customHeight="1" spans="3:10">
      <c r="C756" s="13" t="s">
        <v>9078</v>
      </c>
      <c r="D756" s="13" t="s">
        <v>4511</v>
      </c>
      <c r="G756" s="15">
        <v>2843.77</v>
      </c>
      <c r="H756" s="15">
        <v>2843.77</v>
      </c>
      <c r="I756" s="15">
        <v>2843.77</v>
      </c>
      <c r="J756" s="15">
        <v>2843.77</v>
      </c>
    </row>
    <row r="757" s="13" customFormat="1" ht="15" customHeight="1" spans="3:12">
      <c r="C757" s="13" t="s">
        <v>7935</v>
      </c>
      <c r="D757" s="13" t="s">
        <v>7936</v>
      </c>
      <c r="G757" s="15">
        <v>24189.87</v>
      </c>
      <c r="H757" s="15">
        <v>5674.29</v>
      </c>
      <c r="L757" s="15">
        <v>-18515.58</v>
      </c>
    </row>
    <row r="758" s="13" customFormat="1" ht="15" customHeight="1" spans="1:12">
      <c r="A758" s="13" t="s">
        <v>9110</v>
      </c>
      <c r="B758" s="13" t="s">
        <v>9111</v>
      </c>
      <c r="G758" s="15">
        <v>1872494.2</v>
      </c>
      <c r="H758" s="15">
        <v>778884</v>
      </c>
      <c r="I758" s="15">
        <v>155776.8</v>
      </c>
      <c r="J758" s="15">
        <v>155776.8</v>
      </c>
      <c r="L758" s="15">
        <v>-1093610.2</v>
      </c>
    </row>
    <row r="759" s="13" customFormat="1" ht="15" customHeight="1" spans="3:10">
      <c r="C759" s="13" t="s">
        <v>9077</v>
      </c>
      <c r="D759" s="13" t="s">
        <v>5082</v>
      </c>
      <c r="G759" s="15">
        <v>155776.8</v>
      </c>
      <c r="H759" s="15">
        <v>155776.8</v>
      </c>
      <c r="I759" s="15">
        <v>155776.8</v>
      </c>
      <c r="J759" s="15">
        <v>155776.8</v>
      </c>
    </row>
    <row r="760" s="13" customFormat="1" ht="15" customHeight="1" spans="3:12">
      <c r="C760" s="13" t="s">
        <v>7935</v>
      </c>
      <c r="D760" s="13" t="s">
        <v>7936</v>
      </c>
      <c r="G760" s="15">
        <v>1716717.4</v>
      </c>
      <c r="H760" s="15">
        <v>623107.2</v>
      </c>
      <c r="L760" s="15">
        <v>-1093610.2</v>
      </c>
    </row>
    <row r="761" s="13" customFormat="1" ht="15" customHeight="1" spans="1:12">
      <c r="A761" s="13" t="s">
        <v>9112</v>
      </c>
      <c r="B761" s="13" t="s">
        <v>9113</v>
      </c>
      <c r="G761" s="15">
        <v>158444.88</v>
      </c>
      <c r="H761" s="15">
        <v>95895.46</v>
      </c>
      <c r="I761" s="15">
        <v>3496.14</v>
      </c>
      <c r="J761" s="15">
        <v>3822.64</v>
      </c>
      <c r="L761" s="15">
        <v>-62549.42</v>
      </c>
    </row>
    <row r="762" s="13" customFormat="1" ht="15" customHeight="1" spans="3:12">
      <c r="C762" s="13" t="s">
        <v>9089</v>
      </c>
      <c r="D762" s="13" t="s">
        <v>9090</v>
      </c>
      <c r="G762" s="15">
        <v>17.14</v>
      </c>
      <c r="L762" s="15">
        <v>-17.14</v>
      </c>
    </row>
    <row r="763" s="13" customFormat="1" ht="15" customHeight="1" spans="3:12">
      <c r="C763" s="13" t="s">
        <v>7931</v>
      </c>
      <c r="D763" s="13" t="s">
        <v>7932</v>
      </c>
      <c r="G763" s="15">
        <v>82780.56</v>
      </c>
      <c r="H763" s="15">
        <v>52829.52</v>
      </c>
      <c r="I763" s="15">
        <v>1844.35</v>
      </c>
      <c r="J763" s="15">
        <v>2083.8</v>
      </c>
      <c r="L763" s="15">
        <v>-29951.04</v>
      </c>
    </row>
    <row r="764" s="13" customFormat="1" ht="15" customHeight="1" spans="3:12">
      <c r="C764" s="13" t="s">
        <v>7933</v>
      </c>
      <c r="D764" s="13" t="s">
        <v>7934</v>
      </c>
      <c r="G764" s="15">
        <v>33449.33</v>
      </c>
      <c r="H764" s="15">
        <v>32569.04</v>
      </c>
      <c r="I764" s="15">
        <v>33.03</v>
      </c>
      <c r="J764" s="15">
        <v>120.08</v>
      </c>
      <c r="L764" s="15">
        <v>-880.29</v>
      </c>
    </row>
    <row r="765" s="13" customFormat="1" ht="15" customHeight="1" spans="3:12">
      <c r="C765" s="13" t="s">
        <v>9099</v>
      </c>
      <c r="D765" s="13" t="s">
        <v>5124</v>
      </c>
      <c r="G765" s="15">
        <v>1371.43</v>
      </c>
      <c r="L765" s="15">
        <v>-1371.43</v>
      </c>
    </row>
    <row r="766" s="13" customFormat="1" ht="15" customHeight="1" spans="3:12">
      <c r="C766" s="13" t="s">
        <v>9078</v>
      </c>
      <c r="D766" s="13" t="s">
        <v>4511</v>
      </c>
      <c r="G766" s="15">
        <v>40822.13</v>
      </c>
      <c r="H766" s="15">
        <v>10492.61</v>
      </c>
      <c r="I766" s="15">
        <v>1618.76</v>
      </c>
      <c r="J766" s="15">
        <v>1618.76</v>
      </c>
      <c r="L766" s="15">
        <v>-30329.52</v>
      </c>
    </row>
    <row r="767" s="13" customFormat="1" ht="15" customHeight="1" spans="3:8">
      <c r="C767" s="13" t="s">
        <v>7935</v>
      </c>
      <c r="D767" s="13" t="s">
        <v>7936</v>
      </c>
      <c r="G767" s="15">
        <v>4.29</v>
      </c>
      <c r="H767" s="15">
        <v>4.29</v>
      </c>
    </row>
    <row r="768" s="13" customFormat="1" ht="15" customHeight="1" spans="1:12">
      <c r="A768" s="13" t="s">
        <v>9114</v>
      </c>
      <c r="B768" s="13" t="s">
        <v>9115</v>
      </c>
      <c r="G768" s="15">
        <v>8576.75</v>
      </c>
      <c r="H768" s="15">
        <v>10192.65</v>
      </c>
      <c r="I768" s="15">
        <v>133.53</v>
      </c>
      <c r="J768" s="15">
        <v>116.91</v>
      </c>
      <c r="L768" s="15">
        <v>1615.9</v>
      </c>
    </row>
    <row r="769" s="13" customFormat="1" ht="15" customHeight="1" spans="1:12">
      <c r="A769" s="13" t="s">
        <v>9116</v>
      </c>
      <c r="B769" s="13" t="s">
        <v>9117</v>
      </c>
      <c r="G769" s="15">
        <v>6561122.63</v>
      </c>
      <c r="H769" s="15">
        <v>105436.26</v>
      </c>
      <c r="I769" s="15">
        <v>117158.01</v>
      </c>
      <c r="J769" s="15">
        <v>23987.94</v>
      </c>
      <c r="L769" s="15">
        <v>-6455686.37</v>
      </c>
    </row>
    <row r="770" s="13" customFormat="1" ht="15" customHeight="1" spans="3:12">
      <c r="C770" s="13" t="s">
        <v>9089</v>
      </c>
      <c r="D770" s="13" t="s">
        <v>9090</v>
      </c>
      <c r="G770" s="15">
        <v>571.44</v>
      </c>
      <c r="L770" s="15">
        <v>-571.44</v>
      </c>
    </row>
    <row r="771" s="13" customFormat="1" ht="15" customHeight="1" spans="3:12">
      <c r="C771" s="13" t="s">
        <v>7931</v>
      </c>
      <c r="D771" s="13" t="s">
        <v>7932</v>
      </c>
      <c r="G771" s="15">
        <v>2312228.06</v>
      </c>
      <c r="H771" s="15">
        <v>13338.88</v>
      </c>
      <c r="I771" s="15">
        <v>62098.54</v>
      </c>
      <c r="L771" s="15">
        <v>-2298889.18</v>
      </c>
    </row>
    <row r="772" s="13" customFormat="1" ht="15" customHeight="1" spans="3:12">
      <c r="C772" s="13" t="s">
        <v>7933</v>
      </c>
      <c r="D772" s="13" t="s">
        <v>7934</v>
      </c>
      <c r="G772" s="15">
        <v>1090529.5</v>
      </c>
      <c r="H772" s="15">
        <v>62974.09</v>
      </c>
      <c r="I772" s="15">
        <v>1100.92</v>
      </c>
      <c r="L772" s="15">
        <v>-1027555.41</v>
      </c>
    </row>
    <row r="773" s="13" customFormat="1" ht="15" customHeight="1" spans="3:12">
      <c r="C773" s="13" t="s">
        <v>9099</v>
      </c>
      <c r="D773" s="13" t="s">
        <v>5124</v>
      </c>
      <c r="G773" s="15">
        <v>45714.3</v>
      </c>
      <c r="L773" s="15">
        <v>-45714.3</v>
      </c>
    </row>
    <row r="774" s="13" customFormat="1" ht="15" customHeight="1" spans="3:12">
      <c r="C774" s="13" t="s">
        <v>9078</v>
      </c>
      <c r="D774" s="13" t="s">
        <v>4511</v>
      </c>
      <c r="G774" s="15">
        <v>3112079.33</v>
      </c>
      <c r="H774" s="15">
        <v>21072.53</v>
      </c>
      <c r="I774" s="15">
        <v>53958.55</v>
      </c>
      <c r="J774" s="15">
        <v>15937.18</v>
      </c>
      <c r="L774" s="15">
        <v>-3091006.8</v>
      </c>
    </row>
    <row r="775" s="13" customFormat="1" ht="15" customHeight="1" spans="3:12">
      <c r="C775" s="13" t="s">
        <v>7935</v>
      </c>
      <c r="D775" s="13" t="s">
        <v>7936</v>
      </c>
      <c r="H775" s="15">
        <v>8050.76</v>
      </c>
      <c r="J775" s="15">
        <v>8050.76</v>
      </c>
      <c r="L775" s="15">
        <v>8050.76</v>
      </c>
    </row>
    <row r="776" s="13" customFormat="1" ht="15" customHeight="1" spans="1:12">
      <c r="A776" s="13" t="s">
        <v>9118</v>
      </c>
      <c r="B776" s="13" t="s">
        <v>9119</v>
      </c>
      <c r="G776" s="15">
        <v>3557302.34</v>
      </c>
      <c r="H776" s="15">
        <v>4424866.59</v>
      </c>
      <c r="J776" s="15">
        <v>792.08</v>
      </c>
      <c r="L776" s="15">
        <v>867564.25</v>
      </c>
    </row>
    <row r="777" s="13" customFormat="1" ht="15" customHeight="1" spans="3:12">
      <c r="C777" s="13" t="s">
        <v>9120</v>
      </c>
      <c r="D777" s="13" t="s">
        <v>9121</v>
      </c>
      <c r="G777" s="15">
        <v>3557302.34</v>
      </c>
      <c r="H777" s="15">
        <v>4424866.59</v>
      </c>
      <c r="J777" s="15">
        <v>792.08</v>
      </c>
      <c r="L777" s="15">
        <v>867564.25</v>
      </c>
    </row>
    <row r="778" s="13" customFormat="1" ht="15" customHeight="1" spans="1:12">
      <c r="A778" s="13" t="s">
        <v>9122</v>
      </c>
      <c r="B778" s="13" t="s">
        <v>9123</v>
      </c>
      <c r="G778" s="15">
        <v>16826.42</v>
      </c>
      <c r="H778" s="15">
        <v>15789.06</v>
      </c>
      <c r="I778" s="15">
        <v>1828.04</v>
      </c>
      <c r="J778" s="15">
        <v>1828.04</v>
      </c>
      <c r="L778" s="15">
        <v>-1037.36</v>
      </c>
    </row>
    <row r="779" s="13" customFormat="1" ht="15" customHeight="1" spans="1:12">
      <c r="A779" s="13" t="s">
        <v>9124</v>
      </c>
      <c r="B779" s="13" t="s">
        <v>9125</v>
      </c>
      <c r="G779" s="15">
        <v>105629.94</v>
      </c>
      <c r="H779" s="15">
        <v>63930.3</v>
      </c>
      <c r="I779" s="15">
        <v>2330.77</v>
      </c>
      <c r="J779" s="15">
        <v>2548.43</v>
      </c>
      <c r="L779" s="15">
        <v>-41699.64</v>
      </c>
    </row>
    <row r="780" s="13" customFormat="1" ht="15" customHeight="1" spans="3:12">
      <c r="C780" s="13" t="s">
        <v>9089</v>
      </c>
      <c r="D780" s="13" t="s">
        <v>9090</v>
      </c>
      <c r="G780" s="15">
        <v>11.43</v>
      </c>
      <c r="L780" s="15">
        <v>-11.43</v>
      </c>
    </row>
    <row r="781" s="13" customFormat="1" ht="15" customHeight="1" spans="3:12">
      <c r="C781" s="13" t="s">
        <v>7931</v>
      </c>
      <c r="D781" s="13" t="s">
        <v>7932</v>
      </c>
      <c r="G781" s="15">
        <v>56268.6</v>
      </c>
      <c r="H781" s="15">
        <v>35079.1</v>
      </c>
      <c r="I781" s="15">
        <v>1229.58</v>
      </c>
      <c r="J781" s="15">
        <v>1389.21</v>
      </c>
      <c r="L781" s="15">
        <v>-21189.5</v>
      </c>
    </row>
    <row r="782" s="13" customFormat="1" ht="15" customHeight="1" spans="3:12">
      <c r="C782" s="13" t="s">
        <v>7933</v>
      </c>
      <c r="D782" s="13" t="s">
        <v>7934</v>
      </c>
      <c r="G782" s="15">
        <v>22124.47</v>
      </c>
      <c r="H782" s="15">
        <v>21537.62</v>
      </c>
      <c r="I782" s="15">
        <v>22.02</v>
      </c>
      <c r="J782" s="15">
        <v>80.05</v>
      </c>
      <c r="L782" s="15">
        <v>-586.85</v>
      </c>
    </row>
    <row r="783" s="13" customFormat="1" ht="15" customHeight="1" spans="3:12">
      <c r="C783" s="13" t="s">
        <v>9099</v>
      </c>
      <c r="D783" s="13" t="s">
        <v>5124</v>
      </c>
      <c r="G783" s="15">
        <v>914.29</v>
      </c>
      <c r="L783" s="15">
        <v>-914.29</v>
      </c>
    </row>
    <row r="784" s="13" customFormat="1" ht="15" customHeight="1" spans="3:12">
      <c r="C784" s="13" t="s">
        <v>9078</v>
      </c>
      <c r="D784" s="13" t="s">
        <v>4511</v>
      </c>
      <c r="G784" s="15">
        <v>26308.29</v>
      </c>
      <c r="H784" s="15">
        <v>7310.72</v>
      </c>
      <c r="I784" s="15">
        <v>1079.17</v>
      </c>
      <c r="J784" s="15">
        <v>1079.17</v>
      </c>
      <c r="L784" s="15">
        <v>-18997.57</v>
      </c>
    </row>
    <row r="785" s="13" customFormat="1" ht="15" customHeight="1" spans="3:8">
      <c r="C785" s="13" t="s">
        <v>7935</v>
      </c>
      <c r="D785" s="13" t="s">
        <v>7936</v>
      </c>
      <c r="G785" s="15">
        <v>2.86</v>
      </c>
      <c r="H785" s="15">
        <v>2.86</v>
      </c>
    </row>
    <row r="786" s="13" customFormat="1" ht="15" customHeight="1" spans="1:12">
      <c r="A786" s="13" t="s">
        <v>9126</v>
      </c>
      <c r="B786" s="13" t="s">
        <v>9127</v>
      </c>
      <c r="H786" s="15">
        <v>101289.38</v>
      </c>
      <c r="L786" s="15">
        <v>101289.38</v>
      </c>
    </row>
    <row r="787" s="13" customFormat="1" ht="15" customHeight="1" spans="3:12">
      <c r="C787" s="13" t="s">
        <v>7935</v>
      </c>
      <c r="D787" s="13" t="s">
        <v>7936</v>
      </c>
      <c r="H787" s="15">
        <v>101289.38</v>
      </c>
      <c r="L787" s="15">
        <v>101289.38</v>
      </c>
    </row>
    <row r="788" s="13" customFormat="1" ht="15" customHeight="1" spans="1:12">
      <c r="A788" s="13" t="s">
        <v>9128</v>
      </c>
      <c r="B788" s="13" t="s">
        <v>26</v>
      </c>
      <c r="G788" s="15">
        <v>81871572.75</v>
      </c>
      <c r="H788" s="15">
        <v>98064117.29</v>
      </c>
      <c r="I788" s="15">
        <v>28554</v>
      </c>
      <c r="J788" s="15">
        <v>71491</v>
      </c>
      <c r="L788" s="15">
        <v>16192544.54</v>
      </c>
    </row>
    <row r="789" s="13" customFormat="1" ht="15" customHeight="1" spans="1:12">
      <c r="A789" s="13" t="s">
        <v>9129</v>
      </c>
      <c r="B789" s="13" t="s">
        <v>9130</v>
      </c>
      <c r="G789" s="15">
        <v>7306.2</v>
      </c>
      <c r="H789" s="15">
        <v>175000</v>
      </c>
      <c r="J789" s="15">
        <v>40000</v>
      </c>
      <c r="L789" s="15">
        <v>167693.8</v>
      </c>
    </row>
    <row r="790" s="13" customFormat="1" ht="15" customHeight="1" spans="3:12">
      <c r="C790" s="13" t="s">
        <v>9131</v>
      </c>
      <c r="D790" s="13" t="s">
        <v>9132</v>
      </c>
      <c r="H790" s="15">
        <v>40000</v>
      </c>
      <c r="J790" s="15">
        <v>40000</v>
      </c>
      <c r="L790" s="15">
        <v>40000</v>
      </c>
    </row>
    <row r="791" s="13" customFormat="1" ht="15" customHeight="1" spans="3:12">
      <c r="C791" s="13" t="s">
        <v>9133</v>
      </c>
      <c r="D791" s="13" t="s">
        <v>9134</v>
      </c>
      <c r="H791" s="15">
        <v>30000</v>
      </c>
      <c r="L791" s="15">
        <v>30000</v>
      </c>
    </row>
    <row r="792" s="13" customFormat="1" ht="15" customHeight="1" spans="3:12">
      <c r="C792" s="13" t="s">
        <v>9135</v>
      </c>
      <c r="D792" s="13" t="s">
        <v>9136</v>
      </c>
      <c r="H792" s="15">
        <v>100000</v>
      </c>
      <c r="L792" s="15">
        <v>100000</v>
      </c>
    </row>
    <row r="793" s="13" customFormat="1" ht="15" customHeight="1" spans="3:12">
      <c r="C793" s="13" t="s">
        <v>9137</v>
      </c>
      <c r="D793" s="13" t="s">
        <v>9138</v>
      </c>
      <c r="G793" s="15">
        <v>7306.2</v>
      </c>
      <c r="H793" s="15">
        <v>5000</v>
      </c>
      <c r="L793" s="15">
        <v>-2306.2</v>
      </c>
    </row>
    <row r="794" s="13" customFormat="1" ht="15" customHeight="1" spans="1:12">
      <c r="A794" s="13" t="s">
        <v>9139</v>
      </c>
      <c r="B794" s="13" t="s">
        <v>7728</v>
      </c>
      <c r="G794" s="15">
        <v>81080122.25</v>
      </c>
      <c r="H794" s="15">
        <v>92622657.99</v>
      </c>
      <c r="I794" s="15">
        <v>15497</v>
      </c>
      <c r="J794" s="15">
        <v>28994</v>
      </c>
      <c r="L794" s="15">
        <v>11542535.74</v>
      </c>
    </row>
    <row r="795" s="13" customFormat="1" ht="15" customHeight="1" spans="3:12">
      <c r="C795" s="13" t="s">
        <v>9140</v>
      </c>
      <c r="D795" s="13" t="s">
        <v>9141</v>
      </c>
      <c r="G795" s="15">
        <v>2028482</v>
      </c>
      <c r="L795" s="15">
        <v>-2028482</v>
      </c>
    </row>
    <row r="796" s="13" customFormat="1" ht="15" customHeight="1" spans="3:12">
      <c r="C796" s="13" t="s">
        <v>7729</v>
      </c>
      <c r="D796" s="13" t="s">
        <v>7730</v>
      </c>
      <c r="G796" s="15">
        <v>3428537.78</v>
      </c>
      <c r="H796" s="15">
        <v>27454627.42</v>
      </c>
      <c r="L796" s="15">
        <v>24026089.64</v>
      </c>
    </row>
    <row r="797" s="13" customFormat="1" ht="15" customHeight="1" spans="3:8">
      <c r="C797" s="13" t="s">
        <v>7731</v>
      </c>
      <c r="D797" s="13" t="s">
        <v>7732</v>
      </c>
      <c r="G797" s="15">
        <v>35005239</v>
      </c>
      <c r="H797" s="15">
        <v>35005239</v>
      </c>
    </row>
    <row r="798" s="13" customFormat="1" ht="15" customHeight="1" spans="3:8">
      <c r="C798" s="13" t="s">
        <v>7733</v>
      </c>
      <c r="D798" s="13" t="s">
        <v>7734</v>
      </c>
      <c r="G798" s="15">
        <v>225100</v>
      </c>
      <c r="H798" s="15">
        <v>225100</v>
      </c>
    </row>
    <row r="799" s="13" customFormat="1" ht="15" customHeight="1" spans="3:12">
      <c r="C799" s="13" t="s">
        <v>9142</v>
      </c>
      <c r="D799" s="13" t="s">
        <v>9143</v>
      </c>
      <c r="H799" s="15">
        <v>5000</v>
      </c>
      <c r="L799" s="15">
        <v>5000</v>
      </c>
    </row>
    <row r="800" s="13" customFormat="1" ht="15" customHeight="1" spans="3:12">
      <c r="C800" s="13" t="s">
        <v>7735</v>
      </c>
      <c r="D800" s="13" t="s">
        <v>7736</v>
      </c>
      <c r="G800" s="15">
        <v>12000000</v>
      </c>
      <c r="L800" s="15">
        <v>-12000000</v>
      </c>
    </row>
    <row r="801" s="13" customFormat="1" ht="15" customHeight="1" spans="3:12">
      <c r="C801" s="13" t="s">
        <v>9144</v>
      </c>
      <c r="D801" s="13" t="s">
        <v>9145</v>
      </c>
      <c r="G801" s="15">
        <v>1736957.16</v>
      </c>
      <c r="L801" s="15">
        <v>-1736957.16</v>
      </c>
    </row>
    <row r="802" s="13" customFormat="1" ht="15" customHeight="1" spans="3:12">
      <c r="C802" s="13" t="s">
        <v>9146</v>
      </c>
      <c r="D802" s="13" t="s">
        <v>9147</v>
      </c>
      <c r="H802" s="15">
        <v>1600</v>
      </c>
      <c r="L802" s="15">
        <v>1600</v>
      </c>
    </row>
    <row r="803" s="13" customFormat="1" ht="15" customHeight="1" spans="3:12">
      <c r="C803" s="13" t="s">
        <v>9148</v>
      </c>
      <c r="D803" s="13" t="s">
        <v>9149</v>
      </c>
      <c r="H803" s="15">
        <v>2311.84</v>
      </c>
      <c r="L803" s="15">
        <v>2311.84</v>
      </c>
    </row>
    <row r="804" s="13" customFormat="1" ht="15" customHeight="1" spans="3:12">
      <c r="C804" s="13" t="s">
        <v>9150</v>
      </c>
      <c r="D804" s="13" t="s">
        <v>9151</v>
      </c>
      <c r="G804" s="15">
        <v>3867</v>
      </c>
      <c r="L804" s="15">
        <v>-3867</v>
      </c>
    </row>
    <row r="805" s="13" customFormat="1" ht="15" customHeight="1" spans="3:12">
      <c r="C805" s="13" t="s">
        <v>9152</v>
      </c>
      <c r="D805" s="13" t="s">
        <v>9153</v>
      </c>
      <c r="G805" s="15">
        <v>820</v>
      </c>
      <c r="L805" s="15">
        <v>-820</v>
      </c>
    </row>
    <row r="806" s="13" customFormat="1" ht="15" customHeight="1" spans="3:12">
      <c r="C806" s="13" t="s">
        <v>7743</v>
      </c>
      <c r="D806" s="13" t="s">
        <v>7744</v>
      </c>
      <c r="G806" s="15">
        <v>3650</v>
      </c>
      <c r="L806" s="15">
        <v>-3650</v>
      </c>
    </row>
    <row r="807" s="13" customFormat="1" ht="15" customHeight="1" spans="3:12">
      <c r="C807" s="13" t="s">
        <v>7745</v>
      </c>
      <c r="D807" s="13" t="s">
        <v>7746</v>
      </c>
      <c r="G807" s="15">
        <v>388127</v>
      </c>
      <c r="H807" s="15">
        <v>1856151.97</v>
      </c>
      <c r="L807" s="15">
        <v>1468024.97</v>
      </c>
    </row>
    <row r="808" s="13" customFormat="1" ht="15" customHeight="1" spans="3:8">
      <c r="C808" s="13" t="s">
        <v>9154</v>
      </c>
      <c r="D808" s="13" t="s">
        <v>9155</v>
      </c>
      <c r="G808" s="15">
        <v>365000</v>
      </c>
      <c r="H808" s="15">
        <v>365000</v>
      </c>
    </row>
    <row r="809" s="13" customFormat="1" ht="15" customHeight="1" spans="3:12">
      <c r="C809" s="13" t="s">
        <v>9156</v>
      </c>
      <c r="D809" s="13" t="s">
        <v>9157</v>
      </c>
      <c r="G809" s="15">
        <v>304000</v>
      </c>
      <c r="L809" s="15">
        <v>-304000</v>
      </c>
    </row>
    <row r="810" s="13" customFormat="1" ht="15" customHeight="1" spans="3:12">
      <c r="C810" s="13" t="s">
        <v>9158</v>
      </c>
      <c r="D810" s="13" t="s">
        <v>9159</v>
      </c>
      <c r="H810" s="15">
        <v>304000</v>
      </c>
      <c r="L810" s="15">
        <v>304000</v>
      </c>
    </row>
    <row r="811" s="13" customFormat="1" ht="15" customHeight="1" spans="3:12">
      <c r="C811" s="13" t="s">
        <v>9160</v>
      </c>
      <c r="D811" s="13" t="s">
        <v>9161</v>
      </c>
      <c r="G811" s="15">
        <v>6042.14</v>
      </c>
      <c r="L811" s="15">
        <v>-6042.14</v>
      </c>
    </row>
    <row r="812" s="13" customFormat="1" ht="15" customHeight="1" spans="3:12">
      <c r="C812" s="13" t="s">
        <v>7749</v>
      </c>
      <c r="D812" s="13" t="s">
        <v>7750</v>
      </c>
      <c r="G812" s="15">
        <v>25450000</v>
      </c>
      <c r="H812" s="15">
        <v>25477000</v>
      </c>
      <c r="L812" s="15">
        <v>27000</v>
      </c>
    </row>
    <row r="813" s="13" customFormat="1" ht="15" customHeight="1" spans="3:12">
      <c r="C813" s="13" t="s">
        <v>7753</v>
      </c>
      <c r="D813" s="13" t="s">
        <v>7754</v>
      </c>
      <c r="H813" s="15">
        <v>29207</v>
      </c>
      <c r="L813" s="15">
        <v>29207</v>
      </c>
    </row>
    <row r="814" s="13" customFormat="1" ht="15" customHeight="1" spans="3:8">
      <c r="C814" s="13" t="s">
        <v>9162</v>
      </c>
      <c r="D814" s="13" t="s">
        <v>9163</v>
      </c>
      <c r="G814" s="15">
        <v>2000</v>
      </c>
      <c r="H814" s="15">
        <v>2000</v>
      </c>
    </row>
    <row r="815" s="13" customFormat="1" ht="15" customHeight="1" spans="3:12">
      <c r="C815" s="13" t="s">
        <v>9164</v>
      </c>
      <c r="D815" s="13" t="s">
        <v>9165</v>
      </c>
      <c r="H815" s="15">
        <v>66000</v>
      </c>
      <c r="L815" s="15">
        <v>66000</v>
      </c>
    </row>
    <row r="816" s="13" customFormat="1" ht="15" customHeight="1" spans="3:12">
      <c r="C816" s="13" t="s">
        <v>9166</v>
      </c>
      <c r="D816" s="13" t="s">
        <v>9167</v>
      </c>
      <c r="H816" s="15">
        <v>21592</v>
      </c>
      <c r="L816" s="15">
        <v>21592</v>
      </c>
    </row>
    <row r="817" s="13" customFormat="1" ht="15" customHeight="1" spans="3:12">
      <c r="C817" s="13" t="s">
        <v>7757</v>
      </c>
      <c r="D817" s="13" t="s">
        <v>7758</v>
      </c>
      <c r="G817" s="15">
        <v>198</v>
      </c>
      <c r="L817" s="15">
        <v>-198</v>
      </c>
    </row>
    <row r="818" s="13" customFormat="1" ht="15" customHeight="1" spans="3:12">
      <c r="C818" s="13" t="s">
        <v>9168</v>
      </c>
      <c r="D818" s="13" t="s">
        <v>9169</v>
      </c>
      <c r="H818" s="15">
        <v>132430.72</v>
      </c>
      <c r="L818" s="15">
        <v>132430.72</v>
      </c>
    </row>
    <row r="819" s="13" customFormat="1" ht="15" customHeight="1" spans="3:8">
      <c r="C819" s="13" t="s">
        <v>9170</v>
      </c>
      <c r="D819" s="13" t="s">
        <v>9171</v>
      </c>
      <c r="G819" s="15">
        <v>4315.17</v>
      </c>
      <c r="H819" s="15">
        <v>4315.17</v>
      </c>
    </row>
    <row r="820" s="13" customFormat="1" ht="15" customHeight="1" spans="3:12">
      <c r="C820" s="13" t="s">
        <v>9172</v>
      </c>
      <c r="D820" s="13" t="s">
        <v>9173</v>
      </c>
      <c r="H820" s="15">
        <v>4856</v>
      </c>
      <c r="L820" s="15">
        <v>4856</v>
      </c>
    </row>
    <row r="821" s="13" customFormat="1" ht="15" customHeight="1" spans="3:12">
      <c r="C821" s="13" t="s">
        <v>9174</v>
      </c>
      <c r="D821" s="13" t="s">
        <v>9175</v>
      </c>
      <c r="H821" s="15">
        <v>10200</v>
      </c>
      <c r="L821" s="15">
        <v>10200</v>
      </c>
    </row>
    <row r="822" s="13" customFormat="1" ht="15" customHeight="1" spans="3:12">
      <c r="C822" s="13" t="s">
        <v>9176</v>
      </c>
      <c r="D822" s="13" t="s">
        <v>9177</v>
      </c>
      <c r="H822" s="15">
        <v>195894.96</v>
      </c>
      <c r="L822" s="15">
        <v>195894.96</v>
      </c>
    </row>
    <row r="823" s="13" customFormat="1" ht="15" customHeight="1" spans="3:12">
      <c r="C823" s="13" t="s">
        <v>9178</v>
      </c>
      <c r="D823" s="13" t="s">
        <v>9179</v>
      </c>
      <c r="H823" s="15">
        <v>10648.6</v>
      </c>
      <c r="L823" s="15">
        <v>10648.6</v>
      </c>
    </row>
    <row r="824" s="13" customFormat="1" ht="15" customHeight="1" spans="3:12">
      <c r="C824" s="13" t="s">
        <v>7761</v>
      </c>
      <c r="D824" s="13" t="s">
        <v>7762</v>
      </c>
      <c r="H824" s="15">
        <v>23</v>
      </c>
      <c r="L824" s="15">
        <v>23</v>
      </c>
    </row>
    <row r="825" s="13" customFormat="1" ht="15" customHeight="1" spans="3:12">
      <c r="C825" s="13" t="s">
        <v>9180</v>
      </c>
      <c r="D825" s="13" t="s">
        <v>9181</v>
      </c>
      <c r="H825" s="15">
        <v>314601.9</v>
      </c>
      <c r="L825" s="15">
        <v>314601.9</v>
      </c>
    </row>
    <row r="826" s="13" customFormat="1" ht="15" customHeight="1" spans="3:12">
      <c r="C826" s="13" t="s">
        <v>9182</v>
      </c>
      <c r="D826" s="13" t="s">
        <v>9183</v>
      </c>
      <c r="H826" s="15">
        <v>11875</v>
      </c>
      <c r="L826" s="15">
        <v>11875</v>
      </c>
    </row>
    <row r="827" s="13" customFormat="1" ht="15" customHeight="1" spans="3:12">
      <c r="C827" s="13" t="s">
        <v>9184</v>
      </c>
      <c r="D827" s="13" t="s">
        <v>9185</v>
      </c>
      <c r="H827" s="15">
        <v>57170</v>
      </c>
      <c r="L827" s="15">
        <v>57170</v>
      </c>
    </row>
    <row r="828" s="13" customFormat="1" ht="15" customHeight="1" spans="3:12">
      <c r="C828" s="13" t="s">
        <v>7763</v>
      </c>
      <c r="D828" s="13" t="s">
        <v>7764</v>
      </c>
      <c r="G828" s="15">
        <v>1080</v>
      </c>
      <c r="H828" s="15">
        <v>796256.75</v>
      </c>
      <c r="L828" s="15">
        <v>795176.75</v>
      </c>
    </row>
    <row r="829" s="13" customFormat="1" ht="15" customHeight="1" spans="3:12">
      <c r="C829" s="13" t="s">
        <v>9186</v>
      </c>
      <c r="D829" s="13" t="s">
        <v>9187</v>
      </c>
      <c r="H829" s="15">
        <v>38640</v>
      </c>
      <c r="L829" s="15">
        <v>38640</v>
      </c>
    </row>
    <row r="830" s="13" customFormat="1" ht="15" customHeight="1" spans="3:12">
      <c r="C830" s="13" t="s">
        <v>7765</v>
      </c>
      <c r="D830" s="13" t="s">
        <v>7766</v>
      </c>
      <c r="H830" s="15">
        <v>455.66</v>
      </c>
      <c r="L830" s="15">
        <v>455.66</v>
      </c>
    </row>
    <row r="831" s="13" customFormat="1" ht="15" customHeight="1" spans="3:12">
      <c r="C831" s="13" t="s">
        <v>9188</v>
      </c>
      <c r="D831" s="13" t="s">
        <v>9189</v>
      </c>
      <c r="H831" s="15">
        <v>125106</v>
      </c>
      <c r="L831" s="15">
        <v>125106</v>
      </c>
    </row>
    <row r="832" s="13" customFormat="1" ht="15" customHeight="1" spans="3:12">
      <c r="C832" s="13" t="s">
        <v>9190</v>
      </c>
      <c r="D832" s="13" t="s">
        <v>9191</v>
      </c>
      <c r="G832" s="15">
        <v>5670</v>
      </c>
      <c r="L832" s="15">
        <v>-5670</v>
      </c>
    </row>
    <row r="833" s="13" customFormat="1" ht="15" customHeight="1" spans="3:4">
      <c r="C833" s="13" t="s">
        <v>9192</v>
      </c>
      <c r="D833" s="13" t="s">
        <v>9193</v>
      </c>
    </row>
    <row r="834" s="13" customFormat="1" ht="15" customHeight="1" spans="3:12">
      <c r="C834" s="13" t="s">
        <v>9194</v>
      </c>
      <c r="D834" s="13" t="s">
        <v>9195</v>
      </c>
      <c r="H834" s="15">
        <v>62145</v>
      </c>
      <c r="L834" s="15">
        <v>62145</v>
      </c>
    </row>
    <row r="835" s="13" customFormat="1" ht="15" customHeight="1" spans="3:12">
      <c r="C835" s="13" t="s">
        <v>9196</v>
      </c>
      <c r="D835" s="13" t="s">
        <v>9197</v>
      </c>
      <c r="H835" s="15">
        <v>210</v>
      </c>
      <c r="L835" s="15">
        <v>210</v>
      </c>
    </row>
    <row r="836" s="13" customFormat="1" ht="15" customHeight="1" spans="3:12">
      <c r="C836" s="13" t="s">
        <v>9198</v>
      </c>
      <c r="D836" s="13" t="s">
        <v>9199</v>
      </c>
      <c r="H836" s="15">
        <v>2800</v>
      </c>
      <c r="L836" s="15">
        <v>2800</v>
      </c>
    </row>
    <row r="837" s="13" customFormat="1" ht="15" customHeight="1" spans="3:12">
      <c r="C837" s="13" t="s">
        <v>7789</v>
      </c>
      <c r="D837" s="13" t="s">
        <v>7790</v>
      </c>
      <c r="G837" s="15">
        <v>7740</v>
      </c>
      <c r="H837" s="15">
        <v>10206</v>
      </c>
      <c r="L837" s="15">
        <v>2466</v>
      </c>
    </row>
    <row r="838" s="13" customFormat="1" ht="15" customHeight="1" spans="3:12">
      <c r="C838" s="13" t="s">
        <v>7805</v>
      </c>
      <c r="D838" s="13" t="s">
        <v>7806</v>
      </c>
      <c r="G838" s="15">
        <v>7800</v>
      </c>
      <c r="L838" s="15">
        <v>-7800</v>
      </c>
    </row>
    <row r="839" s="13" customFormat="1" ht="15" customHeight="1" spans="3:4">
      <c r="C839" s="13" t="s">
        <v>7817</v>
      </c>
      <c r="D839" s="13" t="s">
        <v>7818</v>
      </c>
    </row>
    <row r="840" s="13" customFormat="1" ht="15" customHeight="1" spans="3:12">
      <c r="C840" s="13" t="s">
        <v>9200</v>
      </c>
      <c r="D840" s="13" t="s">
        <v>9201</v>
      </c>
      <c r="G840" s="15">
        <v>80000</v>
      </c>
      <c r="L840" s="15">
        <v>-80000</v>
      </c>
    </row>
    <row r="841" s="13" customFormat="1" ht="15" customHeight="1" spans="3:9">
      <c r="C841" s="13" t="s">
        <v>9202</v>
      </c>
      <c r="D841" s="13" t="s">
        <v>9203</v>
      </c>
      <c r="G841" s="15">
        <v>1000</v>
      </c>
      <c r="H841" s="15">
        <v>1000</v>
      </c>
      <c r="I841" s="15">
        <v>1000</v>
      </c>
    </row>
    <row r="842" s="13" customFormat="1" ht="15" customHeight="1" spans="3:12">
      <c r="C842" s="13" t="s">
        <v>9204</v>
      </c>
      <c r="D842" s="13" t="s">
        <v>9205</v>
      </c>
      <c r="G842" s="15">
        <v>10000</v>
      </c>
      <c r="L842" s="15">
        <v>-10000</v>
      </c>
    </row>
    <row r="843" s="13" customFormat="1" ht="15" customHeight="1" spans="3:12">
      <c r="C843" s="13" t="s">
        <v>9206</v>
      </c>
      <c r="D843" s="13" t="s">
        <v>9207</v>
      </c>
      <c r="G843" s="15">
        <v>14497</v>
      </c>
      <c r="H843" s="15">
        <v>28994</v>
      </c>
      <c r="I843" s="15">
        <v>14497</v>
      </c>
      <c r="J843" s="15">
        <v>28994</v>
      </c>
      <c r="L843" s="15">
        <v>14497</v>
      </c>
    </row>
    <row r="844" s="13" customFormat="1" ht="15" customHeight="1" spans="1:12">
      <c r="A844" s="13" t="s">
        <v>9208</v>
      </c>
      <c r="B844" s="13" t="s">
        <v>7838</v>
      </c>
      <c r="G844" s="15">
        <v>784144.3</v>
      </c>
      <c r="H844" s="15">
        <v>5266459.3</v>
      </c>
      <c r="I844" s="15">
        <v>13057</v>
      </c>
      <c r="J844" s="15">
        <v>2497</v>
      </c>
      <c r="L844" s="15">
        <v>4482315</v>
      </c>
    </row>
    <row r="845" s="13" customFormat="1" ht="15" customHeight="1" spans="3:12">
      <c r="C845" s="13" t="s">
        <v>7839</v>
      </c>
      <c r="D845" s="13" t="s">
        <v>7764</v>
      </c>
      <c r="G845" s="15">
        <v>572233.97</v>
      </c>
      <c r="H845" s="15">
        <v>4937507.16</v>
      </c>
      <c r="I845" s="15">
        <v>10560</v>
      </c>
      <c r="L845" s="15">
        <v>4365273.19</v>
      </c>
    </row>
    <row r="846" s="13" customFormat="1" ht="15" customHeight="1" spans="3:12">
      <c r="C846" s="13" t="s">
        <v>7840</v>
      </c>
      <c r="D846" s="13" t="s">
        <v>7841</v>
      </c>
      <c r="G846" s="15">
        <v>3332</v>
      </c>
      <c r="H846" s="15">
        <v>118635.81</v>
      </c>
      <c r="L846" s="15">
        <v>115303.81</v>
      </c>
    </row>
    <row r="847" s="13" customFormat="1" ht="15" customHeight="1" spans="3:12">
      <c r="C847" s="13" t="s">
        <v>7842</v>
      </c>
      <c r="D847" s="13" t="s">
        <v>7843</v>
      </c>
      <c r="G847" s="15">
        <v>3824</v>
      </c>
      <c r="H847" s="15">
        <v>4273</v>
      </c>
      <c r="L847" s="15">
        <v>449</v>
      </c>
    </row>
    <row r="848" s="13" customFormat="1" ht="15" customHeight="1" spans="3:8">
      <c r="C848" s="13" t="s">
        <v>7874</v>
      </c>
      <c r="D848" s="13" t="s">
        <v>7875</v>
      </c>
      <c r="G848" s="15">
        <v>93652</v>
      </c>
      <c r="H848" s="15">
        <v>93652</v>
      </c>
    </row>
    <row r="849" s="13" customFormat="1" ht="15" customHeight="1" spans="3:8">
      <c r="C849" s="13" t="s">
        <v>7878</v>
      </c>
      <c r="D849" s="13" t="s">
        <v>7879</v>
      </c>
      <c r="G849" s="15">
        <v>833.3</v>
      </c>
      <c r="H849" s="15">
        <v>833.3</v>
      </c>
    </row>
    <row r="850" s="13" customFormat="1" ht="15" customHeight="1" spans="3:8">
      <c r="C850" s="13" t="s">
        <v>7882</v>
      </c>
      <c r="D850" s="13" t="s">
        <v>7883</v>
      </c>
      <c r="G850" s="15">
        <v>268.2</v>
      </c>
      <c r="H850" s="15">
        <v>268.2</v>
      </c>
    </row>
    <row r="851" s="13" customFormat="1" ht="15" customHeight="1" spans="3:8">
      <c r="C851" s="13" t="s">
        <v>7886</v>
      </c>
      <c r="D851" s="13" t="s">
        <v>7887</v>
      </c>
      <c r="G851" s="15">
        <v>21833</v>
      </c>
      <c r="H851" s="15">
        <v>21833</v>
      </c>
    </row>
    <row r="852" s="13" customFormat="1" ht="15" customHeight="1" spans="3:12">
      <c r="C852" s="13" t="s">
        <v>7894</v>
      </c>
      <c r="D852" s="13" t="s">
        <v>7895</v>
      </c>
      <c r="G852" s="15">
        <v>6706.84</v>
      </c>
      <c r="H852" s="15">
        <v>7967.84</v>
      </c>
      <c r="L852" s="15">
        <v>1261</v>
      </c>
    </row>
    <row r="853" s="13" customFormat="1" ht="15" customHeight="1" spans="3:12">
      <c r="C853" s="13" t="s">
        <v>7896</v>
      </c>
      <c r="D853" s="13" t="s">
        <v>7897</v>
      </c>
      <c r="G853" s="15">
        <v>25391.2</v>
      </c>
      <c r="H853" s="15">
        <v>23681.2</v>
      </c>
      <c r="L853" s="15">
        <v>-1710</v>
      </c>
    </row>
    <row r="854" s="13" customFormat="1" ht="15" customHeight="1" spans="3:12">
      <c r="C854" s="13" t="s">
        <v>7898</v>
      </c>
      <c r="D854" s="13" t="s">
        <v>7899</v>
      </c>
      <c r="G854" s="15">
        <v>49185.09</v>
      </c>
      <c r="H854" s="15">
        <v>50923.09</v>
      </c>
      <c r="L854" s="15">
        <v>1738</v>
      </c>
    </row>
    <row r="855" s="13" customFormat="1" ht="15" customHeight="1" spans="3:8">
      <c r="C855" s="13" t="s">
        <v>7900</v>
      </c>
      <c r="D855" s="13" t="s">
        <v>7901</v>
      </c>
      <c r="G855" s="15">
        <v>833.3</v>
      </c>
      <c r="H855" s="15">
        <v>833.3</v>
      </c>
    </row>
    <row r="856" s="13" customFormat="1" ht="15" customHeight="1" spans="3:8">
      <c r="C856" s="13" t="s">
        <v>9209</v>
      </c>
      <c r="D856" s="13" t="s">
        <v>9210</v>
      </c>
      <c r="G856" s="15">
        <v>500</v>
      </c>
      <c r="H856" s="15">
        <v>500</v>
      </c>
    </row>
    <row r="857" s="13" customFormat="1" ht="15" customHeight="1" spans="3:8">
      <c r="C857" s="13" t="s">
        <v>9211</v>
      </c>
      <c r="D857" s="13" t="s">
        <v>9212</v>
      </c>
      <c r="G857" s="15">
        <v>3054.4</v>
      </c>
      <c r="H857" s="15">
        <v>3054.4</v>
      </c>
    </row>
    <row r="858" s="13" customFormat="1" ht="15" customHeight="1" spans="3:10">
      <c r="C858" s="13" t="s">
        <v>9213</v>
      </c>
      <c r="D858" s="13" t="s">
        <v>9214</v>
      </c>
      <c r="G858" s="15">
        <v>2497</v>
      </c>
      <c r="H858" s="15">
        <v>2497</v>
      </c>
      <c r="I858" s="15">
        <v>2497</v>
      </c>
      <c r="J858" s="15">
        <v>2497</v>
      </c>
    </row>
    <row r="859" s="13" customFormat="1" ht="15" customHeight="1" spans="1:12">
      <c r="A859" s="13" t="s">
        <v>9215</v>
      </c>
      <c r="B859" s="13" t="s">
        <v>9216</v>
      </c>
      <c r="H859" s="15">
        <v>5100000</v>
      </c>
      <c r="L859" s="15">
        <v>5100000</v>
      </c>
    </row>
    <row r="860" s="13" customFormat="1" ht="15" customHeight="1" spans="3:12">
      <c r="C860" s="13" t="s">
        <v>9217</v>
      </c>
      <c r="D860" s="13" t="s">
        <v>9218</v>
      </c>
      <c r="H860" s="15">
        <v>5100000</v>
      </c>
      <c r="L860" s="15">
        <v>5100000</v>
      </c>
    </row>
    <row r="861" s="13" customFormat="1" ht="15" customHeight="1" spans="1:12">
      <c r="A861" s="13" t="s">
        <v>9219</v>
      </c>
      <c r="B861" s="13" t="s">
        <v>9220</v>
      </c>
      <c r="G861" s="15">
        <v>97797940.26</v>
      </c>
      <c r="H861" s="15">
        <v>100262177.3</v>
      </c>
      <c r="J861" s="15">
        <v>-43715.65</v>
      </c>
      <c r="L861" s="15">
        <v>2464237.04</v>
      </c>
    </row>
    <row r="862" s="13" customFormat="1" ht="15" customHeight="1" spans="1:12">
      <c r="A862" s="13" t="s">
        <v>9221</v>
      </c>
      <c r="B862" s="13" t="s">
        <v>9222</v>
      </c>
      <c r="G862" s="15">
        <v>9387471.48</v>
      </c>
      <c r="H862" s="15">
        <v>11839957.83</v>
      </c>
      <c r="I862" s="15">
        <v>6068881.57</v>
      </c>
      <c r="J862" s="15">
        <v>5965222.3</v>
      </c>
      <c r="L862" s="15">
        <v>2452486.35</v>
      </c>
    </row>
    <row r="863" s="13" customFormat="1" ht="15" customHeight="1" spans="1:12">
      <c r="A863" s="13" t="s">
        <v>9223</v>
      </c>
      <c r="B863" s="13" t="s">
        <v>9224</v>
      </c>
      <c r="G863" s="15">
        <v>8841094.09</v>
      </c>
      <c r="H863" s="15">
        <v>2414333.45</v>
      </c>
      <c r="I863" s="15">
        <v>6068881.57</v>
      </c>
      <c r="J863" s="15">
        <v>5965222.3</v>
      </c>
      <c r="L863" s="15">
        <v>-6426760.64</v>
      </c>
    </row>
    <row r="864" s="13" customFormat="1" ht="15" customHeight="1" spans="1:12">
      <c r="A864" s="13" t="s">
        <v>9225</v>
      </c>
      <c r="B864" s="13" t="s">
        <v>9226</v>
      </c>
      <c r="G864" s="15">
        <v>546377.39</v>
      </c>
      <c r="H864" s="15">
        <v>9425624.38</v>
      </c>
      <c r="L864" s="15">
        <v>8879246.99</v>
      </c>
    </row>
    <row r="865" s="13" customFormat="1" ht="15" customHeight="1" spans="1:11">
      <c r="A865" s="13" t="s">
        <v>9227</v>
      </c>
      <c r="B865" s="13" t="s">
        <v>9228</v>
      </c>
      <c r="G865" s="15">
        <v>96161587.75</v>
      </c>
      <c r="H865" s="15">
        <v>77636594.32</v>
      </c>
      <c r="I865" s="15">
        <v>18524993.43</v>
      </c>
      <c r="J865" s="15">
        <v>907218.5</v>
      </c>
      <c r="K865" s="15">
        <v>18524993.43</v>
      </c>
    </row>
    <row r="866" s="13" customFormat="1" ht="15" customHeight="1" spans="1:11">
      <c r="A866" s="13" t="s">
        <v>9229</v>
      </c>
      <c r="B866" s="13" t="s">
        <v>9230</v>
      </c>
      <c r="G866" s="15">
        <v>22719156.16</v>
      </c>
      <c r="H866" s="15">
        <v>20467199.16</v>
      </c>
      <c r="K866" s="15">
        <v>2251957</v>
      </c>
    </row>
    <row r="867" s="13" customFormat="1" ht="15" customHeight="1" spans="3:11">
      <c r="C867" s="13" t="s">
        <v>9231</v>
      </c>
      <c r="D867" s="13" t="s">
        <v>9232</v>
      </c>
      <c r="G867" s="15">
        <v>6941451.79</v>
      </c>
      <c r="H867" s="15">
        <v>4689494.79</v>
      </c>
      <c r="K867" s="15">
        <v>2251957</v>
      </c>
    </row>
    <row r="868" s="13" customFormat="1" ht="15" customHeight="1" spans="3:8">
      <c r="C868" s="13" t="s">
        <v>9233</v>
      </c>
      <c r="D868" s="13" t="s">
        <v>9234</v>
      </c>
      <c r="G868" s="15">
        <v>15621927.57</v>
      </c>
      <c r="H868" s="15">
        <v>15621927.57</v>
      </c>
    </row>
    <row r="869" s="13" customFormat="1" ht="15" customHeight="1" spans="3:8">
      <c r="C869" s="13" t="s">
        <v>9235</v>
      </c>
      <c r="D869" s="13" t="s">
        <v>9236</v>
      </c>
      <c r="G869" s="15">
        <v>155776.8</v>
      </c>
      <c r="H869" s="15">
        <v>155776.8</v>
      </c>
    </row>
    <row r="870" s="13" customFormat="1" ht="15" customHeight="1" spans="1:11">
      <c r="A870" s="13" t="s">
        <v>9237</v>
      </c>
      <c r="B870" s="13" t="s">
        <v>9238</v>
      </c>
      <c r="G870" s="15">
        <v>936212.64</v>
      </c>
      <c r="H870" s="15">
        <v>932157.44</v>
      </c>
      <c r="K870" s="15">
        <v>4055.2</v>
      </c>
    </row>
    <row r="871" s="13" customFormat="1" ht="15" customHeight="1" spans="3:8">
      <c r="C871" s="13" t="s">
        <v>9231</v>
      </c>
      <c r="D871" s="13" t="s">
        <v>9232</v>
      </c>
      <c r="G871" s="15">
        <v>321207.35</v>
      </c>
      <c r="H871" s="15">
        <v>321207.35</v>
      </c>
    </row>
    <row r="872" s="13" customFormat="1" ht="15" customHeight="1" spans="3:11">
      <c r="C872" s="13" t="s">
        <v>9239</v>
      </c>
      <c r="D872" s="13" t="s">
        <v>9240</v>
      </c>
      <c r="G872" s="15">
        <v>235389.25</v>
      </c>
      <c r="H872" s="15">
        <v>231334.05</v>
      </c>
      <c r="K872" s="15">
        <v>4055.2</v>
      </c>
    </row>
    <row r="873" s="13" customFormat="1" ht="15" customHeight="1" spans="3:8">
      <c r="C873" s="13" t="s">
        <v>9241</v>
      </c>
      <c r="D873" s="13" t="s">
        <v>9242</v>
      </c>
      <c r="G873" s="15">
        <v>4290</v>
      </c>
      <c r="H873" s="15">
        <v>4290</v>
      </c>
    </row>
    <row r="874" s="13" customFormat="1" ht="15" customHeight="1" spans="3:8">
      <c r="C874" s="13" t="s">
        <v>9233</v>
      </c>
      <c r="D874" s="13" t="s">
        <v>9234</v>
      </c>
      <c r="G874" s="15">
        <v>375326.04</v>
      </c>
      <c r="H874" s="15">
        <v>375326.04</v>
      </c>
    </row>
    <row r="875" s="13" customFormat="1" ht="15" customHeight="1" spans="1:11">
      <c r="A875" s="13" t="s">
        <v>9243</v>
      </c>
      <c r="B875" s="13" t="s">
        <v>9244</v>
      </c>
      <c r="G875" s="15">
        <v>4985006.26</v>
      </c>
      <c r="H875" s="15">
        <v>4785012.2</v>
      </c>
      <c r="I875" s="15">
        <v>112623.76</v>
      </c>
      <c r="K875" s="15">
        <v>199994.06</v>
      </c>
    </row>
    <row r="876" s="13" customFormat="1" ht="15" customHeight="1" spans="3:8">
      <c r="C876" s="13" t="s">
        <v>9231</v>
      </c>
      <c r="D876" s="13" t="s">
        <v>9232</v>
      </c>
      <c r="G876" s="15">
        <v>3052317.12</v>
      </c>
      <c r="H876" s="15">
        <v>3052317.12</v>
      </c>
    </row>
    <row r="877" s="13" customFormat="1" ht="15" customHeight="1" spans="3:11">
      <c r="C877" s="13" t="s">
        <v>9239</v>
      </c>
      <c r="D877" s="13" t="s">
        <v>9240</v>
      </c>
      <c r="G877" s="15">
        <v>1110809.32</v>
      </c>
      <c r="H877" s="15">
        <v>910815.26</v>
      </c>
      <c r="I877" s="15">
        <v>112623.76</v>
      </c>
      <c r="K877" s="15">
        <v>199994.06</v>
      </c>
    </row>
    <row r="878" s="13" customFormat="1" ht="15" customHeight="1" spans="3:8">
      <c r="C878" s="13" t="s">
        <v>9233</v>
      </c>
      <c r="D878" s="13" t="s">
        <v>9234</v>
      </c>
      <c r="G878" s="15">
        <v>821879.82</v>
      </c>
      <c r="H878" s="15">
        <v>821879.82</v>
      </c>
    </row>
    <row r="879" s="13" customFormat="1" ht="15" customHeight="1" spans="1:11">
      <c r="A879" s="13" t="s">
        <v>9245</v>
      </c>
      <c r="B879" s="13" t="s">
        <v>9246</v>
      </c>
      <c r="G879" s="15">
        <v>64257659.4</v>
      </c>
      <c r="H879" s="15">
        <v>45845294.73</v>
      </c>
      <c r="I879" s="15">
        <v>18412369.67</v>
      </c>
      <c r="K879" s="15">
        <v>18412364.67</v>
      </c>
    </row>
    <row r="880" s="13" customFormat="1" ht="15" customHeight="1" spans="3:11">
      <c r="C880" s="13" t="s">
        <v>9231</v>
      </c>
      <c r="D880" s="13" t="s">
        <v>9232</v>
      </c>
      <c r="G880" s="15">
        <v>36613399.94</v>
      </c>
      <c r="H880" s="15">
        <v>27599156.89</v>
      </c>
      <c r="I880" s="15">
        <v>9014243.05</v>
      </c>
      <c r="K880" s="15">
        <v>9014243.05</v>
      </c>
    </row>
    <row r="881" s="13" customFormat="1" ht="15" customHeight="1" spans="3:11">
      <c r="C881" s="13" t="s">
        <v>9239</v>
      </c>
      <c r="D881" s="13" t="s">
        <v>9240</v>
      </c>
      <c r="G881" s="15">
        <v>24891965.88</v>
      </c>
      <c r="H881" s="15">
        <v>15493844.26</v>
      </c>
      <c r="I881" s="15">
        <v>9398126.62</v>
      </c>
      <c r="K881" s="15">
        <v>9398121.62</v>
      </c>
    </row>
    <row r="882" s="13" customFormat="1" ht="15" customHeight="1" spans="3:8">
      <c r="C882" s="13" t="s">
        <v>9233</v>
      </c>
      <c r="D882" s="13" t="s">
        <v>9234</v>
      </c>
      <c r="G882" s="15">
        <v>2752293.58</v>
      </c>
      <c r="H882" s="15">
        <v>2752293.58</v>
      </c>
    </row>
    <row r="883" s="13" customFormat="1" ht="15" customHeight="1" spans="1:11">
      <c r="A883" s="13" t="s">
        <v>9247</v>
      </c>
      <c r="B883" s="13" t="s">
        <v>9248</v>
      </c>
      <c r="G883" s="15">
        <v>3263553.29</v>
      </c>
      <c r="H883" s="15">
        <v>4699712.29</v>
      </c>
      <c r="K883" s="15">
        <v>-1436159</v>
      </c>
    </row>
    <row r="884" s="13" customFormat="1" ht="15" customHeight="1" spans="3:8">
      <c r="C884" s="13" t="s">
        <v>9231</v>
      </c>
      <c r="D884" s="13" t="s">
        <v>9232</v>
      </c>
      <c r="G884" s="15">
        <v>2262489.74</v>
      </c>
      <c r="H884" s="15">
        <v>2262489.74</v>
      </c>
    </row>
    <row r="885" s="13" customFormat="1" ht="15" customHeight="1" spans="3:8">
      <c r="C885" s="13" t="s">
        <v>9239</v>
      </c>
      <c r="D885" s="13" t="s">
        <v>9240</v>
      </c>
      <c r="G885" s="15">
        <v>340139.85</v>
      </c>
      <c r="H885" s="15">
        <v>340139.85</v>
      </c>
    </row>
    <row r="886" s="13" customFormat="1" ht="15" customHeight="1" spans="3:8">
      <c r="C886" s="13" t="s">
        <v>9241</v>
      </c>
      <c r="D886" s="13" t="s">
        <v>9242</v>
      </c>
      <c r="G886" s="15">
        <v>660923.7</v>
      </c>
      <c r="H886" s="15">
        <v>660923.7</v>
      </c>
    </row>
    <row r="887" s="13" customFormat="1" ht="15" customHeight="1" spans="3:11">
      <c r="C887" s="13" t="s">
        <v>9233</v>
      </c>
      <c r="D887" s="13" t="s">
        <v>9234</v>
      </c>
      <c r="H887" s="15">
        <v>1436159</v>
      </c>
      <c r="K887" s="15">
        <v>-1436159</v>
      </c>
    </row>
    <row r="888" s="13" customFormat="1" ht="15" customHeight="1" spans="1:11">
      <c r="A888" s="13" t="s">
        <v>9249</v>
      </c>
      <c r="B888" s="13" t="s">
        <v>9250</v>
      </c>
      <c r="H888" s="15">
        <v>907218.5</v>
      </c>
      <c r="J888" s="15">
        <v>907218.5</v>
      </c>
      <c r="K888" s="15">
        <v>-907218.5</v>
      </c>
    </row>
    <row r="889" s="13" customFormat="1" ht="15" customHeight="1" spans="3:11">
      <c r="C889" s="13" t="s">
        <v>7935</v>
      </c>
      <c r="D889" s="13" t="s">
        <v>7936</v>
      </c>
      <c r="H889" s="15">
        <v>907218.5</v>
      </c>
      <c r="J889" s="15">
        <v>907218.5</v>
      </c>
      <c r="K889" s="15">
        <v>-907218.5</v>
      </c>
    </row>
    <row r="890" s="13" customFormat="1" ht="15" customHeight="1" spans="1:8">
      <c r="A890" s="13" t="s">
        <v>9251</v>
      </c>
      <c r="B890" s="13" t="s">
        <v>9252</v>
      </c>
      <c r="G890" s="15">
        <v>557570.23</v>
      </c>
      <c r="H890" s="15">
        <v>557570.23</v>
      </c>
    </row>
    <row r="891" s="13" customFormat="1" ht="15" customHeight="1" spans="3:8">
      <c r="C891" s="13" t="s">
        <v>9253</v>
      </c>
      <c r="D891" s="13" t="s">
        <v>9254</v>
      </c>
      <c r="G891" s="15">
        <v>28563.21</v>
      </c>
      <c r="H891" s="15">
        <v>28563.21</v>
      </c>
    </row>
    <row r="892" s="13" customFormat="1" ht="15" customHeight="1" spans="3:8">
      <c r="C892" s="13" t="s">
        <v>9255</v>
      </c>
      <c r="D892" s="13" t="s">
        <v>9256</v>
      </c>
      <c r="G892" s="15">
        <v>4438.5</v>
      </c>
      <c r="H892" s="15">
        <v>4438.5</v>
      </c>
    </row>
    <row r="893" s="13" customFormat="1" ht="15" customHeight="1" spans="3:8">
      <c r="C893" s="13" t="s">
        <v>9257</v>
      </c>
      <c r="D893" s="13" t="s">
        <v>9258</v>
      </c>
      <c r="G893" s="15">
        <v>109861.32</v>
      </c>
      <c r="H893" s="15">
        <v>109861.32</v>
      </c>
    </row>
    <row r="894" s="13" customFormat="1" ht="15" customHeight="1" spans="3:8">
      <c r="C894" s="13" t="s">
        <v>9259</v>
      </c>
      <c r="D894" s="13" t="s">
        <v>7936</v>
      </c>
      <c r="G894" s="15">
        <v>245697.8</v>
      </c>
      <c r="H894" s="15">
        <v>245697.8</v>
      </c>
    </row>
    <row r="895" s="13" customFormat="1" ht="15" customHeight="1" spans="3:8">
      <c r="C895" s="13" t="s">
        <v>9260</v>
      </c>
      <c r="D895" s="13" t="s">
        <v>9261</v>
      </c>
      <c r="G895" s="15">
        <v>40000</v>
      </c>
      <c r="H895" s="15">
        <v>40000</v>
      </c>
    </row>
    <row r="896" s="13" customFormat="1" ht="15" customHeight="1" spans="3:8">
      <c r="C896" s="13" t="s">
        <v>9262</v>
      </c>
      <c r="D896" s="13" t="s">
        <v>9263</v>
      </c>
      <c r="G896" s="15">
        <v>129009.4</v>
      </c>
      <c r="H896" s="15">
        <v>129009.4</v>
      </c>
    </row>
    <row r="897" s="13" customFormat="1" ht="15" customHeight="1" spans="1:10">
      <c r="A897" s="13" t="s">
        <v>9264</v>
      </c>
      <c r="B897" s="13" t="s">
        <v>974</v>
      </c>
      <c r="G897" s="15">
        <v>102732022.4</v>
      </c>
      <c r="H897" s="15">
        <v>102732022.4</v>
      </c>
      <c r="I897" s="15">
        <v>5965167.87</v>
      </c>
      <c r="J897" s="15">
        <v>5965167.87</v>
      </c>
    </row>
    <row r="898" s="13" customFormat="1" ht="15" customHeight="1" spans="1:10">
      <c r="A898" s="13" t="s">
        <v>9265</v>
      </c>
      <c r="B898" s="13" t="s">
        <v>9266</v>
      </c>
      <c r="G898" s="15">
        <v>102732022.4</v>
      </c>
      <c r="H898" s="15">
        <v>102732022.4</v>
      </c>
      <c r="I898" s="15">
        <v>5965167.87</v>
      </c>
      <c r="J898" s="15">
        <v>5965167.87</v>
      </c>
    </row>
    <row r="899" s="13" customFormat="1" ht="15" customHeight="1" spans="3:4">
      <c r="C899" s="13" t="s">
        <v>9089</v>
      </c>
      <c r="D899" s="13" t="s">
        <v>9090</v>
      </c>
    </row>
    <row r="900" s="13" customFormat="1" ht="15" customHeight="1" spans="3:8">
      <c r="C900" s="13" t="s">
        <v>9077</v>
      </c>
      <c r="D900" s="13" t="s">
        <v>5082</v>
      </c>
      <c r="G900" s="15">
        <v>399269.55</v>
      </c>
      <c r="H900" s="15">
        <v>399269.55</v>
      </c>
    </row>
    <row r="901" s="13" customFormat="1" ht="15" customHeight="1" spans="3:10">
      <c r="C901" s="13" t="s">
        <v>7931</v>
      </c>
      <c r="D901" s="13" t="s">
        <v>7932</v>
      </c>
      <c r="G901" s="15">
        <v>38353077.18</v>
      </c>
      <c r="H901" s="15">
        <v>38353077.18</v>
      </c>
      <c r="I901" s="15">
        <v>3248837.63</v>
      </c>
      <c r="J901" s="15">
        <v>3248837.63</v>
      </c>
    </row>
    <row r="902" s="13" customFormat="1" ht="15" customHeight="1" spans="3:10">
      <c r="C902" s="13" t="s">
        <v>7933</v>
      </c>
      <c r="D902" s="13" t="s">
        <v>7934</v>
      </c>
      <c r="G902" s="15">
        <v>34088601.78</v>
      </c>
      <c r="H902" s="15">
        <v>34088601.78</v>
      </c>
      <c r="I902" s="15">
        <v>647955.96</v>
      </c>
      <c r="J902" s="15">
        <v>647955.96</v>
      </c>
    </row>
    <row r="903" s="13" customFormat="1" ht="15" customHeight="1" spans="3:10">
      <c r="C903" s="13" t="s">
        <v>9078</v>
      </c>
      <c r="D903" s="13" t="s">
        <v>4511</v>
      </c>
      <c r="G903" s="15">
        <v>6680064.78</v>
      </c>
      <c r="H903" s="15">
        <v>6680064.78</v>
      </c>
      <c r="I903" s="15">
        <v>2068374.28</v>
      </c>
      <c r="J903" s="15">
        <v>2068374.28</v>
      </c>
    </row>
    <row r="904" s="13" customFormat="1" ht="15" customHeight="1" spans="3:8">
      <c r="C904" s="13" t="s">
        <v>9267</v>
      </c>
      <c r="D904" s="13" t="s">
        <v>9268</v>
      </c>
      <c r="G904" s="15">
        <v>23211009.11</v>
      </c>
      <c r="H904" s="15">
        <v>23211009.11</v>
      </c>
    </row>
    <row r="905" s="13" customFormat="1" ht="15" customHeight="1" spans="1:8">
      <c r="A905" s="13" t="s">
        <v>9269</v>
      </c>
      <c r="B905" s="13" t="s">
        <v>9270</v>
      </c>
      <c r="G905" s="15">
        <v>245005.04</v>
      </c>
      <c r="H905" s="15">
        <v>245005.04</v>
      </c>
    </row>
    <row r="906" s="13" customFormat="1" ht="15" customHeight="1" spans="1:8">
      <c r="A906" s="13" t="s">
        <v>9271</v>
      </c>
      <c r="B906" s="13" t="s">
        <v>9272</v>
      </c>
      <c r="G906" s="15">
        <v>245005.04</v>
      </c>
      <c r="H906" s="15">
        <v>245005.04</v>
      </c>
    </row>
    <row r="907" s="13" customFormat="1" ht="15" customHeight="1" spans="1:10">
      <c r="A907" s="13" t="s">
        <v>9273</v>
      </c>
      <c r="B907" s="13" t="s">
        <v>9274</v>
      </c>
      <c r="G907" s="15">
        <v>54286.89</v>
      </c>
      <c r="H907" s="15">
        <v>54286.89</v>
      </c>
      <c r="I907" s="15">
        <v>54.43</v>
      </c>
      <c r="J907" s="15">
        <v>54.43</v>
      </c>
    </row>
    <row r="908" s="13" customFormat="1" ht="15" customHeight="1" spans="1:8">
      <c r="A908" s="13" t="s">
        <v>9275</v>
      </c>
      <c r="B908" s="13" t="s">
        <v>9276</v>
      </c>
      <c r="G908" s="15">
        <v>10608.35</v>
      </c>
      <c r="H908" s="15">
        <v>10608.35</v>
      </c>
    </row>
    <row r="909" s="13" customFormat="1" ht="15" customHeight="1" spans="1:8">
      <c r="A909" s="13" t="s">
        <v>9277</v>
      </c>
      <c r="B909" s="13" t="s">
        <v>9278</v>
      </c>
      <c r="G909" s="15">
        <v>0.01</v>
      </c>
      <c r="H909" s="15">
        <v>0.01</v>
      </c>
    </row>
    <row r="910" s="13" customFormat="1" ht="15" customHeight="1" spans="1:10">
      <c r="A910" s="13" t="s">
        <v>9279</v>
      </c>
      <c r="B910" s="13" t="s">
        <v>9280</v>
      </c>
      <c r="G910" s="15">
        <v>43678.53</v>
      </c>
      <c r="H910" s="15">
        <v>43678.53</v>
      </c>
      <c r="I910" s="15">
        <v>54.43</v>
      </c>
      <c r="J910" s="15">
        <v>54.43</v>
      </c>
    </row>
    <row r="911" s="13" customFormat="1" ht="15" customHeight="1" spans="1:10">
      <c r="A911" s="13" t="s">
        <v>9281</v>
      </c>
      <c r="B911" s="13" t="s">
        <v>9282</v>
      </c>
      <c r="G911" s="15">
        <v>93261766.71</v>
      </c>
      <c r="H911" s="15">
        <v>93261766.71</v>
      </c>
      <c r="I911" s="15">
        <v>4891117.83</v>
      </c>
      <c r="J911" s="15">
        <v>4891117.83</v>
      </c>
    </row>
    <row r="912" s="13" customFormat="1" ht="15" customHeight="1" spans="1:10">
      <c r="A912" s="13" t="s">
        <v>9283</v>
      </c>
      <c r="B912" s="13" t="s">
        <v>9284</v>
      </c>
      <c r="G912" s="15">
        <v>93261766.71</v>
      </c>
      <c r="H912" s="15">
        <v>93261766.71</v>
      </c>
      <c r="I912" s="15">
        <v>4891117.83</v>
      </c>
      <c r="J912" s="15">
        <v>4891117.83</v>
      </c>
    </row>
    <row r="913" s="13" customFormat="1" ht="15" customHeight="1" spans="3:10">
      <c r="C913" s="13" t="s">
        <v>9089</v>
      </c>
      <c r="D913" s="13" t="s">
        <v>9090</v>
      </c>
      <c r="G913" s="15">
        <v>240857</v>
      </c>
      <c r="H913" s="15">
        <v>240857</v>
      </c>
      <c r="I913" s="15">
        <v>240857</v>
      </c>
      <c r="J913" s="15">
        <v>240857</v>
      </c>
    </row>
    <row r="914" s="13" customFormat="1" ht="15" customHeight="1" spans="3:10">
      <c r="C914" s="13" t="s">
        <v>7931</v>
      </c>
      <c r="D914" s="13" t="s">
        <v>7932</v>
      </c>
      <c r="G914" s="15">
        <v>41004090.07</v>
      </c>
      <c r="H914" s="15">
        <v>41004090.07</v>
      </c>
      <c r="I914" s="15">
        <v>2438863.45</v>
      </c>
      <c r="J914" s="15">
        <v>2438863.45</v>
      </c>
    </row>
    <row r="915" s="13" customFormat="1" ht="15" customHeight="1" spans="3:10">
      <c r="C915" s="13" t="s">
        <v>7933</v>
      </c>
      <c r="D915" s="13" t="s">
        <v>7934</v>
      </c>
      <c r="G915" s="15">
        <v>17456986.1</v>
      </c>
      <c r="H915" s="15">
        <v>17456986.1</v>
      </c>
      <c r="I915" s="15">
        <v>460116.38</v>
      </c>
      <c r="J915" s="15">
        <v>460116.38</v>
      </c>
    </row>
    <row r="916" s="13" customFormat="1" ht="15" customHeight="1" spans="3:10">
      <c r="C916" s="13" t="s">
        <v>9078</v>
      </c>
      <c r="D916" s="13" t="s">
        <v>4511</v>
      </c>
      <c r="G916" s="15">
        <v>11372833.09</v>
      </c>
      <c r="H916" s="15">
        <v>11372833.09</v>
      </c>
      <c r="I916" s="15">
        <v>1751281</v>
      </c>
      <c r="J916" s="15">
        <v>1751281</v>
      </c>
    </row>
    <row r="917" s="13" customFormat="1" ht="15" customHeight="1" spans="3:8">
      <c r="C917" s="13" t="s">
        <v>9267</v>
      </c>
      <c r="D917" s="13" t="s">
        <v>9268</v>
      </c>
      <c r="G917" s="15">
        <v>20691714.45</v>
      </c>
      <c r="H917" s="15">
        <v>20691714.45</v>
      </c>
    </row>
    <row r="918" s="13" customFormat="1" ht="15" customHeight="1" spans="3:8">
      <c r="C918" s="13" t="s">
        <v>7935</v>
      </c>
      <c r="D918" s="13" t="s">
        <v>7936</v>
      </c>
      <c r="G918" s="15">
        <v>2495286</v>
      </c>
      <c r="H918" s="15">
        <v>2495286</v>
      </c>
    </row>
    <row r="919" s="13" customFormat="1" ht="15" customHeight="1" spans="1:10">
      <c r="A919" s="13" t="s">
        <v>9285</v>
      </c>
      <c r="B919" s="13" t="s">
        <v>9286</v>
      </c>
      <c r="G919" s="15">
        <v>1905127.55</v>
      </c>
      <c r="H919" s="15">
        <v>1905127.55</v>
      </c>
      <c r="I919" s="15">
        <v>314986.01</v>
      </c>
      <c r="J919" s="15">
        <v>314986.01</v>
      </c>
    </row>
    <row r="920" s="13" customFormat="1" ht="15" customHeight="1" spans="1:10">
      <c r="A920" s="13" t="s">
        <v>9287</v>
      </c>
      <c r="B920" s="13" t="s">
        <v>9288</v>
      </c>
      <c r="G920" s="15">
        <v>49437.78</v>
      </c>
      <c r="H920" s="15">
        <v>49437.78</v>
      </c>
      <c r="I920" s="15">
        <v>271.68</v>
      </c>
      <c r="J920" s="15">
        <v>271.68</v>
      </c>
    </row>
    <row r="921" s="13" customFormat="1" ht="15" customHeight="1" spans="3:10">
      <c r="C921" s="13" t="s">
        <v>7931</v>
      </c>
      <c r="D921" s="13" t="s">
        <v>7932</v>
      </c>
      <c r="G921" s="15">
        <v>13832.23</v>
      </c>
      <c r="H921" s="15">
        <v>13832.23</v>
      </c>
      <c r="I921" s="15">
        <v>271.68</v>
      </c>
      <c r="J921" s="15">
        <v>271.68</v>
      </c>
    </row>
    <row r="922" s="13" customFormat="1" ht="15" customHeight="1" spans="3:8">
      <c r="C922" s="13" t="s">
        <v>7933</v>
      </c>
      <c r="D922" s="13" t="s">
        <v>7934</v>
      </c>
      <c r="G922" s="15">
        <v>20237.8</v>
      </c>
      <c r="H922" s="15">
        <v>20237.8</v>
      </c>
    </row>
    <row r="923" s="13" customFormat="1" ht="15" customHeight="1" spans="3:8">
      <c r="C923" s="13" t="s">
        <v>9078</v>
      </c>
      <c r="D923" s="13" t="s">
        <v>4511</v>
      </c>
      <c r="G923" s="15">
        <v>1304.05</v>
      </c>
      <c r="H923" s="15">
        <v>1304.05</v>
      </c>
    </row>
    <row r="924" s="13" customFormat="1" ht="15" customHeight="1" spans="3:8">
      <c r="C924" s="13" t="s">
        <v>9267</v>
      </c>
      <c r="D924" s="13" t="s">
        <v>9268</v>
      </c>
      <c r="G924" s="15">
        <v>14063.7</v>
      </c>
      <c r="H924" s="15">
        <v>14063.7</v>
      </c>
    </row>
    <row r="925" s="13" customFormat="1" ht="15" customHeight="1" spans="1:10">
      <c r="A925" s="13" t="s">
        <v>9289</v>
      </c>
      <c r="B925" s="13" t="s">
        <v>9280</v>
      </c>
      <c r="G925" s="15">
        <v>1855689.77</v>
      </c>
      <c r="H925" s="15">
        <v>1855689.77</v>
      </c>
      <c r="I925" s="15">
        <v>314714.33</v>
      </c>
      <c r="J925" s="15">
        <v>314714.33</v>
      </c>
    </row>
    <row r="926" s="13" customFormat="1" ht="15" customHeight="1" spans="1:10">
      <c r="A926" s="13" t="s">
        <v>9290</v>
      </c>
      <c r="B926" s="13" t="s">
        <v>9291</v>
      </c>
      <c r="G926" s="15">
        <v>2891206.91</v>
      </c>
      <c r="H926" s="15">
        <v>2891206.91</v>
      </c>
      <c r="I926" s="15">
        <v>123430.44</v>
      </c>
      <c r="J926" s="15">
        <v>123430.44</v>
      </c>
    </row>
    <row r="927" s="13" customFormat="1" ht="15" customHeight="1" spans="3:8">
      <c r="C927" s="13" t="s">
        <v>9292</v>
      </c>
      <c r="D927" s="13" t="s">
        <v>9293</v>
      </c>
      <c r="G927" s="15">
        <v>147116.22</v>
      </c>
      <c r="H927" s="15">
        <v>147116.22</v>
      </c>
    </row>
    <row r="928" s="13" customFormat="1" ht="15" customHeight="1" spans="3:10">
      <c r="C928" s="13" t="s">
        <v>9294</v>
      </c>
      <c r="D928" s="13" t="s">
        <v>9295</v>
      </c>
      <c r="G928" s="15">
        <v>22696</v>
      </c>
      <c r="H928" s="15">
        <v>22696</v>
      </c>
      <c r="I928" s="15">
        <v>22000</v>
      </c>
      <c r="J928" s="15">
        <v>22000</v>
      </c>
    </row>
    <row r="929" s="13" customFormat="1" ht="15" customHeight="1" spans="3:8">
      <c r="C929" s="13" t="s">
        <v>9296</v>
      </c>
      <c r="D929" s="13" t="s">
        <v>9297</v>
      </c>
      <c r="G929" s="15">
        <v>1770</v>
      </c>
      <c r="H929" s="15">
        <v>1770</v>
      </c>
    </row>
    <row r="930" s="13" customFormat="1" ht="15" customHeight="1" spans="3:10">
      <c r="C930" s="13" t="s">
        <v>9298</v>
      </c>
      <c r="D930" s="13" t="s">
        <v>9299</v>
      </c>
      <c r="G930" s="15">
        <v>2132199.78</v>
      </c>
      <c r="H930" s="15">
        <v>2132199.78</v>
      </c>
      <c r="I930" s="15">
        <v>101430.44</v>
      </c>
      <c r="J930" s="15">
        <v>101430.44</v>
      </c>
    </row>
    <row r="931" s="13" customFormat="1" ht="15" customHeight="1" spans="3:8">
      <c r="C931" s="13" t="s">
        <v>9300</v>
      </c>
      <c r="D931" s="13" t="s">
        <v>9301</v>
      </c>
      <c r="G931" s="15">
        <v>3000</v>
      </c>
      <c r="H931" s="15">
        <v>3000</v>
      </c>
    </row>
    <row r="932" s="13" customFormat="1" ht="15" customHeight="1" spans="3:8">
      <c r="C932" s="13" t="s">
        <v>9302</v>
      </c>
      <c r="D932" s="13" t="s">
        <v>9303</v>
      </c>
      <c r="G932" s="15">
        <v>10206</v>
      </c>
      <c r="H932" s="15">
        <v>10206</v>
      </c>
    </row>
    <row r="933" s="13" customFormat="1" ht="15" customHeight="1" spans="3:8">
      <c r="C933" s="13" t="s">
        <v>9304</v>
      </c>
      <c r="D933" s="13" t="s">
        <v>9305</v>
      </c>
      <c r="G933" s="15">
        <v>574218.91</v>
      </c>
      <c r="H933" s="15">
        <v>574218.91</v>
      </c>
    </row>
    <row r="934" s="13" customFormat="1" ht="15" customHeight="1" spans="1:10">
      <c r="A934" s="13" t="s">
        <v>9306</v>
      </c>
      <c r="B934" s="13" t="s">
        <v>9307</v>
      </c>
      <c r="G934" s="15">
        <v>2957648.65</v>
      </c>
      <c r="H934" s="15">
        <v>2957648.65</v>
      </c>
      <c r="I934" s="15">
        <v>639469.13</v>
      </c>
      <c r="J934" s="15">
        <v>639469.13</v>
      </c>
    </row>
    <row r="935" s="13" customFormat="1" ht="15" customHeight="1" spans="3:10">
      <c r="C935" s="13" t="s">
        <v>9292</v>
      </c>
      <c r="D935" s="13" t="s">
        <v>9293</v>
      </c>
      <c r="G935" s="15">
        <v>100</v>
      </c>
      <c r="H935" s="15">
        <v>100</v>
      </c>
      <c r="I935" s="15">
        <v>100</v>
      </c>
      <c r="J935" s="15">
        <v>100</v>
      </c>
    </row>
    <row r="936" s="13" customFormat="1" ht="15" customHeight="1" spans="3:10">
      <c r="C936" s="13" t="s">
        <v>9308</v>
      </c>
      <c r="D936" s="13" t="s">
        <v>9309</v>
      </c>
      <c r="G936" s="15">
        <v>25541.95</v>
      </c>
      <c r="H936" s="15">
        <v>25541.95</v>
      </c>
      <c r="I936" s="15">
        <v>13302.75</v>
      </c>
      <c r="J936" s="15">
        <v>13302.75</v>
      </c>
    </row>
    <row r="937" s="13" customFormat="1" ht="15" customHeight="1" spans="3:10">
      <c r="C937" s="13" t="s">
        <v>9310</v>
      </c>
      <c r="D937" s="13" t="s">
        <v>9311</v>
      </c>
      <c r="G937" s="15">
        <v>168029.41</v>
      </c>
      <c r="H937" s="15">
        <v>168029.41</v>
      </c>
      <c r="I937" s="15">
        <v>91415.89</v>
      </c>
      <c r="J937" s="15">
        <v>91415.89</v>
      </c>
    </row>
    <row r="938" s="13" customFormat="1" ht="15" customHeight="1" spans="3:8">
      <c r="C938" s="13" t="s">
        <v>9312</v>
      </c>
      <c r="D938" s="13" t="s">
        <v>9313</v>
      </c>
      <c r="G938" s="15">
        <v>1283.29</v>
      </c>
      <c r="H938" s="15">
        <v>1283.29</v>
      </c>
    </row>
    <row r="939" s="13" customFormat="1" ht="15" customHeight="1" spans="3:8">
      <c r="C939" s="13" t="s">
        <v>9314</v>
      </c>
      <c r="D939" s="13" t="s">
        <v>9315</v>
      </c>
      <c r="G939" s="15">
        <v>36117.7</v>
      </c>
      <c r="H939" s="15">
        <v>36117.7</v>
      </c>
    </row>
    <row r="940" s="13" customFormat="1" ht="15" customHeight="1" spans="3:8">
      <c r="C940" s="13" t="s">
        <v>9316</v>
      </c>
      <c r="D940" s="13" t="s">
        <v>9317</v>
      </c>
      <c r="G940" s="15">
        <v>1779.15</v>
      </c>
      <c r="H940" s="15">
        <v>1779.15</v>
      </c>
    </row>
    <row r="941" s="13" customFormat="1" ht="15" customHeight="1" spans="3:10">
      <c r="C941" s="13" t="s">
        <v>9318</v>
      </c>
      <c r="D941" s="13" t="s">
        <v>9319</v>
      </c>
      <c r="G941" s="15">
        <v>30992.86</v>
      </c>
      <c r="H941" s="15">
        <v>30992.86</v>
      </c>
      <c r="I941" s="15">
        <v>6152.7</v>
      </c>
      <c r="J941" s="15">
        <v>6152.7</v>
      </c>
    </row>
    <row r="942" s="13" customFormat="1" ht="15" customHeight="1" spans="3:10">
      <c r="C942" s="13" t="s">
        <v>9320</v>
      </c>
      <c r="D942" s="13" t="s">
        <v>9321</v>
      </c>
      <c r="G942" s="15">
        <v>18928</v>
      </c>
      <c r="H942" s="15">
        <v>18928</v>
      </c>
      <c r="I942" s="15">
        <v>2852</v>
      </c>
      <c r="J942" s="15">
        <v>2852</v>
      </c>
    </row>
    <row r="943" s="13" customFormat="1" ht="15" customHeight="1" spans="3:10">
      <c r="C943" s="13" t="s">
        <v>9253</v>
      </c>
      <c r="D943" s="13" t="s">
        <v>9254</v>
      </c>
      <c r="G943" s="15">
        <v>139399.4</v>
      </c>
      <c r="H943" s="15">
        <v>139399.4</v>
      </c>
      <c r="I943" s="15">
        <v>45352.19</v>
      </c>
      <c r="J943" s="15">
        <v>45352.19</v>
      </c>
    </row>
    <row r="944" s="13" customFormat="1" ht="15" customHeight="1" spans="3:10">
      <c r="C944" s="13" t="s">
        <v>9322</v>
      </c>
      <c r="D944" s="13" t="s">
        <v>9323</v>
      </c>
      <c r="G944" s="15">
        <v>3977.13</v>
      </c>
      <c r="H944" s="15">
        <v>3977.13</v>
      </c>
      <c r="I944" s="15">
        <v>3977.13</v>
      </c>
      <c r="J944" s="15">
        <v>3977.13</v>
      </c>
    </row>
    <row r="945" s="13" customFormat="1" ht="15" customHeight="1" spans="3:8">
      <c r="C945" s="13" t="s">
        <v>9324</v>
      </c>
      <c r="D945" s="13" t="s">
        <v>9325</v>
      </c>
      <c r="G945" s="15">
        <v>30</v>
      </c>
      <c r="H945" s="15">
        <v>30</v>
      </c>
    </row>
    <row r="946" s="13" customFormat="1" ht="15" customHeight="1" spans="3:10">
      <c r="C946" s="13" t="s">
        <v>9255</v>
      </c>
      <c r="D946" s="13" t="s">
        <v>9256</v>
      </c>
      <c r="G946" s="15">
        <v>50569.93</v>
      </c>
      <c r="H946" s="15">
        <v>50569.93</v>
      </c>
      <c r="I946" s="15">
        <v>28706.93</v>
      </c>
      <c r="J946" s="15">
        <v>28706.93</v>
      </c>
    </row>
    <row r="947" s="13" customFormat="1" ht="15" customHeight="1" spans="3:10">
      <c r="C947" s="13" t="s">
        <v>9296</v>
      </c>
      <c r="D947" s="13" t="s">
        <v>9297</v>
      </c>
      <c r="G947" s="15">
        <v>94704.02</v>
      </c>
      <c r="H947" s="15">
        <v>94704.02</v>
      </c>
      <c r="I947" s="15">
        <v>15737.33</v>
      </c>
      <c r="J947" s="15">
        <v>15737.33</v>
      </c>
    </row>
    <row r="948" s="13" customFormat="1" ht="15" customHeight="1" spans="3:10">
      <c r="C948" s="13" t="s">
        <v>9326</v>
      </c>
      <c r="D948" s="13" t="s">
        <v>9327</v>
      </c>
      <c r="G948" s="15">
        <v>3500</v>
      </c>
      <c r="H948" s="15">
        <v>3500</v>
      </c>
      <c r="I948" s="15">
        <v>3000</v>
      </c>
      <c r="J948" s="15">
        <v>3000</v>
      </c>
    </row>
    <row r="949" s="13" customFormat="1" ht="15" customHeight="1" spans="3:10">
      <c r="C949" s="13" t="s">
        <v>9328</v>
      </c>
      <c r="D949" s="13" t="s">
        <v>9329</v>
      </c>
      <c r="G949" s="15">
        <v>23384.46</v>
      </c>
      <c r="H949" s="15">
        <v>23384.46</v>
      </c>
      <c r="I949" s="15">
        <v>23384.46</v>
      </c>
      <c r="J949" s="15">
        <v>23384.46</v>
      </c>
    </row>
    <row r="950" s="13" customFormat="1" ht="15" customHeight="1" spans="3:8">
      <c r="C950" s="13" t="s">
        <v>9302</v>
      </c>
      <c r="D950" s="13" t="s">
        <v>9303</v>
      </c>
      <c r="G950" s="15">
        <v>7400</v>
      </c>
      <c r="H950" s="15">
        <v>7400</v>
      </c>
    </row>
    <row r="951" s="13" customFormat="1" ht="15" customHeight="1" spans="3:10">
      <c r="C951" s="13" t="s">
        <v>9330</v>
      </c>
      <c r="D951" s="13" t="s">
        <v>9331</v>
      </c>
      <c r="G951" s="15">
        <v>27270</v>
      </c>
      <c r="H951" s="15">
        <v>27270</v>
      </c>
      <c r="I951" s="15">
        <v>-280</v>
      </c>
      <c r="J951" s="15">
        <v>-280</v>
      </c>
    </row>
    <row r="952" s="13" customFormat="1" ht="15" customHeight="1" spans="3:8">
      <c r="C952" s="13" t="s">
        <v>9332</v>
      </c>
      <c r="D952" s="13" t="s">
        <v>9333</v>
      </c>
      <c r="G952" s="15">
        <v>142506.97</v>
      </c>
      <c r="H952" s="15">
        <v>142506.97</v>
      </c>
    </row>
    <row r="953" s="13" customFormat="1" ht="15" customHeight="1" spans="3:10">
      <c r="C953" s="13" t="s">
        <v>9334</v>
      </c>
      <c r="D953" s="13" t="s">
        <v>9335</v>
      </c>
      <c r="G953" s="15">
        <v>5000</v>
      </c>
      <c r="H953" s="15">
        <v>5000</v>
      </c>
      <c r="I953" s="15">
        <v>5000</v>
      </c>
      <c r="J953" s="15">
        <v>5000</v>
      </c>
    </row>
    <row r="954" s="13" customFormat="1" ht="15" customHeight="1" spans="3:10">
      <c r="C954" s="13" t="s">
        <v>9336</v>
      </c>
      <c r="D954" s="13" t="s">
        <v>9337</v>
      </c>
      <c r="G954" s="15">
        <v>2480</v>
      </c>
      <c r="H954" s="15">
        <v>2480</v>
      </c>
      <c r="I954" s="15">
        <v>2480</v>
      </c>
      <c r="J954" s="15">
        <v>2480</v>
      </c>
    </row>
    <row r="955" s="13" customFormat="1" ht="15" customHeight="1" spans="3:8">
      <c r="C955" s="13" t="s">
        <v>9259</v>
      </c>
      <c r="D955" s="13" t="s">
        <v>7936</v>
      </c>
      <c r="G955" s="15">
        <v>106517</v>
      </c>
      <c r="H955" s="15">
        <v>106517</v>
      </c>
    </row>
    <row r="956" s="13" customFormat="1" ht="15" customHeight="1" spans="3:10">
      <c r="C956" s="13" t="s">
        <v>9338</v>
      </c>
      <c r="D956" s="13" t="s">
        <v>9339</v>
      </c>
      <c r="G956" s="15">
        <v>8000</v>
      </c>
      <c r="H956" s="15">
        <v>8000</v>
      </c>
      <c r="I956" s="15">
        <v>8000</v>
      </c>
      <c r="J956" s="15">
        <v>8000</v>
      </c>
    </row>
    <row r="957" s="13" customFormat="1" ht="15" customHeight="1" spans="3:10">
      <c r="C957" s="13" t="s">
        <v>9262</v>
      </c>
      <c r="D957" s="13" t="s">
        <v>9263</v>
      </c>
      <c r="G957" s="15">
        <v>1766991.33</v>
      </c>
      <c r="H957" s="15">
        <v>1766991.33</v>
      </c>
      <c r="I957" s="15">
        <v>294350.2</v>
      </c>
      <c r="J957" s="15">
        <v>294350.2</v>
      </c>
    </row>
    <row r="958" s="13" customFormat="1" ht="15" customHeight="1" spans="3:10">
      <c r="C958" s="13" t="s">
        <v>9340</v>
      </c>
      <c r="D958" s="13" t="s">
        <v>9341</v>
      </c>
      <c r="G958" s="15">
        <v>242419.5</v>
      </c>
      <c r="H958" s="15">
        <v>242419.5</v>
      </c>
      <c r="I958" s="15">
        <v>95466</v>
      </c>
      <c r="J958" s="15">
        <v>95466</v>
      </c>
    </row>
    <row r="959" s="13" customFormat="1" ht="15" customHeight="1" spans="3:10">
      <c r="C959" s="13" t="s">
        <v>9342</v>
      </c>
      <c r="D959" s="13" t="s">
        <v>9343</v>
      </c>
      <c r="G959" s="15">
        <v>3505</v>
      </c>
      <c r="H959" s="15">
        <v>3505</v>
      </c>
      <c r="I959" s="15">
        <v>150</v>
      </c>
      <c r="J959" s="15">
        <v>150</v>
      </c>
    </row>
    <row r="960" s="13" customFormat="1" ht="15" customHeight="1" spans="3:10">
      <c r="C960" s="13" t="s">
        <v>9344</v>
      </c>
      <c r="D960" s="13" t="s">
        <v>9345</v>
      </c>
      <c r="G960" s="15">
        <v>321.55</v>
      </c>
      <c r="H960" s="15">
        <v>321.55</v>
      </c>
      <c r="I960" s="15">
        <v>321.55</v>
      </c>
      <c r="J960" s="15">
        <v>321.55</v>
      </c>
    </row>
    <row r="961" s="13" customFormat="1" ht="15" customHeight="1" spans="3:8">
      <c r="C961" s="13" t="s">
        <v>9304</v>
      </c>
      <c r="D961" s="13" t="s">
        <v>9305</v>
      </c>
      <c r="G961" s="15">
        <v>6900</v>
      </c>
      <c r="H961" s="15">
        <v>6900</v>
      </c>
    </row>
    <row r="962" s="13" customFormat="1" ht="15" customHeight="1" spans="3:8">
      <c r="C962" s="13" t="s">
        <v>9346</v>
      </c>
      <c r="D962" s="13" t="s">
        <v>9347</v>
      </c>
      <c r="G962" s="15">
        <v>40000</v>
      </c>
      <c r="H962" s="15">
        <v>40000</v>
      </c>
    </row>
    <row r="963" s="13" customFormat="1" ht="15" customHeight="1" spans="1:10">
      <c r="A963" s="13" t="s">
        <v>9348</v>
      </c>
      <c r="B963" s="13" t="s">
        <v>9349</v>
      </c>
      <c r="G963" s="15">
        <v>-286212.86</v>
      </c>
      <c r="H963" s="15">
        <v>-286212.86</v>
      </c>
      <c r="I963" s="15">
        <v>-11580.69</v>
      </c>
      <c r="J963" s="15">
        <v>-11580.69</v>
      </c>
    </row>
    <row r="964" s="13" customFormat="1" ht="15" customHeight="1" spans="1:8">
      <c r="A964" s="13" t="s">
        <v>9350</v>
      </c>
      <c r="B964" s="13" t="s">
        <v>9351</v>
      </c>
      <c r="G964" s="15">
        <v>20</v>
      </c>
      <c r="H964" s="15">
        <v>20</v>
      </c>
    </row>
    <row r="965" s="13" customFormat="1" ht="15" customHeight="1" spans="1:10">
      <c r="A965" s="13" t="s">
        <v>9352</v>
      </c>
      <c r="B965" s="13" t="s">
        <v>9353</v>
      </c>
      <c r="G965" s="15">
        <v>-266721.86</v>
      </c>
      <c r="H965" s="15">
        <v>-266721.86</v>
      </c>
      <c r="I965" s="15">
        <v>-14775.54</v>
      </c>
      <c r="J965" s="15">
        <v>-14775.54</v>
      </c>
    </row>
    <row r="966" s="13" customFormat="1" ht="15" customHeight="1" spans="1:10">
      <c r="A966" s="13" t="s">
        <v>9354</v>
      </c>
      <c r="B966" s="13" t="s">
        <v>9355</v>
      </c>
      <c r="G966" s="15">
        <v>-19611</v>
      </c>
      <c r="H966" s="15">
        <v>-19611</v>
      </c>
      <c r="I966" s="15">
        <v>3194.85</v>
      </c>
      <c r="J966" s="15">
        <v>3194.85</v>
      </c>
    </row>
    <row r="967" s="13" customFormat="1" ht="15" customHeight="1" spans="1:8">
      <c r="A967" s="13" t="s">
        <v>9356</v>
      </c>
      <c r="B967" s="13" t="s">
        <v>9357</v>
      </c>
      <c r="G967" s="15">
        <v>100</v>
      </c>
      <c r="H967" s="15">
        <v>100</v>
      </c>
    </row>
    <row r="968" s="13" customFormat="1" ht="15" customHeight="1" spans="1:8">
      <c r="A968" s="13" t="s">
        <v>9358</v>
      </c>
      <c r="B968" s="13" t="s">
        <v>9359</v>
      </c>
      <c r="G968" s="15">
        <v>207350.5</v>
      </c>
      <c r="H968" s="15">
        <v>207350.5</v>
      </c>
    </row>
    <row r="969" s="13" customFormat="1" ht="15" customHeight="1" spans="1:8">
      <c r="A969" s="13" t="s">
        <v>9360</v>
      </c>
      <c r="B969" s="13" t="s">
        <v>9361</v>
      </c>
      <c r="G969" s="15">
        <v>115.14</v>
      </c>
      <c r="H969" s="15">
        <v>115.14</v>
      </c>
    </row>
    <row r="970" s="13" customFormat="1" ht="15" customHeight="1" spans="1:8">
      <c r="A970" s="13" t="s">
        <v>9362</v>
      </c>
      <c r="B970" s="13" t="s">
        <v>9363</v>
      </c>
      <c r="G970" s="15">
        <v>193185.36</v>
      </c>
      <c r="H970" s="15">
        <v>193185.36</v>
      </c>
    </row>
    <row r="971" s="13" customFormat="1" ht="15" customHeight="1" spans="1:8">
      <c r="A971" s="13" t="s">
        <v>9364</v>
      </c>
      <c r="B971" s="13" t="s">
        <v>9280</v>
      </c>
      <c r="G971" s="15">
        <v>14050</v>
      </c>
      <c r="H971" s="15">
        <v>14050</v>
      </c>
    </row>
    <row r="972" s="13" customFormat="1" ht="15" customHeight="1" spans="1:10">
      <c r="A972" s="13" t="s">
        <v>9365</v>
      </c>
      <c r="B972" s="13" t="s">
        <v>9366</v>
      </c>
      <c r="G972" s="15">
        <v>516605.11</v>
      </c>
      <c r="H972" s="15">
        <v>516605.11</v>
      </c>
      <c r="I972" s="15">
        <v>111458.85</v>
      </c>
      <c r="J972" s="15">
        <v>111458.85</v>
      </c>
    </row>
    <row r="973" s="13" customFormat="1" ht="15" customHeight="1" spans="1:8">
      <c r="A973" s="13" t="s">
        <v>9367</v>
      </c>
      <c r="B973" s="13" t="s">
        <v>9368</v>
      </c>
      <c r="G973" s="15">
        <v>9621423.47</v>
      </c>
      <c r="H973" s="15">
        <v>9621423.47</v>
      </c>
    </row>
    <row r="974" s="13" customFormat="1" ht="15" customHeight="1" spans="2:12">
      <c r="B974" s="13" t="s">
        <v>964</v>
      </c>
      <c r="G974" s="15">
        <v>997230081.84</v>
      </c>
      <c r="H974" s="15">
        <v>997230081.84</v>
      </c>
      <c r="I974" s="15">
        <v>86610824.92</v>
      </c>
      <c r="J974" s="15">
        <v>86610824.92</v>
      </c>
      <c r="K974" s="15">
        <v>93615079.95</v>
      </c>
      <c r="L974" s="15">
        <v>93615079.95</v>
      </c>
    </row>
  </sheetData>
  <mergeCells count="8">
    <mergeCell ref="E2:F2"/>
    <mergeCell ref="G2:H2"/>
    <mergeCell ref="I2:J2"/>
    <mergeCell ref="K2:L2"/>
    <mergeCell ref="A2:A3"/>
    <mergeCell ref="B2:B3"/>
    <mergeCell ref="C2:C3"/>
    <mergeCell ref="D2:D3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08"/>
  <sheetViews>
    <sheetView topLeftCell="A596" workbookViewId="0">
      <selection activeCell="J608" sqref="J608"/>
    </sheetView>
  </sheetViews>
  <sheetFormatPr defaultColWidth="10" defaultRowHeight="13.5"/>
  <cols>
    <col min="1" max="1" width="2.56666666666667" style="1" customWidth="1"/>
    <col min="2" max="2" width="24.0666666666667" style="1" customWidth="1"/>
    <col min="3" max="3" width="4.525" style="1" customWidth="1"/>
    <col min="4" max="4" width="3.93333333333333" style="1" customWidth="1"/>
    <col min="5" max="5" width="6.15" style="1" customWidth="1"/>
    <col min="6" max="6" width="35.825" style="1" customWidth="1"/>
    <col min="7" max="7" width="7.775" style="1" customWidth="1"/>
    <col min="8" max="8" width="9.76666666666667" style="1" customWidth="1"/>
    <col min="9" max="9" width="11.85" style="1" customWidth="1"/>
    <col min="10" max="10" width="12.6666666666667" style="1" customWidth="1"/>
    <col min="11" max="11" width="7.775" style="1" customWidth="1"/>
    <col min="12" max="12" width="37.0916666666667" style="1" customWidth="1"/>
    <col min="13" max="13" width="7.775" style="1" customWidth="1"/>
    <col min="14" max="14" width="9.76666666666667" style="1" customWidth="1"/>
    <col min="15" max="15" width="2.56666666666667" style="1" customWidth="1"/>
    <col min="16" max="16" width="9.76666666666667" style="1" customWidth="1"/>
    <col min="17" max="16384" width="10" style="1"/>
  </cols>
  <sheetData>
    <row r="1" s="1" customFormat="1" ht="16.25" customHeight="1" spans="1:15">
      <c r="A1" s="3"/>
      <c r="O1" s="3"/>
    </row>
    <row r="2" s="1" customFormat="1" ht="16.35" customHeight="1" spans="2:14">
      <c r="B2" s="4" t="s">
        <v>2893</v>
      </c>
      <c r="C2" s="4" t="s">
        <v>2894</v>
      </c>
      <c r="D2" s="4" t="s">
        <v>2895</v>
      </c>
      <c r="E2" s="4" t="s">
        <v>2896</v>
      </c>
      <c r="F2" s="4" t="s">
        <v>2897</v>
      </c>
      <c r="G2" s="4" t="s">
        <v>2898</v>
      </c>
      <c r="H2" s="4" t="s">
        <v>2899</v>
      </c>
      <c r="I2" s="4" t="s">
        <v>2900</v>
      </c>
      <c r="J2" s="4" t="s">
        <v>2901</v>
      </c>
      <c r="K2" s="4" t="s">
        <v>2902</v>
      </c>
      <c r="L2" s="4" t="s">
        <v>2903</v>
      </c>
      <c r="M2" s="4" t="s">
        <v>4504</v>
      </c>
      <c r="N2" s="4" t="s">
        <v>4505</v>
      </c>
    </row>
    <row r="3" s="1" customFormat="1" ht="16.35" customHeight="1" spans="1:14">
      <c r="A3" s="5"/>
      <c r="B3" s="6" t="s">
        <v>4506</v>
      </c>
      <c r="C3" s="6">
        <v>2013</v>
      </c>
      <c r="D3" s="6">
        <v>4</v>
      </c>
      <c r="E3" s="7">
        <v>1</v>
      </c>
      <c r="F3" s="6" t="s">
        <v>9369</v>
      </c>
      <c r="G3" s="6" t="s">
        <v>9370</v>
      </c>
      <c r="H3" s="6" t="s">
        <v>26</v>
      </c>
      <c r="I3" s="8"/>
      <c r="J3" s="8">
        <v>148</v>
      </c>
      <c r="K3" s="6" t="s">
        <v>4512</v>
      </c>
      <c r="L3" s="6" t="s">
        <v>9371</v>
      </c>
      <c r="M3" s="6" t="s">
        <v>4509</v>
      </c>
      <c r="N3" s="6" t="s">
        <v>4537</v>
      </c>
    </row>
    <row r="4" s="1" customFormat="1" ht="16.35" customHeight="1" spans="1:14">
      <c r="A4" s="5"/>
      <c r="B4" s="6" t="s">
        <v>4506</v>
      </c>
      <c r="C4" s="6">
        <v>2013</v>
      </c>
      <c r="D4" s="6">
        <v>5</v>
      </c>
      <c r="E4" s="7">
        <v>1</v>
      </c>
      <c r="F4" s="6" t="s">
        <v>9372</v>
      </c>
      <c r="G4" s="6" t="s">
        <v>9370</v>
      </c>
      <c r="H4" s="6" t="s">
        <v>26</v>
      </c>
      <c r="I4" s="8"/>
      <c r="J4" s="8">
        <v>500</v>
      </c>
      <c r="K4" s="6" t="s">
        <v>4512</v>
      </c>
      <c r="L4" s="6" t="s">
        <v>9371</v>
      </c>
      <c r="M4" s="6" t="s">
        <v>4509</v>
      </c>
      <c r="N4" s="6" t="s">
        <v>4537</v>
      </c>
    </row>
    <row r="5" s="1" customFormat="1" ht="16.35" customHeight="1" spans="1:14">
      <c r="A5" s="5"/>
      <c r="B5" s="6" t="s">
        <v>4506</v>
      </c>
      <c r="C5" s="6">
        <v>2013</v>
      </c>
      <c r="D5" s="6">
        <v>5</v>
      </c>
      <c r="E5" s="7">
        <v>2</v>
      </c>
      <c r="F5" s="6" t="s">
        <v>9373</v>
      </c>
      <c r="G5" s="6" t="s">
        <v>9370</v>
      </c>
      <c r="H5" s="6" t="s">
        <v>26</v>
      </c>
      <c r="I5" s="8"/>
      <c r="J5" s="8">
        <v>520</v>
      </c>
      <c r="K5" s="6" t="s">
        <v>4512</v>
      </c>
      <c r="L5" s="6" t="s">
        <v>9371</v>
      </c>
      <c r="M5" s="6" t="s">
        <v>4509</v>
      </c>
      <c r="N5" s="6" t="s">
        <v>4537</v>
      </c>
    </row>
    <row r="6" s="1" customFormat="1" ht="16.35" customHeight="1" spans="1:14">
      <c r="A6" s="5"/>
      <c r="B6" s="6" t="s">
        <v>4506</v>
      </c>
      <c r="C6" s="6">
        <v>2013</v>
      </c>
      <c r="D6" s="6">
        <v>5</v>
      </c>
      <c r="E6" s="7">
        <v>3</v>
      </c>
      <c r="F6" s="6" t="s">
        <v>9374</v>
      </c>
      <c r="G6" s="6" t="s">
        <v>9370</v>
      </c>
      <c r="H6" s="6" t="s">
        <v>26</v>
      </c>
      <c r="I6" s="8"/>
      <c r="J6" s="8">
        <v>6000</v>
      </c>
      <c r="K6" s="6" t="s">
        <v>4512</v>
      </c>
      <c r="L6" s="6" t="s">
        <v>9371</v>
      </c>
      <c r="M6" s="6" t="s">
        <v>4509</v>
      </c>
      <c r="N6" s="6" t="s">
        <v>4537</v>
      </c>
    </row>
    <row r="7" s="1" customFormat="1" ht="16.35" customHeight="1" spans="1:14">
      <c r="A7" s="5"/>
      <c r="B7" s="6" t="s">
        <v>4506</v>
      </c>
      <c r="C7" s="6">
        <v>2013</v>
      </c>
      <c r="D7" s="6">
        <v>6</v>
      </c>
      <c r="E7" s="7">
        <v>1</v>
      </c>
      <c r="F7" s="6" t="s">
        <v>9375</v>
      </c>
      <c r="G7" s="6" t="s">
        <v>9370</v>
      </c>
      <c r="H7" s="6" t="s">
        <v>26</v>
      </c>
      <c r="I7" s="8"/>
      <c r="J7" s="8">
        <v>1500</v>
      </c>
      <c r="K7" s="6" t="s">
        <v>4512</v>
      </c>
      <c r="L7" s="6" t="s">
        <v>9371</v>
      </c>
      <c r="M7" s="6" t="s">
        <v>4509</v>
      </c>
      <c r="N7" s="6" t="s">
        <v>4537</v>
      </c>
    </row>
    <row r="8" s="1" customFormat="1" ht="16.35" customHeight="1" spans="1:14">
      <c r="A8" s="5"/>
      <c r="B8" s="6" t="s">
        <v>4506</v>
      </c>
      <c r="C8" s="6">
        <v>2013</v>
      </c>
      <c r="D8" s="6">
        <v>6</v>
      </c>
      <c r="E8" s="7">
        <v>2</v>
      </c>
      <c r="F8" s="6" t="s">
        <v>9376</v>
      </c>
      <c r="G8" s="6" t="s">
        <v>9370</v>
      </c>
      <c r="H8" s="6" t="s">
        <v>26</v>
      </c>
      <c r="I8" s="8"/>
      <c r="J8" s="8">
        <v>1400</v>
      </c>
      <c r="K8" s="6" t="s">
        <v>4512</v>
      </c>
      <c r="L8" s="6" t="s">
        <v>9371</v>
      </c>
      <c r="M8" s="6" t="s">
        <v>4509</v>
      </c>
      <c r="N8" s="6" t="s">
        <v>4537</v>
      </c>
    </row>
    <row r="9" s="1" customFormat="1" ht="16.35" customHeight="1" spans="1:14">
      <c r="A9" s="5"/>
      <c r="B9" s="6" t="s">
        <v>4506</v>
      </c>
      <c r="C9" s="6">
        <v>2013</v>
      </c>
      <c r="D9" s="6">
        <v>6</v>
      </c>
      <c r="E9" s="7">
        <v>5</v>
      </c>
      <c r="F9" s="6" t="s">
        <v>9377</v>
      </c>
      <c r="G9" s="6" t="s">
        <v>9370</v>
      </c>
      <c r="H9" s="6" t="s">
        <v>26</v>
      </c>
      <c r="I9" s="8"/>
      <c r="J9" s="8">
        <v>85000</v>
      </c>
      <c r="K9" s="6" t="s">
        <v>4512</v>
      </c>
      <c r="L9" s="6" t="s">
        <v>9371</v>
      </c>
      <c r="M9" s="6" t="s">
        <v>4509</v>
      </c>
      <c r="N9" s="6" t="s">
        <v>4537</v>
      </c>
    </row>
    <row r="10" s="1" customFormat="1" ht="16.35" customHeight="1" spans="1:14">
      <c r="A10" s="5"/>
      <c r="B10" s="6" t="s">
        <v>4506</v>
      </c>
      <c r="C10" s="6">
        <v>2013</v>
      </c>
      <c r="D10" s="6">
        <v>7</v>
      </c>
      <c r="E10" s="7">
        <v>1</v>
      </c>
      <c r="F10" s="6" t="s">
        <v>9378</v>
      </c>
      <c r="G10" s="6" t="s">
        <v>9370</v>
      </c>
      <c r="H10" s="6" t="s">
        <v>26</v>
      </c>
      <c r="I10" s="8"/>
      <c r="J10" s="8">
        <v>10</v>
      </c>
      <c r="K10" s="6" t="s">
        <v>4512</v>
      </c>
      <c r="L10" s="6" t="s">
        <v>9371</v>
      </c>
      <c r="M10" s="6" t="s">
        <v>4509</v>
      </c>
      <c r="N10" s="6" t="s">
        <v>4537</v>
      </c>
    </row>
    <row r="11" s="1" customFormat="1" ht="16.35" customHeight="1" spans="1:14">
      <c r="A11" s="5"/>
      <c r="B11" s="6" t="s">
        <v>4506</v>
      </c>
      <c r="C11" s="6">
        <v>2013</v>
      </c>
      <c r="D11" s="6">
        <v>10</v>
      </c>
      <c r="E11" s="7">
        <v>1</v>
      </c>
      <c r="F11" s="6" t="s">
        <v>9377</v>
      </c>
      <c r="G11" s="6" t="s">
        <v>9370</v>
      </c>
      <c r="H11" s="6" t="s">
        <v>26</v>
      </c>
      <c r="I11" s="8"/>
      <c r="J11" s="8">
        <v>78000</v>
      </c>
      <c r="K11" s="6" t="s">
        <v>4509</v>
      </c>
      <c r="L11" s="6" t="s">
        <v>9379</v>
      </c>
      <c r="M11" s="6" t="s">
        <v>4509</v>
      </c>
      <c r="N11" s="6" t="s">
        <v>4537</v>
      </c>
    </row>
    <row r="12" s="1" customFormat="1" ht="16.35" customHeight="1" spans="1:14">
      <c r="A12" s="5"/>
      <c r="B12" s="6" t="s">
        <v>4506</v>
      </c>
      <c r="C12" s="6">
        <v>2013</v>
      </c>
      <c r="D12" s="6">
        <v>11</v>
      </c>
      <c r="E12" s="7">
        <v>1</v>
      </c>
      <c r="F12" s="6" t="s">
        <v>9380</v>
      </c>
      <c r="G12" s="6" t="s">
        <v>9370</v>
      </c>
      <c r="H12" s="6" t="s">
        <v>26</v>
      </c>
      <c r="I12" s="8"/>
      <c r="J12" s="8">
        <v>4757210.19</v>
      </c>
      <c r="K12" s="6" t="s">
        <v>4509</v>
      </c>
      <c r="L12" s="6" t="s">
        <v>9379</v>
      </c>
      <c r="M12" s="6" t="s">
        <v>4509</v>
      </c>
      <c r="N12" s="6" t="s">
        <v>4537</v>
      </c>
    </row>
    <row r="13" s="1" customFormat="1" ht="16.35" customHeight="1" spans="1:14">
      <c r="A13" s="5"/>
      <c r="B13" s="6" t="s">
        <v>4506</v>
      </c>
      <c r="C13" s="6">
        <v>2013</v>
      </c>
      <c r="D13" s="6">
        <v>11</v>
      </c>
      <c r="E13" s="7">
        <v>2</v>
      </c>
      <c r="F13" s="6" t="s">
        <v>9381</v>
      </c>
      <c r="G13" s="6" t="s">
        <v>9370</v>
      </c>
      <c r="H13" s="6" t="s">
        <v>26</v>
      </c>
      <c r="I13" s="8"/>
      <c r="J13" s="8">
        <v>30000</v>
      </c>
      <c r="K13" s="6" t="s">
        <v>4512</v>
      </c>
      <c r="L13" s="6" t="s">
        <v>9371</v>
      </c>
      <c r="M13" s="6" t="s">
        <v>4509</v>
      </c>
      <c r="N13" s="6" t="s">
        <v>4537</v>
      </c>
    </row>
    <row r="14" s="1" customFormat="1" ht="16.35" customHeight="1" spans="1:14">
      <c r="A14" s="5"/>
      <c r="B14" s="6" t="s">
        <v>4506</v>
      </c>
      <c r="C14" s="6">
        <v>2013</v>
      </c>
      <c r="D14" s="6">
        <v>11</v>
      </c>
      <c r="E14" s="7">
        <v>3</v>
      </c>
      <c r="F14" s="6" t="s">
        <v>9382</v>
      </c>
      <c r="G14" s="6" t="s">
        <v>9370</v>
      </c>
      <c r="H14" s="6" t="s">
        <v>26</v>
      </c>
      <c r="I14" s="8"/>
      <c r="J14" s="8">
        <v>7000</v>
      </c>
      <c r="K14" s="6" t="s">
        <v>4512</v>
      </c>
      <c r="L14" s="6" t="s">
        <v>9371</v>
      </c>
      <c r="M14" s="6" t="s">
        <v>4509</v>
      </c>
      <c r="N14" s="6" t="s">
        <v>4537</v>
      </c>
    </row>
    <row r="15" s="1" customFormat="1" ht="16.35" customHeight="1" spans="1:14">
      <c r="A15" s="5"/>
      <c r="B15" s="6" t="s">
        <v>4506</v>
      </c>
      <c r="C15" s="6">
        <v>2013</v>
      </c>
      <c r="D15" s="6">
        <v>11</v>
      </c>
      <c r="E15" s="7">
        <v>4</v>
      </c>
      <c r="F15" s="6" t="s">
        <v>9383</v>
      </c>
      <c r="G15" s="6" t="s">
        <v>9370</v>
      </c>
      <c r="H15" s="6" t="s">
        <v>26</v>
      </c>
      <c r="I15" s="8"/>
      <c r="J15" s="8">
        <v>60</v>
      </c>
      <c r="K15" s="6" t="s">
        <v>4512</v>
      </c>
      <c r="L15" s="6" t="s">
        <v>9371</v>
      </c>
      <c r="M15" s="6" t="s">
        <v>4509</v>
      </c>
      <c r="N15" s="6" t="s">
        <v>4537</v>
      </c>
    </row>
    <row r="16" s="1" customFormat="1" ht="16.35" customHeight="1" spans="1:14">
      <c r="A16" s="5"/>
      <c r="B16" s="6" t="s">
        <v>4506</v>
      </c>
      <c r="C16" s="6">
        <v>2013</v>
      </c>
      <c r="D16" s="6">
        <v>11</v>
      </c>
      <c r="E16" s="7">
        <v>5</v>
      </c>
      <c r="F16" s="6" t="s">
        <v>9384</v>
      </c>
      <c r="G16" s="6" t="s">
        <v>9370</v>
      </c>
      <c r="H16" s="6" t="s">
        <v>26</v>
      </c>
      <c r="I16" s="8"/>
      <c r="J16" s="8">
        <v>42767.9</v>
      </c>
      <c r="K16" s="6" t="s">
        <v>4512</v>
      </c>
      <c r="L16" s="6" t="s">
        <v>9371</v>
      </c>
      <c r="M16" s="6" t="s">
        <v>4509</v>
      </c>
      <c r="N16" s="6" t="s">
        <v>4537</v>
      </c>
    </row>
    <row r="17" s="1" customFormat="1" ht="16.35" customHeight="1" spans="1:14">
      <c r="A17" s="5"/>
      <c r="B17" s="6" t="s">
        <v>4506</v>
      </c>
      <c r="C17" s="6">
        <v>2013</v>
      </c>
      <c r="D17" s="6">
        <v>12</v>
      </c>
      <c r="E17" s="7">
        <v>1</v>
      </c>
      <c r="F17" s="6" t="s">
        <v>9377</v>
      </c>
      <c r="G17" s="6" t="s">
        <v>9370</v>
      </c>
      <c r="H17" s="6" t="s">
        <v>26</v>
      </c>
      <c r="I17" s="8"/>
      <c r="J17" s="8">
        <v>682324</v>
      </c>
      <c r="K17" s="6" t="s">
        <v>4512</v>
      </c>
      <c r="L17" s="6" t="s">
        <v>9371</v>
      </c>
      <c r="M17" s="6" t="s">
        <v>4509</v>
      </c>
      <c r="N17" s="6" t="s">
        <v>4537</v>
      </c>
    </row>
    <row r="18" s="1" customFormat="1" ht="16.35" customHeight="1" spans="1:14">
      <c r="A18" s="5"/>
      <c r="B18" s="6" t="s">
        <v>4506</v>
      </c>
      <c r="C18" s="6">
        <v>2013</v>
      </c>
      <c r="D18" s="6">
        <v>12</v>
      </c>
      <c r="E18" s="7">
        <v>2</v>
      </c>
      <c r="F18" s="6" t="s">
        <v>9377</v>
      </c>
      <c r="G18" s="6" t="s">
        <v>9370</v>
      </c>
      <c r="H18" s="6" t="s">
        <v>26</v>
      </c>
      <c r="I18" s="8"/>
      <c r="J18" s="8">
        <v>135142</v>
      </c>
      <c r="K18" s="6" t="s">
        <v>4512</v>
      </c>
      <c r="L18" s="6" t="s">
        <v>9371</v>
      </c>
      <c r="M18" s="6" t="s">
        <v>4509</v>
      </c>
      <c r="N18" s="6" t="s">
        <v>4537</v>
      </c>
    </row>
    <row r="19" s="1" customFormat="1" ht="16.35" customHeight="1" spans="1:14">
      <c r="A19" s="5"/>
      <c r="B19" s="6" t="s">
        <v>4506</v>
      </c>
      <c r="C19" s="6">
        <v>2013</v>
      </c>
      <c r="D19" s="6">
        <v>12</v>
      </c>
      <c r="E19" s="7">
        <v>3</v>
      </c>
      <c r="F19" s="6" t="s">
        <v>9377</v>
      </c>
      <c r="G19" s="6" t="s">
        <v>9370</v>
      </c>
      <c r="H19" s="6" t="s">
        <v>26</v>
      </c>
      <c r="I19" s="8"/>
      <c r="J19" s="8">
        <v>25000</v>
      </c>
      <c r="K19" s="6" t="s">
        <v>4512</v>
      </c>
      <c r="L19" s="6" t="s">
        <v>9371</v>
      </c>
      <c r="M19" s="6" t="s">
        <v>4509</v>
      </c>
      <c r="N19" s="6" t="s">
        <v>4537</v>
      </c>
    </row>
    <row r="20" s="1" customFormat="1" ht="16.35" customHeight="1" spans="1:14">
      <c r="A20" s="5"/>
      <c r="B20" s="6" t="s">
        <v>4506</v>
      </c>
      <c r="C20" s="6">
        <v>2013</v>
      </c>
      <c r="D20" s="6">
        <v>12</v>
      </c>
      <c r="E20" s="7">
        <v>4</v>
      </c>
      <c r="F20" s="6" t="s">
        <v>9377</v>
      </c>
      <c r="G20" s="6" t="s">
        <v>9370</v>
      </c>
      <c r="H20" s="6" t="s">
        <v>26</v>
      </c>
      <c r="I20" s="8"/>
      <c r="J20" s="8">
        <v>20000</v>
      </c>
      <c r="K20" s="6" t="s">
        <v>4512</v>
      </c>
      <c r="L20" s="6" t="s">
        <v>9371</v>
      </c>
      <c r="M20" s="6" t="s">
        <v>4509</v>
      </c>
      <c r="N20" s="6" t="s">
        <v>4537</v>
      </c>
    </row>
    <row r="21" s="1" customFormat="1" ht="16.35" customHeight="1" spans="1:14">
      <c r="A21" s="5"/>
      <c r="B21" s="6" t="s">
        <v>4506</v>
      </c>
      <c r="C21" s="6">
        <v>2013</v>
      </c>
      <c r="D21" s="6">
        <v>12</v>
      </c>
      <c r="E21" s="7">
        <v>5</v>
      </c>
      <c r="F21" s="6" t="s">
        <v>9377</v>
      </c>
      <c r="G21" s="6" t="s">
        <v>9370</v>
      </c>
      <c r="H21" s="6" t="s">
        <v>26</v>
      </c>
      <c r="I21" s="8"/>
      <c r="J21" s="8">
        <v>139260</v>
      </c>
      <c r="K21" s="6" t="s">
        <v>4512</v>
      </c>
      <c r="L21" s="6" t="s">
        <v>9371</v>
      </c>
      <c r="M21" s="6" t="s">
        <v>4509</v>
      </c>
      <c r="N21" s="6" t="s">
        <v>4537</v>
      </c>
    </row>
    <row r="22" s="1" customFormat="1" ht="16.35" customHeight="1" spans="1:14">
      <c r="A22" s="5"/>
      <c r="B22" s="6" t="s">
        <v>4506</v>
      </c>
      <c r="C22" s="6">
        <v>2013</v>
      </c>
      <c r="D22" s="6">
        <v>12</v>
      </c>
      <c r="E22" s="7">
        <v>6</v>
      </c>
      <c r="F22" s="6" t="s">
        <v>9377</v>
      </c>
      <c r="G22" s="6" t="s">
        <v>9370</v>
      </c>
      <c r="H22" s="6" t="s">
        <v>26</v>
      </c>
      <c r="I22" s="8"/>
      <c r="J22" s="8">
        <v>331194</v>
      </c>
      <c r="K22" s="6" t="s">
        <v>4512</v>
      </c>
      <c r="L22" s="6" t="s">
        <v>9371</v>
      </c>
      <c r="M22" s="6" t="s">
        <v>4509</v>
      </c>
      <c r="N22" s="6" t="s">
        <v>4537</v>
      </c>
    </row>
    <row r="23" s="1" customFormat="1" ht="16.35" customHeight="1" spans="1:14">
      <c r="A23" s="5"/>
      <c r="B23" s="6" t="s">
        <v>4506</v>
      </c>
      <c r="C23" s="6">
        <v>2013</v>
      </c>
      <c r="D23" s="6">
        <v>12</v>
      </c>
      <c r="E23" s="7">
        <v>7</v>
      </c>
      <c r="F23" s="6" t="s">
        <v>9385</v>
      </c>
      <c r="G23" s="6" t="s">
        <v>9370</v>
      </c>
      <c r="H23" s="6" t="s">
        <v>26</v>
      </c>
      <c r="I23" s="8">
        <v>1000000</v>
      </c>
      <c r="J23" s="8"/>
      <c r="K23" s="6" t="s">
        <v>4509</v>
      </c>
      <c r="L23" s="6" t="s">
        <v>9379</v>
      </c>
      <c r="M23" s="6" t="s">
        <v>4509</v>
      </c>
      <c r="N23" s="6" t="s">
        <v>4537</v>
      </c>
    </row>
    <row r="24" s="1" customFormat="1" ht="16.35" customHeight="1" spans="1:14">
      <c r="A24" s="5"/>
      <c r="B24" s="6" t="s">
        <v>4506</v>
      </c>
      <c r="C24" s="6">
        <v>2013</v>
      </c>
      <c r="D24" s="6">
        <v>12</v>
      </c>
      <c r="E24" s="7">
        <v>9</v>
      </c>
      <c r="F24" s="6" t="s">
        <v>9377</v>
      </c>
      <c r="G24" s="6" t="s">
        <v>9370</v>
      </c>
      <c r="H24" s="6" t="s">
        <v>26</v>
      </c>
      <c r="I24" s="8"/>
      <c r="J24" s="8">
        <v>31248</v>
      </c>
      <c r="K24" s="6" t="s">
        <v>4512</v>
      </c>
      <c r="L24" s="6" t="s">
        <v>9371</v>
      </c>
      <c r="M24" s="6" t="s">
        <v>4509</v>
      </c>
      <c r="N24" s="6" t="s">
        <v>4537</v>
      </c>
    </row>
    <row r="25" s="1" customFormat="1" ht="16.35" customHeight="1" spans="1:14">
      <c r="A25" s="5"/>
      <c r="B25" s="6" t="s">
        <v>4506</v>
      </c>
      <c r="C25" s="6">
        <v>2013</v>
      </c>
      <c r="D25" s="6">
        <v>12</v>
      </c>
      <c r="E25" s="7">
        <v>10</v>
      </c>
      <c r="F25" s="6" t="s">
        <v>9377</v>
      </c>
      <c r="G25" s="6" t="s">
        <v>9370</v>
      </c>
      <c r="H25" s="6" t="s">
        <v>26</v>
      </c>
      <c r="I25" s="8"/>
      <c r="J25" s="8">
        <v>64529</v>
      </c>
      <c r="K25" s="6" t="s">
        <v>4512</v>
      </c>
      <c r="L25" s="6" t="s">
        <v>9371</v>
      </c>
      <c r="M25" s="6" t="s">
        <v>4509</v>
      </c>
      <c r="N25" s="6" t="s">
        <v>4537</v>
      </c>
    </row>
    <row r="26" s="1" customFormat="1" ht="16.35" customHeight="1" spans="1:14">
      <c r="A26" s="5"/>
      <c r="B26" s="6" t="s">
        <v>4506</v>
      </c>
      <c r="C26" s="6">
        <v>2013</v>
      </c>
      <c r="D26" s="6">
        <v>12</v>
      </c>
      <c r="E26" s="7">
        <v>11</v>
      </c>
      <c r="F26" s="6" t="s">
        <v>9377</v>
      </c>
      <c r="G26" s="6" t="s">
        <v>9370</v>
      </c>
      <c r="H26" s="6" t="s">
        <v>26</v>
      </c>
      <c r="I26" s="8"/>
      <c r="J26" s="8">
        <v>236378</v>
      </c>
      <c r="K26" s="6" t="s">
        <v>4512</v>
      </c>
      <c r="L26" s="6" t="s">
        <v>9371</v>
      </c>
      <c r="M26" s="6" t="s">
        <v>4509</v>
      </c>
      <c r="N26" s="6" t="s">
        <v>4537</v>
      </c>
    </row>
    <row r="27" s="1" customFormat="1" ht="16.35" customHeight="1" spans="1:14">
      <c r="A27" s="5"/>
      <c r="B27" s="6" t="s">
        <v>4506</v>
      </c>
      <c r="C27" s="6">
        <v>2013</v>
      </c>
      <c r="D27" s="6">
        <v>12</v>
      </c>
      <c r="E27" s="7">
        <v>13</v>
      </c>
      <c r="F27" s="6" t="s">
        <v>9377</v>
      </c>
      <c r="G27" s="6" t="s">
        <v>9370</v>
      </c>
      <c r="H27" s="6" t="s">
        <v>26</v>
      </c>
      <c r="I27" s="8"/>
      <c r="J27" s="8">
        <v>33081</v>
      </c>
      <c r="K27" s="6" t="s">
        <v>4512</v>
      </c>
      <c r="L27" s="6" t="s">
        <v>9371</v>
      </c>
      <c r="M27" s="6" t="s">
        <v>4509</v>
      </c>
      <c r="N27" s="6" t="s">
        <v>4537</v>
      </c>
    </row>
    <row r="28" s="1" customFormat="1" ht="16.35" customHeight="1" spans="1:14">
      <c r="A28" s="5"/>
      <c r="B28" s="6" t="s">
        <v>4506</v>
      </c>
      <c r="C28" s="6">
        <v>2013</v>
      </c>
      <c r="D28" s="6">
        <v>12</v>
      </c>
      <c r="E28" s="7">
        <v>14</v>
      </c>
      <c r="F28" s="6" t="s">
        <v>9377</v>
      </c>
      <c r="G28" s="6" t="s">
        <v>9370</v>
      </c>
      <c r="H28" s="6" t="s">
        <v>26</v>
      </c>
      <c r="I28" s="8"/>
      <c r="J28" s="8">
        <v>104923</v>
      </c>
      <c r="K28" s="6" t="s">
        <v>4512</v>
      </c>
      <c r="L28" s="6" t="s">
        <v>9371</v>
      </c>
      <c r="M28" s="6" t="s">
        <v>4509</v>
      </c>
      <c r="N28" s="6" t="s">
        <v>4537</v>
      </c>
    </row>
    <row r="29" s="1" customFormat="1" ht="16.35" customHeight="1" spans="1:14">
      <c r="A29" s="5"/>
      <c r="B29" s="6" t="s">
        <v>4506</v>
      </c>
      <c r="C29" s="6">
        <v>2013</v>
      </c>
      <c r="D29" s="6">
        <v>12</v>
      </c>
      <c r="E29" s="7">
        <v>15</v>
      </c>
      <c r="F29" s="6" t="s">
        <v>9377</v>
      </c>
      <c r="G29" s="6" t="s">
        <v>9370</v>
      </c>
      <c r="H29" s="6" t="s">
        <v>26</v>
      </c>
      <c r="I29" s="8"/>
      <c r="J29" s="8">
        <v>68557</v>
      </c>
      <c r="K29" s="6" t="s">
        <v>4512</v>
      </c>
      <c r="L29" s="6" t="s">
        <v>9371</v>
      </c>
      <c r="M29" s="6" t="s">
        <v>4509</v>
      </c>
      <c r="N29" s="6" t="s">
        <v>4537</v>
      </c>
    </row>
    <row r="30" s="1" customFormat="1" ht="16.35" customHeight="1" spans="1:14">
      <c r="A30" s="5"/>
      <c r="B30" s="6" t="s">
        <v>4506</v>
      </c>
      <c r="C30" s="6">
        <v>2013</v>
      </c>
      <c r="D30" s="6">
        <v>12</v>
      </c>
      <c r="E30" s="7">
        <v>16</v>
      </c>
      <c r="F30" s="6" t="s">
        <v>9377</v>
      </c>
      <c r="G30" s="6" t="s">
        <v>9370</v>
      </c>
      <c r="H30" s="6" t="s">
        <v>26</v>
      </c>
      <c r="I30" s="8"/>
      <c r="J30" s="8">
        <v>60323</v>
      </c>
      <c r="K30" s="6" t="s">
        <v>4512</v>
      </c>
      <c r="L30" s="6" t="s">
        <v>9371</v>
      </c>
      <c r="M30" s="6" t="s">
        <v>4509</v>
      </c>
      <c r="N30" s="6" t="s">
        <v>4537</v>
      </c>
    </row>
    <row r="31" s="1" customFormat="1" ht="16.35" customHeight="1" spans="1:14">
      <c r="A31" s="5"/>
      <c r="B31" s="6" t="s">
        <v>4506</v>
      </c>
      <c r="C31" s="6">
        <v>2013</v>
      </c>
      <c r="D31" s="6">
        <v>12</v>
      </c>
      <c r="E31" s="7">
        <v>19</v>
      </c>
      <c r="F31" s="6" t="s">
        <v>9377</v>
      </c>
      <c r="G31" s="6" t="s">
        <v>9370</v>
      </c>
      <c r="H31" s="6" t="s">
        <v>26</v>
      </c>
      <c r="I31" s="8"/>
      <c r="J31" s="8">
        <v>70000</v>
      </c>
      <c r="K31" s="6" t="s">
        <v>4512</v>
      </c>
      <c r="L31" s="6" t="s">
        <v>9371</v>
      </c>
      <c r="M31" s="6" t="s">
        <v>4509</v>
      </c>
      <c r="N31" s="6" t="s">
        <v>4537</v>
      </c>
    </row>
    <row r="32" s="1" customFormat="1" ht="16.35" customHeight="1" spans="1:14">
      <c r="A32" s="5"/>
      <c r="B32" s="6" t="s">
        <v>4506</v>
      </c>
      <c r="C32" s="6">
        <v>2013</v>
      </c>
      <c r="D32" s="6">
        <v>12</v>
      </c>
      <c r="E32" s="7">
        <v>20</v>
      </c>
      <c r="F32" s="6" t="s">
        <v>9377</v>
      </c>
      <c r="G32" s="6" t="s">
        <v>9370</v>
      </c>
      <c r="H32" s="6" t="s">
        <v>26</v>
      </c>
      <c r="I32" s="8"/>
      <c r="J32" s="8">
        <v>104950</v>
      </c>
      <c r="K32" s="6" t="s">
        <v>4512</v>
      </c>
      <c r="L32" s="6" t="s">
        <v>9371</v>
      </c>
      <c r="M32" s="6" t="s">
        <v>4509</v>
      </c>
      <c r="N32" s="6" t="s">
        <v>4537</v>
      </c>
    </row>
    <row r="33" s="1" customFormat="1" ht="16.35" customHeight="1" spans="1:14">
      <c r="A33" s="5"/>
      <c r="B33" s="6" t="s">
        <v>4506</v>
      </c>
      <c r="C33" s="6">
        <v>2013</v>
      </c>
      <c r="D33" s="6">
        <v>12</v>
      </c>
      <c r="E33" s="7">
        <v>21</v>
      </c>
      <c r="F33" s="6" t="s">
        <v>9377</v>
      </c>
      <c r="G33" s="6" t="s">
        <v>9370</v>
      </c>
      <c r="H33" s="6" t="s">
        <v>26</v>
      </c>
      <c r="I33" s="8"/>
      <c r="J33" s="8">
        <v>90337</v>
      </c>
      <c r="K33" s="6" t="s">
        <v>4512</v>
      </c>
      <c r="L33" s="6" t="s">
        <v>9371</v>
      </c>
      <c r="M33" s="6" t="s">
        <v>4509</v>
      </c>
      <c r="N33" s="6" t="s">
        <v>4537</v>
      </c>
    </row>
    <row r="34" s="1" customFormat="1" ht="16.35" customHeight="1" spans="1:14">
      <c r="A34" s="5"/>
      <c r="B34" s="6" t="s">
        <v>4506</v>
      </c>
      <c r="C34" s="6">
        <v>2013</v>
      </c>
      <c r="D34" s="6">
        <v>12</v>
      </c>
      <c r="E34" s="7">
        <v>22</v>
      </c>
      <c r="F34" s="6" t="s">
        <v>9377</v>
      </c>
      <c r="G34" s="6" t="s">
        <v>9370</v>
      </c>
      <c r="H34" s="6" t="s">
        <v>26</v>
      </c>
      <c r="I34" s="8"/>
      <c r="J34" s="8">
        <v>71850</v>
      </c>
      <c r="K34" s="6" t="s">
        <v>4512</v>
      </c>
      <c r="L34" s="6" t="s">
        <v>9371</v>
      </c>
      <c r="M34" s="6" t="s">
        <v>4509</v>
      </c>
      <c r="N34" s="6" t="s">
        <v>4537</v>
      </c>
    </row>
    <row r="35" s="1" customFormat="1" ht="16.35" customHeight="1" spans="1:14">
      <c r="A35" s="5"/>
      <c r="B35" s="6" t="s">
        <v>4506</v>
      </c>
      <c r="C35" s="6">
        <v>2013</v>
      </c>
      <c r="D35" s="6">
        <v>12</v>
      </c>
      <c r="E35" s="7">
        <v>24</v>
      </c>
      <c r="F35" s="6" t="s">
        <v>9377</v>
      </c>
      <c r="G35" s="6" t="s">
        <v>9370</v>
      </c>
      <c r="H35" s="6" t="s">
        <v>26</v>
      </c>
      <c r="I35" s="8"/>
      <c r="J35" s="8">
        <v>227332</v>
      </c>
      <c r="K35" s="6" t="s">
        <v>4512</v>
      </c>
      <c r="L35" s="6" t="s">
        <v>9371</v>
      </c>
      <c r="M35" s="6" t="s">
        <v>4509</v>
      </c>
      <c r="N35" s="6" t="s">
        <v>4537</v>
      </c>
    </row>
    <row r="36" s="1" customFormat="1" ht="16.35" customHeight="1" spans="1:14">
      <c r="A36" s="5"/>
      <c r="B36" s="6" t="s">
        <v>4506</v>
      </c>
      <c r="C36" s="6">
        <v>2013</v>
      </c>
      <c r="D36" s="6">
        <v>12</v>
      </c>
      <c r="E36" s="7">
        <v>25</v>
      </c>
      <c r="F36" s="6" t="s">
        <v>9377</v>
      </c>
      <c r="G36" s="6" t="s">
        <v>9370</v>
      </c>
      <c r="H36" s="6" t="s">
        <v>26</v>
      </c>
      <c r="I36" s="8"/>
      <c r="J36" s="8">
        <v>152266</v>
      </c>
      <c r="K36" s="6" t="s">
        <v>4512</v>
      </c>
      <c r="L36" s="6" t="s">
        <v>9371</v>
      </c>
      <c r="M36" s="6" t="s">
        <v>4509</v>
      </c>
      <c r="N36" s="6" t="s">
        <v>4537</v>
      </c>
    </row>
    <row r="37" s="1" customFormat="1" ht="16.35" customHeight="1" spans="1:14">
      <c r="A37" s="5"/>
      <c r="B37" s="6" t="s">
        <v>4506</v>
      </c>
      <c r="C37" s="6">
        <v>2013</v>
      </c>
      <c r="D37" s="6">
        <v>12</v>
      </c>
      <c r="E37" s="7">
        <v>26</v>
      </c>
      <c r="F37" s="6" t="s">
        <v>9377</v>
      </c>
      <c r="G37" s="6" t="s">
        <v>9370</v>
      </c>
      <c r="H37" s="6" t="s">
        <v>26</v>
      </c>
      <c r="I37" s="8"/>
      <c r="J37" s="8">
        <v>123789</v>
      </c>
      <c r="K37" s="6" t="s">
        <v>4512</v>
      </c>
      <c r="L37" s="6" t="s">
        <v>9371</v>
      </c>
      <c r="M37" s="6" t="s">
        <v>4509</v>
      </c>
      <c r="N37" s="6" t="s">
        <v>4537</v>
      </c>
    </row>
    <row r="38" s="1" customFormat="1" ht="16.35" customHeight="1" spans="1:14">
      <c r="A38" s="5"/>
      <c r="B38" s="6" t="s">
        <v>4506</v>
      </c>
      <c r="C38" s="6">
        <v>2013</v>
      </c>
      <c r="D38" s="6">
        <v>12</v>
      </c>
      <c r="E38" s="7">
        <v>27</v>
      </c>
      <c r="F38" s="6" t="s">
        <v>9377</v>
      </c>
      <c r="G38" s="6" t="s">
        <v>9370</v>
      </c>
      <c r="H38" s="6" t="s">
        <v>26</v>
      </c>
      <c r="I38" s="8"/>
      <c r="J38" s="8">
        <v>50925</v>
      </c>
      <c r="K38" s="6" t="s">
        <v>4512</v>
      </c>
      <c r="L38" s="6" t="s">
        <v>9371</v>
      </c>
      <c r="M38" s="6" t="s">
        <v>4509</v>
      </c>
      <c r="N38" s="6" t="s">
        <v>4537</v>
      </c>
    </row>
    <row r="39" s="1" customFormat="1" ht="16.35" customHeight="1" spans="1:14">
      <c r="A39" s="5"/>
      <c r="B39" s="6" t="s">
        <v>4506</v>
      </c>
      <c r="C39" s="6">
        <v>2013</v>
      </c>
      <c r="D39" s="6">
        <v>12</v>
      </c>
      <c r="E39" s="7">
        <v>28</v>
      </c>
      <c r="F39" s="6" t="s">
        <v>9377</v>
      </c>
      <c r="G39" s="6" t="s">
        <v>9370</v>
      </c>
      <c r="H39" s="6" t="s">
        <v>26</v>
      </c>
      <c r="I39" s="8"/>
      <c r="J39" s="8">
        <v>235399</v>
      </c>
      <c r="K39" s="6" t="s">
        <v>4512</v>
      </c>
      <c r="L39" s="6" t="s">
        <v>9371</v>
      </c>
      <c r="M39" s="6" t="s">
        <v>4509</v>
      </c>
      <c r="N39" s="6" t="s">
        <v>4537</v>
      </c>
    </row>
    <row r="40" s="1" customFormat="1" ht="16.35" customHeight="1" spans="1:14">
      <c r="A40" s="5"/>
      <c r="B40" s="6" t="s">
        <v>4506</v>
      </c>
      <c r="C40" s="6">
        <v>2013</v>
      </c>
      <c r="D40" s="6">
        <v>12</v>
      </c>
      <c r="E40" s="7">
        <v>29</v>
      </c>
      <c r="F40" s="6" t="s">
        <v>9377</v>
      </c>
      <c r="G40" s="6" t="s">
        <v>9370</v>
      </c>
      <c r="H40" s="6" t="s">
        <v>26</v>
      </c>
      <c r="I40" s="8"/>
      <c r="J40" s="8">
        <v>53864</v>
      </c>
      <c r="K40" s="6" t="s">
        <v>4512</v>
      </c>
      <c r="L40" s="6" t="s">
        <v>9371</v>
      </c>
      <c r="M40" s="6" t="s">
        <v>4509</v>
      </c>
      <c r="N40" s="6" t="s">
        <v>4537</v>
      </c>
    </row>
    <row r="41" s="1" customFormat="1" ht="16.35" customHeight="1" spans="1:14">
      <c r="A41" s="5"/>
      <c r="B41" s="6" t="s">
        <v>4506</v>
      </c>
      <c r="C41" s="6">
        <v>2013</v>
      </c>
      <c r="D41" s="6">
        <v>12</v>
      </c>
      <c r="E41" s="7">
        <v>30</v>
      </c>
      <c r="F41" s="6" t="s">
        <v>9377</v>
      </c>
      <c r="G41" s="6" t="s">
        <v>9370</v>
      </c>
      <c r="H41" s="6" t="s">
        <v>26</v>
      </c>
      <c r="I41" s="8"/>
      <c r="J41" s="8">
        <v>56016</v>
      </c>
      <c r="K41" s="6" t="s">
        <v>4512</v>
      </c>
      <c r="L41" s="6" t="s">
        <v>9371</v>
      </c>
      <c r="M41" s="6" t="s">
        <v>4509</v>
      </c>
      <c r="N41" s="6" t="s">
        <v>4537</v>
      </c>
    </row>
    <row r="42" s="1" customFormat="1" ht="16.35" customHeight="1" spans="1:14">
      <c r="A42" s="5"/>
      <c r="B42" s="6" t="s">
        <v>4506</v>
      </c>
      <c r="C42" s="6">
        <v>2013</v>
      </c>
      <c r="D42" s="6">
        <v>12</v>
      </c>
      <c r="E42" s="7">
        <v>31</v>
      </c>
      <c r="F42" s="6" t="s">
        <v>9377</v>
      </c>
      <c r="G42" s="6" t="s">
        <v>9370</v>
      </c>
      <c r="H42" s="6" t="s">
        <v>26</v>
      </c>
      <c r="I42" s="8"/>
      <c r="J42" s="8">
        <v>127580</v>
      </c>
      <c r="K42" s="6" t="s">
        <v>4512</v>
      </c>
      <c r="L42" s="6" t="s">
        <v>9371</v>
      </c>
      <c r="M42" s="6" t="s">
        <v>4509</v>
      </c>
      <c r="N42" s="6" t="s">
        <v>4537</v>
      </c>
    </row>
    <row r="43" s="1" customFormat="1" ht="16.35" customHeight="1" spans="1:14">
      <c r="A43" s="5"/>
      <c r="B43" s="6" t="s">
        <v>4506</v>
      </c>
      <c r="C43" s="6">
        <v>2013</v>
      </c>
      <c r="D43" s="6">
        <v>12</v>
      </c>
      <c r="E43" s="7">
        <v>33</v>
      </c>
      <c r="F43" s="6" t="s">
        <v>9377</v>
      </c>
      <c r="G43" s="6" t="s">
        <v>9370</v>
      </c>
      <c r="H43" s="6" t="s">
        <v>26</v>
      </c>
      <c r="I43" s="8"/>
      <c r="J43" s="8">
        <v>509616</v>
      </c>
      <c r="K43" s="6" t="s">
        <v>4512</v>
      </c>
      <c r="L43" s="6" t="s">
        <v>9371</v>
      </c>
      <c r="M43" s="6" t="s">
        <v>4509</v>
      </c>
      <c r="N43" s="6" t="s">
        <v>4537</v>
      </c>
    </row>
    <row r="44" s="1" customFormat="1" ht="16.35" customHeight="1" spans="1:14">
      <c r="A44" s="5"/>
      <c r="B44" s="6" t="s">
        <v>4506</v>
      </c>
      <c r="C44" s="6">
        <v>2013</v>
      </c>
      <c r="D44" s="6">
        <v>12</v>
      </c>
      <c r="E44" s="7">
        <v>34</v>
      </c>
      <c r="F44" s="6" t="s">
        <v>9386</v>
      </c>
      <c r="G44" s="6" t="s">
        <v>9370</v>
      </c>
      <c r="H44" s="6" t="s">
        <v>26</v>
      </c>
      <c r="I44" s="8">
        <v>2000000</v>
      </c>
      <c r="J44" s="8"/>
      <c r="K44" s="6" t="s">
        <v>4509</v>
      </c>
      <c r="L44" s="6" t="s">
        <v>9379</v>
      </c>
      <c r="M44" s="6" t="s">
        <v>4509</v>
      </c>
      <c r="N44" s="6" t="s">
        <v>4537</v>
      </c>
    </row>
    <row r="45" s="1" customFormat="1" ht="16.35" customHeight="1" spans="1:14">
      <c r="A45" s="5"/>
      <c r="B45" s="6" t="s">
        <v>4506</v>
      </c>
      <c r="C45" s="6">
        <v>2013</v>
      </c>
      <c r="D45" s="6">
        <v>12</v>
      </c>
      <c r="E45" s="7">
        <v>35</v>
      </c>
      <c r="F45" s="6" t="s">
        <v>9377</v>
      </c>
      <c r="G45" s="6" t="s">
        <v>9370</v>
      </c>
      <c r="H45" s="6" t="s">
        <v>26</v>
      </c>
      <c r="I45" s="8"/>
      <c r="J45" s="8">
        <v>64923</v>
      </c>
      <c r="K45" s="6" t="s">
        <v>4512</v>
      </c>
      <c r="L45" s="6" t="s">
        <v>9371</v>
      </c>
      <c r="M45" s="6" t="s">
        <v>4509</v>
      </c>
      <c r="N45" s="6" t="s">
        <v>4537</v>
      </c>
    </row>
    <row r="46" s="1" customFormat="1" ht="16.35" customHeight="1" spans="1:14">
      <c r="A46" s="5"/>
      <c r="B46" s="6" t="s">
        <v>4506</v>
      </c>
      <c r="C46" s="6">
        <v>2013</v>
      </c>
      <c r="D46" s="6">
        <v>12</v>
      </c>
      <c r="E46" s="7">
        <v>36</v>
      </c>
      <c r="F46" s="6" t="s">
        <v>9387</v>
      </c>
      <c r="G46" s="6" t="s">
        <v>9370</v>
      </c>
      <c r="H46" s="6" t="s">
        <v>26</v>
      </c>
      <c r="I46" s="8"/>
      <c r="J46" s="8">
        <v>900</v>
      </c>
      <c r="K46" s="6" t="s">
        <v>4509</v>
      </c>
      <c r="L46" s="6" t="s">
        <v>9379</v>
      </c>
      <c r="M46" s="6" t="s">
        <v>4509</v>
      </c>
      <c r="N46" s="6" t="s">
        <v>4537</v>
      </c>
    </row>
    <row r="47" s="1" customFormat="1" ht="16.35" customHeight="1" spans="1:14">
      <c r="A47" s="5"/>
      <c r="B47" s="6" t="s">
        <v>4506</v>
      </c>
      <c r="C47" s="6">
        <v>2013</v>
      </c>
      <c r="D47" s="6">
        <v>12</v>
      </c>
      <c r="E47" s="7">
        <v>37</v>
      </c>
      <c r="F47" s="6" t="s">
        <v>9388</v>
      </c>
      <c r="G47" s="6" t="s">
        <v>9370</v>
      </c>
      <c r="H47" s="6" t="s">
        <v>26</v>
      </c>
      <c r="I47" s="8"/>
      <c r="J47" s="8">
        <v>12315</v>
      </c>
      <c r="K47" s="6" t="s">
        <v>4512</v>
      </c>
      <c r="L47" s="6" t="s">
        <v>9371</v>
      </c>
      <c r="M47" s="6" t="s">
        <v>4509</v>
      </c>
      <c r="N47" s="6" t="s">
        <v>4537</v>
      </c>
    </row>
    <row r="48" s="1" customFormat="1" ht="16.35" customHeight="1" spans="1:14">
      <c r="A48" s="5"/>
      <c r="B48" s="6" t="s">
        <v>4506</v>
      </c>
      <c r="C48" s="6">
        <v>2013</v>
      </c>
      <c r="D48" s="6">
        <v>12</v>
      </c>
      <c r="E48" s="7">
        <v>38</v>
      </c>
      <c r="F48" s="6" t="s">
        <v>9389</v>
      </c>
      <c r="G48" s="6" t="s">
        <v>9370</v>
      </c>
      <c r="H48" s="6" t="s">
        <v>26</v>
      </c>
      <c r="I48" s="8">
        <v>223000</v>
      </c>
      <c r="J48" s="8"/>
      <c r="K48" s="6" t="s">
        <v>4512</v>
      </c>
      <c r="L48" s="6" t="s">
        <v>9371</v>
      </c>
      <c r="M48" s="6" t="s">
        <v>4509</v>
      </c>
      <c r="N48" s="6" t="s">
        <v>4537</v>
      </c>
    </row>
    <row r="49" s="1" customFormat="1" ht="16.35" customHeight="1" spans="1:14">
      <c r="A49" s="5"/>
      <c r="B49" s="6" t="s">
        <v>4506</v>
      </c>
      <c r="C49" s="6">
        <v>2013</v>
      </c>
      <c r="D49" s="6">
        <v>12</v>
      </c>
      <c r="E49" s="7">
        <v>39</v>
      </c>
      <c r="F49" s="6" t="s">
        <v>9390</v>
      </c>
      <c r="G49" s="6" t="s">
        <v>9370</v>
      </c>
      <c r="H49" s="6" t="s">
        <v>26</v>
      </c>
      <c r="I49" s="8"/>
      <c r="J49" s="8">
        <v>11056467.14</v>
      </c>
      <c r="K49" s="6" t="s">
        <v>4512</v>
      </c>
      <c r="L49" s="6" t="s">
        <v>9371</v>
      </c>
      <c r="M49" s="6" t="s">
        <v>4509</v>
      </c>
      <c r="N49" s="6" t="s">
        <v>4537</v>
      </c>
    </row>
    <row r="50" s="1" customFormat="1" ht="16.35" customHeight="1" spans="1:14">
      <c r="A50" s="5"/>
      <c r="B50" s="6" t="s">
        <v>4506</v>
      </c>
      <c r="C50" s="6">
        <v>2013</v>
      </c>
      <c r="D50" s="6">
        <v>12</v>
      </c>
      <c r="E50" s="7">
        <v>42</v>
      </c>
      <c r="F50" s="6" t="s">
        <v>9391</v>
      </c>
      <c r="G50" s="6" t="s">
        <v>9370</v>
      </c>
      <c r="H50" s="6" t="s">
        <v>26</v>
      </c>
      <c r="I50" s="8"/>
      <c r="J50" s="8">
        <v>45370.5</v>
      </c>
      <c r="K50" s="6" t="s">
        <v>4512</v>
      </c>
      <c r="L50" s="6" t="s">
        <v>9371</v>
      </c>
      <c r="M50" s="6" t="s">
        <v>4509</v>
      </c>
      <c r="N50" s="6" t="s">
        <v>4537</v>
      </c>
    </row>
    <row r="51" s="1" customFormat="1" ht="16.35" customHeight="1" spans="1:14">
      <c r="A51" s="5"/>
      <c r="B51" s="6" t="s">
        <v>4506</v>
      </c>
      <c r="C51" s="6">
        <v>2013</v>
      </c>
      <c r="D51" s="6">
        <v>12</v>
      </c>
      <c r="E51" s="7">
        <v>43</v>
      </c>
      <c r="F51" s="6" t="s">
        <v>9392</v>
      </c>
      <c r="G51" s="6" t="s">
        <v>9370</v>
      </c>
      <c r="H51" s="6" t="s">
        <v>26</v>
      </c>
      <c r="I51" s="8"/>
      <c r="J51" s="8">
        <v>18770</v>
      </c>
      <c r="K51" s="6" t="s">
        <v>4512</v>
      </c>
      <c r="L51" s="6" t="s">
        <v>9371</v>
      </c>
      <c r="M51" s="6" t="s">
        <v>4509</v>
      </c>
      <c r="N51" s="6" t="s">
        <v>4537</v>
      </c>
    </row>
    <row r="52" s="1" customFormat="1" ht="16.35" customHeight="1" spans="1:14">
      <c r="A52" s="5"/>
      <c r="B52" s="6" t="s">
        <v>4506</v>
      </c>
      <c r="C52" s="6">
        <v>2014</v>
      </c>
      <c r="D52" s="6">
        <v>1</v>
      </c>
      <c r="E52" s="7">
        <v>1</v>
      </c>
      <c r="F52" s="6" t="s">
        <v>9393</v>
      </c>
      <c r="G52" s="6" t="s">
        <v>9370</v>
      </c>
      <c r="H52" s="6" t="s">
        <v>26</v>
      </c>
      <c r="I52" s="8"/>
      <c r="J52" s="8">
        <v>-14968366.04</v>
      </c>
      <c r="K52" s="6" t="s">
        <v>4512</v>
      </c>
      <c r="L52" s="6" t="s">
        <v>2906</v>
      </c>
      <c r="M52" s="6" t="s">
        <v>4509</v>
      </c>
      <c r="N52" s="6" t="s">
        <v>4537</v>
      </c>
    </row>
    <row r="53" s="1" customFormat="1" ht="16.35" customHeight="1" spans="1:14">
      <c r="A53" s="5"/>
      <c r="B53" s="6" t="s">
        <v>4506</v>
      </c>
      <c r="C53" s="6">
        <v>2014</v>
      </c>
      <c r="D53" s="6">
        <v>1</v>
      </c>
      <c r="E53" s="7">
        <v>1</v>
      </c>
      <c r="F53" s="6" t="s">
        <v>9393</v>
      </c>
      <c r="G53" s="6" t="s">
        <v>9370</v>
      </c>
      <c r="H53" s="6" t="s">
        <v>26</v>
      </c>
      <c r="I53" s="8"/>
      <c r="J53" s="8">
        <v>14968366.04</v>
      </c>
      <c r="K53" s="6" t="s">
        <v>4512</v>
      </c>
      <c r="L53" s="6" t="s">
        <v>2906</v>
      </c>
      <c r="M53" s="6" t="s">
        <v>4509</v>
      </c>
      <c r="N53" s="6" t="s">
        <v>4537</v>
      </c>
    </row>
    <row r="54" s="1" customFormat="1" ht="16.35" customHeight="1" spans="1:14">
      <c r="A54" s="5"/>
      <c r="B54" s="6" t="s">
        <v>4506</v>
      </c>
      <c r="C54" s="6">
        <v>2014</v>
      </c>
      <c r="D54" s="6">
        <v>1</v>
      </c>
      <c r="E54" s="7">
        <v>1</v>
      </c>
      <c r="F54" s="6" t="s">
        <v>9393</v>
      </c>
      <c r="G54" s="6" t="s">
        <v>9370</v>
      </c>
      <c r="H54" s="6" t="s">
        <v>26</v>
      </c>
      <c r="I54" s="8"/>
      <c r="J54" s="8">
        <v>-4672720.17</v>
      </c>
      <c r="K54" s="6" t="s">
        <v>4509</v>
      </c>
      <c r="L54" s="6" t="s">
        <v>9394</v>
      </c>
      <c r="M54" s="6" t="s">
        <v>4509</v>
      </c>
      <c r="N54" s="6" t="s">
        <v>4537</v>
      </c>
    </row>
    <row r="55" s="1" customFormat="1" ht="16.35" customHeight="1" spans="1:14">
      <c r="A55" s="5"/>
      <c r="B55" s="6" t="s">
        <v>4506</v>
      </c>
      <c r="C55" s="6">
        <v>2014</v>
      </c>
      <c r="D55" s="6">
        <v>1</v>
      </c>
      <c r="E55" s="7">
        <v>1</v>
      </c>
      <c r="F55" s="6" t="s">
        <v>9393</v>
      </c>
      <c r="G55" s="6" t="s">
        <v>9370</v>
      </c>
      <c r="H55" s="6" t="s">
        <v>26</v>
      </c>
      <c r="I55" s="8"/>
      <c r="J55" s="8">
        <v>4672720.17</v>
      </c>
      <c r="K55" s="6" t="s">
        <v>4509</v>
      </c>
      <c r="L55" s="6" t="s">
        <v>9218</v>
      </c>
      <c r="M55" s="6" t="s">
        <v>4509</v>
      </c>
      <c r="N55" s="6" t="s">
        <v>4537</v>
      </c>
    </row>
    <row r="56" s="1" customFormat="1" ht="16.35" customHeight="1" spans="1:14">
      <c r="A56" s="5"/>
      <c r="B56" s="6" t="s">
        <v>4506</v>
      </c>
      <c r="C56" s="6">
        <v>2014</v>
      </c>
      <c r="D56" s="6">
        <v>1</v>
      </c>
      <c r="E56" s="7">
        <v>2</v>
      </c>
      <c r="F56" s="6" t="s">
        <v>9395</v>
      </c>
      <c r="G56" s="6" t="s">
        <v>9370</v>
      </c>
      <c r="H56" s="6" t="s">
        <v>26</v>
      </c>
      <c r="I56" s="8"/>
      <c r="J56" s="8">
        <v>81237</v>
      </c>
      <c r="K56" s="6" t="s">
        <v>4514</v>
      </c>
      <c r="L56" s="6" t="s">
        <v>4511</v>
      </c>
      <c r="M56" s="6" t="s">
        <v>4509</v>
      </c>
      <c r="N56" s="6" t="s">
        <v>4537</v>
      </c>
    </row>
    <row r="57" s="1" customFormat="1" ht="16.35" customHeight="1" spans="1:14">
      <c r="A57" s="5"/>
      <c r="B57" s="6" t="s">
        <v>4506</v>
      </c>
      <c r="C57" s="6">
        <v>2014</v>
      </c>
      <c r="D57" s="6">
        <v>1</v>
      </c>
      <c r="E57" s="7">
        <v>3</v>
      </c>
      <c r="F57" s="6" t="s">
        <v>4507</v>
      </c>
      <c r="G57" s="6" t="s">
        <v>9370</v>
      </c>
      <c r="H57" s="6" t="s">
        <v>26</v>
      </c>
      <c r="I57" s="8">
        <v>100000</v>
      </c>
      <c r="J57" s="8"/>
      <c r="K57" s="6" t="s">
        <v>4509</v>
      </c>
      <c r="L57" s="6" t="s">
        <v>9218</v>
      </c>
      <c r="M57" s="6" t="s">
        <v>4509</v>
      </c>
      <c r="N57" s="6" t="s">
        <v>4537</v>
      </c>
    </row>
    <row r="58" s="1" customFormat="1" ht="16.35" customHeight="1" spans="1:14">
      <c r="A58" s="5"/>
      <c r="B58" s="6" t="s">
        <v>4506</v>
      </c>
      <c r="C58" s="6">
        <v>2014</v>
      </c>
      <c r="D58" s="6">
        <v>1</v>
      </c>
      <c r="E58" s="7">
        <v>5</v>
      </c>
      <c r="F58" s="6" t="s">
        <v>9396</v>
      </c>
      <c r="G58" s="6" t="s">
        <v>9370</v>
      </c>
      <c r="H58" s="6" t="s">
        <v>26</v>
      </c>
      <c r="I58" s="8"/>
      <c r="J58" s="8">
        <v>93700</v>
      </c>
      <c r="K58" s="6" t="s">
        <v>4514</v>
      </c>
      <c r="L58" s="6" t="s">
        <v>4511</v>
      </c>
      <c r="M58" s="6" t="s">
        <v>4509</v>
      </c>
      <c r="N58" s="6" t="s">
        <v>4537</v>
      </c>
    </row>
    <row r="59" s="1" customFormat="1" ht="16.35" customHeight="1" spans="1:14">
      <c r="A59" s="5"/>
      <c r="B59" s="6" t="s">
        <v>4506</v>
      </c>
      <c r="C59" s="6">
        <v>2014</v>
      </c>
      <c r="D59" s="6">
        <v>1</v>
      </c>
      <c r="E59" s="7">
        <v>6</v>
      </c>
      <c r="F59" s="6" t="s">
        <v>9397</v>
      </c>
      <c r="G59" s="6" t="s">
        <v>9370</v>
      </c>
      <c r="H59" s="6" t="s">
        <v>26</v>
      </c>
      <c r="I59" s="8"/>
      <c r="J59" s="8">
        <v>234131</v>
      </c>
      <c r="K59" s="6" t="s">
        <v>4514</v>
      </c>
      <c r="L59" s="6" t="s">
        <v>4511</v>
      </c>
      <c r="M59" s="6" t="s">
        <v>4509</v>
      </c>
      <c r="N59" s="6" t="s">
        <v>4537</v>
      </c>
    </row>
    <row r="60" s="1" customFormat="1" ht="16.35" customHeight="1" spans="1:14">
      <c r="A60" s="5"/>
      <c r="B60" s="6" t="s">
        <v>4506</v>
      </c>
      <c r="C60" s="6">
        <v>2014</v>
      </c>
      <c r="D60" s="6">
        <v>1</v>
      </c>
      <c r="E60" s="7">
        <v>7</v>
      </c>
      <c r="F60" s="6" t="s">
        <v>9398</v>
      </c>
      <c r="G60" s="6" t="s">
        <v>9370</v>
      </c>
      <c r="H60" s="6" t="s">
        <v>26</v>
      </c>
      <c r="I60" s="8"/>
      <c r="J60" s="8">
        <v>80000</v>
      </c>
      <c r="K60" s="6" t="s">
        <v>4514</v>
      </c>
      <c r="L60" s="6" t="s">
        <v>4511</v>
      </c>
      <c r="M60" s="6" t="s">
        <v>4509</v>
      </c>
      <c r="N60" s="6" t="s">
        <v>4537</v>
      </c>
    </row>
    <row r="61" s="1" customFormat="1" ht="16.35" customHeight="1" spans="1:14">
      <c r="A61" s="5"/>
      <c r="B61" s="6" t="s">
        <v>4506</v>
      </c>
      <c r="C61" s="6">
        <v>2014</v>
      </c>
      <c r="D61" s="6">
        <v>1</v>
      </c>
      <c r="E61" s="7">
        <v>8</v>
      </c>
      <c r="F61" s="6" t="s">
        <v>9399</v>
      </c>
      <c r="G61" s="6" t="s">
        <v>9370</v>
      </c>
      <c r="H61" s="6" t="s">
        <v>26</v>
      </c>
      <c r="I61" s="8"/>
      <c r="J61" s="8">
        <v>1472</v>
      </c>
      <c r="K61" s="6" t="s">
        <v>4509</v>
      </c>
      <c r="L61" s="6" t="s">
        <v>9218</v>
      </c>
      <c r="M61" s="6" t="s">
        <v>4509</v>
      </c>
      <c r="N61" s="6" t="s">
        <v>4537</v>
      </c>
    </row>
    <row r="62" s="1" customFormat="1" ht="16.35" customHeight="1" spans="1:14">
      <c r="A62" s="5"/>
      <c r="B62" s="6" t="s">
        <v>4506</v>
      </c>
      <c r="C62" s="6">
        <v>2014</v>
      </c>
      <c r="D62" s="6">
        <v>1</v>
      </c>
      <c r="E62" s="7">
        <v>9</v>
      </c>
      <c r="F62" s="6" t="s">
        <v>9400</v>
      </c>
      <c r="G62" s="6" t="s">
        <v>9370</v>
      </c>
      <c r="H62" s="6" t="s">
        <v>26</v>
      </c>
      <c r="I62" s="8"/>
      <c r="J62" s="8">
        <v>53648</v>
      </c>
      <c r="K62" s="6" t="s">
        <v>4514</v>
      </c>
      <c r="L62" s="6" t="s">
        <v>4511</v>
      </c>
      <c r="M62" s="6" t="s">
        <v>4509</v>
      </c>
      <c r="N62" s="6" t="s">
        <v>4537</v>
      </c>
    </row>
    <row r="63" s="1" customFormat="1" ht="16.35" customHeight="1" spans="1:14">
      <c r="A63" s="5"/>
      <c r="B63" s="6" t="s">
        <v>4506</v>
      </c>
      <c r="C63" s="6">
        <v>2014</v>
      </c>
      <c r="D63" s="6">
        <v>1</v>
      </c>
      <c r="E63" s="7">
        <v>14</v>
      </c>
      <c r="F63" s="6" t="s">
        <v>9401</v>
      </c>
      <c r="G63" s="6" t="s">
        <v>9370</v>
      </c>
      <c r="H63" s="6" t="s">
        <v>26</v>
      </c>
      <c r="I63" s="8"/>
      <c r="J63" s="8">
        <v>140000</v>
      </c>
      <c r="K63" s="6" t="s">
        <v>4514</v>
      </c>
      <c r="L63" s="6" t="s">
        <v>4511</v>
      </c>
      <c r="M63" s="6" t="s">
        <v>4509</v>
      </c>
      <c r="N63" s="6" t="s">
        <v>4537</v>
      </c>
    </row>
    <row r="64" s="1" customFormat="1" ht="16.35" customHeight="1" spans="1:14">
      <c r="A64" s="5"/>
      <c r="B64" s="6" t="s">
        <v>4506</v>
      </c>
      <c r="C64" s="6">
        <v>2014</v>
      </c>
      <c r="D64" s="6">
        <v>1</v>
      </c>
      <c r="E64" s="7">
        <v>16</v>
      </c>
      <c r="F64" s="6" t="s">
        <v>9402</v>
      </c>
      <c r="G64" s="6" t="s">
        <v>9370</v>
      </c>
      <c r="H64" s="6" t="s">
        <v>26</v>
      </c>
      <c r="I64" s="8"/>
      <c r="J64" s="8">
        <v>500</v>
      </c>
      <c r="K64" s="6" t="s">
        <v>4512</v>
      </c>
      <c r="L64" s="6" t="s">
        <v>2906</v>
      </c>
      <c r="M64" s="6" t="s">
        <v>4509</v>
      </c>
      <c r="N64" s="6" t="s">
        <v>4537</v>
      </c>
    </row>
    <row r="65" s="1" customFormat="1" ht="16.35" customHeight="1" spans="1:14">
      <c r="A65" s="5"/>
      <c r="B65" s="6" t="s">
        <v>4506</v>
      </c>
      <c r="C65" s="6">
        <v>2014</v>
      </c>
      <c r="D65" s="6">
        <v>1</v>
      </c>
      <c r="E65" s="7">
        <v>17</v>
      </c>
      <c r="F65" s="6" t="s">
        <v>9403</v>
      </c>
      <c r="G65" s="6" t="s">
        <v>9370</v>
      </c>
      <c r="H65" s="6" t="s">
        <v>26</v>
      </c>
      <c r="I65" s="8"/>
      <c r="J65" s="8">
        <v>358720</v>
      </c>
      <c r="K65" s="6" t="s">
        <v>4514</v>
      </c>
      <c r="L65" s="6" t="s">
        <v>4511</v>
      </c>
      <c r="M65" s="6" t="s">
        <v>4509</v>
      </c>
      <c r="N65" s="6" t="s">
        <v>4537</v>
      </c>
    </row>
    <row r="66" s="1" customFormat="1" ht="16.35" customHeight="1" spans="1:14">
      <c r="A66" s="5"/>
      <c r="B66" s="6" t="s">
        <v>4506</v>
      </c>
      <c r="C66" s="6">
        <v>2014</v>
      </c>
      <c r="D66" s="6">
        <v>1</v>
      </c>
      <c r="E66" s="7">
        <v>19</v>
      </c>
      <c r="F66" s="6" t="s">
        <v>9404</v>
      </c>
      <c r="G66" s="6" t="s">
        <v>9370</v>
      </c>
      <c r="H66" s="6" t="s">
        <v>26</v>
      </c>
      <c r="I66" s="8"/>
      <c r="J66" s="8">
        <v>102443</v>
      </c>
      <c r="K66" s="6" t="s">
        <v>4514</v>
      </c>
      <c r="L66" s="6" t="s">
        <v>4511</v>
      </c>
      <c r="M66" s="6" t="s">
        <v>4509</v>
      </c>
      <c r="N66" s="6" t="s">
        <v>4537</v>
      </c>
    </row>
    <row r="67" s="1" customFormat="1" ht="16.35" customHeight="1" spans="1:14">
      <c r="A67" s="5"/>
      <c r="B67" s="6" t="s">
        <v>4506</v>
      </c>
      <c r="C67" s="6">
        <v>2014</v>
      </c>
      <c r="D67" s="6">
        <v>1</v>
      </c>
      <c r="E67" s="7">
        <v>21</v>
      </c>
      <c r="F67" s="6" t="s">
        <v>9405</v>
      </c>
      <c r="G67" s="6" t="s">
        <v>9370</v>
      </c>
      <c r="H67" s="6" t="s">
        <v>26</v>
      </c>
      <c r="I67" s="8">
        <v>1570000</v>
      </c>
      <c r="J67" s="8"/>
      <c r="K67" s="6" t="s">
        <v>4509</v>
      </c>
      <c r="L67" s="6" t="s">
        <v>9218</v>
      </c>
      <c r="M67" s="6" t="s">
        <v>4509</v>
      </c>
      <c r="N67" s="6" t="s">
        <v>4537</v>
      </c>
    </row>
    <row r="68" s="1" customFormat="1" ht="16.35" customHeight="1" spans="1:14">
      <c r="A68" s="5"/>
      <c r="B68" s="6" t="s">
        <v>4506</v>
      </c>
      <c r="C68" s="6">
        <v>2014</v>
      </c>
      <c r="D68" s="6">
        <v>1</v>
      </c>
      <c r="E68" s="7">
        <v>22</v>
      </c>
      <c r="F68" s="6" t="s">
        <v>9406</v>
      </c>
      <c r="G68" s="6" t="s">
        <v>9370</v>
      </c>
      <c r="H68" s="6" t="s">
        <v>26</v>
      </c>
      <c r="I68" s="8"/>
      <c r="J68" s="8">
        <v>-110337</v>
      </c>
      <c r="K68" s="6" t="s">
        <v>4514</v>
      </c>
      <c r="L68" s="6" t="s">
        <v>4511</v>
      </c>
      <c r="M68" s="6" t="s">
        <v>4509</v>
      </c>
      <c r="N68" s="6" t="s">
        <v>4537</v>
      </c>
    </row>
    <row r="69" s="1" customFormat="1" ht="16.35" customHeight="1" spans="1:14">
      <c r="A69" s="5"/>
      <c r="B69" s="6" t="s">
        <v>4506</v>
      </c>
      <c r="C69" s="6">
        <v>2014</v>
      </c>
      <c r="D69" s="6">
        <v>1</v>
      </c>
      <c r="E69" s="7">
        <v>23</v>
      </c>
      <c r="F69" s="6" t="s">
        <v>9407</v>
      </c>
      <c r="G69" s="6" t="s">
        <v>9370</v>
      </c>
      <c r="H69" s="6" t="s">
        <v>26</v>
      </c>
      <c r="I69" s="8"/>
      <c r="J69" s="8">
        <v>320</v>
      </c>
      <c r="K69" s="6" t="s">
        <v>4512</v>
      </c>
      <c r="L69" s="6" t="s">
        <v>2906</v>
      </c>
      <c r="M69" s="6" t="s">
        <v>4509</v>
      </c>
      <c r="N69" s="6" t="s">
        <v>4537</v>
      </c>
    </row>
    <row r="70" s="1" customFormat="1" ht="16.35" customHeight="1" spans="1:14">
      <c r="A70" s="5"/>
      <c r="B70" s="6" t="s">
        <v>4506</v>
      </c>
      <c r="C70" s="6">
        <v>2014</v>
      </c>
      <c r="D70" s="6">
        <v>1</v>
      </c>
      <c r="E70" s="7">
        <v>24</v>
      </c>
      <c r="F70" s="6" t="s">
        <v>9408</v>
      </c>
      <c r="G70" s="6" t="s">
        <v>9370</v>
      </c>
      <c r="H70" s="6" t="s">
        <v>26</v>
      </c>
      <c r="I70" s="8"/>
      <c r="J70" s="8">
        <v>22047</v>
      </c>
      <c r="K70" s="6" t="s">
        <v>4514</v>
      </c>
      <c r="L70" s="6" t="s">
        <v>4511</v>
      </c>
      <c r="M70" s="6" t="s">
        <v>4509</v>
      </c>
      <c r="N70" s="6" t="s">
        <v>4537</v>
      </c>
    </row>
    <row r="71" s="1" customFormat="1" ht="16.35" customHeight="1" spans="1:14">
      <c r="A71" s="5"/>
      <c r="B71" s="6" t="s">
        <v>4506</v>
      </c>
      <c r="C71" s="6">
        <v>2014</v>
      </c>
      <c r="D71" s="6">
        <v>1</v>
      </c>
      <c r="E71" s="7">
        <v>25</v>
      </c>
      <c r="F71" s="6" t="s">
        <v>9409</v>
      </c>
      <c r="G71" s="6" t="s">
        <v>9370</v>
      </c>
      <c r="H71" s="6" t="s">
        <v>26</v>
      </c>
      <c r="I71" s="8"/>
      <c r="J71" s="8">
        <v>500</v>
      </c>
      <c r="K71" s="6" t="s">
        <v>4509</v>
      </c>
      <c r="L71" s="6" t="s">
        <v>9218</v>
      </c>
      <c r="M71" s="6" t="s">
        <v>4509</v>
      </c>
      <c r="N71" s="6" t="s">
        <v>4537</v>
      </c>
    </row>
    <row r="72" s="1" customFormat="1" ht="16.35" customHeight="1" spans="1:14">
      <c r="A72" s="5"/>
      <c r="B72" s="6" t="s">
        <v>4506</v>
      </c>
      <c r="C72" s="6">
        <v>2014</v>
      </c>
      <c r="D72" s="6">
        <v>2</v>
      </c>
      <c r="E72" s="7">
        <v>1</v>
      </c>
      <c r="F72" s="6" t="s">
        <v>9410</v>
      </c>
      <c r="G72" s="6" t="s">
        <v>9370</v>
      </c>
      <c r="H72" s="6" t="s">
        <v>26</v>
      </c>
      <c r="I72" s="8">
        <v>133</v>
      </c>
      <c r="J72" s="8"/>
      <c r="K72" s="6" t="s">
        <v>4514</v>
      </c>
      <c r="L72" s="6" t="s">
        <v>4511</v>
      </c>
      <c r="M72" s="6" t="s">
        <v>4509</v>
      </c>
      <c r="N72" s="6" t="s">
        <v>4537</v>
      </c>
    </row>
    <row r="73" s="1" customFormat="1" ht="16.35" customHeight="1" spans="1:14">
      <c r="A73" s="5"/>
      <c r="B73" s="6" t="s">
        <v>4506</v>
      </c>
      <c r="C73" s="6">
        <v>2014</v>
      </c>
      <c r="D73" s="6">
        <v>2</v>
      </c>
      <c r="E73" s="7">
        <v>1</v>
      </c>
      <c r="F73" s="6" t="s">
        <v>9410</v>
      </c>
      <c r="G73" s="6" t="s">
        <v>9370</v>
      </c>
      <c r="H73" s="6" t="s">
        <v>26</v>
      </c>
      <c r="I73" s="8"/>
      <c r="J73" s="8">
        <v>133</v>
      </c>
      <c r="K73" s="6" t="s">
        <v>4512</v>
      </c>
      <c r="L73" s="6" t="s">
        <v>2906</v>
      </c>
      <c r="M73" s="6" t="s">
        <v>4509</v>
      </c>
      <c r="N73" s="6" t="s">
        <v>4537</v>
      </c>
    </row>
    <row r="74" s="1" customFormat="1" ht="16.35" customHeight="1" spans="1:14">
      <c r="A74" s="5"/>
      <c r="B74" s="6" t="s">
        <v>4506</v>
      </c>
      <c r="C74" s="6">
        <v>2014</v>
      </c>
      <c r="D74" s="6">
        <v>2</v>
      </c>
      <c r="E74" s="7">
        <v>2</v>
      </c>
      <c r="F74" s="6" t="s">
        <v>9411</v>
      </c>
      <c r="G74" s="6" t="s">
        <v>9370</v>
      </c>
      <c r="H74" s="6" t="s">
        <v>26</v>
      </c>
      <c r="I74" s="8"/>
      <c r="J74" s="8">
        <v>110</v>
      </c>
      <c r="K74" s="6" t="s">
        <v>4512</v>
      </c>
      <c r="L74" s="6" t="s">
        <v>2906</v>
      </c>
      <c r="M74" s="6" t="s">
        <v>4509</v>
      </c>
      <c r="N74" s="6" t="s">
        <v>4537</v>
      </c>
    </row>
    <row r="75" s="1" customFormat="1" ht="16.35" customHeight="1" spans="1:14">
      <c r="A75" s="5"/>
      <c r="B75" s="6" t="s">
        <v>4506</v>
      </c>
      <c r="C75" s="6">
        <v>2014</v>
      </c>
      <c r="D75" s="6">
        <v>2</v>
      </c>
      <c r="E75" s="7">
        <v>3</v>
      </c>
      <c r="F75" s="6" t="s">
        <v>9402</v>
      </c>
      <c r="G75" s="6" t="s">
        <v>9370</v>
      </c>
      <c r="H75" s="6" t="s">
        <v>26</v>
      </c>
      <c r="I75" s="8"/>
      <c r="J75" s="8">
        <v>100</v>
      </c>
      <c r="K75" s="6" t="s">
        <v>4512</v>
      </c>
      <c r="L75" s="6" t="s">
        <v>2906</v>
      </c>
      <c r="M75" s="6" t="s">
        <v>4509</v>
      </c>
      <c r="N75" s="6" t="s">
        <v>4537</v>
      </c>
    </row>
    <row r="76" s="1" customFormat="1" ht="16.35" customHeight="1" spans="1:14">
      <c r="A76" s="5"/>
      <c r="B76" s="6" t="s">
        <v>4506</v>
      </c>
      <c r="C76" s="6">
        <v>2014</v>
      </c>
      <c r="D76" s="6">
        <v>2</v>
      </c>
      <c r="E76" s="7">
        <v>4</v>
      </c>
      <c r="F76" s="6" t="s">
        <v>9412</v>
      </c>
      <c r="G76" s="6" t="s">
        <v>9370</v>
      </c>
      <c r="H76" s="6" t="s">
        <v>26</v>
      </c>
      <c r="I76" s="8"/>
      <c r="J76" s="8">
        <v>200000</v>
      </c>
      <c r="K76" s="6" t="s">
        <v>4514</v>
      </c>
      <c r="L76" s="6" t="s">
        <v>4511</v>
      </c>
      <c r="M76" s="6" t="s">
        <v>4509</v>
      </c>
      <c r="N76" s="6" t="s">
        <v>4537</v>
      </c>
    </row>
    <row r="77" s="1" customFormat="1" ht="16.35" customHeight="1" spans="1:14">
      <c r="A77" s="5"/>
      <c r="B77" s="6" t="s">
        <v>4506</v>
      </c>
      <c r="C77" s="6">
        <v>2014</v>
      </c>
      <c r="D77" s="6">
        <v>2</v>
      </c>
      <c r="E77" s="7">
        <v>5</v>
      </c>
      <c r="F77" s="6" t="s">
        <v>9413</v>
      </c>
      <c r="G77" s="6" t="s">
        <v>9370</v>
      </c>
      <c r="H77" s="6" t="s">
        <v>26</v>
      </c>
      <c r="I77" s="8"/>
      <c r="J77" s="8">
        <v>23771.48</v>
      </c>
      <c r="K77" s="6" t="s">
        <v>4512</v>
      </c>
      <c r="L77" s="6" t="s">
        <v>2906</v>
      </c>
      <c r="M77" s="6" t="s">
        <v>4509</v>
      </c>
      <c r="N77" s="6" t="s">
        <v>4537</v>
      </c>
    </row>
    <row r="78" s="1" customFormat="1" ht="16.35" customHeight="1" spans="1:14">
      <c r="A78" s="5"/>
      <c r="B78" s="6" t="s">
        <v>4506</v>
      </c>
      <c r="C78" s="6">
        <v>2014</v>
      </c>
      <c r="D78" s="6">
        <v>2</v>
      </c>
      <c r="E78" s="7">
        <v>6</v>
      </c>
      <c r="F78" s="6" t="s">
        <v>9411</v>
      </c>
      <c r="G78" s="6" t="s">
        <v>9370</v>
      </c>
      <c r="H78" s="6" t="s">
        <v>26</v>
      </c>
      <c r="I78" s="8"/>
      <c r="J78" s="8">
        <v>50</v>
      </c>
      <c r="K78" s="6" t="s">
        <v>4512</v>
      </c>
      <c r="L78" s="6" t="s">
        <v>2906</v>
      </c>
      <c r="M78" s="6" t="s">
        <v>4509</v>
      </c>
      <c r="N78" s="6" t="s">
        <v>4537</v>
      </c>
    </row>
    <row r="79" s="1" customFormat="1" ht="16.35" customHeight="1" spans="1:14">
      <c r="A79" s="5"/>
      <c r="B79" s="6" t="s">
        <v>4506</v>
      </c>
      <c r="C79" s="6">
        <v>2014</v>
      </c>
      <c r="D79" s="6">
        <v>2</v>
      </c>
      <c r="E79" s="7">
        <v>7</v>
      </c>
      <c r="F79" s="6" t="s">
        <v>9414</v>
      </c>
      <c r="G79" s="6" t="s">
        <v>9370</v>
      </c>
      <c r="H79" s="6" t="s">
        <v>26</v>
      </c>
      <c r="I79" s="8"/>
      <c r="J79" s="8">
        <v>52047</v>
      </c>
      <c r="K79" s="6" t="s">
        <v>4514</v>
      </c>
      <c r="L79" s="6" t="s">
        <v>4511</v>
      </c>
      <c r="M79" s="6" t="s">
        <v>4509</v>
      </c>
      <c r="N79" s="6" t="s">
        <v>4537</v>
      </c>
    </row>
    <row r="80" s="1" customFormat="1" ht="16.35" customHeight="1" spans="1:14">
      <c r="A80" s="5"/>
      <c r="B80" s="6" t="s">
        <v>4506</v>
      </c>
      <c r="C80" s="6">
        <v>2014</v>
      </c>
      <c r="D80" s="6">
        <v>2</v>
      </c>
      <c r="E80" s="7">
        <v>8</v>
      </c>
      <c r="F80" s="6" t="s">
        <v>9415</v>
      </c>
      <c r="G80" s="6" t="s">
        <v>9370</v>
      </c>
      <c r="H80" s="6" t="s">
        <v>26</v>
      </c>
      <c r="I80" s="8"/>
      <c r="J80" s="8">
        <v>221183</v>
      </c>
      <c r="K80" s="6" t="s">
        <v>4514</v>
      </c>
      <c r="L80" s="6" t="s">
        <v>4511</v>
      </c>
      <c r="M80" s="6" t="s">
        <v>4509</v>
      </c>
      <c r="N80" s="6" t="s">
        <v>4537</v>
      </c>
    </row>
    <row r="81" s="1" customFormat="1" ht="16.35" customHeight="1" spans="1:14">
      <c r="A81" s="5"/>
      <c r="B81" s="6" t="s">
        <v>4506</v>
      </c>
      <c r="C81" s="6">
        <v>2014</v>
      </c>
      <c r="D81" s="6">
        <v>2</v>
      </c>
      <c r="E81" s="7">
        <v>9</v>
      </c>
      <c r="F81" s="6" t="s">
        <v>9416</v>
      </c>
      <c r="G81" s="6" t="s">
        <v>9370</v>
      </c>
      <c r="H81" s="6" t="s">
        <v>26</v>
      </c>
      <c r="I81" s="8"/>
      <c r="J81" s="8">
        <v>54814</v>
      </c>
      <c r="K81" s="6" t="s">
        <v>4514</v>
      </c>
      <c r="L81" s="6" t="s">
        <v>4511</v>
      </c>
      <c r="M81" s="6" t="s">
        <v>4509</v>
      </c>
      <c r="N81" s="6" t="s">
        <v>4537</v>
      </c>
    </row>
    <row r="82" s="1" customFormat="1" ht="16.35" customHeight="1" spans="1:14">
      <c r="A82" s="5"/>
      <c r="B82" s="6" t="s">
        <v>4506</v>
      </c>
      <c r="C82" s="6">
        <v>2014</v>
      </c>
      <c r="D82" s="6">
        <v>2</v>
      </c>
      <c r="E82" s="7">
        <v>10</v>
      </c>
      <c r="F82" s="6" t="s">
        <v>9417</v>
      </c>
      <c r="G82" s="6" t="s">
        <v>9370</v>
      </c>
      <c r="H82" s="6" t="s">
        <v>26</v>
      </c>
      <c r="I82" s="8"/>
      <c r="J82" s="8">
        <v>100000</v>
      </c>
      <c r="K82" s="6" t="s">
        <v>4514</v>
      </c>
      <c r="L82" s="6" t="s">
        <v>4511</v>
      </c>
      <c r="M82" s="6" t="s">
        <v>4509</v>
      </c>
      <c r="N82" s="6" t="s">
        <v>4537</v>
      </c>
    </row>
    <row r="83" s="1" customFormat="1" ht="16.35" customHeight="1" spans="1:14">
      <c r="A83" s="5"/>
      <c r="B83" s="6" t="s">
        <v>4506</v>
      </c>
      <c r="C83" s="6">
        <v>2014</v>
      </c>
      <c r="D83" s="6">
        <v>2</v>
      </c>
      <c r="E83" s="7">
        <v>11</v>
      </c>
      <c r="F83" s="6" t="s">
        <v>9418</v>
      </c>
      <c r="G83" s="6" t="s">
        <v>9370</v>
      </c>
      <c r="H83" s="6" t="s">
        <v>26</v>
      </c>
      <c r="I83" s="8"/>
      <c r="J83" s="8">
        <v>50000</v>
      </c>
      <c r="K83" s="6" t="s">
        <v>4514</v>
      </c>
      <c r="L83" s="6" t="s">
        <v>4511</v>
      </c>
      <c r="M83" s="6" t="s">
        <v>4509</v>
      </c>
      <c r="N83" s="6" t="s">
        <v>4537</v>
      </c>
    </row>
    <row r="84" s="1" customFormat="1" ht="16.35" customHeight="1" spans="1:14">
      <c r="A84" s="5"/>
      <c r="B84" s="6" t="s">
        <v>4506</v>
      </c>
      <c r="C84" s="6">
        <v>2014</v>
      </c>
      <c r="D84" s="6">
        <v>2</v>
      </c>
      <c r="E84" s="7">
        <v>12</v>
      </c>
      <c r="F84" s="6" t="s">
        <v>9419</v>
      </c>
      <c r="G84" s="6" t="s">
        <v>9370</v>
      </c>
      <c r="H84" s="6" t="s">
        <v>26</v>
      </c>
      <c r="I84" s="8"/>
      <c r="J84" s="8">
        <v>-50000</v>
      </c>
      <c r="K84" s="6" t="s">
        <v>4514</v>
      </c>
      <c r="L84" s="6" t="s">
        <v>4511</v>
      </c>
      <c r="M84" s="6" t="s">
        <v>4509</v>
      </c>
      <c r="N84" s="6" t="s">
        <v>4537</v>
      </c>
    </row>
    <row r="85" s="1" customFormat="1" ht="16.35" customHeight="1" spans="1:14">
      <c r="A85" s="5"/>
      <c r="B85" s="6" t="s">
        <v>4506</v>
      </c>
      <c r="C85" s="6">
        <v>2014</v>
      </c>
      <c r="D85" s="6">
        <v>2</v>
      </c>
      <c r="E85" s="7">
        <v>13</v>
      </c>
      <c r="F85" s="6" t="s">
        <v>9420</v>
      </c>
      <c r="G85" s="6" t="s">
        <v>9370</v>
      </c>
      <c r="H85" s="6" t="s">
        <v>26</v>
      </c>
      <c r="I85" s="8"/>
      <c r="J85" s="8">
        <v>233513</v>
      </c>
      <c r="K85" s="6" t="s">
        <v>4514</v>
      </c>
      <c r="L85" s="6" t="s">
        <v>4511</v>
      </c>
      <c r="M85" s="6" t="s">
        <v>4509</v>
      </c>
      <c r="N85" s="6" t="s">
        <v>4537</v>
      </c>
    </row>
    <row r="86" s="1" customFormat="1" ht="16.35" customHeight="1" spans="1:14">
      <c r="A86" s="5"/>
      <c r="B86" s="6" t="s">
        <v>4506</v>
      </c>
      <c r="C86" s="6">
        <v>2014</v>
      </c>
      <c r="D86" s="6">
        <v>2</v>
      </c>
      <c r="E86" s="7">
        <v>14</v>
      </c>
      <c r="F86" s="6" t="s">
        <v>9405</v>
      </c>
      <c r="G86" s="6" t="s">
        <v>9370</v>
      </c>
      <c r="H86" s="6" t="s">
        <v>26</v>
      </c>
      <c r="I86" s="8">
        <v>640000</v>
      </c>
      <c r="J86" s="8"/>
      <c r="K86" s="6" t="s">
        <v>4509</v>
      </c>
      <c r="L86" s="6" t="s">
        <v>9218</v>
      </c>
      <c r="M86" s="6" t="s">
        <v>4509</v>
      </c>
      <c r="N86" s="6" t="s">
        <v>4537</v>
      </c>
    </row>
    <row r="87" s="1" customFormat="1" ht="16.35" customHeight="1" spans="1:14">
      <c r="A87" s="5"/>
      <c r="B87" s="6" t="s">
        <v>4506</v>
      </c>
      <c r="C87" s="6">
        <v>2014</v>
      </c>
      <c r="D87" s="6">
        <v>2</v>
      </c>
      <c r="E87" s="7">
        <v>16</v>
      </c>
      <c r="F87" s="6" t="s">
        <v>9405</v>
      </c>
      <c r="G87" s="6" t="s">
        <v>9370</v>
      </c>
      <c r="H87" s="6" t="s">
        <v>26</v>
      </c>
      <c r="I87" s="8">
        <v>240000</v>
      </c>
      <c r="J87" s="8"/>
      <c r="K87" s="6" t="s">
        <v>4509</v>
      </c>
      <c r="L87" s="6" t="s">
        <v>9218</v>
      </c>
      <c r="M87" s="6" t="s">
        <v>4510</v>
      </c>
      <c r="N87" s="6" t="s">
        <v>4511</v>
      </c>
    </row>
    <row r="88" s="1" customFormat="1" ht="16.35" customHeight="1" spans="1:14">
      <c r="A88" s="5"/>
      <c r="B88" s="6" t="s">
        <v>4506</v>
      </c>
      <c r="C88" s="6">
        <v>2014</v>
      </c>
      <c r="D88" s="6">
        <v>2</v>
      </c>
      <c r="E88" s="7">
        <v>18</v>
      </c>
      <c r="F88" s="6" t="s">
        <v>9421</v>
      </c>
      <c r="G88" s="6" t="s">
        <v>9370</v>
      </c>
      <c r="H88" s="6" t="s">
        <v>26</v>
      </c>
      <c r="I88" s="8">
        <v>4770.78</v>
      </c>
      <c r="J88" s="8"/>
      <c r="K88" s="6" t="s">
        <v>4512</v>
      </c>
      <c r="L88" s="6" t="s">
        <v>2906</v>
      </c>
      <c r="M88" s="6" t="s">
        <v>4509</v>
      </c>
      <c r="N88" s="6" t="s">
        <v>4537</v>
      </c>
    </row>
    <row r="89" s="1" customFormat="1" ht="16.35" customHeight="1" spans="1:14">
      <c r="A89" s="5"/>
      <c r="B89" s="6" t="s">
        <v>4506</v>
      </c>
      <c r="C89" s="6">
        <v>2014</v>
      </c>
      <c r="D89" s="6">
        <v>2</v>
      </c>
      <c r="E89" s="7">
        <v>19</v>
      </c>
      <c r="F89" s="6" t="s">
        <v>9422</v>
      </c>
      <c r="G89" s="6" t="s">
        <v>9370</v>
      </c>
      <c r="H89" s="6" t="s">
        <v>26</v>
      </c>
      <c r="I89" s="8"/>
      <c r="J89" s="8">
        <v>5000</v>
      </c>
      <c r="K89" s="6" t="s">
        <v>4512</v>
      </c>
      <c r="L89" s="6" t="s">
        <v>2906</v>
      </c>
      <c r="M89" s="6" t="s">
        <v>4509</v>
      </c>
      <c r="N89" s="6" t="s">
        <v>4537</v>
      </c>
    </row>
    <row r="90" s="1" customFormat="1" ht="16.35" customHeight="1" spans="1:14">
      <c r="A90" s="5"/>
      <c r="B90" s="6" t="s">
        <v>4506</v>
      </c>
      <c r="C90" s="6">
        <v>2014</v>
      </c>
      <c r="D90" s="6">
        <v>2</v>
      </c>
      <c r="E90" s="7">
        <v>20</v>
      </c>
      <c r="F90" s="6" t="s">
        <v>9399</v>
      </c>
      <c r="G90" s="6" t="s">
        <v>9370</v>
      </c>
      <c r="H90" s="6" t="s">
        <v>26</v>
      </c>
      <c r="I90" s="8"/>
      <c r="J90" s="8">
        <v>10000</v>
      </c>
      <c r="K90" s="6" t="s">
        <v>4509</v>
      </c>
      <c r="L90" s="6" t="s">
        <v>9218</v>
      </c>
      <c r="M90" s="6" t="s">
        <v>4509</v>
      </c>
      <c r="N90" s="6" t="s">
        <v>4537</v>
      </c>
    </row>
    <row r="91" s="1" customFormat="1" ht="16.35" customHeight="1" spans="1:14">
      <c r="A91" s="5"/>
      <c r="B91" s="6" t="s">
        <v>4506</v>
      </c>
      <c r="C91" s="6">
        <v>2014</v>
      </c>
      <c r="D91" s="6">
        <v>3</v>
      </c>
      <c r="E91" s="7">
        <v>1</v>
      </c>
      <c r="F91" s="6" t="s">
        <v>9423</v>
      </c>
      <c r="G91" s="6" t="s">
        <v>9370</v>
      </c>
      <c r="H91" s="6" t="s">
        <v>26</v>
      </c>
      <c r="I91" s="8"/>
      <c r="J91" s="8">
        <v>5208.5</v>
      </c>
      <c r="K91" s="6" t="s">
        <v>4512</v>
      </c>
      <c r="L91" s="6" t="s">
        <v>2906</v>
      </c>
      <c r="M91" s="6" t="s">
        <v>4509</v>
      </c>
      <c r="N91" s="6" t="s">
        <v>4537</v>
      </c>
    </row>
    <row r="92" s="1" customFormat="1" ht="16.35" customHeight="1" spans="1:14">
      <c r="A92" s="5"/>
      <c r="B92" s="6" t="s">
        <v>4506</v>
      </c>
      <c r="C92" s="6">
        <v>2014</v>
      </c>
      <c r="D92" s="6">
        <v>3</v>
      </c>
      <c r="E92" s="7">
        <v>2</v>
      </c>
      <c r="F92" s="6" t="s">
        <v>9424</v>
      </c>
      <c r="G92" s="6" t="s">
        <v>9370</v>
      </c>
      <c r="H92" s="6" t="s">
        <v>26</v>
      </c>
      <c r="I92" s="8">
        <v>20000</v>
      </c>
      <c r="J92" s="8"/>
      <c r="K92" s="6" t="s">
        <v>4512</v>
      </c>
      <c r="L92" s="6" t="s">
        <v>2906</v>
      </c>
      <c r="M92" s="6" t="s">
        <v>4509</v>
      </c>
      <c r="N92" s="6" t="s">
        <v>4537</v>
      </c>
    </row>
    <row r="93" s="1" customFormat="1" ht="16.35" customHeight="1" spans="1:14">
      <c r="A93" s="5"/>
      <c r="B93" s="6" t="s">
        <v>4506</v>
      </c>
      <c r="C93" s="6">
        <v>2014</v>
      </c>
      <c r="D93" s="6">
        <v>3</v>
      </c>
      <c r="E93" s="7">
        <v>2</v>
      </c>
      <c r="F93" s="6" t="s">
        <v>9424</v>
      </c>
      <c r="G93" s="6" t="s">
        <v>9370</v>
      </c>
      <c r="H93" s="6" t="s">
        <v>26</v>
      </c>
      <c r="I93" s="8"/>
      <c r="J93" s="8">
        <v>182388</v>
      </c>
      <c r="K93" s="6" t="s">
        <v>4514</v>
      </c>
      <c r="L93" s="6" t="s">
        <v>4511</v>
      </c>
      <c r="M93" s="6" t="s">
        <v>4509</v>
      </c>
      <c r="N93" s="6" t="s">
        <v>4537</v>
      </c>
    </row>
    <row r="94" s="1" customFormat="1" ht="16.35" customHeight="1" spans="1:14">
      <c r="A94" s="5"/>
      <c r="B94" s="6" t="s">
        <v>4506</v>
      </c>
      <c r="C94" s="6">
        <v>2014</v>
      </c>
      <c r="D94" s="6">
        <v>3</v>
      </c>
      <c r="E94" s="7">
        <v>3</v>
      </c>
      <c r="F94" s="6" t="s">
        <v>4554</v>
      </c>
      <c r="G94" s="6" t="s">
        <v>9370</v>
      </c>
      <c r="H94" s="6" t="s">
        <v>26</v>
      </c>
      <c r="I94" s="8">
        <v>87581</v>
      </c>
      <c r="J94" s="8"/>
      <c r="K94" s="6" t="s">
        <v>4512</v>
      </c>
      <c r="L94" s="6" t="s">
        <v>2906</v>
      </c>
      <c r="M94" s="6" t="s">
        <v>4509</v>
      </c>
      <c r="N94" s="6" t="s">
        <v>4537</v>
      </c>
    </row>
    <row r="95" s="1" customFormat="1" ht="16.35" customHeight="1" spans="1:14">
      <c r="A95" s="5"/>
      <c r="B95" s="6" t="s">
        <v>4506</v>
      </c>
      <c r="C95" s="6">
        <v>2014</v>
      </c>
      <c r="D95" s="6">
        <v>3</v>
      </c>
      <c r="E95" s="7">
        <v>3</v>
      </c>
      <c r="F95" s="6" t="s">
        <v>4554</v>
      </c>
      <c r="G95" s="6" t="s">
        <v>9370</v>
      </c>
      <c r="H95" s="6" t="s">
        <v>26</v>
      </c>
      <c r="I95" s="8"/>
      <c r="J95" s="8">
        <v>87581</v>
      </c>
      <c r="K95" s="6" t="s">
        <v>4514</v>
      </c>
      <c r="L95" s="6" t="s">
        <v>4511</v>
      </c>
      <c r="M95" s="6" t="s">
        <v>4509</v>
      </c>
      <c r="N95" s="6" t="s">
        <v>4537</v>
      </c>
    </row>
    <row r="96" s="1" customFormat="1" ht="16.35" customHeight="1" spans="1:14">
      <c r="A96" s="5"/>
      <c r="B96" s="6" t="s">
        <v>4506</v>
      </c>
      <c r="C96" s="6">
        <v>2014</v>
      </c>
      <c r="D96" s="6">
        <v>3</v>
      </c>
      <c r="E96" s="7">
        <v>4</v>
      </c>
      <c r="F96" s="6" t="s">
        <v>9425</v>
      </c>
      <c r="G96" s="6" t="s">
        <v>9370</v>
      </c>
      <c r="H96" s="6" t="s">
        <v>26</v>
      </c>
      <c r="I96" s="8">
        <v>20000</v>
      </c>
      <c r="J96" s="8"/>
      <c r="K96" s="6" t="s">
        <v>4512</v>
      </c>
      <c r="L96" s="6" t="s">
        <v>2906</v>
      </c>
      <c r="M96" s="6" t="s">
        <v>4509</v>
      </c>
      <c r="N96" s="6" t="s">
        <v>4537</v>
      </c>
    </row>
    <row r="97" s="1" customFormat="1" ht="16.35" customHeight="1" spans="1:14">
      <c r="A97" s="5"/>
      <c r="B97" s="6" t="s">
        <v>4506</v>
      </c>
      <c r="C97" s="6">
        <v>2014</v>
      </c>
      <c r="D97" s="6">
        <v>3</v>
      </c>
      <c r="E97" s="7">
        <v>4</v>
      </c>
      <c r="F97" s="6" t="s">
        <v>9425</v>
      </c>
      <c r="G97" s="6" t="s">
        <v>9370</v>
      </c>
      <c r="H97" s="6" t="s">
        <v>26</v>
      </c>
      <c r="I97" s="8"/>
      <c r="J97" s="8">
        <v>122266</v>
      </c>
      <c r="K97" s="6" t="s">
        <v>4514</v>
      </c>
      <c r="L97" s="6" t="s">
        <v>4511</v>
      </c>
      <c r="M97" s="6" t="s">
        <v>4509</v>
      </c>
      <c r="N97" s="6" t="s">
        <v>4537</v>
      </c>
    </row>
    <row r="98" s="1" customFormat="1" ht="16.35" customHeight="1" spans="1:14">
      <c r="A98" s="5"/>
      <c r="B98" s="6" t="s">
        <v>4506</v>
      </c>
      <c r="C98" s="6">
        <v>2014</v>
      </c>
      <c r="D98" s="6">
        <v>3</v>
      </c>
      <c r="E98" s="7">
        <v>5</v>
      </c>
      <c r="F98" s="6" t="s">
        <v>9426</v>
      </c>
      <c r="G98" s="6" t="s">
        <v>9370</v>
      </c>
      <c r="H98" s="6" t="s">
        <v>26</v>
      </c>
      <c r="I98" s="8"/>
      <c r="J98" s="8">
        <v>30000</v>
      </c>
      <c r="K98" s="6" t="s">
        <v>4514</v>
      </c>
      <c r="L98" s="6" t="s">
        <v>4511</v>
      </c>
      <c r="M98" s="6" t="s">
        <v>4509</v>
      </c>
      <c r="N98" s="6" t="s">
        <v>4537</v>
      </c>
    </row>
    <row r="99" s="1" customFormat="1" ht="16.35" customHeight="1" spans="1:14">
      <c r="A99" s="5"/>
      <c r="B99" s="6" t="s">
        <v>4506</v>
      </c>
      <c r="C99" s="6">
        <v>2014</v>
      </c>
      <c r="D99" s="6">
        <v>3</v>
      </c>
      <c r="E99" s="7">
        <v>8</v>
      </c>
      <c r="F99" s="6" t="s">
        <v>9427</v>
      </c>
      <c r="G99" s="6" t="s">
        <v>9370</v>
      </c>
      <c r="H99" s="6" t="s">
        <v>26</v>
      </c>
      <c r="I99" s="8"/>
      <c r="J99" s="8">
        <v>1285000</v>
      </c>
      <c r="K99" s="6" t="s">
        <v>4512</v>
      </c>
      <c r="L99" s="6" t="s">
        <v>2906</v>
      </c>
      <c r="M99" s="6" t="s">
        <v>4509</v>
      </c>
      <c r="N99" s="6" t="s">
        <v>4537</v>
      </c>
    </row>
    <row r="100" s="1" customFormat="1" ht="16.35" customHeight="1" spans="1:14">
      <c r="A100" s="5"/>
      <c r="B100" s="6" t="s">
        <v>4506</v>
      </c>
      <c r="C100" s="6">
        <v>2014</v>
      </c>
      <c r="D100" s="6">
        <v>3</v>
      </c>
      <c r="E100" s="7">
        <v>9</v>
      </c>
      <c r="F100" s="6" t="s">
        <v>9428</v>
      </c>
      <c r="G100" s="6" t="s">
        <v>9370</v>
      </c>
      <c r="H100" s="6" t="s">
        <v>26</v>
      </c>
      <c r="I100" s="8">
        <v>80000</v>
      </c>
      <c r="J100" s="8"/>
      <c r="K100" s="6" t="s">
        <v>4512</v>
      </c>
      <c r="L100" s="6" t="s">
        <v>2906</v>
      </c>
      <c r="M100" s="6" t="s">
        <v>4509</v>
      </c>
      <c r="N100" s="6" t="s">
        <v>4537</v>
      </c>
    </row>
    <row r="101" s="1" customFormat="1" ht="16.35" customHeight="1" spans="1:14">
      <c r="A101" s="5"/>
      <c r="B101" s="6" t="s">
        <v>4506</v>
      </c>
      <c r="C101" s="6">
        <v>2014</v>
      </c>
      <c r="D101" s="6">
        <v>3</v>
      </c>
      <c r="E101" s="7">
        <v>9</v>
      </c>
      <c r="F101" s="6" t="s">
        <v>9428</v>
      </c>
      <c r="G101" s="6" t="s">
        <v>9370</v>
      </c>
      <c r="H101" s="6" t="s">
        <v>26</v>
      </c>
      <c r="I101" s="8"/>
      <c r="J101" s="8">
        <v>99758</v>
      </c>
      <c r="K101" s="6" t="s">
        <v>4514</v>
      </c>
      <c r="L101" s="6" t="s">
        <v>4511</v>
      </c>
      <c r="M101" s="6" t="s">
        <v>4509</v>
      </c>
      <c r="N101" s="6" t="s">
        <v>4537</v>
      </c>
    </row>
    <row r="102" s="1" customFormat="1" ht="16.35" customHeight="1" spans="1:14">
      <c r="A102" s="5"/>
      <c r="B102" s="6" t="s">
        <v>4506</v>
      </c>
      <c r="C102" s="6">
        <v>2014</v>
      </c>
      <c r="D102" s="6">
        <v>3</v>
      </c>
      <c r="E102" s="7">
        <v>12</v>
      </c>
      <c r="F102" s="6" t="s">
        <v>9429</v>
      </c>
      <c r="G102" s="6" t="s">
        <v>9370</v>
      </c>
      <c r="H102" s="6" t="s">
        <v>26</v>
      </c>
      <c r="I102" s="8">
        <v>20000</v>
      </c>
      <c r="J102" s="8"/>
      <c r="K102" s="6" t="s">
        <v>4509</v>
      </c>
      <c r="L102" s="6" t="s">
        <v>9218</v>
      </c>
      <c r="M102" s="6" t="s">
        <v>4509</v>
      </c>
      <c r="N102" s="6" t="s">
        <v>4537</v>
      </c>
    </row>
    <row r="103" s="1" customFormat="1" ht="16.35" customHeight="1" spans="1:14">
      <c r="A103" s="5"/>
      <c r="B103" s="6" t="s">
        <v>4506</v>
      </c>
      <c r="C103" s="6">
        <v>2014</v>
      </c>
      <c r="D103" s="6">
        <v>3</v>
      </c>
      <c r="E103" s="7">
        <v>12</v>
      </c>
      <c r="F103" s="6" t="s">
        <v>9429</v>
      </c>
      <c r="G103" s="6" t="s">
        <v>9370</v>
      </c>
      <c r="H103" s="6" t="s">
        <v>26</v>
      </c>
      <c r="I103" s="8"/>
      <c r="J103" s="8">
        <v>85000</v>
      </c>
      <c r="K103" s="6" t="s">
        <v>4514</v>
      </c>
      <c r="L103" s="6" t="s">
        <v>4511</v>
      </c>
      <c r="M103" s="6" t="s">
        <v>4509</v>
      </c>
      <c r="N103" s="6" t="s">
        <v>4537</v>
      </c>
    </row>
    <row r="104" s="1" customFormat="1" ht="16.35" customHeight="1" spans="1:14">
      <c r="A104" s="5"/>
      <c r="B104" s="6" t="s">
        <v>4506</v>
      </c>
      <c r="C104" s="6">
        <v>2014</v>
      </c>
      <c r="D104" s="6">
        <v>3</v>
      </c>
      <c r="E104" s="7">
        <v>16</v>
      </c>
      <c r="F104" s="6" t="s">
        <v>9430</v>
      </c>
      <c r="G104" s="6" t="s">
        <v>9370</v>
      </c>
      <c r="H104" s="6" t="s">
        <v>26</v>
      </c>
      <c r="I104" s="8">
        <v>100000</v>
      </c>
      <c r="J104" s="8"/>
      <c r="K104" s="6" t="s">
        <v>4512</v>
      </c>
      <c r="L104" s="6" t="s">
        <v>2906</v>
      </c>
      <c r="M104" s="6" t="s">
        <v>4509</v>
      </c>
      <c r="N104" s="6" t="s">
        <v>4537</v>
      </c>
    </row>
    <row r="105" s="1" customFormat="1" ht="16.35" customHeight="1" spans="1:14">
      <c r="A105" s="5"/>
      <c r="B105" s="6" t="s">
        <v>4506</v>
      </c>
      <c r="C105" s="6">
        <v>2014</v>
      </c>
      <c r="D105" s="6">
        <v>3</v>
      </c>
      <c r="E105" s="7">
        <v>16</v>
      </c>
      <c r="F105" s="6" t="s">
        <v>9430</v>
      </c>
      <c r="G105" s="6" t="s">
        <v>9370</v>
      </c>
      <c r="H105" s="6" t="s">
        <v>26</v>
      </c>
      <c r="I105" s="8"/>
      <c r="J105" s="8">
        <v>100000</v>
      </c>
      <c r="K105" s="6" t="s">
        <v>4514</v>
      </c>
      <c r="L105" s="6" t="s">
        <v>4511</v>
      </c>
      <c r="M105" s="6" t="s">
        <v>4509</v>
      </c>
      <c r="N105" s="6" t="s">
        <v>4537</v>
      </c>
    </row>
    <row r="106" s="1" customFormat="1" ht="16.35" customHeight="1" spans="1:14">
      <c r="A106" s="5"/>
      <c r="B106" s="6" t="s">
        <v>4506</v>
      </c>
      <c r="C106" s="6">
        <v>2014</v>
      </c>
      <c r="D106" s="6">
        <v>3</v>
      </c>
      <c r="E106" s="7">
        <v>17</v>
      </c>
      <c r="F106" s="6" t="s">
        <v>9431</v>
      </c>
      <c r="G106" s="6" t="s">
        <v>9370</v>
      </c>
      <c r="H106" s="6" t="s">
        <v>26</v>
      </c>
      <c r="I106" s="8"/>
      <c r="J106" s="8">
        <v>125044</v>
      </c>
      <c r="K106" s="6" t="s">
        <v>4514</v>
      </c>
      <c r="L106" s="6" t="s">
        <v>4511</v>
      </c>
      <c r="M106" s="6" t="s">
        <v>4509</v>
      </c>
      <c r="N106" s="6" t="s">
        <v>4537</v>
      </c>
    </row>
    <row r="107" s="1" customFormat="1" ht="16.35" customHeight="1" spans="1:14">
      <c r="A107" s="5"/>
      <c r="B107" s="6" t="s">
        <v>4506</v>
      </c>
      <c r="C107" s="6">
        <v>2014</v>
      </c>
      <c r="D107" s="6">
        <v>3</v>
      </c>
      <c r="E107" s="7">
        <v>18</v>
      </c>
      <c r="F107" s="6" t="s">
        <v>9432</v>
      </c>
      <c r="G107" s="6" t="s">
        <v>9370</v>
      </c>
      <c r="H107" s="6" t="s">
        <v>26</v>
      </c>
      <c r="I107" s="8">
        <v>2500</v>
      </c>
      <c r="J107" s="8"/>
      <c r="K107" s="6" t="s">
        <v>4512</v>
      </c>
      <c r="L107" s="6" t="s">
        <v>2906</v>
      </c>
      <c r="M107" s="6" t="s">
        <v>4509</v>
      </c>
      <c r="N107" s="6" t="s">
        <v>4537</v>
      </c>
    </row>
    <row r="108" s="1" customFormat="1" ht="16.35" customHeight="1" spans="1:14">
      <c r="A108" s="5"/>
      <c r="B108" s="6" t="s">
        <v>4506</v>
      </c>
      <c r="C108" s="6">
        <v>2014</v>
      </c>
      <c r="D108" s="6">
        <v>3</v>
      </c>
      <c r="E108" s="7">
        <v>19</v>
      </c>
      <c r="F108" s="6" t="s">
        <v>9433</v>
      </c>
      <c r="G108" s="6" t="s">
        <v>9370</v>
      </c>
      <c r="H108" s="6" t="s">
        <v>26</v>
      </c>
      <c r="I108" s="8"/>
      <c r="J108" s="8">
        <v>30000</v>
      </c>
      <c r="K108" s="6" t="s">
        <v>4514</v>
      </c>
      <c r="L108" s="6" t="s">
        <v>4511</v>
      </c>
      <c r="M108" s="6" t="s">
        <v>4509</v>
      </c>
      <c r="N108" s="6" t="s">
        <v>4537</v>
      </c>
    </row>
    <row r="109" s="1" customFormat="1" ht="16.35" customHeight="1" spans="1:14">
      <c r="A109" s="5"/>
      <c r="B109" s="6" t="s">
        <v>4506</v>
      </c>
      <c r="C109" s="6">
        <v>2014</v>
      </c>
      <c r="D109" s="6">
        <v>3</v>
      </c>
      <c r="E109" s="7">
        <v>21</v>
      </c>
      <c r="F109" s="6" t="s">
        <v>9434</v>
      </c>
      <c r="G109" s="6" t="s">
        <v>9370</v>
      </c>
      <c r="H109" s="6" t="s">
        <v>26</v>
      </c>
      <c r="I109" s="8"/>
      <c r="J109" s="8">
        <v>224923</v>
      </c>
      <c r="K109" s="6" t="s">
        <v>4514</v>
      </c>
      <c r="L109" s="6" t="s">
        <v>4511</v>
      </c>
      <c r="M109" s="6" t="s">
        <v>4509</v>
      </c>
      <c r="N109" s="6" t="s">
        <v>4537</v>
      </c>
    </row>
    <row r="110" s="1" customFormat="1" ht="16.35" customHeight="1" spans="1:14">
      <c r="A110" s="5"/>
      <c r="B110" s="6" t="s">
        <v>4506</v>
      </c>
      <c r="C110" s="6">
        <v>2014</v>
      </c>
      <c r="D110" s="6">
        <v>3</v>
      </c>
      <c r="E110" s="7">
        <v>22</v>
      </c>
      <c r="F110" s="6" t="s">
        <v>9435</v>
      </c>
      <c r="G110" s="6" t="s">
        <v>9370</v>
      </c>
      <c r="H110" s="6" t="s">
        <v>26</v>
      </c>
      <c r="I110" s="8"/>
      <c r="J110" s="8">
        <v>2000000</v>
      </c>
      <c r="K110" s="6" t="s">
        <v>4509</v>
      </c>
      <c r="L110" s="6" t="s">
        <v>9218</v>
      </c>
      <c r="M110" s="6" t="s">
        <v>4509</v>
      </c>
      <c r="N110" s="6" t="s">
        <v>4537</v>
      </c>
    </row>
    <row r="111" s="1" customFormat="1" ht="16.35" customHeight="1" spans="1:14">
      <c r="A111" s="5"/>
      <c r="B111" s="6" t="s">
        <v>4506</v>
      </c>
      <c r="C111" s="6">
        <v>2014</v>
      </c>
      <c r="D111" s="6">
        <v>3</v>
      </c>
      <c r="E111" s="7">
        <v>23</v>
      </c>
      <c r="F111" s="6" t="s">
        <v>9436</v>
      </c>
      <c r="G111" s="6" t="s">
        <v>9370</v>
      </c>
      <c r="H111" s="6" t="s">
        <v>26</v>
      </c>
      <c r="I111" s="8"/>
      <c r="J111" s="8">
        <v>273.17</v>
      </c>
      <c r="K111" s="6" t="s">
        <v>4512</v>
      </c>
      <c r="L111" s="6" t="s">
        <v>2906</v>
      </c>
      <c r="M111" s="6" t="s">
        <v>4509</v>
      </c>
      <c r="N111" s="6" t="s">
        <v>4537</v>
      </c>
    </row>
    <row r="112" s="1" customFormat="1" ht="16.35" customHeight="1" spans="1:14">
      <c r="A112" s="5"/>
      <c r="B112" s="6" t="s">
        <v>4506</v>
      </c>
      <c r="C112" s="6">
        <v>2014</v>
      </c>
      <c r="D112" s="6">
        <v>4</v>
      </c>
      <c r="E112" s="7">
        <v>1</v>
      </c>
      <c r="F112" s="6" t="s">
        <v>9437</v>
      </c>
      <c r="G112" s="6" t="s">
        <v>9370</v>
      </c>
      <c r="H112" s="6" t="s">
        <v>26</v>
      </c>
      <c r="I112" s="8"/>
      <c r="J112" s="8">
        <v>101851</v>
      </c>
      <c r="K112" s="6" t="s">
        <v>4514</v>
      </c>
      <c r="L112" s="6" t="s">
        <v>4511</v>
      </c>
      <c r="M112" s="6" t="s">
        <v>4509</v>
      </c>
      <c r="N112" s="6" t="s">
        <v>4537</v>
      </c>
    </row>
    <row r="113" s="1" customFormat="1" ht="16.35" customHeight="1" spans="1:14">
      <c r="A113" s="5"/>
      <c r="B113" s="6" t="s">
        <v>4506</v>
      </c>
      <c r="C113" s="6">
        <v>2014</v>
      </c>
      <c r="D113" s="6">
        <v>4</v>
      </c>
      <c r="E113" s="7">
        <v>2</v>
      </c>
      <c r="F113" s="6" t="s">
        <v>9438</v>
      </c>
      <c r="G113" s="6" t="s">
        <v>9370</v>
      </c>
      <c r="H113" s="6" t="s">
        <v>26</v>
      </c>
      <c r="I113" s="8"/>
      <c r="J113" s="8">
        <v>201723</v>
      </c>
      <c r="K113" s="6" t="s">
        <v>4514</v>
      </c>
      <c r="L113" s="6" t="s">
        <v>4511</v>
      </c>
      <c r="M113" s="6" t="s">
        <v>4509</v>
      </c>
      <c r="N113" s="6" t="s">
        <v>4537</v>
      </c>
    </row>
    <row r="114" s="1" customFormat="1" ht="16.35" customHeight="1" spans="1:14">
      <c r="A114" s="5"/>
      <c r="B114" s="6" t="s">
        <v>4506</v>
      </c>
      <c r="C114" s="6">
        <v>2014</v>
      </c>
      <c r="D114" s="6">
        <v>4</v>
      </c>
      <c r="E114" s="7">
        <v>3</v>
      </c>
      <c r="F114" s="6" t="s">
        <v>9439</v>
      </c>
      <c r="G114" s="6" t="s">
        <v>9370</v>
      </c>
      <c r="H114" s="6" t="s">
        <v>26</v>
      </c>
      <c r="I114" s="8"/>
      <c r="J114" s="8">
        <v>105000</v>
      </c>
      <c r="K114" s="6" t="s">
        <v>4514</v>
      </c>
      <c r="L114" s="6" t="s">
        <v>4511</v>
      </c>
      <c r="M114" s="6" t="s">
        <v>4509</v>
      </c>
      <c r="N114" s="6" t="s">
        <v>4537</v>
      </c>
    </row>
    <row r="115" s="1" customFormat="1" ht="16.35" customHeight="1" spans="1:14">
      <c r="A115" s="5"/>
      <c r="B115" s="6" t="s">
        <v>4506</v>
      </c>
      <c r="C115" s="6">
        <v>2014</v>
      </c>
      <c r="D115" s="6">
        <v>4</v>
      </c>
      <c r="E115" s="7">
        <v>8</v>
      </c>
      <c r="F115" s="6" t="s">
        <v>9440</v>
      </c>
      <c r="G115" s="6" t="s">
        <v>9370</v>
      </c>
      <c r="H115" s="6" t="s">
        <v>26</v>
      </c>
      <c r="I115" s="8"/>
      <c r="J115" s="8">
        <v>117253</v>
      </c>
      <c r="K115" s="6" t="s">
        <v>4514</v>
      </c>
      <c r="L115" s="6" t="s">
        <v>4511</v>
      </c>
      <c r="M115" s="6" t="s">
        <v>4509</v>
      </c>
      <c r="N115" s="6" t="s">
        <v>4537</v>
      </c>
    </row>
    <row r="116" s="1" customFormat="1" ht="16.35" customHeight="1" spans="1:14">
      <c r="A116" s="5"/>
      <c r="B116" s="6" t="s">
        <v>4506</v>
      </c>
      <c r="C116" s="6">
        <v>2014</v>
      </c>
      <c r="D116" s="6">
        <v>4</v>
      </c>
      <c r="E116" s="7">
        <v>9</v>
      </c>
      <c r="F116" s="6" t="s">
        <v>9441</v>
      </c>
      <c r="G116" s="6" t="s">
        <v>9370</v>
      </c>
      <c r="H116" s="6" t="s">
        <v>26</v>
      </c>
      <c r="I116" s="8"/>
      <c r="J116" s="8">
        <v>121851</v>
      </c>
      <c r="K116" s="6" t="s">
        <v>4514</v>
      </c>
      <c r="L116" s="6" t="s">
        <v>4511</v>
      </c>
      <c r="M116" s="6" t="s">
        <v>4509</v>
      </c>
      <c r="N116" s="6" t="s">
        <v>4537</v>
      </c>
    </row>
    <row r="117" s="1" customFormat="1" ht="16.35" customHeight="1" spans="1:14">
      <c r="A117" s="5"/>
      <c r="B117" s="6" t="s">
        <v>4506</v>
      </c>
      <c r="C117" s="6">
        <v>2014</v>
      </c>
      <c r="D117" s="6">
        <v>4</v>
      </c>
      <c r="E117" s="7">
        <v>10</v>
      </c>
      <c r="F117" s="6" t="s">
        <v>9442</v>
      </c>
      <c r="G117" s="6" t="s">
        <v>9370</v>
      </c>
      <c r="H117" s="6" t="s">
        <v>26</v>
      </c>
      <c r="I117" s="8"/>
      <c r="J117" s="8">
        <v>40000</v>
      </c>
      <c r="K117" s="6" t="s">
        <v>4514</v>
      </c>
      <c r="L117" s="6" t="s">
        <v>4511</v>
      </c>
      <c r="M117" s="6" t="s">
        <v>4509</v>
      </c>
      <c r="N117" s="6" t="s">
        <v>4537</v>
      </c>
    </row>
    <row r="118" s="1" customFormat="1" ht="16.35" customHeight="1" spans="1:14">
      <c r="A118" s="5"/>
      <c r="B118" s="6" t="s">
        <v>4506</v>
      </c>
      <c r="C118" s="6">
        <v>2014</v>
      </c>
      <c r="D118" s="6">
        <v>4</v>
      </c>
      <c r="E118" s="7">
        <v>15</v>
      </c>
      <c r="F118" s="6" t="s">
        <v>9443</v>
      </c>
      <c r="G118" s="6" t="s">
        <v>9370</v>
      </c>
      <c r="H118" s="6" t="s">
        <v>26</v>
      </c>
      <c r="I118" s="8"/>
      <c r="J118" s="8">
        <v>103081</v>
      </c>
      <c r="K118" s="6" t="s">
        <v>4514</v>
      </c>
      <c r="L118" s="6" t="s">
        <v>4511</v>
      </c>
      <c r="M118" s="6" t="s">
        <v>4509</v>
      </c>
      <c r="N118" s="6" t="s">
        <v>4537</v>
      </c>
    </row>
    <row r="119" s="1" customFormat="1" ht="16.35" customHeight="1" spans="1:14">
      <c r="A119" s="5"/>
      <c r="B119" s="6" t="s">
        <v>4506</v>
      </c>
      <c r="C119" s="6">
        <v>2014</v>
      </c>
      <c r="D119" s="6">
        <v>4</v>
      </c>
      <c r="E119" s="7">
        <v>20</v>
      </c>
      <c r="F119" s="6" t="s">
        <v>9444</v>
      </c>
      <c r="G119" s="6" t="s">
        <v>9370</v>
      </c>
      <c r="H119" s="6" t="s">
        <v>26</v>
      </c>
      <c r="I119" s="8"/>
      <c r="J119" s="8">
        <v>232017</v>
      </c>
      <c r="K119" s="6" t="s">
        <v>4514</v>
      </c>
      <c r="L119" s="6" t="s">
        <v>4511</v>
      </c>
      <c r="M119" s="6" t="s">
        <v>4509</v>
      </c>
      <c r="N119" s="6" t="s">
        <v>4537</v>
      </c>
    </row>
    <row r="120" s="1" customFormat="1" ht="16.35" customHeight="1" spans="1:14">
      <c r="A120" s="5"/>
      <c r="B120" s="6" t="s">
        <v>4506</v>
      </c>
      <c r="C120" s="6">
        <v>2014</v>
      </c>
      <c r="D120" s="6">
        <v>4</v>
      </c>
      <c r="E120" s="7">
        <v>21</v>
      </c>
      <c r="F120" s="6" t="s">
        <v>9445</v>
      </c>
      <c r="G120" s="6" t="s">
        <v>9370</v>
      </c>
      <c r="H120" s="6" t="s">
        <v>26</v>
      </c>
      <c r="I120" s="8"/>
      <c r="J120" s="8">
        <v>50925</v>
      </c>
      <c r="K120" s="6" t="s">
        <v>4514</v>
      </c>
      <c r="L120" s="6" t="s">
        <v>4511</v>
      </c>
      <c r="M120" s="6" t="s">
        <v>4509</v>
      </c>
      <c r="N120" s="6" t="s">
        <v>4537</v>
      </c>
    </row>
    <row r="121" s="1" customFormat="1" ht="16.35" customHeight="1" spans="1:14">
      <c r="A121" s="5"/>
      <c r="B121" s="6" t="s">
        <v>4506</v>
      </c>
      <c r="C121" s="6">
        <v>2014</v>
      </c>
      <c r="D121" s="6">
        <v>4</v>
      </c>
      <c r="E121" s="7">
        <v>24</v>
      </c>
      <c r="F121" s="6" t="s">
        <v>9446</v>
      </c>
      <c r="G121" s="6" t="s">
        <v>9370</v>
      </c>
      <c r="H121" s="6" t="s">
        <v>26</v>
      </c>
      <c r="I121" s="8"/>
      <c r="J121" s="8">
        <v>263.78</v>
      </c>
      <c r="K121" s="6" t="s">
        <v>4510</v>
      </c>
      <c r="L121" s="6" t="s">
        <v>9447</v>
      </c>
      <c r="M121" s="6" t="s">
        <v>4509</v>
      </c>
      <c r="N121" s="6" t="s">
        <v>4537</v>
      </c>
    </row>
    <row r="122" s="1" customFormat="1" ht="16.35" customHeight="1" spans="1:14">
      <c r="A122" s="5"/>
      <c r="B122" s="6" t="s">
        <v>4506</v>
      </c>
      <c r="C122" s="6">
        <v>2014</v>
      </c>
      <c r="D122" s="6">
        <v>4</v>
      </c>
      <c r="E122" s="7">
        <v>24</v>
      </c>
      <c r="F122" s="6" t="s">
        <v>9448</v>
      </c>
      <c r="G122" s="6" t="s">
        <v>9370</v>
      </c>
      <c r="H122" s="6" t="s">
        <v>26</v>
      </c>
      <c r="I122" s="8"/>
      <c r="J122" s="8">
        <v>166.56</v>
      </c>
      <c r="K122" s="6" t="s">
        <v>4516</v>
      </c>
      <c r="L122" s="6" t="s">
        <v>9449</v>
      </c>
      <c r="M122" s="6" t="s">
        <v>4509</v>
      </c>
      <c r="N122" s="6" t="s">
        <v>4537</v>
      </c>
    </row>
    <row r="123" s="1" customFormat="1" ht="16.35" customHeight="1" spans="1:14">
      <c r="A123" s="5"/>
      <c r="B123" s="6" t="s">
        <v>4506</v>
      </c>
      <c r="C123" s="6">
        <v>2014</v>
      </c>
      <c r="D123" s="6">
        <v>4</v>
      </c>
      <c r="E123" s="7">
        <v>24</v>
      </c>
      <c r="F123" s="6" t="s">
        <v>9450</v>
      </c>
      <c r="G123" s="6" t="s">
        <v>9370</v>
      </c>
      <c r="H123" s="6" t="s">
        <v>26</v>
      </c>
      <c r="I123" s="8"/>
      <c r="J123" s="8">
        <v>1000</v>
      </c>
      <c r="K123" s="6" t="s">
        <v>4509</v>
      </c>
      <c r="L123" s="6" t="s">
        <v>9218</v>
      </c>
      <c r="M123" s="6" t="s">
        <v>4509</v>
      </c>
      <c r="N123" s="6" t="s">
        <v>4537</v>
      </c>
    </row>
    <row r="124" s="1" customFormat="1" ht="16.35" customHeight="1" spans="1:14">
      <c r="A124" s="5"/>
      <c r="B124" s="6" t="s">
        <v>4506</v>
      </c>
      <c r="C124" s="6">
        <v>2014</v>
      </c>
      <c r="D124" s="6">
        <v>4</v>
      </c>
      <c r="E124" s="7">
        <v>26</v>
      </c>
      <c r="F124" s="6" t="s">
        <v>4554</v>
      </c>
      <c r="G124" s="6" t="s">
        <v>9370</v>
      </c>
      <c r="H124" s="6" t="s">
        <v>26</v>
      </c>
      <c r="I124" s="8">
        <v>2500</v>
      </c>
      <c r="J124" s="8"/>
      <c r="K124" s="6" t="s">
        <v>4512</v>
      </c>
      <c r="L124" s="6" t="s">
        <v>2906</v>
      </c>
      <c r="M124" s="6" t="s">
        <v>4509</v>
      </c>
      <c r="N124" s="6" t="s">
        <v>4537</v>
      </c>
    </row>
    <row r="125" s="1" customFormat="1" ht="16.35" customHeight="1" spans="1:14">
      <c r="A125" s="5"/>
      <c r="B125" s="6" t="s">
        <v>4506</v>
      </c>
      <c r="C125" s="6">
        <v>2014</v>
      </c>
      <c r="D125" s="6">
        <v>4</v>
      </c>
      <c r="E125" s="7">
        <v>27</v>
      </c>
      <c r="F125" s="6" t="s">
        <v>9451</v>
      </c>
      <c r="G125" s="6" t="s">
        <v>9370</v>
      </c>
      <c r="H125" s="6" t="s">
        <v>26</v>
      </c>
      <c r="I125" s="8"/>
      <c r="J125" s="8">
        <v>100000</v>
      </c>
      <c r="K125" s="6" t="s">
        <v>4514</v>
      </c>
      <c r="L125" s="6" t="s">
        <v>4511</v>
      </c>
      <c r="M125" s="6" t="s">
        <v>4509</v>
      </c>
      <c r="N125" s="6" t="s">
        <v>4537</v>
      </c>
    </row>
    <row r="126" s="1" customFormat="1" ht="16.35" customHeight="1" spans="1:14">
      <c r="A126" s="5"/>
      <c r="B126" s="6" t="s">
        <v>4506</v>
      </c>
      <c r="C126" s="6">
        <v>2014</v>
      </c>
      <c r="D126" s="6">
        <v>4</v>
      </c>
      <c r="E126" s="7">
        <v>29</v>
      </c>
      <c r="F126" s="6" t="s">
        <v>9452</v>
      </c>
      <c r="G126" s="6" t="s">
        <v>9370</v>
      </c>
      <c r="H126" s="6" t="s">
        <v>26</v>
      </c>
      <c r="I126" s="8"/>
      <c r="J126" s="8">
        <v>-80000</v>
      </c>
      <c r="K126" s="6" t="s">
        <v>4514</v>
      </c>
      <c r="L126" s="6" t="s">
        <v>4511</v>
      </c>
      <c r="M126" s="6" t="s">
        <v>4509</v>
      </c>
      <c r="N126" s="6" t="s">
        <v>4537</v>
      </c>
    </row>
    <row r="127" s="1" customFormat="1" ht="16.35" customHeight="1" spans="1:14">
      <c r="A127" s="5"/>
      <c r="B127" s="6" t="s">
        <v>4506</v>
      </c>
      <c r="C127" s="6">
        <v>2014</v>
      </c>
      <c r="D127" s="6">
        <v>4</v>
      </c>
      <c r="E127" s="7">
        <v>30</v>
      </c>
      <c r="F127" s="6" t="s">
        <v>9453</v>
      </c>
      <c r="G127" s="6" t="s">
        <v>9370</v>
      </c>
      <c r="H127" s="6" t="s">
        <v>26</v>
      </c>
      <c r="I127" s="8"/>
      <c r="J127" s="8">
        <v>35833</v>
      </c>
      <c r="K127" s="6" t="s">
        <v>4514</v>
      </c>
      <c r="L127" s="6" t="s">
        <v>4511</v>
      </c>
      <c r="M127" s="6" t="s">
        <v>4509</v>
      </c>
      <c r="N127" s="6" t="s">
        <v>4537</v>
      </c>
    </row>
    <row r="128" s="1" customFormat="1" ht="16.35" customHeight="1" spans="1:14">
      <c r="A128" s="5"/>
      <c r="B128" s="6" t="s">
        <v>4506</v>
      </c>
      <c r="C128" s="6">
        <v>2014</v>
      </c>
      <c r="D128" s="6">
        <v>4</v>
      </c>
      <c r="E128" s="7">
        <v>31</v>
      </c>
      <c r="F128" s="6" t="s">
        <v>9454</v>
      </c>
      <c r="G128" s="6" t="s">
        <v>9370</v>
      </c>
      <c r="H128" s="6" t="s">
        <v>26</v>
      </c>
      <c r="I128" s="8"/>
      <c r="J128" s="8">
        <v>88668</v>
      </c>
      <c r="K128" s="6" t="s">
        <v>4514</v>
      </c>
      <c r="L128" s="6" t="s">
        <v>4511</v>
      </c>
      <c r="M128" s="6" t="s">
        <v>4509</v>
      </c>
      <c r="N128" s="6" t="s">
        <v>4537</v>
      </c>
    </row>
    <row r="129" s="1" customFormat="1" ht="16.35" customHeight="1" spans="1:14">
      <c r="A129" s="5"/>
      <c r="B129" s="6" t="s">
        <v>4506</v>
      </c>
      <c r="C129" s="6">
        <v>2014</v>
      </c>
      <c r="D129" s="6">
        <v>4</v>
      </c>
      <c r="E129" s="7">
        <v>33</v>
      </c>
      <c r="F129" s="6" t="s">
        <v>9455</v>
      </c>
      <c r="G129" s="6" t="s">
        <v>9370</v>
      </c>
      <c r="H129" s="6" t="s">
        <v>26</v>
      </c>
      <c r="I129" s="8"/>
      <c r="J129" s="8">
        <v>150000</v>
      </c>
      <c r="K129" s="6" t="s">
        <v>4514</v>
      </c>
      <c r="L129" s="6" t="s">
        <v>4511</v>
      </c>
      <c r="M129" s="6" t="s">
        <v>4509</v>
      </c>
      <c r="N129" s="6" t="s">
        <v>4537</v>
      </c>
    </row>
    <row r="130" s="1" customFormat="1" ht="16.35" customHeight="1" spans="1:14">
      <c r="A130" s="5"/>
      <c r="B130" s="6" t="s">
        <v>4506</v>
      </c>
      <c r="C130" s="6">
        <v>2014</v>
      </c>
      <c r="D130" s="6">
        <v>4</v>
      </c>
      <c r="E130" s="7">
        <v>34</v>
      </c>
      <c r="F130" s="6" t="s">
        <v>9456</v>
      </c>
      <c r="G130" s="6" t="s">
        <v>9370</v>
      </c>
      <c r="H130" s="6" t="s">
        <v>26</v>
      </c>
      <c r="I130" s="8"/>
      <c r="J130" s="8">
        <v>150000</v>
      </c>
      <c r="K130" s="6" t="s">
        <v>4514</v>
      </c>
      <c r="L130" s="6" t="s">
        <v>4511</v>
      </c>
      <c r="M130" s="6" t="s">
        <v>4509</v>
      </c>
      <c r="N130" s="6" t="s">
        <v>4537</v>
      </c>
    </row>
    <row r="131" s="1" customFormat="1" ht="16.35" customHeight="1" spans="1:14">
      <c r="A131" s="5"/>
      <c r="B131" s="6" t="s">
        <v>4506</v>
      </c>
      <c r="C131" s="6">
        <v>2014</v>
      </c>
      <c r="D131" s="6">
        <v>4</v>
      </c>
      <c r="E131" s="7">
        <v>35</v>
      </c>
      <c r="F131" s="6" t="s">
        <v>9457</v>
      </c>
      <c r="G131" s="6" t="s">
        <v>9370</v>
      </c>
      <c r="H131" s="6" t="s">
        <v>26</v>
      </c>
      <c r="I131" s="8"/>
      <c r="J131" s="8">
        <v>220000</v>
      </c>
      <c r="K131" s="6" t="s">
        <v>4514</v>
      </c>
      <c r="L131" s="6" t="s">
        <v>4511</v>
      </c>
      <c r="M131" s="6" t="s">
        <v>4509</v>
      </c>
      <c r="N131" s="6" t="s">
        <v>4537</v>
      </c>
    </row>
    <row r="132" s="1" customFormat="1" ht="16.35" customHeight="1" spans="1:14">
      <c r="A132" s="5"/>
      <c r="B132" s="6" t="s">
        <v>4506</v>
      </c>
      <c r="C132" s="6">
        <v>2014</v>
      </c>
      <c r="D132" s="6">
        <v>4</v>
      </c>
      <c r="E132" s="7">
        <v>36</v>
      </c>
      <c r="F132" s="6" t="s">
        <v>9458</v>
      </c>
      <c r="G132" s="6" t="s">
        <v>9370</v>
      </c>
      <c r="H132" s="6" t="s">
        <v>26</v>
      </c>
      <c r="I132" s="8"/>
      <c r="J132" s="8">
        <v>300000</v>
      </c>
      <c r="K132" s="6" t="s">
        <v>4514</v>
      </c>
      <c r="L132" s="6" t="s">
        <v>4511</v>
      </c>
      <c r="M132" s="6" t="s">
        <v>4509</v>
      </c>
      <c r="N132" s="6" t="s">
        <v>4537</v>
      </c>
    </row>
    <row r="133" s="1" customFormat="1" ht="16.35" customHeight="1" spans="1:14">
      <c r="A133" s="5"/>
      <c r="B133" s="6" t="s">
        <v>4506</v>
      </c>
      <c r="C133" s="6">
        <v>2014</v>
      </c>
      <c r="D133" s="6">
        <v>4</v>
      </c>
      <c r="E133" s="7">
        <v>37</v>
      </c>
      <c r="F133" s="6" t="s">
        <v>9459</v>
      </c>
      <c r="G133" s="6" t="s">
        <v>9370</v>
      </c>
      <c r="H133" s="6" t="s">
        <v>26</v>
      </c>
      <c r="I133" s="8"/>
      <c r="J133" s="8">
        <v>260000</v>
      </c>
      <c r="K133" s="6" t="s">
        <v>4514</v>
      </c>
      <c r="L133" s="6" t="s">
        <v>4511</v>
      </c>
      <c r="M133" s="6" t="s">
        <v>4509</v>
      </c>
      <c r="N133" s="6" t="s">
        <v>4537</v>
      </c>
    </row>
    <row r="134" s="1" customFormat="1" ht="16.35" customHeight="1" spans="1:14">
      <c r="A134" s="5"/>
      <c r="B134" s="6" t="s">
        <v>4506</v>
      </c>
      <c r="C134" s="6">
        <v>2014</v>
      </c>
      <c r="D134" s="6">
        <v>4</v>
      </c>
      <c r="E134" s="7">
        <v>38</v>
      </c>
      <c r="F134" s="6" t="s">
        <v>9460</v>
      </c>
      <c r="G134" s="6" t="s">
        <v>9370</v>
      </c>
      <c r="H134" s="6" t="s">
        <v>26</v>
      </c>
      <c r="I134" s="8"/>
      <c r="J134" s="8">
        <v>100000</v>
      </c>
      <c r="K134" s="6" t="s">
        <v>4514</v>
      </c>
      <c r="L134" s="6" t="s">
        <v>4511</v>
      </c>
      <c r="M134" s="6" t="s">
        <v>4509</v>
      </c>
      <c r="N134" s="6" t="s">
        <v>4537</v>
      </c>
    </row>
    <row r="135" s="1" customFormat="1" ht="16.35" customHeight="1" spans="1:14">
      <c r="A135" s="5"/>
      <c r="B135" s="6" t="s">
        <v>4506</v>
      </c>
      <c r="C135" s="6">
        <v>2014</v>
      </c>
      <c r="D135" s="6">
        <v>4</v>
      </c>
      <c r="E135" s="7">
        <v>40</v>
      </c>
      <c r="F135" s="6" t="s">
        <v>9461</v>
      </c>
      <c r="G135" s="6" t="s">
        <v>9370</v>
      </c>
      <c r="H135" s="6" t="s">
        <v>26</v>
      </c>
      <c r="I135" s="8"/>
      <c r="J135" s="8">
        <v>20000</v>
      </c>
      <c r="K135" s="6" t="s">
        <v>4514</v>
      </c>
      <c r="L135" s="6" t="s">
        <v>4511</v>
      </c>
      <c r="M135" s="6" t="s">
        <v>4509</v>
      </c>
      <c r="N135" s="6" t="s">
        <v>4537</v>
      </c>
    </row>
    <row r="136" s="1" customFormat="1" ht="16.35" customHeight="1" spans="1:14">
      <c r="A136" s="5"/>
      <c r="B136" s="6" t="s">
        <v>4506</v>
      </c>
      <c r="C136" s="6">
        <v>2014</v>
      </c>
      <c r="D136" s="6">
        <v>4</v>
      </c>
      <c r="E136" s="7">
        <v>41</v>
      </c>
      <c r="F136" s="6" t="s">
        <v>9462</v>
      </c>
      <c r="G136" s="6" t="s">
        <v>9370</v>
      </c>
      <c r="H136" s="6" t="s">
        <v>26</v>
      </c>
      <c r="I136" s="8"/>
      <c r="J136" s="8">
        <v>123668</v>
      </c>
      <c r="K136" s="6" t="s">
        <v>4514</v>
      </c>
      <c r="L136" s="6" t="s">
        <v>4511</v>
      </c>
      <c r="M136" s="6" t="s">
        <v>4509</v>
      </c>
      <c r="N136" s="6" t="s">
        <v>4537</v>
      </c>
    </row>
    <row r="137" s="1" customFormat="1" ht="16.35" customHeight="1" spans="1:14">
      <c r="A137" s="5"/>
      <c r="B137" s="6" t="s">
        <v>4506</v>
      </c>
      <c r="C137" s="6">
        <v>2014</v>
      </c>
      <c r="D137" s="6">
        <v>4</v>
      </c>
      <c r="E137" s="7">
        <v>46</v>
      </c>
      <c r="F137" s="6" t="s">
        <v>9463</v>
      </c>
      <c r="G137" s="6" t="s">
        <v>9370</v>
      </c>
      <c r="H137" s="6" t="s">
        <v>26</v>
      </c>
      <c r="I137" s="8"/>
      <c r="J137" s="8">
        <v>370</v>
      </c>
      <c r="K137" s="6" t="s">
        <v>4509</v>
      </c>
      <c r="L137" s="6" t="s">
        <v>9218</v>
      </c>
      <c r="M137" s="6" t="s">
        <v>4509</v>
      </c>
      <c r="N137" s="6" t="s">
        <v>4537</v>
      </c>
    </row>
    <row r="138" s="1" customFormat="1" ht="16.35" customHeight="1" spans="1:14">
      <c r="A138" s="5"/>
      <c r="B138" s="6" t="s">
        <v>4506</v>
      </c>
      <c r="C138" s="6">
        <v>2014</v>
      </c>
      <c r="D138" s="6">
        <v>4</v>
      </c>
      <c r="E138" s="7">
        <v>47</v>
      </c>
      <c r="F138" s="6" t="s">
        <v>9464</v>
      </c>
      <c r="G138" s="6" t="s">
        <v>9370</v>
      </c>
      <c r="H138" s="6" t="s">
        <v>26</v>
      </c>
      <c r="I138" s="8"/>
      <c r="J138" s="8">
        <v>720</v>
      </c>
      <c r="K138" s="6" t="s">
        <v>4522</v>
      </c>
      <c r="L138" s="6" t="s">
        <v>9465</v>
      </c>
      <c r="M138" s="6" t="s">
        <v>4509</v>
      </c>
      <c r="N138" s="6" t="s">
        <v>4537</v>
      </c>
    </row>
    <row r="139" s="1" customFormat="1" ht="16.35" customHeight="1" spans="1:14">
      <c r="A139" s="5"/>
      <c r="B139" s="6" t="s">
        <v>4506</v>
      </c>
      <c r="C139" s="6">
        <v>2014</v>
      </c>
      <c r="D139" s="6">
        <v>4</v>
      </c>
      <c r="E139" s="7">
        <v>48</v>
      </c>
      <c r="F139" s="6" t="s">
        <v>9466</v>
      </c>
      <c r="G139" s="6" t="s">
        <v>9370</v>
      </c>
      <c r="H139" s="6" t="s">
        <v>26</v>
      </c>
      <c r="I139" s="8"/>
      <c r="J139" s="8">
        <v>-20000</v>
      </c>
      <c r="K139" s="6" t="s">
        <v>4514</v>
      </c>
      <c r="L139" s="6" t="s">
        <v>4511</v>
      </c>
      <c r="M139" s="6" t="s">
        <v>4509</v>
      </c>
      <c r="N139" s="6" t="s">
        <v>4537</v>
      </c>
    </row>
    <row r="140" s="1" customFormat="1" ht="16.35" customHeight="1" spans="1:14">
      <c r="A140" s="5"/>
      <c r="B140" s="6" t="s">
        <v>4506</v>
      </c>
      <c r="C140" s="6">
        <v>2014</v>
      </c>
      <c r="D140" s="6">
        <v>4</v>
      </c>
      <c r="E140" s="7">
        <v>48</v>
      </c>
      <c r="F140" s="6" t="s">
        <v>9466</v>
      </c>
      <c r="G140" s="6" t="s">
        <v>9370</v>
      </c>
      <c r="H140" s="6" t="s">
        <v>26</v>
      </c>
      <c r="I140" s="8"/>
      <c r="J140" s="8">
        <v>20000</v>
      </c>
      <c r="K140" s="6" t="s">
        <v>4509</v>
      </c>
      <c r="L140" s="6" t="s">
        <v>9218</v>
      </c>
      <c r="M140" s="6" t="s">
        <v>4509</v>
      </c>
      <c r="N140" s="6" t="s">
        <v>4537</v>
      </c>
    </row>
    <row r="141" s="1" customFormat="1" ht="16.35" customHeight="1" spans="1:14">
      <c r="A141" s="5"/>
      <c r="B141" s="6" t="s">
        <v>4506</v>
      </c>
      <c r="C141" s="6">
        <v>2014</v>
      </c>
      <c r="D141" s="6">
        <v>5</v>
      </c>
      <c r="E141" s="7">
        <v>2</v>
      </c>
      <c r="F141" s="6" t="s">
        <v>9461</v>
      </c>
      <c r="G141" s="6" t="s">
        <v>9370</v>
      </c>
      <c r="H141" s="6" t="s">
        <v>26</v>
      </c>
      <c r="I141" s="8"/>
      <c r="J141" s="8">
        <v>20000</v>
      </c>
      <c r="K141" s="6" t="s">
        <v>4514</v>
      </c>
      <c r="L141" s="6" t="s">
        <v>4511</v>
      </c>
      <c r="M141" s="6" t="s">
        <v>4509</v>
      </c>
      <c r="N141" s="6" t="s">
        <v>4537</v>
      </c>
    </row>
    <row r="142" s="1" customFormat="1" ht="16.35" customHeight="1" spans="1:14">
      <c r="A142" s="5"/>
      <c r="B142" s="6" t="s">
        <v>4506</v>
      </c>
      <c r="C142" s="6">
        <v>2014</v>
      </c>
      <c r="D142" s="6">
        <v>5</v>
      </c>
      <c r="E142" s="7">
        <v>3</v>
      </c>
      <c r="F142" s="6" t="s">
        <v>9467</v>
      </c>
      <c r="G142" s="6" t="s">
        <v>9370</v>
      </c>
      <c r="H142" s="6" t="s">
        <v>26</v>
      </c>
      <c r="I142" s="8"/>
      <c r="J142" s="8">
        <v>100000</v>
      </c>
      <c r="K142" s="6" t="s">
        <v>4514</v>
      </c>
      <c r="L142" s="6" t="s">
        <v>4511</v>
      </c>
      <c r="M142" s="6" t="s">
        <v>4509</v>
      </c>
      <c r="N142" s="6" t="s">
        <v>4537</v>
      </c>
    </row>
    <row r="143" s="1" customFormat="1" ht="16.35" customHeight="1" spans="1:14">
      <c r="A143" s="5"/>
      <c r="B143" s="6" t="s">
        <v>4506</v>
      </c>
      <c r="C143" s="6">
        <v>2014</v>
      </c>
      <c r="D143" s="6">
        <v>5</v>
      </c>
      <c r="E143" s="7">
        <v>4</v>
      </c>
      <c r="F143" s="6" t="s">
        <v>9468</v>
      </c>
      <c r="G143" s="6" t="s">
        <v>9370</v>
      </c>
      <c r="H143" s="6" t="s">
        <v>26</v>
      </c>
      <c r="I143" s="8"/>
      <c r="J143" s="8">
        <v>96378</v>
      </c>
      <c r="K143" s="6" t="s">
        <v>4514</v>
      </c>
      <c r="L143" s="6" t="s">
        <v>4511</v>
      </c>
      <c r="M143" s="6" t="s">
        <v>4509</v>
      </c>
      <c r="N143" s="6" t="s">
        <v>4537</v>
      </c>
    </row>
    <row r="144" s="1" customFormat="1" ht="16.35" customHeight="1" spans="1:14">
      <c r="A144" s="5"/>
      <c r="B144" s="6" t="s">
        <v>4506</v>
      </c>
      <c r="C144" s="6">
        <v>2014</v>
      </c>
      <c r="D144" s="6">
        <v>5</v>
      </c>
      <c r="E144" s="7">
        <v>5</v>
      </c>
      <c r="F144" s="6" t="s">
        <v>9469</v>
      </c>
      <c r="G144" s="6" t="s">
        <v>9370</v>
      </c>
      <c r="H144" s="6" t="s">
        <v>26</v>
      </c>
      <c r="I144" s="8"/>
      <c r="J144" s="8">
        <v>98985</v>
      </c>
      <c r="K144" s="6" t="s">
        <v>4514</v>
      </c>
      <c r="L144" s="6" t="s">
        <v>4511</v>
      </c>
      <c r="M144" s="6" t="s">
        <v>4509</v>
      </c>
      <c r="N144" s="6" t="s">
        <v>4537</v>
      </c>
    </row>
    <row r="145" s="1" customFormat="1" ht="16.35" customHeight="1" spans="1:14">
      <c r="A145" s="5"/>
      <c r="B145" s="6" t="s">
        <v>4506</v>
      </c>
      <c r="C145" s="6">
        <v>2014</v>
      </c>
      <c r="D145" s="6">
        <v>5</v>
      </c>
      <c r="E145" s="7">
        <v>9</v>
      </c>
      <c r="F145" s="6" t="s">
        <v>9470</v>
      </c>
      <c r="G145" s="6" t="s">
        <v>9370</v>
      </c>
      <c r="H145" s="6" t="s">
        <v>26</v>
      </c>
      <c r="I145" s="8">
        <v>1800000</v>
      </c>
      <c r="J145" s="8"/>
      <c r="K145" s="6" t="s">
        <v>4509</v>
      </c>
      <c r="L145" s="6" t="s">
        <v>9218</v>
      </c>
      <c r="M145" s="6" t="s">
        <v>4509</v>
      </c>
      <c r="N145" s="6" t="s">
        <v>4537</v>
      </c>
    </row>
    <row r="146" s="1" customFormat="1" ht="16.35" customHeight="1" spans="1:14">
      <c r="A146" s="5"/>
      <c r="B146" s="6" t="s">
        <v>4506</v>
      </c>
      <c r="C146" s="6">
        <v>2014</v>
      </c>
      <c r="D146" s="6">
        <v>5</v>
      </c>
      <c r="E146" s="7">
        <v>13</v>
      </c>
      <c r="F146" s="6" t="s">
        <v>9471</v>
      </c>
      <c r="G146" s="6" t="s">
        <v>9370</v>
      </c>
      <c r="H146" s="6" t="s">
        <v>26</v>
      </c>
      <c r="I146" s="8"/>
      <c r="J146" s="8">
        <v>30000</v>
      </c>
      <c r="K146" s="6" t="s">
        <v>4514</v>
      </c>
      <c r="L146" s="6" t="s">
        <v>4511</v>
      </c>
      <c r="M146" s="6" t="s">
        <v>4509</v>
      </c>
      <c r="N146" s="6" t="s">
        <v>4537</v>
      </c>
    </row>
    <row r="147" s="1" customFormat="1" ht="16.35" customHeight="1" spans="1:14">
      <c r="A147" s="5"/>
      <c r="B147" s="6" t="s">
        <v>4506</v>
      </c>
      <c r="C147" s="6">
        <v>2014</v>
      </c>
      <c r="D147" s="6">
        <v>5</v>
      </c>
      <c r="E147" s="7">
        <v>13</v>
      </c>
      <c r="F147" s="6" t="s">
        <v>9472</v>
      </c>
      <c r="G147" s="6" t="s">
        <v>9370</v>
      </c>
      <c r="H147" s="6" t="s">
        <v>26</v>
      </c>
      <c r="I147" s="8"/>
      <c r="J147" s="8">
        <v>-485</v>
      </c>
      <c r="K147" s="6" t="s">
        <v>4514</v>
      </c>
      <c r="L147" s="6" t="s">
        <v>4511</v>
      </c>
      <c r="M147" s="6" t="s">
        <v>4509</v>
      </c>
      <c r="N147" s="6" t="s">
        <v>4537</v>
      </c>
    </row>
    <row r="148" s="1" customFormat="1" ht="16.35" customHeight="1" spans="1:14">
      <c r="A148" s="5"/>
      <c r="B148" s="6" t="s">
        <v>4506</v>
      </c>
      <c r="C148" s="6">
        <v>2014</v>
      </c>
      <c r="D148" s="6">
        <v>5</v>
      </c>
      <c r="E148" s="7">
        <v>14</v>
      </c>
      <c r="F148" s="6" t="s">
        <v>9473</v>
      </c>
      <c r="G148" s="6" t="s">
        <v>9370</v>
      </c>
      <c r="H148" s="6" t="s">
        <v>26</v>
      </c>
      <c r="I148" s="8"/>
      <c r="J148" s="8">
        <v>88542</v>
      </c>
      <c r="K148" s="6" t="s">
        <v>4514</v>
      </c>
      <c r="L148" s="6" t="s">
        <v>4511</v>
      </c>
      <c r="M148" s="6" t="s">
        <v>4509</v>
      </c>
      <c r="N148" s="6" t="s">
        <v>4537</v>
      </c>
    </row>
    <row r="149" s="1" customFormat="1" ht="16.35" customHeight="1" spans="1:14">
      <c r="A149" s="5"/>
      <c r="B149" s="6" t="s">
        <v>4506</v>
      </c>
      <c r="C149" s="6">
        <v>2014</v>
      </c>
      <c r="D149" s="6">
        <v>5</v>
      </c>
      <c r="E149" s="7">
        <v>16</v>
      </c>
      <c r="F149" s="6" t="s">
        <v>9474</v>
      </c>
      <c r="G149" s="6" t="s">
        <v>9370</v>
      </c>
      <c r="H149" s="6" t="s">
        <v>26</v>
      </c>
      <c r="I149" s="8"/>
      <c r="J149" s="8">
        <v>139758</v>
      </c>
      <c r="K149" s="6" t="s">
        <v>4514</v>
      </c>
      <c r="L149" s="6" t="s">
        <v>4511</v>
      </c>
      <c r="M149" s="6" t="s">
        <v>4509</v>
      </c>
      <c r="N149" s="6" t="s">
        <v>4537</v>
      </c>
    </row>
    <row r="150" s="1" customFormat="1" ht="16.35" customHeight="1" spans="1:14">
      <c r="A150" s="5"/>
      <c r="B150" s="6" t="s">
        <v>4506</v>
      </c>
      <c r="C150" s="6">
        <v>2014</v>
      </c>
      <c r="D150" s="6">
        <v>5</v>
      </c>
      <c r="E150" s="7">
        <v>17</v>
      </c>
      <c r="F150" s="6" t="s">
        <v>9475</v>
      </c>
      <c r="G150" s="6" t="s">
        <v>9370</v>
      </c>
      <c r="H150" s="6" t="s">
        <v>26</v>
      </c>
      <c r="I150" s="8"/>
      <c r="J150" s="8">
        <v>210000</v>
      </c>
      <c r="K150" s="6" t="s">
        <v>4514</v>
      </c>
      <c r="L150" s="6" t="s">
        <v>4511</v>
      </c>
      <c r="M150" s="6" t="s">
        <v>4509</v>
      </c>
      <c r="N150" s="6" t="s">
        <v>4537</v>
      </c>
    </row>
    <row r="151" s="1" customFormat="1" ht="16.35" customHeight="1" spans="1:14">
      <c r="A151" s="5"/>
      <c r="B151" s="6" t="s">
        <v>4506</v>
      </c>
      <c r="C151" s="6">
        <v>2014</v>
      </c>
      <c r="D151" s="6">
        <v>5</v>
      </c>
      <c r="E151" s="7">
        <v>21</v>
      </c>
      <c r="F151" s="6" t="s">
        <v>9476</v>
      </c>
      <c r="G151" s="6" t="s">
        <v>9370</v>
      </c>
      <c r="H151" s="6" t="s">
        <v>26</v>
      </c>
      <c r="I151" s="8">
        <v>1000000</v>
      </c>
      <c r="J151" s="8"/>
      <c r="K151" s="6" t="s">
        <v>4509</v>
      </c>
      <c r="L151" s="6" t="s">
        <v>9218</v>
      </c>
      <c r="M151" s="6" t="s">
        <v>4509</v>
      </c>
      <c r="N151" s="6" t="s">
        <v>4537</v>
      </c>
    </row>
    <row r="152" s="1" customFormat="1" ht="16.35" customHeight="1" spans="1:14">
      <c r="A152" s="5"/>
      <c r="B152" s="6" t="s">
        <v>4506</v>
      </c>
      <c r="C152" s="6">
        <v>2014</v>
      </c>
      <c r="D152" s="6">
        <v>5</v>
      </c>
      <c r="E152" s="7">
        <v>22</v>
      </c>
      <c r="F152" s="6" t="s">
        <v>9442</v>
      </c>
      <c r="G152" s="6" t="s">
        <v>9370</v>
      </c>
      <c r="H152" s="6" t="s">
        <v>26</v>
      </c>
      <c r="I152" s="8"/>
      <c r="J152" s="8">
        <v>349778</v>
      </c>
      <c r="K152" s="6" t="s">
        <v>4514</v>
      </c>
      <c r="L152" s="6" t="s">
        <v>4511</v>
      </c>
      <c r="M152" s="6" t="s">
        <v>4509</v>
      </c>
      <c r="N152" s="6" t="s">
        <v>4537</v>
      </c>
    </row>
    <row r="153" s="1" customFormat="1" ht="16.35" customHeight="1" spans="1:14">
      <c r="A153" s="5"/>
      <c r="B153" s="6" t="s">
        <v>4506</v>
      </c>
      <c r="C153" s="6">
        <v>2014</v>
      </c>
      <c r="D153" s="6">
        <v>5</v>
      </c>
      <c r="E153" s="7">
        <v>25</v>
      </c>
      <c r="F153" s="6" t="s">
        <v>9477</v>
      </c>
      <c r="G153" s="6" t="s">
        <v>9370</v>
      </c>
      <c r="H153" s="6" t="s">
        <v>26</v>
      </c>
      <c r="I153" s="8"/>
      <c r="J153" s="8">
        <v>263.78</v>
      </c>
      <c r="K153" s="6" t="s">
        <v>4510</v>
      </c>
      <c r="L153" s="6" t="s">
        <v>9447</v>
      </c>
      <c r="M153" s="6" t="s">
        <v>4509</v>
      </c>
      <c r="N153" s="6" t="s">
        <v>4537</v>
      </c>
    </row>
    <row r="154" s="1" customFormat="1" ht="16.35" customHeight="1" spans="1:14">
      <c r="A154" s="5"/>
      <c r="B154" s="6" t="s">
        <v>4506</v>
      </c>
      <c r="C154" s="6">
        <v>2014</v>
      </c>
      <c r="D154" s="6">
        <v>5</v>
      </c>
      <c r="E154" s="7">
        <v>25</v>
      </c>
      <c r="F154" s="6" t="s">
        <v>9477</v>
      </c>
      <c r="G154" s="6" t="s">
        <v>9370</v>
      </c>
      <c r="H154" s="6" t="s">
        <v>26</v>
      </c>
      <c r="I154" s="8"/>
      <c r="J154" s="8">
        <v>166.56</v>
      </c>
      <c r="K154" s="6" t="s">
        <v>4516</v>
      </c>
      <c r="L154" s="6" t="s">
        <v>9449</v>
      </c>
      <c r="M154" s="6" t="s">
        <v>4509</v>
      </c>
      <c r="N154" s="6" t="s">
        <v>4537</v>
      </c>
    </row>
    <row r="155" s="1" customFormat="1" ht="16.35" customHeight="1" spans="1:14">
      <c r="A155" s="5"/>
      <c r="B155" s="6" t="s">
        <v>4506</v>
      </c>
      <c r="C155" s="6">
        <v>2014</v>
      </c>
      <c r="D155" s="6">
        <v>5</v>
      </c>
      <c r="E155" s="7">
        <v>29</v>
      </c>
      <c r="F155" s="6" t="s">
        <v>9478</v>
      </c>
      <c r="G155" s="6" t="s">
        <v>9370</v>
      </c>
      <c r="H155" s="6" t="s">
        <v>26</v>
      </c>
      <c r="I155" s="8">
        <v>9000</v>
      </c>
      <c r="J155" s="8"/>
      <c r="K155" s="6" t="s">
        <v>4512</v>
      </c>
      <c r="L155" s="6" t="s">
        <v>2906</v>
      </c>
      <c r="M155" s="6" t="s">
        <v>4509</v>
      </c>
      <c r="N155" s="6" t="s">
        <v>4537</v>
      </c>
    </row>
    <row r="156" s="1" customFormat="1" ht="16.35" customHeight="1" spans="1:14">
      <c r="A156" s="5"/>
      <c r="B156" s="6" t="s">
        <v>4506</v>
      </c>
      <c r="C156" s="6">
        <v>2014</v>
      </c>
      <c r="D156" s="6">
        <v>5</v>
      </c>
      <c r="E156" s="7">
        <v>30</v>
      </c>
      <c r="F156" s="6" t="s">
        <v>9479</v>
      </c>
      <c r="G156" s="6" t="s">
        <v>9370</v>
      </c>
      <c r="H156" s="6" t="s">
        <v>26</v>
      </c>
      <c r="I156" s="8"/>
      <c r="J156" s="8">
        <v>900000</v>
      </c>
      <c r="K156" s="6" t="s">
        <v>4512</v>
      </c>
      <c r="L156" s="6" t="s">
        <v>2906</v>
      </c>
      <c r="M156" s="6" t="s">
        <v>4509</v>
      </c>
      <c r="N156" s="6" t="s">
        <v>4537</v>
      </c>
    </row>
    <row r="157" s="1" customFormat="1" ht="16.35" customHeight="1" spans="1:14">
      <c r="A157" s="5"/>
      <c r="B157" s="6" t="s">
        <v>4506</v>
      </c>
      <c r="C157" s="6">
        <v>2014</v>
      </c>
      <c r="D157" s="6">
        <v>5</v>
      </c>
      <c r="E157" s="7">
        <v>32</v>
      </c>
      <c r="F157" s="6" t="s">
        <v>9480</v>
      </c>
      <c r="G157" s="6" t="s">
        <v>9370</v>
      </c>
      <c r="H157" s="6" t="s">
        <v>26</v>
      </c>
      <c r="I157" s="8"/>
      <c r="J157" s="8">
        <v>165000</v>
      </c>
      <c r="K157" s="6" t="s">
        <v>4514</v>
      </c>
      <c r="L157" s="6" t="s">
        <v>4511</v>
      </c>
      <c r="M157" s="6" t="s">
        <v>4509</v>
      </c>
      <c r="N157" s="6" t="s">
        <v>4537</v>
      </c>
    </row>
    <row r="158" s="1" customFormat="1" ht="16.35" customHeight="1" spans="1:14">
      <c r="A158" s="5"/>
      <c r="B158" s="6" t="s">
        <v>4506</v>
      </c>
      <c r="C158" s="6">
        <v>2014</v>
      </c>
      <c r="D158" s="6">
        <v>5</v>
      </c>
      <c r="E158" s="7">
        <v>33</v>
      </c>
      <c r="F158" s="6" t="s">
        <v>9476</v>
      </c>
      <c r="G158" s="6" t="s">
        <v>9370</v>
      </c>
      <c r="H158" s="6" t="s">
        <v>26</v>
      </c>
      <c r="I158" s="8">
        <v>1000000</v>
      </c>
      <c r="J158" s="8"/>
      <c r="K158" s="6" t="s">
        <v>4509</v>
      </c>
      <c r="L158" s="6" t="s">
        <v>9218</v>
      </c>
      <c r="M158" s="6" t="s">
        <v>4509</v>
      </c>
      <c r="N158" s="6" t="s">
        <v>4537</v>
      </c>
    </row>
    <row r="159" s="1" customFormat="1" ht="16.35" customHeight="1" spans="1:14">
      <c r="A159" s="5"/>
      <c r="B159" s="6" t="s">
        <v>4506</v>
      </c>
      <c r="C159" s="6">
        <v>2014</v>
      </c>
      <c r="D159" s="6">
        <v>5</v>
      </c>
      <c r="E159" s="7">
        <v>34</v>
      </c>
      <c r="F159" s="6" t="s">
        <v>9461</v>
      </c>
      <c r="G159" s="6" t="s">
        <v>9370</v>
      </c>
      <c r="H159" s="6" t="s">
        <v>26</v>
      </c>
      <c r="I159" s="8"/>
      <c r="J159" s="8">
        <v>20000</v>
      </c>
      <c r="K159" s="6" t="s">
        <v>4514</v>
      </c>
      <c r="L159" s="6" t="s">
        <v>4511</v>
      </c>
      <c r="M159" s="6" t="s">
        <v>4509</v>
      </c>
      <c r="N159" s="6" t="s">
        <v>4537</v>
      </c>
    </row>
    <row r="160" s="1" customFormat="1" ht="16.35" customHeight="1" spans="1:14">
      <c r="A160" s="5"/>
      <c r="B160" s="6" t="s">
        <v>4506</v>
      </c>
      <c r="C160" s="6">
        <v>2014</v>
      </c>
      <c r="D160" s="6">
        <v>5</v>
      </c>
      <c r="E160" s="7">
        <v>36</v>
      </c>
      <c r="F160" s="6" t="s">
        <v>9481</v>
      </c>
      <c r="G160" s="6" t="s">
        <v>9370</v>
      </c>
      <c r="H160" s="6" t="s">
        <v>26</v>
      </c>
      <c r="I160" s="8"/>
      <c r="J160" s="8">
        <v>200000</v>
      </c>
      <c r="K160" s="6" t="s">
        <v>4514</v>
      </c>
      <c r="L160" s="6" t="s">
        <v>4511</v>
      </c>
      <c r="M160" s="6" t="s">
        <v>4509</v>
      </c>
      <c r="N160" s="6" t="s">
        <v>4537</v>
      </c>
    </row>
    <row r="161" s="1" customFormat="1" ht="16.35" customHeight="1" spans="1:14">
      <c r="A161" s="5"/>
      <c r="B161" s="6" t="s">
        <v>4506</v>
      </c>
      <c r="C161" s="6">
        <v>2014</v>
      </c>
      <c r="D161" s="6">
        <v>5</v>
      </c>
      <c r="E161" s="7">
        <v>37</v>
      </c>
      <c r="F161" s="6" t="s">
        <v>9482</v>
      </c>
      <c r="G161" s="6" t="s">
        <v>9370</v>
      </c>
      <c r="H161" s="6" t="s">
        <v>26</v>
      </c>
      <c r="I161" s="8">
        <v>720</v>
      </c>
      <c r="J161" s="8"/>
      <c r="K161" s="6" t="s">
        <v>4522</v>
      </c>
      <c r="L161" s="6" t="s">
        <v>9465</v>
      </c>
      <c r="M161" s="6" t="s">
        <v>4509</v>
      </c>
      <c r="N161" s="6" t="s">
        <v>4537</v>
      </c>
    </row>
    <row r="162" s="1" customFormat="1" ht="16.35" customHeight="1" spans="1:14">
      <c r="A162" s="5"/>
      <c r="B162" s="6" t="s">
        <v>4506</v>
      </c>
      <c r="C162" s="6">
        <v>2014</v>
      </c>
      <c r="D162" s="6">
        <v>5</v>
      </c>
      <c r="E162" s="7">
        <v>37</v>
      </c>
      <c r="F162" s="6" t="s">
        <v>9482</v>
      </c>
      <c r="G162" s="6" t="s">
        <v>9370</v>
      </c>
      <c r="H162" s="6" t="s">
        <v>26</v>
      </c>
      <c r="I162" s="8"/>
      <c r="J162" s="8">
        <v>720</v>
      </c>
      <c r="K162" s="6" t="s">
        <v>4509</v>
      </c>
      <c r="L162" s="6" t="s">
        <v>9218</v>
      </c>
      <c r="M162" s="6" t="s">
        <v>4509</v>
      </c>
      <c r="N162" s="6" t="s">
        <v>4537</v>
      </c>
    </row>
    <row r="163" s="1" customFormat="1" ht="16.35" customHeight="1" spans="1:14">
      <c r="A163" s="5"/>
      <c r="B163" s="6" t="s">
        <v>4506</v>
      </c>
      <c r="C163" s="6">
        <v>2014</v>
      </c>
      <c r="D163" s="6">
        <v>6</v>
      </c>
      <c r="E163" s="7">
        <v>2</v>
      </c>
      <c r="F163" s="6" t="s">
        <v>9483</v>
      </c>
      <c r="G163" s="6" t="s">
        <v>9370</v>
      </c>
      <c r="H163" s="6" t="s">
        <v>26</v>
      </c>
      <c r="I163" s="8"/>
      <c r="J163" s="8">
        <v>150000</v>
      </c>
      <c r="K163" s="6" t="s">
        <v>4514</v>
      </c>
      <c r="L163" s="6" t="s">
        <v>4511</v>
      </c>
      <c r="M163" s="6" t="s">
        <v>4509</v>
      </c>
      <c r="N163" s="6" t="s">
        <v>4537</v>
      </c>
    </row>
    <row r="164" s="1" customFormat="1" ht="16.35" customHeight="1" spans="1:14">
      <c r="A164" s="5"/>
      <c r="B164" s="6" t="s">
        <v>4506</v>
      </c>
      <c r="C164" s="6">
        <v>2014</v>
      </c>
      <c r="D164" s="6">
        <v>6</v>
      </c>
      <c r="E164" s="7">
        <v>3</v>
      </c>
      <c r="F164" s="6" t="s">
        <v>9484</v>
      </c>
      <c r="G164" s="6" t="s">
        <v>9370</v>
      </c>
      <c r="H164" s="6" t="s">
        <v>26</v>
      </c>
      <c r="I164" s="8"/>
      <c r="J164" s="8">
        <v>320000</v>
      </c>
      <c r="K164" s="6" t="s">
        <v>4514</v>
      </c>
      <c r="L164" s="6" t="s">
        <v>4511</v>
      </c>
      <c r="M164" s="6" t="s">
        <v>4509</v>
      </c>
      <c r="N164" s="6" t="s">
        <v>4537</v>
      </c>
    </row>
    <row r="165" s="1" customFormat="1" ht="16.35" customHeight="1" spans="1:14">
      <c r="A165" s="5"/>
      <c r="B165" s="6" t="s">
        <v>4506</v>
      </c>
      <c r="C165" s="6">
        <v>2014</v>
      </c>
      <c r="D165" s="6">
        <v>6</v>
      </c>
      <c r="E165" s="7">
        <v>5</v>
      </c>
      <c r="F165" s="6" t="s">
        <v>9485</v>
      </c>
      <c r="G165" s="6" t="s">
        <v>9370</v>
      </c>
      <c r="H165" s="6" t="s">
        <v>26</v>
      </c>
      <c r="I165" s="8"/>
      <c r="J165" s="8">
        <v>100000</v>
      </c>
      <c r="K165" s="6" t="s">
        <v>4514</v>
      </c>
      <c r="L165" s="6" t="s">
        <v>4511</v>
      </c>
      <c r="M165" s="6" t="s">
        <v>4509</v>
      </c>
      <c r="N165" s="6" t="s">
        <v>4537</v>
      </c>
    </row>
    <row r="166" s="1" customFormat="1" ht="16.35" customHeight="1" spans="1:14">
      <c r="A166" s="5"/>
      <c r="B166" s="6" t="s">
        <v>4506</v>
      </c>
      <c r="C166" s="6">
        <v>2014</v>
      </c>
      <c r="D166" s="6">
        <v>6</v>
      </c>
      <c r="E166" s="7">
        <v>6</v>
      </c>
      <c r="F166" s="6" t="s">
        <v>9486</v>
      </c>
      <c r="G166" s="6" t="s">
        <v>9370</v>
      </c>
      <c r="H166" s="6" t="s">
        <v>26</v>
      </c>
      <c r="I166" s="8"/>
      <c r="J166" s="8">
        <v>200000</v>
      </c>
      <c r="K166" s="6" t="s">
        <v>4514</v>
      </c>
      <c r="L166" s="6" t="s">
        <v>4511</v>
      </c>
      <c r="M166" s="6" t="s">
        <v>4509</v>
      </c>
      <c r="N166" s="6" t="s">
        <v>4537</v>
      </c>
    </row>
    <row r="167" s="1" customFormat="1" ht="16.35" customHeight="1" spans="1:14">
      <c r="A167" s="5"/>
      <c r="B167" s="6" t="s">
        <v>4506</v>
      </c>
      <c r="C167" s="6">
        <v>2014</v>
      </c>
      <c r="D167" s="6">
        <v>6</v>
      </c>
      <c r="E167" s="7">
        <v>8</v>
      </c>
      <c r="F167" s="6" t="s">
        <v>9487</v>
      </c>
      <c r="G167" s="6" t="s">
        <v>9370</v>
      </c>
      <c r="H167" s="6" t="s">
        <v>26</v>
      </c>
      <c r="I167" s="8"/>
      <c r="J167" s="8">
        <v>120000</v>
      </c>
      <c r="K167" s="6" t="s">
        <v>4514</v>
      </c>
      <c r="L167" s="6" t="s">
        <v>4511</v>
      </c>
      <c r="M167" s="6" t="s">
        <v>4509</v>
      </c>
      <c r="N167" s="6" t="s">
        <v>4537</v>
      </c>
    </row>
    <row r="168" s="1" customFormat="1" ht="16.35" customHeight="1" spans="1:14">
      <c r="A168" s="5"/>
      <c r="B168" s="6" t="s">
        <v>4506</v>
      </c>
      <c r="C168" s="6">
        <v>2014</v>
      </c>
      <c r="D168" s="6">
        <v>6</v>
      </c>
      <c r="E168" s="7">
        <v>9</v>
      </c>
      <c r="F168" s="6" t="s">
        <v>9488</v>
      </c>
      <c r="G168" s="6" t="s">
        <v>9370</v>
      </c>
      <c r="H168" s="6" t="s">
        <v>26</v>
      </c>
      <c r="I168" s="8"/>
      <c r="J168" s="8">
        <v>70000</v>
      </c>
      <c r="K168" s="6" t="s">
        <v>4514</v>
      </c>
      <c r="L168" s="6" t="s">
        <v>4511</v>
      </c>
      <c r="M168" s="6" t="s">
        <v>4509</v>
      </c>
      <c r="N168" s="6" t="s">
        <v>4537</v>
      </c>
    </row>
    <row r="169" s="1" customFormat="1" ht="16.35" customHeight="1" spans="1:14">
      <c r="A169" s="5"/>
      <c r="B169" s="6" t="s">
        <v>4506</v>
      </c>
      <c r="C169" s="6">
        <v>2014</v>
      </c>
      <c r="D169" s="6">
        <v>6</v>
      </c>
      <c r="E169" s="7">
        <v>10</v>
      </c>
      <c r="F169" s="6" t="s">
        <v>9489</v>
      </c>
      <c r="G169" s="6" t="s">
        <v>9370</v>
      </c>
      <c r="H169" s="6" t="s">
        <v>26</v>
      </c>
      <c r="I169" s="8">
        <v>162170.7</v>
      </c>
      <c r="J169" s="8"/>
      <c r="K169" s="6" t="s">
        <v>4512</v>
      </c>
      <c r="L169" s="6" t="s">
        <v>2906</v>
      </c>
      <c r="M169" s="6" t="s">
        <v>4509</v>
      </c>
      <c r="N169" s="6" t="s">
        <v>4537</v>
      </c>
    </row>
    <row r="170" s="1" customFormat="1" ht="16.35" customHeight="1" spans="1:14">
      <c r="A170" s="5"/>
      <c r="B170" s="6" t="s">
        <v>4506</v>
      </c>
      <c r="C170" s="6">
        <v>2014</v>
      </c>
      <c r="D170" s="6">
        <v>6</v>
      </c>
      <c r="E170" s="7">
        <v>18</v>
      </c>
      <c r="F170" s="6" t="s">
        <v>9461</v>
      </c>
      <c r="G170" s="6" t="s">
        <v>9370</v>
      </c>
      <c r="H170" s="6" t="s">
        <v>26</v>
      </c>
      <c r="I170" s="8"/>
      <c r="J170" s="8">
        <v>40000</v>
      </c>
      <c r="K170" s="6" t="s">
        <v>4514</v>
      </c>
      <c r="L170" s="6" t="s">
        <v>4511</v>
      </c>
      <c r="M170" s="6" t="s">
        <v>4509</v>
      </c>
      <c r="N170" s="6" t="s">
        <v>4537</v>
      </c>
    </row>
    <row r="171" s="1" customFormat="1" ht="16.35" customHeight="1" spans="1:14">
      <c r="A171" s="5"/>
      <c r="B171" s="6" t="s">
        <v>4506</v>
      </c>
      <c r="C171" s="6">
        <v>2014</v>
      </c>
      <c r="D171" s="6">
        <v>6</v>
      </c>
      <c r="E171" s="7">
        <v>20</v>
      </c>
      <c r="F171" s="6" t="s">
        <v>9490</v>
      </c>
      <c r="G171" s="6" t="s">
        <v>9370</v>
      </c>
      <c r="H171" s="6" t="s">
        <v>26</v>
      </c>
      <c r="I171" s="8"/>
      <c r="J171" s="8">
        <v>80000</v>
      </c>
      <c r="K171" s="6" t="s">
        <v>4514</v>
      </c>
      <c r="L171" s="6" t="s">
        <v>4511</v>
      </c>
      <c r="M171" s="6" t="s">
        <v>4509</v>
      </c>
      <c r="N171" s="6" t="s">
        <v>4537</v>
      </c>
    </row>
    <row r="172" s="1" customFormat="1" ht="16.35" customHeight="1" spans="1:14">
      <c r="A172" s="5"/>
      <c r="B172" s="6" t="s">
        <v>4506</v>
      </c>
      <c r="C172" s="6">
        <v>2014</v>
      </c>
      <c r="D172" s="6">
        <v>6</v>
      </c>
      <c r="E172" s="7">
        <v>20</v>
      </c>
      <c r="F172" s="6" t="s">
        <v>9491</v>
      </c>
      <c r="G172" s="6" t="s">
        <v>9370</v>
      </c>
      <c r="H172" s="6" t="s">
        <v>26</v>
      </c>
      <c r="I172" s="8"/>
      <c r="J172" s="8">
        <v>-100000</v>
      </c>
      <c r="K172" s="6" t="s">
        <v>4514</v>
      </c>
      <c r="L172" s="6" t="s">
        <v>4511</v>
      </c>
      <c r="M172" s="6" t="s">
        <v>4509</v>
      </c>
      <c r="N172" s="6" t="s">
        <v>4537</v>
      </c>
    </row>
    <row r="173" s="1" customFormat="1" ht="16.35" customHeight="1" spans="1:14">
      <c r="A173" s="5"/>
      <c r="B173" s="6" t="s">
        <v>4506</v>
      </c>
      <c r="C173" s="6">
        <v>2014</v>
      </c>
      <c r="D173" s="6">
        <v>6</v>
      </c>
      <c r="E173" s="7">
        <v>21</v>
      </c>
      <c r="F173" s="6" t="s">
        <v>9492</v>
      </c>
      <c r="G173" s="6" t="s">
        <v>9370</v>
      </c>
      <c r="H173" s="6" t="s">
        <v>26</v>
      </c>
      <c r="I173" s="8"/>
      <c r="J173" s="8">
        <v>200000</v>
      </c>
      <c r="K173" s="6" t="s">
        <v>4514</v>
      </c>
      <c r="L173" s="6" t="s">
        <v>4511</v>
      </c>
      <c r="M173" s="6" t="s">
        <v>4509</v>
      </c>
      <c r="N173" s="6" t="s">
        <v>4537</v>
      </c>
    </row>
    <row r="174" s="1" customFormat="1" ht="16.35" customHeight="1" spans="1:14">
      <c r="A174" s="5"/>
      <c r="B174" s="6" t="s">
        <v>4506</v>
      </c>
      <c r="C174" s="6">
        <v>2014</v>
      </c>
      <c r="D174" s="6">
        <v>6</v>
      </c>
      <c r="E174" s="7">
        <v>22</v>
      </c>
      <c r="F174" s="6" t="s">
        <v>9476</v>
      </c>
      <c r="G174" s="6" t="s">
        <v>9370</v>
      </c>
      <c r="H174" s="6" t="s">
        <v>26</v>
      </c>
      <c r="I174" s="8">
        <v>800000</v>
      </c>
      <c r="J174" s="8"/>
      <c r="K174" s="6" t="s">
        <v>4509</v>
      </c>
      <c r="L174" s="6" t="s">
        <v>9218</v>
      </c>
      <c r="M174" s="6" t="s">
        <v>4509</v>
      </c>
      <c r="N174" s="6" t="s">
        <v>4537</v>
      </c>
    </row>
    <row r="175" s="1" customFormat="1" ht="16.35" customHeight="1" spans="1:14">
      <c r="A175" s="5"/>
      <c r="B175" s="6" t="s">
        <v>4506</v>
      </c>
      <c r="C175" s="6">
        <v>2014</v>
      </c>
      <c r="D175" s="6">
        <v>6</v>
      </c>
      <c r="E175" s="7">
        <v>25</v>
      </c>
      <c r="F175" s="6" t="s">
        <v>9493</v>
      </c>
      <c r="G175" s="6" t="s">
        <v>9370</v>
      </c>
      <c r="H175" s="6" t="s">
        <v>26</v>
      </c>
      <c r="I175" s="8"/>
      <c r="J175" s="8">
        <v>263.78</v>
      </c>
      <c r="K175" s="6" t="s">
        <v>4510</v>
      </c>
      <c r="L175" s="6" t="s">
        <v>9447</v>
      </c>
      <c r="M175" s="6" t="s">
        <v>4509</v>
      </c>
      <c r="N175" s="6" t="s">
        <v>4537</v>
      </c>
    </row>
    <row r="176" s="1" customFormat="1" ht="16.35" customHeight="1" spans="1:14">
      <c r="A176" s="5"/>
      <c r="B176" s="6" t="s">
        <v>4506</v>
      </c>
      <c r="C176" s="6">
        <v>2014</v>
      </c>
      <c r="D176" s="6">
        <v>6</v>
      </c>
      <c r="E176" s="7">
        <v>25</v>
      </c>
      <c r="F176" s="6" t="s">
        <v>9494</v>
      </c>
      <c r="G176" s="6" t="s">
        <v>9370</v>
      </c>
      <c r="H176" s="6" t="s">
        <v>26</v>
      </c>
      <c r="I176" s="8"/>
      <c r="J176" s="8">
        <v>166.56</v>
      </c>
      <c r="K176" s="6" t="s">
        <v>4516</v>
      </c>
      <c r="L176" s="6" t="s">
        <v>9449</v>
      </c>
      <c r="M176" s="6" t="s">
        <v>4509</v>
      </c>
      <c r="N176" s="6" t="s">
        <v>4537</v>
      </c>
    </row>
    <row r="177" s="1" customFormat="1" ht="16.35" customHeight="1" spans="1:14">
      <c r="A177" s="5"/>
      <c r="B177" s="6" t="s">
        <v>4506</v>
      </c>
      <c r="C177" s="6">
        <v>2014</v>
      </c>
      <c r="D177" s="6">
        <v>6</v>
      </c>
      <c r="E177" s="7">
        <v>28</v>
      </c>
      <c r="F177" s="6" t="s">
        <v>9495</v>
      </c>
      <c r="G177" s="6" t="s">
        <v>9370</v>
      </c>
      <c r="H177" s="6" t="s">
        <v>26</v>
      </c>
      <c r="I177" s="8"/>
      <c r="J177" s="8">
        <v>230000</v>
      </c>
      <c r="K177" s="6" t="s">
        <v>4514</v>
      </c>
      <c r="L177" s="6" t="s">
        <v>4511</v>
      </c>
      <c r="M177" s="6" t="s">
        <v>4509</v>
      </c>
      <c r="N177" s="6" t="s">
        <v>4537</v>
      </c>
    </row>
    <row r="178" s="1" customFormat="1" ht="16.35" customHeight="1" spans="1:14">
      <c r="A178" s="5"/>
      <c r="B178" s="6" t="s">
        <v>4506</v>
      </c>
      <c r="C178" s="6">
        <v>2014</v>
      </c>
      <c r="D178" s="6">
        <v>6</v>
      </c>
      <c r="E178" s="7">
        <v>29</v>
      </c>
      <c r="F178" s="6" t="s">
        <v>9496</v>
      </c>
      <c r="G178" s="6" t="s">
        <v>9370</v>
      </c>
      <c r="H178" s="6" t="s">
        <v>26</v>
      </c>
      <c r="I178" s="8"/>
      <c r="J178" s="8">
        <v>280000</v>
      </c>
      <c r="K178" s="6" t="s">
        <v>4514</v>
      </c>
      <c r="L178" s="6" t="s">
        <v>4511</v>
      </c>
      <c r="M178" s="6" t="s">
        <v>4509</v>
      </c>
      <c r="N178" s="6" t="s">
        <v>4537</v>
      </c>
    </row>
    <row r="179" s="1" customFormat="1" ht="16.35" customHeight="1" spans="1:14">
      <c r="A179" s="5"/>
      <c r="B179" s="6" t="s">
        <v>4506</v>
      </c>
      <c r="C179" s="6">
        <v>2014</v>
      </c>
      <c r="D179" s="6">
        <v>6</v>
      </c>
      <c r="E179" s="7">
        <v>30</v>
      </c>
      <c r="F179" s="6" t="s">
        <v>9497</v>
      </c>
      <c r="G179" s="6" t="s">
        <v>9370</v>
      </c>
      <c r="H179" s="6" t="s">
        <v>26</v>
      </c>
      <c r="I179" s="8"/>
      <c r="J179" s="8">
        <v>220000</v>
      </c>
      <c r="K179" s="6" t="s">
        <v>4514</v>
      </c>
      <c r="L179" s="6" t="s">
        <v>4511</v>
      </c>
      <c r="M179" s="6" t="s">
        <v>4509</v>
      </c>
      <c r="N179" s="6" t="s">
        <v>4537</v>
      </c>
    </row>
    <row r="180" s="1" customFormat="1" ht="16.35" customHeight="1" spans="1:14">
      <c r="A180" s="5"/>
      <c r="B180" s="6" t="s">
        <v>4506</v>
      </c>
      <c r="C180" s="6">
        <v>2014</v>
      </c>
      <c r="D180" s="6">
        <v>6</v>
      </c>
      <c r="E180" s="7">
        <v>31</v>
      </c>
      <c r="F180" s="6" t="s">
        <v>9453</v>
      </c>
      <c r="G180" s="6" t="s">
        <v>9370</v>
      </c>
      <c r="H180" s="6" t="s">
        <v>26</v>
      </c>
      <c r="I180" s="8"/>
      <c r="J180" s="8">
        <v>20000</v>
      </c>
      <c r="K180" s="6" t="s">
        <v>4514</v>
      </c>
      <c r="L180" s="6" t="s">
        <v>4511</v>
      </c>
      <c r="M180" s="6" t="s">
        <v>4509</v>
      </c>
      <c r="N180" s="6" t="s">
        <v>4537</v>
      </c>
    </row>
    <row r="181" s="1" customFormat="1" ht="16.35" customHeight="1" spans="1:14">
      <c r="A181" s="5"/>
      <c r="B181" s="6" t="s">
        <v>4506</v>
      </c>
      <c r="C181" s="6">
        <v>2014</v>
      </c>
      <c r="D181" s="6">
        <v>6</v>
      </c>
      <c r="E181" s="7">
        <v>32</v>
      </c>
      <c r="F181" s="6" t="s">
        <v>9498</v>
      </c>
      <c r="G181" s="6" t="s">
        <v>9370</v>
      </c>
      <c r="H181" s="6" t="s">
        <v>26</v>
      </c>
      <c r="I181" s="8">
        <v>153291</v>
      </c>
      <c r="J181" s="8"/>
      <c r="K181" s="6" t="s">
        <v>4512</v>
      </c>
      <c r="L181" s="6" t="s">
        <v>2906</v>
      </c>
      <c r="M181" s="6" t="s">
        <v>4509</v>
      </c>
      <c r="N181" s="6" t="s">
        <v>4537</v>
      </c>
    </row>
    <row r="182" s="1" customFormat="1" ht="16.35" customHeight="1" spans="1:14">
      <c r="A182" s="5"/>
      <c r="B182" s="6" t="s">
        <v>4506</v>
      </c>
      <c r="C182" s="6">
        <v>2014</v>
      </c>
      <c r="D182" s="6">
        <v>6</v>
      </c>
      <c r="E182" s="7">
        <v>34</v>
      </c>
      <c r="F182" s="6" t="s">
        <v>4507</v>
      </c>
      <c r="G182" s="6" t="s">
        <v>9370</v>
      </c>
      <c r="H182" s="6" t="s">
        <v>26</v>
      </c>
      <c r="I182" s="8">
        <v>70000</v>
      </c>
      <c r="J182" s="8"/>
      <c r="K182" s="6" t="s">
        <v>4509</v>
      </c>
      <c r="L182" s="6" t="s">
        <v>9218</v>
      </c>
      <c r="M182" s="6" t="s">
        <v>4509</v>
      </c>
      <c r="N182" s="6" t="s">
        <v>4537</v>
      </c>
    </row>
    <row r="183" s="1" customFormat="1" ht="16.35" customHeight="1" spans="1:14">
      <c r="A183" s="5"/>
      <c r="B183" s="6" t="s">
        <v>4506</v>
      </c>
      <c r="C183" s="6">
        <v>2014</v>
      </c>
      <c r="D183" s="6">
        <v>6</v>
      </c>
      <c r="E183" s="7">
        <v>35</v>
      </c>
      <c r="F183" s="6" t="s">
        <v>9499</v>
      </c>
      <c r="G183" s="6" t="s">
        <v>9370</v>
      </c>
      <c r="H183" s="6" t="s">
        <v>26</v>
      </c>
      <c r="I183" s="8"/>
      <c r="J183" s="8">
        <v>88070</v>
      </c>
      <c r="K183" s="6" t="s">
        <v>4514</v>
      </c>
      <c r="L183" s="6" t="s">
        <v>4511</v>
      </c>
      <c r="M183" s="6" t="s">
        <v>4509</v>
      </c>
      <c r="N183" s="6" t="s">
        <v>4537</v>
      </c>
    </row>
    <row r="184" s="1" customFormat="1" ht="16.35" customHeight="1" spans="1:14">
      <c r="A184" s="5"/>
      <c r="B184" s="6" t="s">
        <v>4506</v>
      </c>
      <c r="C184" s="6">
        <v>2014</v>
      </c>
      <c r="D184" s="6">
        <v>6</v>
      </c>
      <c r="E184" s="7">
        <v>39</v>
      </c>
      <c r="F184" s="6" t="s">
        <v>9500</v>
      </c>
      <c r="G184" s="6" t="s">
        <v>9370</v>
      </c>
      <c r="H184" s="6" t="s">
        <v>26</v>
      </c>
      <c r="I184" s="8"/>
      <c r="J184" s="8">
        <v>50925</v>
      </c>
      <c r="K184" s="6" t="s">
        <v>4514</v>
      </c>
      <c r="L184" s="6" t="s">
        <v>4511</v>
      </c>
      <c r="M184" s="6" t="s">
        <v>4509</v>
      </c>
      <c r="N184" s="6" t="s">
        <v>4537</v>
      </c>
    </row>
    <row r="185" s="1" customFormat="1" ht="16.35" customHeight="1" spans="1:14">
      <c r="A185" s="5"/>
      <c r="B185" s="6" t="s">
        <v>4506</v>
      </c>
      <c r="C185" s="6">
        <v>2014</v>
      </c>
      <c r="D185" s="6">
        <v>6</v>
      </c>
      <c r="E185" s="7">
        <v>41</v>
      </c>
      <c r="F185" s="6" t="s">
        <v>9501</v>
      </c>
      <c r="G185" s="6" t="s">
        <v>9370</v>
      </c>
      <c r="H185" s="6" t="s">
        <v>26</v>
      </c>
      <c r="I185" s="8"/>
      <c r="J185" s="8">
        <v>200000</v>
      </c>
      <c r="K185" s="6" t="s">
        <v>4514</v>
      </c>
      <c r="L185" s="6" t="s">
        <v>4511</v>
      </c>
      <c r="M185" s="6" t="s">
        <v>4509</v>
      </c>
      <c r="N185" s="6" t="s">
        <v>4537</v>
      </c>
    </row>
    <row r="186" s="1" customFormat="1" ht="16.35" customHeight="1" spans="1:14">
      <c r="A186" s="5"/>
      <c r="B186" s="6" t="s">
        <v>4506</v>
      </c>
      <c r="C186" s="6">
        <v>2014</v>
      </c>
      <c r="D186" s="6">
        <v>6</v>
      </c>
      <c r="E186" s="7">
        <v>42</v>
      </c>
      <c r="F186" s="6" t="s">
        <v>9502</v>
      </c>
      <c r="G186" s="6" t="s">
        <v>9370</v>
      </c>
      <c r="H186" s="6" t="s">
        <v>26</v>
      </c>
      <c r="I186" s="8"/>
      <c r="J186" s="8">
        <v>200000</v>
      </c>
      <c r="K186" s="6" t="s">
        <v>4514</v>
      </c>
      <c r="L186" s="6" t="s">
        <v>4511</v>
      </c>
      <c r="M186" s="6" t="s">
        <v>4509</v>
      </c>
      <c r="N186" s="6" t="s">
        <v>4537</v>
      </c>
    </row>
    <row r="187" s="1" customFormat="1" ht="16.35" customHeight="1" spans="1:14">
      <c r="A187" s="5"/>
      <c r="B187" s="6" t="s">
        <v>4506</v>
      </c>
      <c r="C187" s="6">
        <v>2014</v>
      </c>
      <c r="D187" s="6">
        <v>6</v>
      </c>
      <c r="E187" s="7">
        <v>43</v>
      </c>
      <c r="F187" s="6" t="s">
        <v>9503</v>
      </c>
      <c r="G187" s="6" t="s">
        <v>9370</v>
      </c>
      <c r="H187" s="6" t="s">
        <v>26</v>
      </c>
      <c r="I187" s="8"/>
      <c r="J187" s="8">
        <v>100000</v>
      </c>
      <c r="K187" s="6" t="s">
        <v>4514</v>
      </c>
      <c r="L187" s="6" t="s">
        <v>4511</v>
      </c>
      <c r="M187" s="6" t="s">
        <v>4509</v>
      </c>
      <c r="N187" s="6" t="s">
        <v>4537</v>
      </c>
    </row>
    <row r="188" s="1" customFormat="1" ht="16.35" customHeight="1" spans="1:14">
      <c r="A188" s="5"/>
      <c r="B188" s="6" t="s">
        <v>4506</v>
      </c>
      <c r="C188" s="6">
        <v>2014</v>
      </c>
      <c r="D188" s="6">
        <v>6</v>
      </c>
      <c r="E188" s="7">
        <v>44</v>
      </c>
      <c r="F188" s="6" t="s">
        <v>9504</v>
      </c>
      <c r="G188" s="6" t="s">
        <v>9370</v>
      </c>
      <c r="H188" s="6" t="s">
        <v>26</v>
      </c>
      <c r="I188" s="8"/>
      <c r="J188" s="8">
        <v>180000</v>
      </c>
      <c r="K188" s="6" t="s">
        <v>4514</v>
      </c>
      <c r="L188" s="6" t="s">
        <v>4511</v>
      </c>
      <c r="M188" s="6" t="s">
        <v>4509</v>
      </c>
      <c r="N188" s="6" t="s">
        <v>4537</v>
      </c>
    </row>
    <row r="189" s="1" customFormat="1" ht="16.35" customHeight="1" spans="1:14">
      <c r="A189" s="5"/>
      <c r="B189" s="6" t="s">
        <v>4506</v>
      </c>
      <c r="C189" s="6">
        <v>2014</v>
      </c>
      <c r="D189" s="6">
        <v>6</v>
      </c>
      <c r="E189" s="7">
        <v>45</v>
      </c>
      <c r="F189" s="6" t="s">
        <v>9505</v>
      </c>
      <c r="G189" s="6" t="s">
        <v>9370</v>
      </c>
      <c r="H189" s="6" t="s">
        <v>26</v>
      </c>
      <c r="I189" s="8"/>
      <c r="J189" s="8">
        <v>180000</v>
      </c>
      <c r="K189" s="6" t="s">
        <v>4514</v>
      </c>
      <c r="L189" s="6" t="s">
        <v>4511</v>
      </c>
      <c r="M189" s="6" t="s">
        <v>4509</v>
      </c>
      <c r="N189" s="6" t="s">
        <v>4537</v>
      </c>
    </row>
    <row r="190" s="1" customFormat="1" ht="16.35" customHeight="1" spans="1:14">
      <c r="A190" s="5"/>
      <c r="B190" s="6" t="s">
        <v>4506</v>
      </c>
      <c r="C190" s="6">
        <v>2014</v>
      </c>
      <c r="D190" s="6">
        <v>6</v>
      </c>
      <c r="E190" s="7">
        <v>46</v>
      </c>
      <c r="F190" s="6" t="s">
        <v>9476</v>
      </c>
      <c r="G190" s="6" t="s">
        <v>9370</v>
      </c>
      <c r="H190" s="6" t="s">
        <v>26</v>
      </c>
      <c r="I190" s="8">
        <v>200000</v>
      </c>
      <c r="J190" s="8"/>
      <c r="K190" s="6" t="s">
        <v>4509</v>
      </c>
      <c r="L190" s="6" t="s">
        <v>9218</v>
      </c>
      <c r="M190" s="6" t="s">
        <v>4509</v>
      </c>
      <c r="N190" s="6" t="s">
        <v>4537</v>
      </c>
    </row>
    <row r="191" s="1" customFormat="1" ht="16.35" customHeight="1" spans="1:14">
      <c r="A191" s="5"/>
      <c r="B191" s="6" t="s">
        <v>4506</v>
      </c>
      <c r="C191" s="6">
        <v>2014</v>
      </c>
      <c r="D191" s="6">
        <v>6</v>
      </c>
      <c r="E191" s="7">
        <v>48</v>
      </c>
      <c r="F191" s="6" t="s">
        <v>9506</v>
      </c>
      <c r="G191" s="6" t="s">
        <v>9370</v>
      </c>
      <c r="H191" s="6" t="s">
        <v>26</v>
      </c>
      <c r="I191" s="8">
        <v>500000</v>
      </c>
      <c r="J191" s="8"/>
      <c r="K191" s="6" t="s">
        <v>4509</v>
      </c>
      <c r="L191" s="6" t="s">
        <v>9218</v>
      </c>
      <c r="M191" s="6" t="s">
        <v>4509</v>
      </c>
      <c r="N191" s="6" t="s">
        <v>4537</v>
      </c>
    </row>
    <row r="192" s="1" customFormat="1" ht="16.35" customHeight="1" spans="1:14">
      <c r="A192" s="5"/>
      <c r="B192" s="6" t="s">
        <v>4506</v>
      </c>
      <c r="C192" s="6">
        <v>2014</v>
      </c>
      <c r="D192" s="6">
        <v>6</v>
      </c>
      <c r="E192" s="7">
        <v>51</v>
      </c>
      <c r="F192" s="6" t="s">
        <v>9507</v>
      </c>
      <c r="G192" s="6" t="s">
        <v>9370</v>
      </c>
      <c r="H192" s="6" t="s">
        <v>26</v>
      </c>
      <c r="I192" s="8"/>
      <c r="J192" s="8">
        <v>100000</v>
      </c>
      <c r="K192" s="6" t="s">
        <v>4514</v>
      </c>
      <c r="L192" s="6" t="s">
        <v>4511</v>
      </c>
      <c r="M192" s="6" t="s">
        <v>4509</v>
      </c>
      <c r="N192" s="6" t="s">
        <v>4537</v>
      </c>
    </row>
    <row r="193" s="1" customFormat="1" ht="16.35" customHeight="1" spans="1:14">
      <c r="A193" s="5"/>
      <c r="B193" s="6" t="s">
        <v>4506</v>
      </c>
      <c r="C193" s="6">
        <v>2014</v>
      </c>
      <c r="D193" s="6">
        <v>6</v>
      </c>
      <c r="E193" s="7">
        <v>52</v>
      </c>
      <c r="F193" s="6" t="s">
        <v>9508</v>
      </c>
      <c r="G193" s="6" t="s">
        <v>9370</v>
      </c>
      <c r="H193" s="6" t="s">
        <v>26</v>
      </c>
      <c r="I193" s="8"/>
      <c r="J193" s="8">
        <v>210000</v>
      </c>
      <c r="K193" s="6" t="s">
        <v>4514</v>
      </c>
      <c r="L193" s="6" t="s">
        <v>4511</v>
      </c>
      <c r="M193" s="6" t="s">
        <v>4509</v>
      </c>
      <c r="N193" s="6" t="s">
        <v>4537</v>
      </c>
    </row>
    <row r="194" s="1" customFormat="1" ht="16.35" customHeight="1" spans="1:14">
      <c r="A194" s="5"/>
      <c r="B194" s="6" t="s">
        <v>4506</v>
      </c>
      <c r="C194" s="6">
        <v>2014</v>
      </c>
      <c r="D194" s="6">
        <v>6</v>
      </c>
      <c r="E194" s="7">
        <v>55</v>
      </c>
      <c r="F194" s="6" t="s">
        <v>9476</v>
      </c>
      <c r="G194" s="6" t="s">
        <v>9370</v>
      </c>
      <c r="H194" s="6" t="s">
        <v>26</v>
      </c>
      <c r="I194" s="8">
        <v>200000</v>
      </c>
      <c r="J194" s="8"/>
      <c r="K194" s="6" t="s">
        <v>4509</v>
      </c>
      <c r="L194" s="6" t="s">
        <v>9218</v>
      </c>
      <c r="M194" s="6" t="s">
        <v>4509</v>
      </c>
      <c r="N194" s="6" t="s">
        <v>4537</v>
      </c>
    </row>
    <row r="195" s="1" customFormat="1" ht="16.35" customHeight="1" spans="1:14">
      <c r="A195" s="5"/>
      <c r="B195" s="6" t="s">
        <v>4506</v>
      </c>
      <c r="C195" s="6">
        <v>2014</v>
      </c>
      <c r="D195" s="6">
        <v>7</v>
      </c>
      <c r="E195" s="7">
        <v>1</v>
      </c>
      <c r="F195" s="6" t="s">
        <v>9509</v>
      </c>
      <c r="G195" s="6" t="s">
        <v>9370</v>
      </c>
      <c r="H195" s="6" t="s">
        <v>26</v>
      </c>
      <c r="I195" s="8"/>
      <c r="J195" s="8">
        <v>170000</v>
      </c>
      <c r="K195" s="6" t="s">
        <v>4514</v>
      </c>
      <c r="L195" s="6" t="s">
        <v>4511</v>
      </c>
      <c r="M195" s="6" t="s">
        <v>4509</v>
      </c>
      <c r="N195" s="6" t="s">
        <v>4537</v>
      </c>
    </row>
    <row r="196" s="1" customFormat="1" ht="16.35" customHeight="1" spans="1:14">
      <c r="A196" s="5"/>
      <c r="B196" s="6" t="s">
        <v>4506</v>
      </c>
      <c r="C196" s="6">
        <v>2014</v>
      </c>
      <c r="D196" s="6">
        <v>7</v>
      </c>
      <c r="E196" s="7">
        <v>1</v>
      </c>
      <c r="F196" s="6" t="s">
        <v>9510</v>
      </c>
      <c r="G196" s="6" t="s">
        <v>9370</v>
      </c>
      <c r="H196" s="6" t="s">
        <v>26</v>
      </c>
      <c r="I196" s="8"/>
      <c r="J196" s="8">
        <v>-80000</v>
      </c>
      <c r="K196" s="6" t="s">
        <v>4514</v>
      </c>
      <c r="L196" s="6" t="s">
        <v>4511</v>
      </c>
      <c r="M196" s="6" t="s">
        <v>4509</v>
      </c>
      <c r="N196" s="6" t="s">
        <v>4537</v>
      </c>
    </row>
    <row r="197" s="1" customFormat="1" ht="16.35" customHeight="1" spans="1:14">
      <c r="A197" s="5"/>
      <c r="B197" s="6" t="s">
        <v>4506</v>
      </c>
      <c r="C197" s="6">
        <v>2014</v>
      </c>
      <c r="D197" s="6">
        <v>7</v>
      </c>
      <c r="E197" s="7">
        <v>4</v>
      </c>
      <c r="F197" s="6" t="s">
        <v>9485</v>
      </c>
      <c r="G197" s="6" t="s">
        <v>9370</v>
      </c>
      <c r="H197" s="6" t="s">
        <v>26</v>
      </c>
      <c r="I197" s="8"/>
      <c r="J197" s="8">
        <v>140000</v>
      </c>
      <c r="K197" s="6" t="s">
        <v>4514</v>
      </c>
      <c r="L197" s="6" t="s">
        <v>4511</v>
      </c>
      <c r="M197" s="6" t="s">
        <v>4509</v>
      </c>
      <c r="N197" s="6" t="s">
        <v>4537</v>
      </c>
    </row>
    <row r="198" s="1" customFormat="1" ht="16.35" customHeight="1" spans="1:14">
      <c r="A198" s="5"/>
      <c r="B198" s="6" t="s">
        <v>4506</v>
      </c>
      <c r="C198" s="6">
        <v>2014</v>
      </c>
      <c r="D198" s="6">
        <v>7</v>
      </c>
      <c r="E198" s="7">
        <v>5</v>
      </c>
      <c r="F198" s="6" t="s">
        <v>9511</v>
      </c>
      <c r="G198" s="6" t="s">
        <v>9370</v>
      </c>
      <c r="H198" s="6" t="s">
        <v>26</v>
      </c>
      <c r="I198" s="8"/>
      <c r="J198" s="8">
        <v>250000</v>
      </c>
      <c r="K198" s="6" t="s">
        <v>4514</v>
      </c>
      <c r="L198" s="6" t="s">
        <v>4511</v>
      </c>
      <c r="M198" s="6" t="s">
        <v>4509</v>
      </c>
      <c r="N198" s="6" t="s">
        <v>4537</v>
      </c>
    </row>
    <row r="199" s="1" customFormat="1" ht="16.35" customHeight="1" spans="1:14">
      <c r="A199" s="5"/>
      <c r="B199" s="6" t="s">
        <v>4506</v>
      </c>
      <c r="C199" s="6">
        <v>2014</v>
      </c>
      <c r="D199" s="6">
        <v>7</v>
      </c>
      <c r="E199" s="7">
        <v>6</v>
      </c>
      <c r="F199" s="6" t="s">
        <v>9488</v>
      </c>
      <c r="G199" s="6" t="s">
        <v>9370</v>
      </c>
      <c r="H199" s="6" t="s">
        <v>26</v>
      </c>
      <c r="I199" s="8"/>
      <c r="J199" s="8">
        <v>200000</v>
      </c>
      <c r="K199" s="6" t="s">
        <v>4514</v>
      </c>
      <c r="L199" s="6" t="s">
        <v>4511</v>
      </c>
      <c r="M199" s="6" t="s">
        <v>4509</v>
      </c>
      <c r="N199" s="6" t="s">
        <v>4537</v>
      </c>
    </row>
    <row r="200" s="1" customFormat="1" ht="16.35" customHeight="1" spans="1:14">
      <c r="A200" s="5"/>
      <c r="B200" s="6" t="s">
        <v>4506</v>
      </c>
      <c r="C200" s="6">
        <v>2014</v>
      </c>
      <c r="D200" s="6">
        <v>7</v>
      </c>
      <c r="E200" s="7">
        <v>8</v>
      </c>
      <c r="F200" s="6" t="s">
        <v>9470</v>
      </c>
      <c r="G200" s="6" t="s">
        <v>9370</v>
      </c>
      <c r="H200" s="6" t="s">
        <v>26</v>
      </c>
      <c r="I200" s="8">
        <v>1500000</v>
      </c>
      <c r="J200" s="8"/>
      <c r="K200" s="6" t="s">
        <v>4509</v>
      </c>
      <c r="L200" s="6" t="s">
        <v>9218</v>
      </c>
      <c r="M200" s="6" t="s">
        <v>4509</v>
      </c>
      <c r="N200" s="6" t="s">
        <v>4537</v>
      </c>
    </row>
    <row r="201" s="1" customFormat="1" ht="16.35" customHeight="1" spans="1:14">
      <c r="A201" s="5"/>
      <c r="B201" s="6" t="s">
        <v>4506</v>
      </c>
      <c r="C201" s="6">
        <v>2014</v>
      </c>
      <c r="D201" s="6">
        <v>7</v>
      </c>
      <c r="E201" s="7">
        <v>12</v>
      </c>
      <c r="F201" s="6" t="s">
        <v>9512</v>
      </c>
      <c r="G201" s="6" t="s">
        <v>9370</v>
      </c>
      <c r="H201" s="6" t="s">
        <v>26</v>
      </c>
      <c r="I201" s="8"/>
      <c r="J201" s="8">
        <v>500000</v>
      </c>
      <c r="K201" s="6" t="s">
        <v>4509</v>
      </c>
      <c r="L201" s="6" t="s">
        <v>9218</v>
      </c>
      <c r="M201" s="6" t="s">
        <v>4509</v>
      </c>
      <c r="N201" s="6" t="s">
        <v>4537</v>
      </c>
    </row>
    <row r="202" s="1" customFormat="1" ht="16.35" customHeight="1" spans="1:14">
      <c r="A202" s="5"/>
      <c r="B202" s="6" t="s">
        <v>4506</v>
      </c>
      <c r="C202" s="6">
        <v>2014</v>
      </c>
      <c r="D202" s="6">
        <v>7</v>
      </c>
      <c r="E202" s="7">
        <v>13</v>
      </c>
      <c r="F202" s="6" t="s">
        <v>9513</v>
      </c>
      <c r="G202" s="6" t="s">
        <v>9370</v>
      </c>
      <c r="H202" s="6" t="s">
        <v>26</v>
      </c>
      <c r="I202" s="8"/>
      <c r="J202" s="8">
        <v>190000</v>
      </c>
      <c r="K202" s="6" t="s">
        <v>4514</v>
      </c>
      <c r="L202" s="6" t="s">
        <v>4511</v>
      </c>
      <c r="M202" s="6" t="s">
        <v>4509</v>
      </c>
      <c r="N202" s="6" t="s">
        <v>4537</v>
      </c>
    </row>
    <row r="203" s="1" customFormat="1" ht="16.35" customHeight="1" spans="1:14">
      <c r="A203" s="5"/>
      <c r="B203" s="6" t="s">
        <v>4506</v>
      </c>
      <c r="C203" s="6">
        <v>2014</v>
      </c>
      <c r="D203" s="6">
        <v>7</v>
      </c>
      <c r="E203" s="7">
        <v>15</v>
      </c>
      <c r="F203" s="6" t="s">
        <v>9514</v>
      </c>
      <c r="G203" s="6" t="s">
        <v>9370</v>
      </c>
      <c r="H203" s="6" t="s">
        <v>26</v>
      </c>
      <c r="I203" s="8"/>
      <c r="J203" s="8">
        <v>50000</v>
      </c>
      <c r="K203" s="6" t="s">
        <v>4514</v>
      </c>
      <c r="L203" s="6" t="s">
        <v>4511</v>
      </c>
      <c r="M203" s="6" t="s">
        <v>4509</v>
      </c>
      <c r="N203" s="6" t="s">
        <v>4537</v>
      </c>
    </row>
    <row r="204" s="1" customFormat="1" ht="16.35" customHeight="1" spans="1:14">
      <c r="A204" s="5"/>
      <c r="B204" s="6" t="s">
        <v>4506</v>
      </c>
      <c r="C204" s="6">
        <v>2014</v>
      </c>
      <c r="D204" s="6">
        <v>7</v>
      </c>
      <c r="E204" s="7">
        <v>18</v>
      </c>
      <c r="F204" s="6" t="s">
        <v>9514</v>
      </c>
      <c r="G204" s="6" t="s">
        <v>9370</v>
      </c>
      <c r="H204" s="6" t="s">
        <v>26</v>
      </c>
      <c r="I204" s="8"/>
      <c r="J204" s="8">
        <v>93985</v>
      </c>
      <c r="K204" s="6" t="s">
        <v>4514</v>
      </c>
      <c r="L204" s="6" t="s">
        <v>4511</v>
      </c>
      <c r="M204" s="6" t="s">
        <v>4509</v>
      </c>
      <c r="N204" s="6" t="s">
        <v>4537</v>
      </c>
    </row>
    <row r="205" s="1" customFormat="1" ht="16.35" customHeight="1" spans="1:14">
      <c r="A205" s="5"/>
      <c r="B205" s="6" t="s">
        <v>4506</v>
      </c>
      <c r="C205" s="6">
        <v>2014</v>
      </c>
      <c r="D205" s="6">
        <v>7</v>
      </c>
      <c r="E205" s="7">
        <v>19</v>
      </c>
      <c r="F205" s="6" t="s">
        <v>9515</v>
      </c>
      <c r="G205" s="6" t="s">
        <v>9370</v>
      </c>
      <c r="H205" s="6" t="s">
        <v>26</v>
      </c>
      <c r="I205" s="8"/>
      <c r="J205" s="8">
        <v>-1308</v>
      </c>
      <c r="K205" s="6" t="s">
        <v>4514</v>
      </c>
      <c r="L205" s="6" t="s">
        <v>4511</v>
      </c>
      <c r="M205" s="6" t="s">
        <v>4509</v>
      </c>
      <c r="N205" s="6" t="s">
        <v>4537</v>
      </c>
    </row>
    <row r="206" s="1" customFormat="1" ht="16.35" customHeight="1" spans="1:14">
      <c r="A206" s="5"/>
      <c r="B206" s="6" t="s">
        <v>4506</v>
      </c>
      <c r="C206" s="6">
        <v>2014</v>
      </c>
      <c r="D206" s="6">
        <v>7</v>
      </c>
      <c r="E206" s="7">
        <v>20</v>
      </c>
      <c r="F206" s="6" t="s">
        <v>9516</v>
      </c>
      <c r="G206" s="6" t="s">
        <v>9370</v>
      </c>
      <c r="H206" s="6" t="s">
        <v>26</v>
      </c>
      <c r="I206" s="8"/>
      <c r="J206" s="8">
        <v>372.64</v>
      </c>
      <c r="K206" s="6" t="s">
        <v>4510</v>
      </c>
      <c r="L206" s="6" t="s">
        <v>9447</v>
      </c>
      <c r="M206" s="6" t="s">
        <v>4509</v>
      </c>
      <c r="N206" s="6" t="s">
        <v>4537</v>
      </c>
    </row>
    <row r="207" s="1" customFormat="1" ht="16.35" customHeight="1" spans="1:14">
      <c r="A207" s="5"/>
      <c r="B207" s="6" t="s">
        <v>4506</v>
      </c>
      <c r="C207" s="6">
        <v>2014</v>
      </c>
      <c r="D207" s="6">
        <v>7</v>
      </c>
      <c r="E207" s="7">
        <v>20</v>
      </c>
      <c r="F207" s="6" t="s">
        <v>9516</v>
      </c>
      <c r="G207" s="6" t="s">
        <v>9370</v>
      </c>
      <c r="H207" s="6" t="s">
        <v>26</v>
      </c>
      <c r="I207" s="8"/>
      <c r="J207" s="8">
        <v>266.4</v>
      </c>
      <c r="K207" s="6" t="s">
        <v>4516</v>
      </c>
      <c r="L207" s="6" t="s">
        <v>9449</v>
      </c>
      <c r="M207" s="6" t="s">
        <v>4509</v>
      </c>
      <c r="N207" s="6" t="s">
        <v>4537</v>
      </c>
    </row>
    <row r="208" s="1" customFormat="1" ht="16.35" customHeight="1" spans="1:14">
      <c r="A208" s="5"/>
      <c r="B208" s="6" t="s">
        <v>4506</v>
      </c>
      <c r="C208" s="6">
        <v>2014</v>
      </c>
      <c r="D208" s="6">
        <v>7</v>
      </c>
      <c r="E208" s="7">
        <v>22</v>
      </c>
      <c r="F208" s="6" t="s">
        <v>4507</v>
      </c>
      <c r="G208" s="6" t="s">
        <v>9370</v>
      </c>
      <c r="H208" s="6" t="s">
        <v>26</v>
      </c>
      <c r="I208" s="8">
        <v>1920</v>
      </c>
      <c r="J208" s="8"/>
      <c r="K208" s="6" t="s">
        <v>4509</v>
      </c>
      <c r="L208" s="6" t="s">
        <v>9218</v>
      </c>
      <c r="M208" s="6" t="s">
        <v>4509</v>
      </c>
      <c r="N208" s="6" t="s">
        <v>4537</v>
      </c>
    </row>
    <row r="209" s="1" customFormat="1" ht="16.35" customHeight="1" spans="1:14">
      <c r="A209" s="5"/>
      <c r="B209" s="6" t="s">
        <v>4506</v>
      </c>
      <c r="C209" s="6">
        <v>2014</v>
      </c>
      <c r="D209" s="6">
        <v>7</v>
      </c>
      <c r="E209" s="7">
        <v>24</v>
      </c>
      <c r="F209" s="6" t="s">
        <v>9517</v>
      </c>
      <c r="G209" s="6" t="s">
        <v>9370</v>
      </c>
      <c r="H209" s="6" t="s">
        <v>26</v>
      </c>
      <c r="I209" s="8">
        <v>200000</v>
      </c>
      <c r="J209" s="8"/>
      <c r="K209" s="6" t="s">
        <v>4509</v>
      </c>
      <c r="L209" s="6" t="s">
        <v>9218</v>
      </c>
      <c r="M209" s="6" t="s">
        <v>4509</v>
      </c>
      <c r="N209" s="6" t="s">
        <v>4537</v>
      </c>
    </row>
    <row r="210" s="1" customFormat="1" ht="16.35" customHeight="1" spans="1:14">
      <c r="A210" s="5"/>
      <c r="B210" s="6" t="s">
        <v>4506</v>
      </c>
      <c r="C210" s="6">
        <v>2014</v>
      </c>
      <c r="D210" s="6">
        <v>7</v>
      </c>
      <c r="E210" s="7">
        <v>27</v>
      </c>
      <c r="F210" s="6" t="s">
        <v>9518</v>
      </c>
      <c r="G210" s="6" t="s">
        <v>9370</v>
      </c>
      <c r="H210" s="6" t="s">
        <v>26</v>
      </c>
      <c r="I210" s="8">
        <v>100000</v>
      </c>
      <c r="J210" s="8"/>
      <c r="K210" s="6" t="s">
        <v>4509</v>
      </c>
      <c r="L210" s="6" t="s">
        <v>9218</v>
      </c>
      <c r="M210" s="6" t="s">
        <v>4509</v>
      </c>
      <c r="N210" s="6" t="s">
        <v>4537</v>
      </c>
    </row>
    <row r="211" s="1" customFormat="1" ht="16.35" customHeight="1" spans="1:14">
      <c r="A211" s="5"/>
      <c r="B211" s="6" t="s">
        <v>4506</v>
      </c>
      <c r="C211" s="6">
        <v>2014</v>
      </c>
      <c r="D211" s="6">
        <v>7</v>
      </c>
      <c r="E211" s="7">
        <v>28</v>
      </c>
      <c r="F211" s="6" t="s">
        <v>9519</v>
      </c>
      <c r="G211" s="6" t="s">
        <v>9370</v>
      </c>
      <c r="H211" s="6" t="s">
        <v>26</v>
      </c>
      <c r="I211" s="8"/>
      <c r="J211" s="8">
        <v>170000</v>
      </c>
      <c r="K211" s="6" t="s">
        <v>4514</v>
      </c>
      <c r="L211" s="6" t="s">
        <v>4511</v>
      </c>
      <c r="M211" s="6" t="s">
        <v>4509</v>
      </c>
      <c r="N211" s="6" t="s">
        <v>4537</v>
      </c>
    </row>
    <row r="212" s="1" customFormat="1" ht="16.35" customHeight="1" spans="1:14">
      <c r="A212" s="5"/>
      <c r="B212" s="6" t="s">
        <v>4506</v>
      </c>
      <c r="C212" s="6">
        <v>2014</v>
      </c>
      <c r="D212" s="6">
        <v>7</v>
      </c>
      <c r="E212" s="7">
        <v>34</v>
      </c>
      <c r="F212" s="6" t="s">
        <v>9385</v>
      </c>
      <c r="G212" s="6" t="s">
        <v>9370</v>
      </c>
      <c r="H212" s="6" t="s">
        <v>26</v>
      </c>
      <c r="I212" s="8"/>
      <c r="J212" s="8">
        <v>5776</v>
      </c>
      <c r="K212" s="6" t="s">
        <v>4512</v>
      </c>
      <c r="L212" s="6" t="s">
        <v>2906</v>
      </c>
      <c r="M212" s="6" t="s">
        <v>4509</v>
      </c>
      <c r="N212" s="6" t="s">
        <v>4537</v>
      </c>
    </row>
    <row r="213" s="1" customFormat="1" ht="16.35" customHeight="1" spans="1:14">
      <c r="A213" s="5"/>
      <c r="B213" s="6" t="s">
        <v>4506</v>
      </c>
      <c r="C213" s="6">
        <v>2014</v>
      </c>
      <c r="D213" s="6">
        <v>7</v>
      </c>
      <c r="E213" s="7">
        <v>35</v>
      </c>
      <c r="F213" s="6" t="s">
        <v>9520</v>
      </c>
      <c r="G213" s="6" t="s">
        <v>9370</v>
      </c>
      <c r="H213" s="6" t="s">
        <v>26</v>
      </c>
      <c r="I213" s="8"/>
      <c r="J213" s="8">
        <v>270000</v>
      </c>
      <c r="K213" s="6" t="s">
        <v>4514</v>
      </c>
      <c r="L213" s="6" t="s">
        <v>4511</v>
      </c>
      <c r="M213" s="6" t="s">
        <v>4509</v>
      </c>
      <c r="N213" s="6" t="s">
        <v>4537</v>
      </c>
    </row>
    <row r="214" s="1" customFormat="1" ht="16.35" customHeight="1" spans="1:14">
      <c r="A214" s="5"/>
      <c r="B214" s="6" t="s">
        <v>4506</v>
      </c>
      <c r="C214" s="6">
        <v>2014</v>
      </c>
      <c r="D214" s="6">
        <v>7</v>
      </c>
      <c r="E214" s="7">
        <v>37</v>
      </c>
      <c r="F214" s="6" t="s">
        <v>9521</v>
      </c>
      <c r="G214" s="6" t="s">
        <v>9370</v>
      </c>
      <c r="H214" s="6" t="s">
        <v>26</v>
      </c>
      <c r="I214" s="8"/>
      <c r="J214" s="8">
        <v>150000</v>
      </c>
      <c r="K214" s="6" t="s">
        <v>4514</v>
      </c>
      <c r="L214" s="6" t="s">
        <v>4511</v>
      </c>
      <c r="M214" s="6" t="s">
        <v>4509</v>
      </c>
      <c r="N214" s="6" t="s">
        <v>4537</v>
      </c>
    </row>
    <row r="215" s="1" customFormat="1" ht="16.35" customHeight="1" spans="1:14">
      <c r="A215" s="5"/>
      <c r="B215" s="6" t="s">
        <v>4506</v>
      </c>
      <c r="C215" s="6">
        <v>2014</v>
      </c>
      <c r="D215" s="6">
        <v>7</v>
      </c>
      <c r="E215" s="7">
        <v>38</v>
      </c>
      <c r="F215" s="6" t="s">
        <v>9522</v>
      </c>
      <c r="G215" s="6" t="s">
        <v>9370</v>
      </c>
      <c r="H215" s="6" t="s">
        <v>26</v>
      </c>
      <c r="I215" s="8"/>
      <c r="J215" s="8">
        <v>31850</v>
      </c>
      <c r="K215" s="6" t="s">
        <v>4514</v>
      </c>
      <c r="L215" s="6" t="s">
        <v>4511</v>
      </c>
      <c r="M215" s="6" t="s">
        <v>4509</v>
      </c>
      <c r="N215" s="6" t="s">
        <v>4537</v>
      </c>
    </row>
    <row r="216" s="1" customFormat="1" ht="16.35" customHeight="1" spans="1:14">
      <c r="A216" s="5"/>
      <c r="B216" s="6" t="s">
        <v>4506</v>
      </c>
      <c r="C216" s="6">
        <v>2014</v>
      </c>
      <c r="D216" s="6">
        <v>7</v>
      </c>
      <c r="E216" s="7">
        <v>40</v>
      </c>
      <c r="F216" s="6" t="s">
        <v>9523</v>
      </c>
      <c r="G216" s="6" t="s">
        <v>9370</v>
      </c>
      <c r="H216" s="6" t="s">
        <v>26</v>
      </c>
      <c r="I216" s="8"/>
      <c r="J216" s="8">
        <v>300000</v>
      </c>
      <c r="K216" s="6" t="s">
        <v>4514</v>
      </c>
      <c r="L216" s="6" t="s">
        <v>4511</v>
      </c>
      <c r="M216" s="6" t="s">
        <v>4509</v>
      </c>
      <c r="N216" s="6" t="s">
        <v>4537</v>
      </c>
    </row>
    <row r="217" s="1" customFormat="1" ht="16.35" customHeight="1" spans="1:14">
      <c r="A217" s="5"/>
      <c r="B217" s="6" t="s">
        <v>4506</v>
      </c>
      <c r="C217" s="6">
        <v>2014</v>
      </c>
      <c r="D217" s="6">
        <v>7</v>
      </c>
      <c r="E217" s="7">
        <v>43</v>
      </c>
      <c r="F217" s="6" t="s">
        <v>9476</v>
      </c>
      <c r="G217" s="6" t="s">
        <v>9370</v>
      </c>
      <c r="H217" s="6" t="s">
        <v>26</v>
      </c>
      <c r="I217" s="8">
        <v>550000</v>
      </c>
      <c r="J217" s="8"/>
      <c r="K217" s="6" t="s">
        <v>4509</v>
      </c>
      <c r="L217" s="6" t="s">
        <v>9218</v>
      </c>
      <c r="M217" s="6" t="s">
        <v>4509</v>
      </c>
      <c r="N217" s="6" t="s">
        <v>4537</v>
      </c>
    </row>
    <row r="218" s="1" customFormat="1" ht="16.35" customHeight="1" spans="1:14">
      <c r="A218" s="5"/>
      <c r="B218" s="6" t="s">
        <v>4506</v>
      </c>
      <c r="C218" s="6">
        <v>2014</v>
      </c>
      <c r="D218" s="6">
        <v>7</v>
      </c>
      <c r="E218" s="7">
        <v>45</v>
      </c>
      <c r="F218" s="6" t="s">
        <v>9524</v>
      </c>
      <c r="G218" s="6" t="s">
        <v>9370</v>
      </c>
      <c r="H218" s="6" t="s">
        <v>26</v>
      </c>
      <c r="I218" s="8"/>
      <c r="J218" s="8">
        <v>-80000</v>
      </c>
      <c r="K218" s="6" t="s">
        <v>4514</v>
      </c>
      <c r="L218" s="6" t="s">
        <v>4511</v>
      </c>
      <c r="M218" s="6" t="s">
        <v>4509</v>
      </c>
      <c r="N218" s="6" t="s">
        <v>4537</v>
      </c>
    </row>
    <row r="219" s="1" customFormat="1" ht="16.35" customHeight="1" spans="1:14">
      <c r="A219" s="5"/>
      <c r="B219" s="6" t="s">
        <v>4506</v>
      </c>
      <c r="C219" s="6">
        <v>2014</v>
      </c>
      <c r="D219" s="6">
        <v>7</v>
      </c>
      <c r="E219" s="7">
        <v>46</v>
      </c>
      <c r="F219" s="6" t="s">
        <v>9525</v>
      </c>
      <c r="G219" s="6" t="s">
        <v>9370</v>
      </c>
      <c r="H219" s="6" t="s">
        <v>26</v>
      </c>
      <c r="I219" s="8"/>
      <c r="J219" s="8">
        <v>240000</v>
      </c>
      <c r="K219" s="6" t="s">
        <v>4514</v>
      </c>
      <c r="L219" s="6" t="s">
        <v>4511</v>
      </c>
      <c r="M219" s="6" t="s">
        <v>4509</v>
      </c>
      <c r="N219" s="6" t="s">
        <v>4537</v>
      </c>
    </row>
    <row r="220" s="1" customFormat="1" ht="16.35" customHeight="1" spans="1:14">
      <c r="A220" s="5"/>
      <c r="B220" s="6" t="s">
        <v>4506</v>
      </c>
      <c r="C220" s="6">
        <v>2014</v>
      </c>
      <c r="D220" s="6">
        <v>7</v>
      </c>
      <c r="E220" s="7">
        <v>47</v>
      </c>
      <c r="F220" s="6" t="s">
        <v>9526</v>
      </c>
      <c r="G220" s="6" t="s">
        <v>9370</v>
      </c>
      <c r="H220" s="6" t="s">
        <v>26</v>
      </c>
      <c r="I220" s="8"/>
      <c r="J220" s="8">
        <v>270000</v>
      </c>
      <c r="K220" s="6" t="s">
        <v>4514</v>
      </c>
      <c r="L220" s="6" t="s">
        <v>4511</v>
      </c>
      <c r="M220" s="6" t="s">
        <v>4509</v>
      </c>
      <c r="N220" s="6" t="s">
        <v>4537</v>
      </c>
    </row>
    <row r="221" s="1" customFormat="1" ht="16.35" customHeight="1" spans="1:14">
      <c r="A221" s="5"/>
      <c r="B221" s="6" t="s">
        <v>4506</v>
      </c>
      <c r="C221" s="6">
        <v>2014</v>
      </c>
      <c r="D221" s="6">
        <v>7</v>
      </c>
      <c r="E221" s="7">
        <v>48</v>
      </c>
      <c r="F221" s="6" t="s">
        <v>9527</v>
      </c>
      <c r="G221" s="6" t="s">
        <v>9370</v>
      </c>
      <c r="H221" s="6" t="s">
        <v>26</v>
      </c>
      <c r="I221" s="8"/>
      <c r="J221" s="8">
        <v>75000</v>
      </c>
      <c r="K221" s="6" t="s">
        <v>4514</v>
      </c>
      <c r="L221" s="6" t="s">
        <v>4511</v>
      </c>
      <c r="M221" s="6" t="s">
        <v>4509</v>
      </c>
      <c r="N221" s="6" t="s">
        <v>4537</v>
      </c>
    </row>
    <row r="222" s="1" customFormat="1" ht="16.35" customHeight="1" spans="1:14">
      <c r="A222" s="5"/>
      <c r="B222" s="6" t="s">
        <v>4506</v>
      </c>
      <c r="C222" s="6">
        <v>2014</v>
      </c>
      <c r="D222" s="6">
        <v>7</v>
      </c>
      <c r="E222" s="7">
        <v>49</v>
      </c>
      <c r="F222" s="6" t="s">
        <v>9528</v>
      </c>
      <c r="G222" s="6" t="s">
        <v>9370</v>
      </c>
      <c r="H222" s="6" t="s">
        <v>26</v>
      </c>
      <c r="I222" s="8">
        <v>800</v>
      </c>
      <c r="J222" s="8"/>
      <c r="K222" s="6" t="s">
        <v>4512</v>
      </c>
      <c r="L222" s="6" t="s">
        <v>2906</v>
      </c>
      <c r="M222" s="6" t="s">
        <v>4509</v>
      </c>
      <c r="N222" s="6" t="s">
        <v>4537</v>
      </c>
    </row>
    <row r="223" s="1" customFormat="1" ht="16.35" customHeight="1" spans="1:14">
      <c r="A223" s="5"/>
      <c r="B223" s="6" t="s">
        <v>4506</v>
      </c>
      <c r="C223" s="6">
        <v>2014</v>
      </c>
      <c r="D223" s="6">
        <v>8</v>
      </c>
      <c r="E223" s="7">
        <v>1</v>
      </c>
      <c r="F223" s="6" t="s">
        <v>9527</v>
      </c>
      <c r="G223" s="6" t="s">
        <v>9370</v>
      </c>
      <c r="H223" s="6" t="s">
        <v>26</v>
      </c>
      <c r="I223" s="8"/>
      <c r="J223" s="8">
        <v>21016</v>
      </c>
      <c r="K223" s="6" t="s">
        <v>4514</v>
      </c>
      <c r="L223" s="6" t="s">
        <v>4511</v>
      </c>
      <c r="M223" s="6" t="s">
        <v>4509</v>
      </c>
      <c r="N223" s="6" t="s">
        <v>4537</v>
      </c>
    </row>
    <row r="224" s="1" customFormat="1" ht="16.35" customHeight="1" spans="1:14">
      <c r="A224" s="5"/>
      <c r="B224" s="6" t="s">
        <v>4506</v>
      </c>
      <c r="C224" s="6">
        <v>2014</v>
      </c>
      <c r="D224" s="6">
        <v>8</v>
      </c>
      <c r="E224" s="7">
        <v>5</v>
      </c>
      <c r="F224" s="6" t="s">
        <v>9529</v>
      </c>
      <c r="G224" s="6" t="s">
        <v>9370</v>
      </c>
      <c r="H224" s="6" t="s">
        <v>26</v>
      </c>
      <c r="I224" s="8">
        <v>10000</v>
      </c>
      <c r="J224" s="8"/>
      <c r="K224" s="6" t="s">
        <v>4512</v>
      </c>
      <c r="L224" s="6" t="s">
        <v>2906</v>
      </c>
      <c r="M224" s="6" t="s">
        <v>4509</v>
      </c>
      <c r="N224" s="6" t="s">
        <v>4537</v>
      </c>
    </row>
    <row r="225" s="1" customFormat="1" ht="16.35" customHeight="1" spans="1:14">
      <c r="A225" s="5"/>
      <c r="B225" s="6" t="s">
        <v>4506</v>
      </c>
      <c r="C225" s="6">
        <v>2014</v>
      </c>
      <c r="D225" s="6">
        <v>8</v>
      </c>
      <c r="E225" s="7">
        <v>7</v>
      </c>
      <c r="F225" s="6" t="s">
        <v>9530</v>
      </c>
      <c r="G225" s="6" t="s">
        <v>9370</v>
      </c>
      <c r="H225" s="6" t="s">
        <v>26</v>
      </c>
      <c r="I225" s="8"/>
      <c r="J225" s="8">
        <v>240000</v>
      </c>
      <c r="K225" s="6" t="s">
        <v>4514</v>
      </c>
      <c r="L225" s="6" t="s">
        <v>4511</v>
      </c>
      <c r="M225" s="6" t="s">
        <v>4509</v>
      </c>
      <c r="N225" s="6" t="s">
        <v>4537</v>
      </c>
    </row>
    <row r="226" s="1" customFormat="1" ht="16.35" customHeight="1" spans="1:14">
      <c r="A226" s="5"/>
      <c r="B226" s="6" t="s">
        <v>4506</v>
      </c>
      <c r="C226" s="6">
        <v>2014</v>
      </c>
      <c r="D226" s="6">
        <v>8</v>
      </c>
      <c r="E226" s="7">
        <v>8</v>
      </c>
      <c r="F226" s="6" t="s">
        <v>9531</v>
      </c>
      <c r="G226" s="6" t="s">
        <v>9370</v>
      </c>
      <c r="H226" s="6" t="s">
        <v>26</v>
      </c>
      <c r="I226" s="8"/>
      <c r="J226" s="8">
        <v>20000</v>
      </c>
      <c r="K226" s="6" t="s">
        <v>4514</v>
      </c>
      <c r="L226" s="6" t="s">
        <v>4511</v>
      </c>
      <c r="M226" s="6" t="s">
        <v>4509</v>
      </c>
      <c r="N226" s="6" t="s">
        <v>4537</v>
      </c>
    </row>
    <row r="227" s="1" customFormat="1" ht="16.35" customHeight="1" spans="1:14">
      <c r="A227" s="5"/>
      <c r="B227" s="6" t="s">
        <v>4506</v>
      </c>
      <c r="C227" s="6">
        <v>2014</v>
      </c>
      <c r="D227" s="6">
        <v>8</v>
      </c>
      <c r="E227" s="7">
        <v>15</v>
      </c>
      <c r="F227" s="6" t="s">
        <v>9532</v>
      </c>
      <c r="G227" s="6" t="s">
        <v>9370</v>
      </c>
      <c r="H227" s="6" t="s">
        <v>26</v>
      </c>
      <c r="I227" s="8"/>
      <c r="J227" s="8">
        <v>20000</v>
      </c>
      <c r="K227" s="6" t="s">
        <v>4514</v>
      </c>
      <c r="L227" s="6" t="s">
        <v>4511</v>
      </c>
      <c r="M227" s="6" t="s">
        <v>4509</v>
      </c>
      <c r="N227" s="6" t="s">
        <v>4537</v>
      </c>
    </row>
    <row r="228" s="1" customFormat="1" ht="16.35" customHeight="1" spans="1:14">
      <c r="A228" s="5"/>
      <c r="B228" s="6" t="s">
        <v>4506</v>
      </c>
      <c r="C228" s="6">
        <v>2014</v>
      </c>
      <c r="D228" s="6">
        <v>8</v>
      </c>
      <c r="E228" s="7">
        <v>16</v>
      </c>
      <c r="F228" s="6" t="s">
        <v>9533</v>
      </c>
      <c r="G228" s="6" t="s">
        <v>9370</v>
      </c>
      <c r="H228" s="6" t="s">
        <v>26</v>
      </c>
      <c r="I228" s="8"/>
      <c r="J228" s="8">
        <v>180000</v>
      </c>
      <c r="K228" s="6" t="s">
        <v>4514</v>
      </c>
      <c r="L228" s="6" t="s">
        <v>4511</v>
      </c>
      <c r="M228" s="6" t="s">
        <v>4509</v>
      </c>
      <c r="N228" s="6" t="s">
        <v>4537</v>
      </c>
    </row>
    <row r="229" s="1" customFormat="1" ht="16.35" customHeight="1" spans="1:14">
      <c r="A229" s="5"/>
      <c r="B229" s="6" t="s">
        <v>4506</v>
      </c>
      <c r="C229" s="6">
        <v>2014</v>
      </c>
      <c r="D229" s="6">
        <v>8</v>
      </c>
      <c r="E229" s="7">
        <v>17</v>
      </c>
      <c r="F229" s="6" t="s">
        <v>9534</v>
      </c>
      <c r="G229" s="6" t="s">
        <v>9370</v>
      </c>
      <c r="H229" s="6" t="s">
        <v>26</v>
      </c>
      <c r="I229" s="8"/>
      <c r="J229" s="8">
        <v>263.78</v>
      </c>
      <c r="K229" s="6" t="s">
        <v>4510</v>
      </c>
      <c r="L229" s="6" t="s">
        <v>9447</v>
      </c>
      <c r="M229" s="6" t="s">
        <v>4509</v>
      </c>
      <c r="N229" s="6" t="s">
        <v>4537</v>
      </c>
    </row>
    <row r="230" s="1" customFormat="1" ht="16.35" customHeight="1" spans="1:14">
      <c r="A230" s="5"/>
      <c r="B230" s="6" t="s">
        <v>4506</v>
      </c>
      <c r="C230" s="6">
        <v>2014</v>
      </c>
      <c r="D230" s="6">
        <v>8</v>
      </c>
      <c r="E230" s="7">
        <v>17</v>
      </c>
      <c r="F230" s="6" t="s">
        <v>9534</v>
      </c>
      <c r="G230" s="6" t="s">
        <v>9370</v>
      </c>
      <c r="H230" s="6" t="s">
        <v>26</v>
      </c>
      <c r="I230" s="8"/>
      <c r="J230" s="8">
        <v>166.56</v>
      </c>
      <c r="K230" s="6" t="s">
        <v>4516</v>
      </c>
      <c r="L230" s="6" t="s">
        <v>9449</v>
      </c>
      <c r="M230" s="6" t="s">
        <v>4509</v>
      </c>
      <c r="N230" s="6" t="s">
        <v>4537</v>
      </c>
    </row>
    <row r="231" s="1" customFormat="1" ht="16.35" customHeight="1" spans="1:14">
      <c r="A231" s="5"/>
      <c r="B231" s="6" t="s">
        <v>4506</v>
      </c>
      <c r="C231" s="6">
        <v>2014</v>
      </c>
      <c r="D231" s="6">
        <v>8</v>
      </c>
      <c r="E231" s="7">
        <v>21</v>
      </c>
      <c r="F231" s="6" t="s">
        <v>9535</v>
      </c>
      <c r="G231" s="6" t="s">
        <v>9370</v>
      </c>
      <c r="H231" s="6" t="s">
        <v>26</v>
      </c>
      <c r="I231" s="8"/>
      <c r="J231" s="8">
        <v>20000</v>
      </c>
      <c r="K231" s="6" t="s">
        <v>4514</v>
      </c>
      <c r="L231" s="6" t="s">
        <v>4511</v>
      </c>
      <c r="M231" s="6" t="s">
        <v>4509</v>
      </c>
      <c r="N231" s="6" t="s">
        <v>4537</v>
      </c>
    </row>
    <row r="232" s="1" customFormat="1" ht="16.35" customHeight="1" spans="1:14">
      <c r="A232" s="5"/>
      <c r="B232" s="6" t="s">
        <v>4506</v>
      </c>
      <c r="C232" s="6">
        <v>2014</v>
      </c>
      <c r="D232" s="6">
        <v>8</v>
      </c>
      <c r="E232" s="7">
        <v>23</v>
      </c>
      <c r="F232" s="6" t="s">
        <v>9536</v>
      </c>
      <c r="G232" s="6" t="s">
        <v>9370</v>
      </c>
      <c r="H232" s="6" t="s">
        <v>26</v>
      </c>
      <c r="I232" s="8"/>
      <c r="J232" s="8">
        <v>100000</v>
      </c>
      <c r="K232" s="6" t="s">
        <v>4514</v>
      </c>
      <c r="L232" s="6" t="s">
        <v>4511</v>
      </c>
      <c r="M232" s="6" t="s">
        <v>4509</v>
      </c>
      <c r="N232" s="6" t="s">
        <v>4537</v>
      </c>
    </row>
    <row r="233" s="1" customFormat="1" ht="16.35" customHeight="1" spans="1:14">
      <c r="A233" s="5"/>
      <c r="B233" s="6" t="s">
        <v>4506</v>
      </c>
      <c r="C233" s="6">
        <v>2014</v>
      </c>
      <c r="D233" s="6">
        <v>8</v>
      </c>
      <c r="E233" s="7">
        <v>25</v>
      </c>
      <c r="F233" s="6" t="s">
        <v>9537</v>
      </c>
      <c r="G233" s="6" t="s">
        <v>9370</v>
      </c>
      <c r="H233" s="6" t="s">
        <v>26</v>
      </c>
      <c r="I233" s="8"/>
      <c r="J233" s="8">
        <v>200000</v>
      </c>
      <c r="K233" s="6" t="s">
        <v>4514</v>
      </c>
      <c r="L233" s="6" t="s">
        <v>4511</v>
      </c>
      <c r="M233" s="6" t="s">
        <v>4509</v>
      </c>
      <c r="N233" s="6" t="s">
        <v>4537</v>
      </c>
    </row>
    <row r="234" s="1" customFormat="1" ht="16.35" customHeight="1" spans="1:14">
      <c r="A234" s="5"/>
      <c r="B234" s="6" t="s">
        <v>4506</v>
      </c>
      <c r="C234" s="6">
        <v>2014</v>
      </c>
      <c r="D234" s="6">
        <v>8</v>
      </c>
      <c r="E234" s="7">
        <v>26</v>
      </c>
      <c r="F234" s="6" t="s">
        <v>9538</v>
      </c>
      <c r="G234" s="6" t="s">
        <v>9370</v>
      </c>
      <c r="H234" s="6" t="s">
        <v>26</v>
      </c>
      <c r="I234" s="8"/>
      <c r="J234" s="8">
        <v>240000</v>
      </c>
      <c r="K234" s="6" t="s">
        <v>4514</v>
      </c>
      <c r="L234" s="6" t="s">
        <v>4511</v>
      </c>
      <c r="M234" s="6" t="s">
        <v>4509</v>
      </c>
      <c r="N234" s="6" t="s">
        <v>4537</v>
      </c>
    </row>
    <row r="235" s="1" customFormat="1" ht="16.35" customHeight="1" spans="1:14">
      <c r="A235" s="5"/>
      <c r="B235" s="6" t="s">
        <v>4506</v>
      </c>
      <c r="C235" s="6">
        <v>2014</v>
      </c>
      <c r="D235" s="6">
        <v>8</v>
      </c>
      <c r="E235" s="7">
        <v>27</v>
      </c>
      <c r="F235" s="6" t="s">
        <v>9539</v>
      </c>
      <c r="G235" s="6" t="s">
        <v>9370</v>
      </c>
      <c r="H235" s="6" t="s">
        <v>26</v>
      </c>
      <c r="I235" s="8">
        <v>500000</v>
      </c>
      <c r="J235" s="8"/>
      <c r="K235" s="6" t="s">
        <v>4509</v>
      </c>
      <c r="L235" s="6" t="s">
        <v>9218</v>
      </c>
      <c r="M235" s="6" t="s">
        <v>4509</v>
      </c>
      <c r="N235" s="6" t="s">
        <v>4537</v>
      </c>
    </row>
    <row r="236" s="1" customFormat="1" ht="16.35" customHeight="1" spans="1:14">
      <c r="A236" s="5"/>
      <c r="B236" s="6" t="s">
        <v>4506</v>
      </c>
      <c r="C236" s="6">
        <v>2014</v>
      </c>
      <c r="D236" s="6">
        <v>8</v>
      </c>
      <c r="E236" s="7">
        <v>28</v>
      </c>
      <c r="F236" s="6" t="s">
        <v>9540</v>
      </c>
      <c r="G236" s="6" t="s">
        <v>9370</v>
      </c>
      <c r="H236" s="6" t="s">
        <v>26</v>
      </c>
      <c r="I236" s="8"/>
      <c r="J236" s="8">
        <v>-45000</v>
      </c>
      <c r="K236" s="6" t="s">
        <v>4514</v>
      </c>
      <c r="L236" s="6" t="s">
        <v>4511</v>
      </c>
      <c r="M236" s="6" t="s">
        <v>4509</v>
      </c>
      <c r="N236" s="6" t="s">
        <v>4537</v>
      </c>
    </row>
    <row r="237" s="1" customFormat="1" ht="16.35" customHeight="1" spans="1:14">
      <c r="A237" s="5"/>
      <c r="B237" s="6" t="s">
        <v>4506</v>
      </c>
      <c r="C237" s="6">
        <v>2014</v>
      </c>
      <c r="D237" s="6">
        <v>8</v>
      </c>
      <c r="E237" s="7">
        <v>29</v>
      </c>
      <c r="F237" s="6" t="s">
        <v>9541</v>
      </c>
      <c r="G237" s="6" t="s">
        <v>9370</v>
      </c>
      <c r="H237" s="6" t="s">
        <v>26</v>
      </c>
      <c r="I237" s="8"/>
      <c r="J237" s="8">
        <v>20000</v>
      </c>
      <c r="K237" s="6" t="s">
        <v>4514</v>
      </c>
      <c r="L237" s="6" t="s">
        <v>4511</v>
      </c>
      <c r="M237" s="6" t="s">
        <v>4509</v>
      </c>
      <c r="N237" s="6" t="s">
        <v>4537</v>
      </c>
    </row>
    <row r="238" s="1" customFormat="1" ht="16.35" customHeight="1" spans="1:14">
      <c r="A238" s="5"/>
      <c r="B238" s="6" t="s">
        <v>4506</v>
      </c>
      <c r="C238" s="6">
        <v>2014</v>
      </c>
      <c r="D238" s="6">
        <v>8</v>
      </c>
      <c r="E238" s="7">
        <v>30</v>
      </c>
      <c r="F238" s="6" t="s">
        <v>9542</v>
      </c>
      <c r="G238" s="6" t="s">
        <v>9370</v>
      </c>
      <c r="H238" s="6" t="s">
        <v>26</v>
      </c>
      <c r="I238" s="8"/>
      <c r="J238" s="8">
        <v>20000</v>
      </c>
      <c r="K238" s="6" t="s">
        <v>4514</v>
      </c>
      <c r="L238" s="6" t="s">
        <v>4511</v>
      </c>
      <c r="M238" s="6" t="s">
        <v>4509</v>
      </c>
      <c r="N238" s="6" t="s">
        <v>4537</v>
      </c>
    </row>
    <row r="239" s="1" customFormat="1" ht="16.35" customHeight="1" spans="1:14">
      <c r="A239" s="5"/>
      <c r="B239" s="6" t="s">
        <v>4506</v>
      </c>
      <c r="C239" s="6">
        <v>2014</v>
      </c>
      <c r="D239" s="6">
        <v>8</v>
      </c>
      <c r="E239" s="7">
        <v>31</v>
      </c>
      <c r="F239" s="6" t="s">
        <v>9543</v>
      </c>
      <c r="G239" s="6" t="s">
        <v>9370</v>
      </c>
      <c r="H239" s="6" t="s">
        <v>26</v>
      </c>
      <c r="I239" s="8"/>
      <c r="J239" s="8">
        <v>50000</v>
      </c>
      <c r="K239" s="6" t="s">
        <v>4514</v>
      </c>
      <c r="L239" s="6" t="s">
        <v>4511</v>
      </c>
      <c r="M239" s="6" t="s">
        <v>4509</v>
      </c>
      <c r="N239" s="6" t="s">
        <v>4537</v>
      </c>
    </row>
    <row r="240" s="1" customFormat="1" ht="16.35" customHeight="1" spans="1:14">
      <c r="A240" s="5"/>
      <c r="B240" s="6" t="s">
        <v>4506</v>
      </c>
      <c r="C240" s="6">
        <v>2014</v>
      </c>
      <c r="D240" s="6">
        <v>8</v>
      </c>
      <c r="E240" s="7">
        <v>32</v>
      </c>
      <c r="F240" s="6" t="s">
        <v>9544</v>
      </c>
      <c r="G240" s="6" t="s">
        <v>9370</v>
      </c>
      <c r="H240" s="6" t="s">
        <v>26</v>
      </c>
      <c r="I240" s="8"/>
      <c r="J240" s="8">
        <v>60000</v>
      </c>
      <c r="K240" s="6" t="s">
        <v>4514</v>
      </c>
      <c r="L240" s="6" t="s">
        <v>4511</v>
      </c>
      <c r="M240" s="6" t="s">
        <v>4509</v>
      </c>
      <c r="N240" s="6" t="s">
        <v>4537</v>
      </c>
    </row>
    <row r="241" s="1" customFormat="1" ht="16.35" customHeight="1" spans="1:14">
      <c r="A241" s="5"/>
      <c r="B241" s="6" t="s">
        <v>4506</v>
      </c>
      <c r="C241" s="6">
        <v>2014</v>
      </c>
      <c r="D241" s="6">
        <v>8</v>
      </c>
      <c r="E241" s="7">
        <v>33</v>
      </c>
      <c r="F241" s="6" t="s">
        <v>9545</v>
      </c>
      <c r="G241" s="6" t="s">
        <v>9370</v>
      </c>
      <c r="H241" s="6" t="s">
        <v>26</v>
      </c>
      <c r="I241" s="8"/>
      <c r="J241" s="8">
        <v>-80000</v>
      </c>
      <c r="K241" s="6" t="s">
        <v>4514</v>
      </c>
      <c r="L241" s="6" t="s">
        <v>4511</v>
      </c>
      <c r="M241" s="6" t="s">
        <v>4509</v>
      </c>
      <c r="N241" s="6" t="s">
        <v>4537</v>
      </c>
    </row>
    <row r="242" s="1" customFormat="1" ht="16.35" customHeight="1" spans="1:14">
      <c r="A242" s="5"/>
      <c r="B242" s="6" t="s">
        <v>4506</v>
      </c>
      <c r="C242" s="6">
        <v>2014</v>
      </c>
      <c r="D242" s="6">
        <v>8</v>
      </c>
      <c r="E242" s="7">
        <v>35</v>
      </c>
      <c r="F242" s="6" t="s">
        <v>9462</v>
      </c>
      <c r="G242" s="6" t="s">
        <v>9370</v>
      </c>
      <c r="H242" s="6" t="s">
        <v>26</v>
      </c>
      <c r="I242" s="8"/>
      <c r="J242" s="8">
        <v>100000</v>
      </c>
      <c r="K242" s="6" t="s">
        <v>4514</v>
      </c>
      <c r="L242" s="6" t="s">
        <v>4511</v>
      </c>
      <c r="M242" s="6" t="s">
        <v>4509</v>
      </c>
      <c r="N242" s="6" t="s">
        <v>4537</v>
      </c>
    </row>
    <row r="243" s="1" customFormat="1" ht="16.35" customHeight="1" spans="1:14">
      <c r="A243" s="5"/>
      <c r="B243" s="6" t="s">
        <v>4506</v>
      </c>
      <c r="C243" s="6">
        <v>2014</v>
      </c>
      <c r="D243" s="6">
        <v>8</v>
      </c>
      <c r="E243" s="7">
        <v>37</v>
      </c>
      <c r="F243" s="6" t="s">
        <v>9546</v>
      </c>
      <c r="G243" s="6" t="s">
        <v>9370</v>
      </c>
      <c r="H243" s="6" t="s">
        <v>26</v>
      </c>
      <c r="I243" s="8"/>
      <c r="J243" s="8">
        <v>1000000</v>
      </c>
      <c r="K243" s="6" t="s">
        <v>4509</v>
      </c>
      <c r="L243" s="6" t="s">
        <v>9218</v>
      </c>
      <c r="M243" s="6" t="s">
        <v>4509</v>
      </c>
      <c r="N243" s="6" t="s">
        <v>4537</v>
      </c>
    </row>
    <row r="244" s="1" customFormat="1" ht="16.35" customHeight="1" spans="1:14">
      <c r="A244" s="5"/>
      <c r="B244" s="6" t="s">
        <v>4506</v>
      </c>
      <c r="C244" s="6">
        <v>2014</v>
      </c>
      <c r="D244" s="6">
        <v>8</v>
      </c>
      <c r="E244" s="7">
        <v>38</v>
      </c>
      <c r="F244" s="6" t="s">
        <v>9546</v>
      </c>
      <c r="G244" s="6" t="s">
        <v>9370</v>
      </c>
      <c r="H244" s="6" t="s">
        <v>26</v>
      </c>
      <c r="I244" s="8"/>
      <c r="J244" s="8">
        <v>500000</v>
      </c>
      <c r="K244" s="6" t="s">
        <v>4509</v>
      </c>
      <c r="L244" s="6" t="s">
        <v>9218</v>
      </c>
      <c r="M244" s="6" t="s">
        <v>4509</v>
      </c>
      <c r="N244" s="6" t="s">
        <v>4537</v>
      </c>
    </row>
    <row r="245" s="1" customFormat="1" ht="16.35" customHeight="1" spans="1:14">
      <c r="A245" s="5"/>
      <c r="B245" s="6" t="s">
        <v>4506</v>
      </c>
      <c r="C245" s="6">
        <v>2014</v>
      </c>
      <c r="D245" s="6">
        <v>9</v>
      </c>
      <c r="E245" s="7">
        <v>1</v>
      </c>
      <c r="F245" s="6" t="s">
        <v>9547</v>
      </c>
      <c r="G245" s="6" t="s">
        <v>9370</v>
      </c>
      <c r="H245" s="6" t="s">
        <v>26</v>
      </c>
      <c r="I245" s="8"/>
      <c r="J245" s="8">
        <v>95399</v>
      </c>
      <c r="K245" s="6" t="s">
        <v>4514</v>
      </c>
      <c r="L245" s="6" t="s">
        <v>4511</v>
      </c>
      <c r="M245" s="6" t="s">
        <v>4509</v>
      </c>
      <c r="N245" s="6" t="s">
        <v>4537</v>
      </c>
    </row>
    <row r="246" s="1" customFormat="1" ht="16.35" customHeight="1" spans="1:14">
      <c r="A246" s="5"/>
      <c r="B246" s="6" t="s">
        <v>4506</v>
      </c>
      <c r="C246" s="6">
        <v>2014</v>
      </c>
      <c r="D246" s="6">
        <v>9</v>
      </c>
      <c r="E246" s="7">
        <v>2</v>
      </c>
      <c r="F246" s="6" t="s">
        <v>9548</v>
      </c>
      <c r="G246" s="6" t="s">
        <v>9370</v>
      </c>
      <c r="H246" s="6" t="s">
        <v>26</v>
      </c>
      <c r="I246" s="8"/>
      <c r="J246" s="8">
        <v>100000</v>
      </c>
      <c r="K246" s="6" t="s">
        <v>4514</v>
      </c>
      <c r="L246" s="6" t="s">
        <v>4511</v>
      </c>
      <c r="M246" s="6" t="s">
        <v>4509</v>
      </c>
      <c r="N246" s="6" t="s">
        <v>4537</v>
      </c>
    </row>
    <row r="247" s="1" customFormat="1" ht="16.35" customHeight="1" spans="1:14">
      <c r="A247" s="5"/>
      <c r="B247" s="6" t="s">
        <v>4506</v>
      </c>
      <c r="C247" s="6">
        <v>2014</v>
      </c>
      <c r="D247" s="6">
        <v>9</v>
      </c>
      <c r="E247" s="7">
        <v>5</v>
      </c>
      <c r="F247" s="6" t="s">
        <v>9549</v>
      </c>
      <c r="G247" s="6" t="s">
        <v>9370</v>
      </c>
      <c r="H247" s="6" t="s">
        <v>26</v>
      </c>
      <c r="I247" s="8"/>
      <c r="J247" s="8">
        <v>263.78</v>
      </c>
      <c r="K247" s="6" t="s">
        <v>4510</v>
      </c>
      <c r="L247" s="6" t="s">
        <v>9447</v>
      </c>
      <c r="M247" s="6" t="s">
        <v>4509</v>
      </c>
      <c r="N247" s="6" t="s">
        <v>4537</v>
      </c>
    </row>
    <row r="248" s="1" customFormat="1" ht="16.35" customHeight="1" spans="1:14">
      <c r="A248" s="5"/>
      <c r="B248" s="6" t="s">
        <v>4506</v>
      </c>
      <c r="C248" s="6">
        <v>2014</v>
      </c>
      <c r="D248" s="6">
        <v>9</v>
      </c>
      <c r="E248" s="7">
        <v>5</v>
      </c>
      <c r="F248" s="6" t="s">
        <v>9549</v>
      </c>
      <c r="G248" s="6" t="s">
        <v>9370</v>
      </c>
      <c r="H248" s="6" t="s">
        <v>26</v>
      </c>
      <c r="I248" s="8"/>
      <c r="J248" s="8">
        <v>166.56</v>
      </c>
      <c r="K248" s="6" t="s">
        <v>4516</v>
      </c>
      <c r="L248" s="6" t="s">
        <v>9449</v>
      </c>
      <c r="M248" s="6" t="s">
        <v>4509</v>
      </c>
      <c r="N248" s="6" t="s">
        <v>4537</v>
      </c>
    </row>
    <row r="249" s="1" customFormat="1" ht="16.35" customHeight="1" spans="1:14">
      <c r="A249" s="5"/>
      <c r="B249" s="6" t="s">
        <v>4506</v>
      </c>
      <c r="C249" s="6">
        <v>2014</v>
      </c>
      <c r="D249" s="6">
        <v>9</v>
      </c>
      <c r="E249" s="7">
        <v>7</v>
      </c>
      <c r="F249" s="6" t="s">
        <v>9550</v>
      </c>
      <c r="G249" s="6" t="s">
        <v>9370</v>
      </c>
      <c r="H249" s="6" t="s">
        <v>26</v>
      </c>
      <c r="I249" s="8"/>
      <c r="J249" s="8">
        <v>-35000</v>
      </c>
      <c r="K249" s="6" t="s">
        <v>4514</v>
      </c>
      <c r="L249" s="6" t="s">
        <v>4511</v>
      </c>
      <c r="M249" s="6" t="s">
        <v>4509</v>
      </c>
      <c r="N249" s="6" t="s">
        <v>4537</v>
      </c>
    </row>
    <row r="250" s="1" customFormat="1" ht="16.35" customHeight="1" spans="1:14">
      <c r="A250" s="5"/>
      <c r="B250" s="6" t="s">
        <v>4506</v>
      </c>
      <c r="C250" s="6">
        <v>2014</v>
      </c>
      <c r="D250" s="6">
        <v>9</v>
      </c>
      <c r="E250" s="7">
        <v>9</v>
      </c>
      <c r="F250" s="6" t="s">
        <v>9551</v>
      </c>
      <c r="G250" s="6" t="s">
        <v>9370</v>
      </c>
      <c r="H250" s="6" t="s">
        <v>26</v>
      </c>
      <c r="I250" s="8"/>
      <c r="J250" s="8">
        <v>240000</v>
      </c>
      <c r="K250" s="6" t="s">
        <v>4514</v>
      </c>
      <c r="L250" s="6" t="s">
        <v>4511</v>
      </c>
      <c r="M250" s="6" t="s">
        <v>4509</v>
      </c>
      <c r="N250" s="6" t="s">
        <v>4537</v>
      </c>
    </row>
    <row r="251" s="1" customFormat="1" ht="16.35" customHeight="1" spans="1:14">
      <c r="A251" s="5"/>
      <c r="B251" s="6" t="s">
        <v>4506</v>
      </c>
      <c r="C251" s="6">
        <v>2014</v>
      </c>
      <c r="D251" s="6">
        <v>9</v>
      </c>
      <c r="E251" s="7">
        <v>10</v>
      </c>
      <c r="F251" s="6" t="s">
        <v>9552</v>
      </c>
      <c r="G251" s="6" t="s">
        <v>9370</v>
      </c>
      <c r="H251" s="6" t="s">
        <v>26</v>
      </c>
      <c r="I251" s="8"/>
      <c r="J251" s="8">
        <v>200000</v>
      </c>
      <c r="K251" s="6" t="s">
        <v>4514</v>
      </c>
      <c r="L251" s="6" t="s">
        <v>4511</v>
      </c>
      <c r="M251" s="6" t="s">
        <v>4509</v>
      </c>
      <c r="N251" s="6" t="s">
        <v>4537</v>
      </c>
    </row>
    <row r="252" s="1" customFormat="1" ht="16.35" customHeight="1" spans="1:14">
      <c r="A252" s="5"/>
      <c r="B252" s="6" t="s">
        <v>4506</v>
      </c>
      <c r="C252" s="6">
        <v>2014</v>
      </c>
      <c r="D252" s="6">
        <v>9</v>
      </c>
      <c r="E252" s="7">
        <v>11</v>
      </c>
      <c r="F252" s="6" t="s">
        <v>9553</v>
      </c>
      <c r="G252" s="6" t="s">
        <v>9370</v>
      </c>
      <c r="H252" s="6" t="s">
        <v>26</v>
      </c>
      <c r="I252" s="8"/>
      <c r="J252" s="8">
        <v>200000</v>
      </c>
      <c r="K252" s="6" t="s">
        <v>4514</v>
      </c>
      <c r="L252" s="6" t="s">
        <v>4511</v>
      </c>
      <c r="M252" s="6" t="s">
        <v>4509</v>
      </c>
      <c r="N252" s="6" t="s">
        <v>4537</v>
      </c>
    </row>
    <row r="253" s="1" customFormat="1" ht="16.35" customHeight="1" spans="1:14">
      <c r="A253" s="5"/>
      <c r="B253" s="6" t="s">
        <v>4506</v>
      </c>
      <c r="C253" s="6">
        <v>2014</v>
      </c>
      <c r="D253" s="6">
        <v>9</v>
      </c>
      <c r="E253" s="7">
        <v>12</v>
      </c>
      <c r="F253" s="6" t="s">
        <v>9554</v>
      </c>
      <c r="G253" s="6" t="s">
        <v>9370</v>
      </c>
      <c r="H253" s="6" t="s">
        <v>26</v>
      </c>
      <c r="I253" s="8"/>
      <c r="J253" s="8">
        <v>170000</v>
      </c>
      <c r="K253" s="6" t="s">
        <v>4514</v>
      </c>
      <c r="L253" s="6" t="s">
        <v>4511</v>
      </c>
      <c r="M253" s="6" t="s">
        <v>4509</v>
      </c>
      <c r="N253" s="6" t="s">
        <v>4537</v>
      </c>
    </row>
    <row r="254" s="1" customFormat="1" ht="16.35" customHeight="1" spans="1:14">
      <c r="A254" s="5"/>
      <c r="B254" s="6" t="s">
        <v>4506</v>
      </c>
      <c r="C254" s="6">
        <v>2014</v>
      </c>
      <c r="D254" s="6">
        <v>9</v>
      </c>
      <c r="E254" s="7">
        <v>14</v>
      </c>
      <c r="F254" s="6" t="s">
        <v>9555</v>
      </c>
      <c r="G254" s="6" t="s">
        <v>9370</v>
      </c>
      <c r="H254" s="6" t="s">
        <v>26</v>
      </c>
      <c r="I254" s="8">
        <v>1000000</v>
      </c>
      <c r="J254" s="8"/>
      <c r="K254" s="6" t="s">
        <v>4509</v>
      </c>
      <c r="L254" s="6" t="s">
        <v>9218</v>
      </c>
      <c r="M254" s="6" t="s">
        <v>4509</v>
      </c>
      <c r="N254" s="6" t="s">
        <v>4537</v>
      </c>
    </row>
    <row r="255" s="1" customFormat="1" ht="16.35" customHeight="1" spans="1:14">
      <c r="A255" s="5"/>
      <c r="B255" s="6" t="s">
        <v>4506</v>
      </c>
      <c r="C255" s="6">
        <v>2014</v>
      </c>
      <c r="D255" s="6">
        <v>9</v>
      </c>
      <c r="E255" s="7">
        <v>17</v>
      </c>
      <c r="F255" s="6" t="s">
        <v>9556</v>
      </c>
      <c r="G255" s="6" t="s">
        <v>9370</v>
      </c>
      <c r="H255" s="6" t="s">
        <v>26</v>
      </c>
      <c r="I255" s="8"/>
      <c r="J255" s="8">
        <v>60000</v>
      </c>
      <c r="K255" s="6" t="s">
        <v>4514</v>
      </c>
      <c r="L255" s="6" t="s">
        <v>4511</v>
      </c>
      <c r="M255" s="6" t="s">
        <v>4509</v>
      </c>
      <c r="N255" s="6" t="s">
        <v>4537</v>
      </c>
    </row>
    <row r="256" s="1" customFormat="1" ht="16.35" customHeight="1" spans="1:14">
      <c r="A256" s="5"/>
      <c r="B256" s="6" t="s">
        <v>4506</v>
      </c>
      <c r="C256" s="6">
        <v>2014</v>
      </c>
      <c r="D256" s="6">
        <v>9</v>
      </c>
      <c r="E256" s="7">
        <v>24</v>
      </c>
      <c r="F256" s="6" t="s">
        <v>9557</v>
      </c>
      <c r="G256" s="6" t="s">
        <v>9370</v>
      </c>
      <c r="H256" s="6" t="s">
        <v>26</v>
      </c>
      <c r="I256" s="8"/>
      <c r="J256" s="8">
        <v>150000</v>
      </c>
      <c r="K256" s="6" t="s">
        <v>4514</v>
      </c>
      <c r="L256" s="6" t="s">
        <v>4511</v>
      </c>
      <c r="M256" s="6" t="s">
        <v>4509</v>
      </c>
      <c r="N256" s="6" t="s">
        <v>4537</v>
      </c>
    </row>
    <row r="257" s="1" customFormat="1" ht="16.35" customHeight="1" spans="1:14">
      <c r="A257" s="5"/>
      <c r="B257" s="6" t="s">
        <v>4506</v>
      </c>
      <c r="C257" s="6">
        <v>2014</v>
      </c>
      <c r="D257" s="6">
        <v>9</v>
      </c>
      <c r="E257" s="7">
        <v>27</v>
      </c>
      <c r="F257" s="6" t="s">
        <v>9558</v>
      </c>
      <c r="G257" s="6" t="s">
        <v>9370</v>
      </c>
      <c r="H257" s="6" t="s">
        <v>26</v>
      </c>
      <c r="I257" s="8"/>
      <c r="J257" s="8">
        <v>300000</v>
      </c>
      <c r="K257" s="6" t="s">
        <v>4514</v>
      </c>
      <c r="L257" s="6" t="s">
        <v>4511</v>
      </c>
      <c r="M257" s="6" t="s">
        <v>4509</v>
      </c>
      <c r="N257" s="6" t="s">
        <v>4537</v>
      </c>
    </row>
    <row r="258" s="1" customFormat="1" ht="16.35" customHeight="1" spans="1:14">
      <c r="A258" s="5"/>
      <c r="B258" s="6" t="s">
        <v>4506</v>
      </c>
      <c r="C258" s="6">
        <v>2014</v>
      </c>
      <c r="D258" s="6">
        <v>9</v>
      </c>
      <c r="E258" s="7">
        <v>28</v>
      </c>
      <c r="F258" s="6" t="s">
        <v>9559</v>
      </c>
      <c r="G258" s="6" t="s">
        <v>9370</v>
      </c>
      <c r="H258" s="6" t="s">
        <v>26</v>
      </c>
      <c r="I258" s="8"/>
      <c r="J258" s="8">
        <v>240000</v>
      </c>
      <c r="K258" s="6" t="s">
        <v>4514</v>
      </c>
      <c r="L258" s="6" t="s">
        <v>4511</v>
      </c>
      <c r="M258" s="6" t="s">
        <v>4509</v>
      </c>
      <c r="N258" s="6" t="s">
        <v>4537</v>
      </c>
    </row>
    <row r="259" s="1" customFormat="1" ht="16.35" customHeight="1" spans="1:14">
      <c r="A259" s="5"/>
      <c r="B259" s="6" t="s">
        <v>4506</v>
      </c>
      <c r="C259" s="6">
        <v>2014</v>
      </c>
      <c r="D259" s="6">
        <v>9</v>
      </c>
      <c r="E259" s="7">
        <v>29</v>
      </c>
      <c r="F259" s="6" t="s">
        <v>9560</v>
      </c>
      <c r="G259" s="6" t="s">
        <v>9370</v>
      </c>
      <c r="H259" s="6" t="s">
        <v>26</v>
      </c>
      <c r="I259" s="8"/>
      <c r="J259" s="8">
        <v>220000</v>
      </c>
      <c r="K259" s="6" t="s">
        <v>4514</v>
      </c>
      <c r="L259" s="6" t="s">
        <v>4511</v>
      </c>
      <c r="M259" s="6" t="s">
        <v>4509</v>
      </c>
      <c r="N259" s="6" t="s">
        <v>4537</v>
      </c>
    </row>
    <row r="260" s="1" customFormat="1" ht="16.35" customHeight="1" spans="1:14">
      <c r="A260" s="5"/>
      <c r="B260" s="6" t="s">
        <v>4506</v>
      </c>
      <c r="C260" s="6">
        <v>2014</v>
      </c>
      <c r="D260" s="6">
        <v>9</v>
      </c>
      <c r="E260" s="7">
        <v>30</v>
      </c>
      <c r="F260" s="6" t="s">
        <v>9561</v>
      </c>
      <c r="G260" s="6" t="s">
        <v>9370</v>
      </c>
      <c r="H260" s="6" t="s">
        <v>26</v>
      </c>
      <c r="I260" s="8"/>
      <c r="J260" s="8">
        <v>325950</v>
      </c>
      <c r="K260" s="6" t="s">
        <v>4512</v>
      </c>
      <c r="L260" s="6" t="s">
        <v>2906</v>
      </c>
      <c r="M260" s="6" t="s">
        <v>4509</v>
      </c>
      <c r="N260" s="6" t="s">
        <v>4537</v>
      </c>
    </row>
    <row r="261" s="1" customFormat="1" ht="16.35" customHeight="1" spans="1:14">
      <c r="A261" s="5"/>
      <c r="B261" s="6" t="s">
        <v>4506</v>
      </c>
      <c r="C261" s="6">
        <v>2014</v>
      </c>
      <c r="D261" s="6">
        <v>9</v>
      </c>
      <c r="E261" s="7">
        <v>32</v>
      </c>
      <c r="F261" s="6" t="s">
        <v>4507</v>
      </c>
      <c r="G261" s="6" t="s">
        <v>9370</v>
      </c>
      <c r="H261" s="6" t="s">
        <v>26</v>
      </c>
      <c r="I261" s="8">
        <v>750000</v>
      </c>
      <c r="J261" s="8"/>
      <c r="K261" s="6" t="s">
        <v>4509</v>
      </c>
      <c r="L261" s="6" t="s">
        <v>9218</v>
      </c>
      <c r="M261" s="6" t="s">
        <v>4509</v>
      </c>
      <c r="N261" s="6" t="s">
        <v>4537</v>
      </c>
    </row>
    <row r="262" s="1" customFormat="1" ht="16.35" customHeight="1" spans="1:14">
      <c r="A262" s="5"/>
      <c r="B262" s="6" t="s">
        <v>4506</v>
      </c>
      <c r="C262" s="6">
        <v>2014</v>
      </c>
      <c r="D262" s="6">
        <v>9</v>
      </c>
      <c r="E262" s="7">
        <v>33</v>
      </c>
      <c r="F262" s="6" t="s">
        <v>9562</v>
      </c>
      <c r="G262" s="6" t="s">
        <v>9370</v>
      </c>
      <c r="H262" s="6" t="s">
        <v>26</v>
      </c>
      <c r="I262" s="8"/>
      <c r="J262" s="8">
        <v>70584</v>
      </c>
      <c r="K262" s="6" t="s">
        <v>4514</v>
      </c>
      <c r="L262" s="6" t="s">
        <v>4511</v>
      </c>
      <c r="M262" s="6" t="s">
        <v>4509</v>
      </c>
      <c r="N262" s="6" t="s">
        <v>4537</v>
      </c>
    </row>
    <row r="263" s="1" customFormat="1" ht="16.35" customHeight="1" spans="1:14">
      <c r="A263" s="5"/>
      <c r="B263" s="6" t="s">
        <v>4506</v>
      </c>
      <c r="C263" s="6">
        <v>2014</v>
      </c>
      <c r="D263" s="6">
        <v>9</v>
      </c>
      <c r="E263" s="7">
        <v>36</v>
      </c>
      <c r="F263" s="6" t="s">
        <v>9563</v>
      </c>
      <c r="G263" s="6" t="s">
        <v>9370</v>
      </c>
      <c r="H263" s="6" t="s">
        <v>26</v>
      </c>
      <c r="I263" s="8"/>
      <c r="J263" s="8">
        <v>300000</v>
      </c>
      <c r="K263" s="6" t="s">
        <v>4509</v>
      </c>
      <c r="L263" s="6" t="s">
        <v>9218</v>
      </c>
      <c r="M263" s="6" t="s">
        <v>4509</v>
      </c>
      <c r="N263" s="6" t="s">
        <v>4537</v>
      </c>
    </row>
    <row r="264" s="1" customFormat="1" ht="16.35" customHeight="1" spans="1:14">
      <c r="A264" s="5"/>
      <c r="B264" s="6" t="s">
        <v>4506</v>
      </c>
      <c r="C264" s="6">
        <v>2014</v>
      </c>
      <c r="D264" s="6">
        <v>9</v>
      </c>
      <c r="E264" s="7">
        <v>37</v>
      </c>
      <c r="F264" s="6" t="s">
        <v>9435</v>
      </c>
      <c r="G264" s="6" t="s">
        <v>9370</v>
      </c>
      <c r="H264" s="6" t="s">
        <v>26</v>
      </c>
      <c r="I264" s="8"/>
      <c r="J264" s="8">
        <v>500000</v>
      </c>
      <c r="K264" s="6" t="s">
        <v>4509</v>
      </c>
      <c r="L264" s="6" t="s">
        <v>9218</v>
      </c>
      <c r="M264" s="6" t="s">
        <v>4509</v>
      </c>
      <c r="N264" s="6" t="s">
        <v>4537</v>
      </c>
    </row>
    <row r="265" s="1" customFormat="1" ht="16.35" customHeight="1" spans="1:14">
      <c r="A265" s="5"/>
      <c r="B265" s="6" t="s">
        <v>4506</v>
      </c>
      <c r="C265" s="6">
        <v>2014</v>
      </c>
      <c r="D265" s="6">
        <v>9</v>
      </c>
      <c r="E265" s="7">
        <v>38</v>
      </c>
      <c r="F265" s="6" t="s">
        <v>9564</v>
      </c>
      <c r="G265" s="6" t="s">
        <v>9370</v>
      </c>
      <c r="H265" s="6" t="s">
        <v>26</v>
      </c>
      <c r="I265" s="8"/>
      <c r="J265" s="8">
        <v>100000</v>
      </c>
      <c r="K265" s="6" t="s">
        <v>4509</v>
      </c>
      <c r="L265" s="6" t="s">
        <v>9218</v>
      </c>
      <c r="M265" s="6" t="s">
        <v>4509</v>
      </c>
      <c r="N265" s="6" t="s">
        <v>4537</v>
      </c>
    </row>
    <row r="266" s="1" customFormat="1" ht="16.35" customHeight="1" spans="1:14">
      <c r="A266" s="5"/>
      <c r="B266" s="6" t="s">
        <v>4506</v>
      </c>
      <c r="C266" s="6">
        <v>2014</v>
      </c>
      <c r="D266" s="6">
        <v>9</v>
      </c>
      <c r="E266" s="7">
        <v>39</v>
      </c>
      <c r="F266" s="6" t="s">
        <v>9435</v>
      </c>
      <c r="G266" s="6" t="s">
        <v>9370</v>
      </c>
      <c r="H266" s="6" t="s">
        <v>26</v>
      </c>
      <c r="I266" s="8"/>
      <c r="J266" s="8">
        <v>50000</v>
      </c>
      <c r="K266" s="6" t="s">
        <v>4509</v>
      </c>
      <c r="L266" s="6" t="s">
        <v>9218</v>
      </c>
      <c r="M266" s="6" t="s">
        <v>4509</v>
      </c>
      <c r="N266" s="6" t="s">
        <v>4537</v>
      </c>
    </row>
    <row r="267" s="1" customFormat="1" ht="16.35" customHeight="1" spans="1:14">
      <c r="A267" s="5"/>
      <c r="B267" s="6" t="s">
        <v>4506</v>
      </c>
      <c r="C267" s="6">
        <v>2014</v>
      </c>
      <c r="D267" s="6">
        <v>9</v>
      </c>
      <c r="E267" s="7">
        <v>40</v>
      </c>
      <c r="F267" s="6" t="s">
        <v>4554</v>
      </c>
      <c r="G267" s="6" t="s">
        <v>9370</v>
      </c>
      <c r="H267" s="6" t="s">
        <v>26</v>
      </c>
      <c r="I267" s="8">
        <v>50000</v>
      </c>
      <c r="J267" s="8"/>
      <c r="K267" s="6" t="s">
        <v>4512</v>
      </c>
      <c r="L267" s="6" t="s">
        <v>2906</v>
      </c>
      <c r="M267" s="6" t="s">
        <v>4509</v>
      </c>
      <c r="N267" s="6" t="s">
        <v>4537</v>
      </c>
    </row>
    <row r="268" s="1" customFormat="1" ht="16.35" customHeight="1" spans="1:14">
      <c r="A268" s="5"/>
      <c r="B268" s="6" t="s">
        <v>4506</v>
      </c>
      <c r="C268" s="6">
        <v>2014</v>
      </c>
      <c r="D268" s="6">
        <v>9</v>
      </c>
      <c r="E268" s="7">
        <v>43</v>
      </c>
      <c r="F268" s="6" t="s">
        <v>9565</v>
      </c>
      <c r="G268" s="6" t="s">
        <v>9370</v>
      </c>
      <c r="H268" s="6" t="s">
        <v>26</v>
      </c>
      <c r="I268" s="8"/>
      <c r="J268" s="8">
        <v>-80000</v>
      </c>
      <c r="K268" s="6" t="s">
        <v>4514</v>
      </c>
      <c r="L268" s="6" t="s">
        <v>4511</v>
      </c>
      <c r="M268" s="6" t="s">
        <v>4509</v>
      </c>
      <c r="N268" s="6" t="s">
        <v>4537</v>
      </c>
    </row>
    <row r="269" s="1" customFormat="1" ht="16.35" customHeight="1" spans="1:14">
      <c r="A269" s="5"/>
      <c r="B269" s="6" t="s">
        <v>4506</v>
      </c>
      <c r="C269" s="6">
        <v>2014</v>
      </c>
      <c r="D269" s="6">
        <v>9</v>
      </c>
      <c r="E269" s="7">
        <v>45</v>
      </c>
      <c r="F269" s="6" t="s">
        <v>9566</v>
      </c>
      <c r="G269" s="6" t="s">
        <v>9370</v>
      </c>
      <c r="H269" s="6" t="s">
        <v>26</v>
      </c>
      <c r="I269" s="8"/>
      <c r="J269" s="8">
        <v>200000</v>
      </c>
      <c r="K269" s="6" t="s">
        <v>4512</v>
      </c>
      <c r="L269" s="6" t="s">
        <v>2906</v>
      </c>
      <c r="M269" s="6" t="s">
        <v>4509</v>
      </c>
      <c r="N269" s="6" t="s">
        <v>4537</v>
      </c>
    </row>
    <row r="270" s="1" customFormat="1" ht="16.35" customHeight="1" spans="1:14">
      <c r="A270" s="5"/>
      <c r="B270" s="6" t="s">
        <v>4506</v>
      </c>
      <c r="C270" s="6">
        <v>2014</v>
      </c>
      <c r="D270" s="6">
        <v>9</v>
      </c>
      <c r="E270" s="7">
        <v>53</v>
      </c>
      <c r="F270" s="6" t="s">
        <v>9435</v>
      </c>
      <c r="G270" s="6" t="s">
        <v>9370</v>
      </c>
      <c r="H270" s="6" t="s">
        <v>26</v>
      </c>
      <c r="I270" s="8"/>
      <c r="J270" s="8">
        <v>500000</v>
      </c>
      <c r="K270" s="6" t="s">
        <v>4509</v>
      </c>
      <c r="L270" s="6" t="s">
        <v>9218</v>
      </c>
      <c r="M270" s="6" t="s">
        <v>4509</v>
      </c>
      <c r="N270" s="6" t="s">
        <v>4537</v>
      </c>
    </row>
    <row r="271" s="1" customFormat="1" ht="16.35" customHeight="1" spans="1:14">
      <c r="A271" s="5"/>
      <c r="B271" s="6" t="s">
        <v>4506</v>
      </c>
      <c r="C271" s="6">
        <v>2014</v>
      </c>
      <c r="D271" s="6">
        <v>10</v>
      </c>
      <c r="E271" s="7">
        <v>3</v>
      </c>
      <c r="F271" s="6" t="s">
        <v>9567</v>
      </c>
      <c r="G271" s="6" t="s">
        <v>9370</v>
      </c>
      <c r="H271" s="6" t="s">
        <v>26</v>
      </c>
      <c r="I271" s="8"/>
      <c r="J271" s="8">
        <v>220000</v>
      </c>
      <c r="K271" s="6" t="s">
        <v>4514</v>
      </c>
      <c r="L271" s="6" t="s">
        <v>4511</v>
      </c>
      <c r="M271" s="6" t="s">
        <v>4509</v>
      </c>
      <c r="N271" s="6" t="s">
        <v>4537</v>
      </c>
    </row>
    <row r="272" s="1" customFormat="1" ht="16.35" customHeight="1" spans="1:14">
      <c r="A272" s="5"/>
      <c r="B272" s="6" t="s">
        <v>4506</v>
      </c>
      <c r="C272" s="6">
        <v>2014</v>
      </c>
      <c r="D272" s="6">
        <v>10</v>
      </c>
      <c r="E272" s="7">
        <v>7</v>
      </c>
      <c r="F272" s="6" t="s">
        <v>9568</v>
      </c>
      <c r="G272" s="6" t="s">
        <v>9370</v>
      </c>
      <c r="H272" s="6" t="s">
        <v>26</v>
      </c>
      <c r="I272" s="8"/>
      <c r="J272" s="8">
        <v>31851</v>
      </c>
      <c r="K272" s="6" t="s">
        <v>4514</v>
      </c>
      <c r="L272" s="6" t="s">
        <v>4511</v>
      </c>
      <c r="M272" s="6" t="s">
        <v>4509</v>
      </c>
      <c r="N272" s="6" t="s">
        <v>4537</v>
      </c>
    </row>
    <row r="273" s="1" customFormat="1" ht="16.35" customHeight="1" spans="1:14">
      <c r="A273" s="5"/>
      <c r="B273" s="6" t="s">
        <v>4506</v>
      </c>
      <c r="C273" s="6">
        <v>2014</v>
      </c>
      <c r="D273" s="6">
        <v>10</v>
      </c>
      <c r="E273" s="7">
        <v>8</v>
      </c>
      <c r="F273" s="6" t="s">
        <v>9569</v>
      </c>
      <c r="G273" s="6" t="s">
        <v>9370</v>
      </c>
      <c r="H273" s="6" t="s">
        <v>26</v>
      </c>
      <c r="I273" s="8">
        <v>20000</v>
      </c>
      <c r="J273" s="8"/>
      <c r="K273" s="6" t="s">
        <v>4514</v>
      </c>
      <c r="L273" s="6" t="s">
        <v>4511</v>
      </c>
      <c r="M273" s="6" t="s">
        <v>4509</v>
      </c>
      <c r="N273" s="6" t="s">
        <v>4537</v>
      </c>
    </row>
    <row r="274" s="1" customFormat="1" ht="16.35" customHeight="1" spans="1:14">
      <c r="A274" s="5"/>
      <c r="B274" s="6" t="s">
        <v>4506</v>
      </c>
      <c r="C274" s="6">
        <v>2014</v>
      </c>
      <c r="D274" s="6">
        <v>10</v>
      </c>
      <c r="E274" s="7">
        <v>9</v>
      </c>
      <c r="F274" s="6" t="s">
        <v>9534</v>
      </c>
      <c r="G274" s="6" t="s">
        <v>9370</v>
      </c>
      <c r="H274" s="6" t="s">
        <v>26</v>
      </c>
      <c r="I274" s="8"/>
      <c r="J274" s="8">
        <v>340.76</v>
      </c>
      <c r="K274" s="6" t="s">
        <v>4510</v>
      </c>
      <c r="L274" s="6" t="s">
        <v>9447</v>
      </c>
      <c r="M274" s="6" t="s">
        <v>4509</v>
      </c>
      <c r="N274" s="6" t="s">
        <v>4537</v>
      </c>
    </row>
    <row r="275" s="1" customFormat="1" ht="16.35" customHeight="1" spans="1:14">
      <c r="A275" s="5"/>
      <c r="B275" s="6" t="s">
        <v>4506</v>
      </c>
      <c r="C275" s="6">
        <v>2014</v>
      </c>
      <c r="D275" s="6">
        <v>10</v>
      </c>
      <c r="E275" s="7">
        <v>9</v>
      </c>
      <c r="F275" s="6" t="s">
        <v>9534</v>
      </c>
      <c r="G275" s="6" t="s">
        <v>9370</v>
      </c>
      <c r="H275" s="6" t="s">
        <v>26</v>
      </c>
      <c r="I275" s="8"/>
      <c r="J275" s="8">
        <v>216.48</v>
      </c>
      <c r="K275" s="6" t="s">
        <v>4516</v>
      </c>
      <c r="L275" s="6" t="s">
        <v>9449</v>
      </c>
      <c r="M275" s="6" t="s">
        <v>4509</v>
      </c>
      <c r="N275" s="6" t="s">
        <v>4537</v>
      </c>
    </row>
    <row r="276" s="1" customFormat="1" ht="16.35" customHeight="1" spans="1:14">
      <c r="A276" s="5"/>
      <c r="B276" s="6" t="s">
        <v>4506</v>
      </c>
      <c r="C276" s="6">
        <v>2014</v>
      </c>
      <c r="D276" s="6">
        <v>10</v>
      </c>
      <c r="E276" s="7">
        <v>11</v>
      </c>
      <c r="F276" s="6" t="s">
        <v>9570</v>
      </c>
      <c r="G276" s="6" t="s">
        <v>9370</v>
      </c>
      <c r="H276" s="6" t="s">
        <v>26</v>
      </c>
      <c r="I276" s="8"/>
      <c r="J276" s="8">
        <v>170000</v>
      </c>
      <c r="K276" s="6" t="s">
        <v>4514</v>
      </c>
      <c r="L276" s="6" t="s">
        <v>4511</v>
      </c>
      <c r="M276" s="6" t="s">
        <v>4509</v>
      </c>
      <c r="N276" s="6" t="s">
        <v>4537</v>
      </c>
    </row>
    <row r="277" s="1" customFormat="1" ht="16.35" customHeight="1" spans="1:14">
      <c r="A277" s="5"/>
      <c r="B277" s="6" t="s">
        <v>4506</v>
      </c>
      <c r="C277" s="6">
        <v>2014</v>
      </c>
      <c r="D277" s="6">
        <v>10</v>
      </c>
      <c r="E277" s="7">
        <v>12</v>
      </c>
      <c r="F277" s="6" t="s">
        <v>9571</v>
      </c>
      <c r="G277" s="6" t="s">
        <v>9370</v>
      </c>
      <c r="H277" s="6" t="s">
        <v>26</v>
      </c>
      <c r="I277" s="8"/>
      <c r="J277" s="8">
        <v>91000</v>
      </c>
      <c r="K277" s="6" t="s">
        <v>4514</v>
      </c>
      <c r="L277" s="6" t="s">
        <v>4511</v>
      </c>
      <c r="M277" s="6" t="s">
        <v>4509</v>
      </c>
      <c r="N277" s="6" t="s">
        <v>4537</v>
      </c>
    </row>
    <row r="278" s="1" customFormat="1" ht="16.35" customHeight="1" spans="1:14">
      <c r="A278" s="5"/>
      <c r="B278" s="6" t="s">
        <v>4506</v>
      </c>
      <c r="C278" s="6">
        <v>2014</v>
      </c>
      <c r="D278" s="6">
        <v>10</v>
      </c>
      <c r="E278" s="7">
        <v>13</v>
      </c>
      <c r="F278" s="6" t="s">
        <v>9572</v>
      </c>
      <c r="G278" s="6" t="s">
        <v>9370</v>
      </c>
      <c r="H278" s="6" t="s">
        <v>26</v>
      </c>
      <c r="I278" s="8"/>
      <c r="J278" s="8">
        <v>90995</v>
      </c>
      <c r="K278" s="6" t="s">
        <v>4514</v>
      </c>
      <c r="L278" s="6" t="s">
        <v>4511</v>
      </c>
      <c r="M278" s="6" t="s">
        <v>4509</v>
      </c>
      <c r="N278" s="6" t="s">
        <v>4537</v>
      </c>
    </row>
    <row r="279" s="1" customFormat="1" ht="16.35" customHeight="1" spans="1:14">
      <c r="A279" s="5"/>
      <c r="B279" s="6" t="s">
        <v>4506</v>
      </c>
      <c r="C279" s="6">
        <v>2014</v>
      </c>
      <c r="D279" s="6">
        <v>10</v>
      </c>
      <c r="E279" s="7">
        <v>13</v>
      </c>
      <c r="F279" s="6" t="s">
        <v>9573</v>
      </c>
      <c r="G279" s="6" t="s">
        <v>9370</v>
      </c>
      <c r="H279" s="6" t="s">
        <v>26</v>
      </c>
      <c r="I279" s="8"/>
      <c r="J279" s="8">
        <v>-80000</v>
      </c>
      <c r="K279" s="6" t="s">
        <v>4514</v>
      </c>
      <c r="L279" s="6" t="s">
        <v>4511</v>
      </c>
      <c r="M279" s="6" t="s">
        <v>4509</v>
      </c>
      <c r="N279" s="6" t="s">
        <v>4537</v>
      </c>
    </row>
    <row r="280" s="1" customFormat="1" ht="16.35" customHeight="1" spans="1:14">
      <c r="A280" s="5"/>
      <c r="B280" s="6" t="s">
        <v>4506</v>
      </c>
      <c r="C280" s="6">
        <v>2014</v>
      </c>
      <c r="D280" s="6">
        <v>10</v>
      </c>
      <c r="E280" s="7">
        <v>15</v>
      </c>
      <c r="F280" s="6" t="s">
        <v>9574</v>
      </c>
      <c r="G280" s="6" t="s">
        <v>9370</v>
      </c>
      <c r="H280" s="6" t="s">
        <v>26</v>
      </c>
      <c r="I280" s="8"/>
      <c r="J280" s="8">
        <v>310000</v>
      </c>
      <c r="K280" s="6" t="s">
        <v>4514</v>
      </c>
      <c r="L280" s="6" t="s">
        <v>4511</v>
      </c>
      <c r="M280" s="6" t="s">
        <v>4509</v>
      </c>
      <c r="N280" s="6" t="s">
        <v>4537</v>
      </c>
    </row>
    <row r="281" s="1" customFormat="1" ht="16.35" customHeight="1" spans="1:14">
      <c r="A281" s="5"/>
      <c r="B281" s="6" t="s">
        <v>4506</v>
      </c>
      <c r="C281" s="6">
        <v>2014</v>
      </c>
      <c r="D281" s="6">
        <v>10</v>
      </c>
      <c r="E281" s="7">
        <v>17</v>
      </c>
      <c r="F281" s="6" t="s">
        <v>9575</v>
      </c>
      <c r="G281" s="6" t="s">
        <v>9370</v>
      </c>
      <c r="H281" s="6" t="s">
        <v>26</v>
      </c>
      <c r="I281" s="8"/>
      <c r="J281" s="8">
        <v>150000</v>
      </c>
      <c r="K281" s="6" t="s">
        <v>4514</v>
      </c>
      <c r="L281" s="6" t="s">
        <v>4511</v>
      </c>
      <c r="M281" s="6" t="s">
        <v>4509</v>
      </c>
      <c r="N281" s="6" t="s">
        <v>4537</v>
      </c>
    </row>
    <row r="282" s="1" customFormat="1" ht="16.35" customHeight="1" spans="1:14">
      <c r="A282" s="5"/>
      <c r="B282" s="6" t="s">
        <v>4506</v>
      </c>
      <c r="C282" s="6">
        <v>2014</v>
      </c>
      <c r="D282" s="6">
        <v>10</v>
      </c>
      <c r="E282" s="7">
        <v>18</v>
      </c>
      <c r="F282" s="6" t="s">
        <v>9576</v>
      </c>
      <c r="G282" s="6" t="s">
        <v>9370</v>
      </c>
      <c r="H282" s="6" t="s">
        <v>26</v>
      </c>
      <c r="I282" s="8"/>
      <c r="J282" s="8">
        <v>-30000</v>
      </c>
      <c r="K282" s="6" t="s">
        <v>4514</v>
      </c>
      <c r="L282" s="6" t="s">
        <v>4511</v>
      </c>
      <c r="M282" s="6" t="s">
        <v>4509</v>
      </c>
      <c r="N282" s="6" t="s">
        <v>4537</v>
      </c>
    </row>
    <row r="283" s="1" customFormat="1" ht="16.35" customHeight="1" spans="1:14">
      <c r="A283" s="5"/>
      <c r="B283" s="6" t="s">
        <v>4506</v>
      </c>
      <c r="C283" s="6">
        <v>2014</v>
      </c>
      <c r="D283" s="6">
        <v>10</v>
      </c>
      <c r="E283" s="7">
        <v>20</v>
      </c>
      <c r="F283" s="6" t="s">
        <v>9577</v>
      </c>
      <c r="G283" s="6" t="s">
        <v>9370</v>
      </c>
      <c r="H283" s="6" t="s">
        <v>26</v>
      </c>
      <c r="I283" s="8"/>
      <c r="J283" s="8">
        <v>230000</v>
      </c>
      <c r="K283" s="6" t="s">
        <v>4512</v>
      </c>
      <c r="L283" s="6" t="s">
        <v>2906</v>
      </c>
      <c r="M283" s="6" t="s">
        <v>4509</v>
      </c>
      <c r="N283" s="6" t="s">
        <v>4537</v>
      </c>
    </row>
    <row r="284" s="1" customFormat="1" ht="16.35" customHeight="1" spans="1:14">
      <c r="A284" s="5"/>
      <c r="B284" s="6" t="s">
        <v>4506</v>
      </c>
      <c r="C284" s="6">
        <v>2014</v>
      </c>
      <c r="D284" s="6">
        <v>10</v>
      </c>
      <c r="E284" s="7">
        <v>22</v>
      </c>
      <c r="F284" s="6" t="s">
        <v>9578</v>
      </c>
      <c r="G284" s="6" t="s">
        <v>9370</v>
      </c>
      <c r="H284" s="6" t="s">
        <v>26</v>
      </c>
      <c r="I284" s="8"/>
      <c r="J284" s="8">
        <v>266000</v>
      </c>
      <c r="K284" s="6" t="s">
        <v>4514</v>
      </c>
      <c r="L284" s="6" t="s">
        <v>4511</v>
      </c>
      <c r="M284" s="6" t="s">
        <v>4509</v>
      </c>
      <c r="N284" s="6" t="s">
        <v>4537</v>
      </c>
    </row>
    <row r="285" s="1" customFormat="1" ht="16.35" customHeight="1" spans="1:14">
      <c r="A285" s="5"/>
      <c r="B285" s="6" t="s">
        <v>4506</v>
      </c>
      <c r="C285" s="6">
        <v>2014</v>
      </c>
      <c r="D285" s="6">
        <v>10</v>
      </c>
      <c r="E285" s="7">
        <v>24</v>
      </c>
      <c r="F285" s="6" t="s">
        <v>9579</v>
      </c>
      <c r="G285" s="6" t="s">
        <v>9370</v>
      </c>
      <c r="H285" s="6" t="s">
        <v>26</v>
      </c>
      <c r="I285" s="8"/>
      <c r="J285" s="8">
        <v>200000</v>
      </c>
      <c r="K285" s="6" t="s">
        <v>4514</v>
      </c>
      <c r="L285" s="6" t="s">
        <v>4511</v>
      </c>
      <c r="M285" s="6" t="s">
        <v>4509</v>
      </c>
      <c r="N285" s="6" t="s">
        <v>4537</v>
      </c>
    </row>
    <row r="286" s="1" customFormat="1" ht="16.35" customHeight="1" spans="1:14">
      <c r="A286" s="5"/>
      <c r="B286" s="6" t="s">
        <v>4506</v>
      </c>
      <c r="C286" s="6">
        <v>2014</v>
      </c>
      <c r="D286" s="6">
        <v>10</v>
      </c>
      <c r="E286" s="7">
        <v>25</v>
      </c>
      <c r="F286" s="6" t="s">
        <v>9578</v>
      </c>
      <c r="G286" s="6" t="s">
        <v>9370</v>
      </c>
      <c r="H286" s="6" t="s">
        <v>26</v>
      </c>
      <c r="I286" s="8"/>
      <c r="J286" s="8">
        <v>10016</v>
      </c>
      <c r="K286" s="6" t="s">
        <v>4514</v>
      </c>
      <c r="L286" s="6" t="s">
        <v>4511</v>
      </c>
      <c r="M286" s="6" t="s">
        <v>4509</v>
      </c>
      <c r="N286" s="6" t="s">
        <v>4537</v>
      </c>
    </row>
    <row r="287" s="1" customFormat="1" ht="16.35" customHeight="1" spans="1:14">
      <c r="A287" s="5"/>
      <c r="B287" s="6" t="s">
        <v>4506</v>
      </c>
      <c r="C287" s="6">
        <v>2014</v>
      </c>
      <c r="D287" s="6">
        <v>10</v>
      </c>
      <c r="E287" s="7">
        <v>29</v>
      </c>
      <c r="F287" s="6" t="s">
        <v>9532</v>
      </c>
      <c r="G287" s="6" t="s">
        <v>9370</v>
      </c>
      <c r="H287" s="6" t="s">
        <v>26</v>
      </c>
      <c r="I287" s="8"/>
      <c r="J287" s="8">
        <v>78003</v>
      </c>
      <c r="K287" s="6" t="s">
        <v>4514</v>
      </c>
      <c r="L287" s="6" t="s">
        <v>4511</v>
      </c>
      <c r="M287" s="6" t="s">
        <v>4509</v>
      </c>
      <c r="N287" s="6" t="s">
        <v>4537</v>
      </c>
    </row>
    <row r="288" s="1" customFormat="1" ht="16.35" customHeight="1" spans="1:14">
      <c r="A288" s="5"/>
      <c r="B288" s="6" t="s">
        <v>4506</v>
      </c>
      <c r="C288" s="6">
        <v>2014</v>
      </c>
      <c r="D288" s="6">
        <v>10</v>
      </c>
      <c r="E288" s="7">
        <v>30</v>
      </c>
      <c r="F288" s="6" t="s">
        <v>9580</v>
      </c>
      <c r="G288" s="6" t="s">
        <v>9370</v>
      </c>
      <c r="H288" s="6" t="s">
        <v>26</v>
      </c>
      <c r="I288" s="8"/>
      <c r="J288" s="8">
        <v>186660</v>
      </c>
      <c r="K288" s="6" t="s">
        <v>4514</v>
      </c>
      <c r="L288" s="6" t="s">
        <v>4511</v>
      </c>
      <c r="M288" s="6" t="s">
        <v>4509</v>
      </c>
      <c r="N288" s="6" t="s">
        <v>4537</v>
      </c>
    </row>
    <row r="289" s="1" customFormat="1" ht="16.35" customHeight="1" spans="1:14">
      <c r="A289" s="5"/>
      <c r="B289" s="6" t="s">
        <v>4506</v>
      </c>
      <c r="C289" s="6">
        <v>2014</v>
      </c>
      <c r="D289" s="6">
        <v>10</v>
      </c>
      <c r="E289" s="7">
        <v>31</v>
      </c>
      <c r="F289" s="6" t="s">
        <v>9581</v>
      </c>
      <c r="G289" s="6" t="s">
        <v>9370</v>
      </c>
      <c r="H289" s="6" t="s">
        <v>26</v>
      </c>
      <c r="I289" s="8"/>
      <c r="J289" s="8">
        <v>-80000</v>
      </c>
      <c r="K289" s="6" t="s">
        <v>4514</v>
      </c>
      <c r="L289" s="6" t="s">
        <v>4511</v>
      </c>
      <c r="M289" s="6" t="s">
        <v>4509</v>
      </c>
      <c r="N289" s="6" t="s">
        <v>4537</v>
      </c>
    </row>
    <row r="290" s="1" customFormat="1" ht="16.35" customHeight="1" spans="1:14">
      <c r="A290" s="5"/>
      <c r="B290" s="6" t="s">
        <v>4506</v>
      </c>
      <c r="C290" s="6">
        <v>2014</v>
      </c>
      <c r="D290" s="6">
        <v>10</v>
      </c>
      <c r="E290" s="7">
        <v>32</v>
      </c>
      <c r="F290" s="6" t="s">
        <v>9582</v>
      </c>
      <c r="G290" s="6" t="s">
        <v>9370</v>
      </c>
      <c r="H290" s="6" t="s">
        <v>26</v>
      </c>
      <c r="I290" s="8"/>
      <c r="J290" s="8">
        <v>328753</v>
      </c>
      <c r="K290" s="6" t="s">
        <v>4514</v>
      </c>
      <c r="L290" s="6" t="s">
        <v>4511</v>
      </c>
      <c r="M290" s="6" t="s">
        <v>4509</v>
      </c>
      <c r="N290" s="6" t="s">
        <v>4537</v>
      </c>
    </row>
    <row r="291" s="1" customFormat="1" ht="16.35" customHeight="1" spans="1:14">
      <c r="A291" s="5"/>
      <c r="B291" s="6" t="s">
        <v>4506</v>
      </c>
      <c r="C291" s="6">
        <v>2014</v>
      </c>
      <c r="D291" s="6">
        <v>10</v>
      </c>
      <c r="E291" s="7">
        <v>34</v>
      </c>
      <c r="F291" s="6" t="s">
        <v>9583</v>
      </c>
      <c r="G291" s="6" t="s">
        <v>9370</v>
      </c>
      <c r="H291" s="6" t="s">
        <v>26</v>
      </c>
      <c r="I291" s="8"/>
      <c r="J291" s="8">
        <v>240000</v>
      </c>
      <c r="K291" s="6" t="s">
        <v>4514</v>
      </c>
      <c r="L291" s="6" t="s">
        <v>4511</v>
      </c>
      <c r="M291" s="6" t="s">
        <v>4509</v>
      </c>
      <c r="N291" s="6" t="s">
        <v>4537</v>
      </c>
    </row>
    <row r="292" s="1" customFormat="1" ht="16.35" customHeight="1" spans="1:14">
      <c r="A292" s="5"/>
      <c r="B292" s="6" t="s">
        <v>4506</v>
      </c>
      <c r="C292" s="6">
        <v>2014</v>
      </c>
      <c r="D292" s="6">
        <v>10</v>
      </c>
      <c r="E292" s="7">
        <v>35</v>
      </c>
      <c r="F292" s="6" t="s">
        <v>9584</v>
      </c>
      <c r="G292" s="6" t="s">
        <v>9370</v>
      </c>
      <c r="H292" s="6" t="s">
        <v>26</v>
      </c>
      <c r="I292" s="8"/>
      <c r="J292" s="8">
        <v>180000</v>
      </c>
      <c r="K292" s="6" t="s">
        <v>4514</v>
      </c>
      <c r="L292" s="6" t="s">
        <v>4511</v>
      </c>
      <c r="M292" s="6" t="s">
        <v>4509</v>
      </c>
      <c r="N292" s="6" t="s">
        <v>4537</v>
      </c>
    </row>
    <row r="293" s="1" customFormat="1" ht="16.35" customHeight="1" spans="1:14">
      <c r="A293" s="5"/>
      <c r="B293" s="6" t="s">
        <v>4506</v>
      </c>
      <c r="C293" s="6">
        <v>2014</v>
      </c>
      <c r="D293" s="6">
        <v>10</v>
      </c>
      <c r="E293" s="7">
        <v>36</v>
      </c>
      <c r="F293" s="6" t="s">
        <v>9585</v>
      </c>
      <c r="G293" s="6" t="s">
        <v>9370</v>
      </c>
      <c r="H293" s="6" t="s">
        <v>26</v>
      </c>
      <c r="I293" s="8"/>
      <c r="J293" s="8">
        <v>167253</v>
      </c>
      <c r="K293" s="6" t="s">
        <v>4514</v>
      </c>
      <c r="L293" s="6" t="s">
        <v>4511</v>
      </c>
      <c r="M293" s="6" t="s">
        <v>4509</v>
      </c>
      <c r="N293" s="6" t="s">
        <v>4537</v>
      </c>
    </row>
    <row r="294" s="1" customFormat="1" ht="16.35" customHeight="1" spans="1:14">
      <c r="A294" s="5"/>
      <c r="B294" s="6" t="s">
        <v>4506</v>
      </c>
      <c r="C294" s="6">
        <v>2014</v>
      </c>
      <c r="D294" s="6">
        <v>10</v>
      </c>
      <c r="E294" s="7">
        <v>37</v>
      </c>
      <c r="F294" s="6" t="s">
        <v>9490</v>
      </c>
      <c r="G294" s="6" t="s">
        <v>9370</v>
      </c>
      <c r="H294" s="6" t="s">
        <v>26</v>
      </c>
      <c r="I294" s="8"/>
      <c r="J294" s="8">
        <v>30000</v>
      </c>
      <c r="K294" s="6" t="s">
        <v>4514</v>
      </c>
      <c r="L294" s="6" t="s">
        <v>4511</v>
      </c>
      <c r="M294" s="6" t="s">
        <v>4509</v>
      </c>
      <c r="N294" s="6" t="s">
        <v>4537</v>
      </c>
    </row>
    <row r="295" s="1" customFormat="1" ht="16.35" customHeight="1" spans="1:14">
      <c r="A295" s="5"/>
      <c r="B295" s="6" t="s">
        <v>4506</v>
      </c>
      <c r="C295" s="6">
        <v>2014</v>
      </c>
      <c r="D295" s="6">
        <v>10</v>
      </c>
      <c r="E295" s="7">
        <v>38</v>
      </c>
      <c r="F295" s="6" t="s">
        <v>9586</v>
      </c>
      <c r="G295" s="6" t="s">
        <v>9370</v>
      </c>
      <c r="H295" s="6" t="s">
        <v>26</v>
      </c>
      <c r="I295" s="8"/>
      <c r="J295" s="8">
        <v>103458</v>
      </c>
      <c r="K295" s="6" t="s">
        <v>4514</v>
      </c>
      <c r="L295" s="6" t="s">
        <v>4511</v>
      </c>
      <c r="M295" s="6" t="s">
        <v>4509</v>
      </c>
      <c r="N295" s="6" t="s">
        <v>4537</v>
      </c>
    </row>
    <row r="296" s="1" customFormat="1" ht="16.35" customHeight="1" spans="1:14">
      <c r="A296" s="5"/>
      <c r="B296" s="6" t="s">
        <v>4506</v>
      </c>
      <c r="C296" s="6">
        <v>2014</v>
      </c>
      <c r="D296" s="6">
        <v>10</v>
      </c>
      <c r="E296" s="7">
        <v>39</v>
      </c>
      <c r="F296" s="6" t="s">
        <v>9587</v>
      </c>
      <c r="G296" s="6" t="s">
        <v>9370</v>
      </c>
      <c r="H296" s="6" t="s">
        <v>26</v>
      </c>
      <c r="I296" s="8">
        <v>2000000</v>
      </c>
      <c r="J296" s="8"/>
      <c r="K296" s="6" t="s">
        <v>4509</v>
      </c>
      <c r="L296" s="6" t="s">
        <v>9218</v>
      </c>
      <c r="M296" s="6" t="s">
        <v>4509</v>
      </c>
      <c r="N296" s="6" t="s">
        <v>4537</v>
      </c>
    </row>
    <row r="297" s="1" customFormat="1" ht="16.35" customHeight="1" spans="1:14">
      <c r="A297" s="5"/>
      <c r="B297" s="6" t="s">
        <v>4506</v>
      </c>
      <c r="C297" s="6">
        <v>2014</v>
      </c>
      <c r="D297" s="6">
        <v>10</v>
      </c>
      <c r="E297" s="7">
        <v>41</v>
      </c>
      <c r="F297" s="6" t="s">
        <v>9531</v>
      </c>
      <c r="G297" s="6" t="s">
        <v>9370</v>
      </c>
      <c r="H297" s="6" t="s">
        <v>26</v>
      </c>
      <c r="I297" s="8"/>
      <c r="J297" s="8">
        <v>85901</v>
      </c>
      <c r="K297" s="6" t="s">
        <v>4514</v>
      </c>
      <c r="L297" s="6" t="s">
        <v>4511</v>
      </c>
      <c r="M297" s="6" t="s">
        <v>4509</v>
      </c>
      <c r="N297" s="6" t="s">
        <v>4537</v>
      </c>
    </row>
    <row r="298" s="1" customFormat="1" ht="16.35" customHeight="1" spans="1:14">
      <c r="A298" s="5"/>
      <c r="B298" s="6" t="s">
        <v>4506</v>
      </c>
      <c r="C298" s="6">
        <v>2014</v>
      </c>
      <c r="D298" s="6">
        <v>10</v>
      </c>
      <c r="E298" s="7">
        <v>41</v>
      </c>
      <c r="F298" s="6" t="s">
        <v>9588</v>
      </c>
      <c r="G298" s="6" t="s">
        <v>9370</v>
      </c>
      <c r="H298" s="6" t="s">
        <v>26</v>
      </c>
      <c r="I298" s="8"/>
      <c r="J298" s="8">
        <v>-20000</v>
      </c>
      <c r="K298" s="6" t="s">
        <v>4514</v>
      </c>
      <c r="L298" s="6" t="s">
        <v>4511</v>
      </c>
      <c r="M298" s="6" t="s">
        <v>4509</v>
      </c>
      <c r="N298" s="6" t="s">
        <v>4537</v>
      </c>
    </row>
    <row r="299" s="1" customFormat="1" ht="16.35" customHeight="1" spans="1:14">
      <c r="A299" s="5"/>
      <c r="B299" s="6" t="s">
        <v>4506</v>
      </c>
      <c r="C299" s="6">
        <v>2014</v>
      </c>
      <c r="D299" s="6">
        <v>10</v>
      </c>
      <c r="E299" s="7">
        <v>44</v>
      </c>
      <c r="F299" s="6" t="s">
        <v>9589</v>
      </c>
      <c r="G299" s="6" t="s">
        <v>9370</v>
      </c>
      <c r="H299" s="6" t="s">
        <v>26</v>
      </c>
      <c r="I299" s="8"/>
      <c r="J299" s="8">
        <v>200000</v>
      </c>
      <c r="K299" s="6" t="s">
        <v>4514</v>
      </c>
      <c r="L299" s="6" t="s">
        <v>4511</v>
      </c>
      <c r="M299" s="6" t="s">
        <v>4509</v>
      </c>
      <c r="N299" s="6" t="s">
        <v>4537</v>
      </c>
    </row>
    <row r="300" s="1" customFormat="1" ht="16.35" customHeight="1" spans="1:14">
      <c r="A300" s="5"/>
      <c r="B300" s="6" t="s">
        <v>4506</v>
      </c>
      <c r="C300" s="6">
        <v>2014</v>
      </c>
      <c r="D300" s="6">
        <v>10</v>
      </c>
      <c r="E300" s="7">
        <v>45</v>
      </c>
      <c r="F300" s="6" t="s">
        <v>9435</v>
      </c>
      <c r="G300" s="6" t="s">
        <v>9370</v>
      </c>
      <c r="H300" s="6" t="s">
        <v>26</v>
      </c>
      <c r="I300" s="8"/>
      <c r="J300" s="8">
        <v>200000</v>
      </c>
      <c r="K300" s="6" t="s">
        <v>4509</v>
      </c>
      <c r="L300" s="6" t="s">
        <v>9218</v>
      </c>
      <c r="M300" s="6" t="s">
        <v>4509</v>
      </c>
      <c r="N300" s="6" t="s">
        <v>4537</v>
      </c>
    </row>
    <row r="301" s="1" customFormat="1" ht="16.35" customHeight="1" spans="1:14">
      <c r="A301" s="5"/>
      <c r="B301" s="6" t="s">
        <v>4506</v>
      </c>
      <c r="C301" s="6">
        <v>2014</v>
      </c>
      <c r="D301" s="6">
        <v>11</v>
      </c>
      <c r="E301" s="7">
        <v>1</v>
      </c>
      <c r="F301" s="6" t="s">
        <v>9590</v>
      </c>
      <c r="G301" s="6" t="s">
        <v>9370</v>
      </c>
      <c r="H301" s="6" t="s">
        <v>26</v>
      </c>
      <c r="I301" s="8"/>
      <c r="J301" s="8">
        <v>81425</v>
      </c>
      <c r="K301" s="6" t="s">
        <v>4514</v>
      </c>
      <c r="L301" s="6" t="s">
        <v>4511</v>
      </c>
      <c r="M301" s="6" t="s">
        <v>4509</v>
      </c>
      <c r="N301" s="6" t="s">
        <v>4537</v>
      </c>
    </row>
    <row r="302" s="1" customFormat="1" ht="16.35" customHeight="1" spans="1:14">
      <c r="A302" s="5"/>
      <c r="B302" s="6" t="s">
        <v>4506</v>
      </c>
      <c r="C302" s="6">
        <v>2014</v>
      </c>
      <c r="D302" s="6">
        <v>11</v>
      </c>
      <c r="E302" s="7">
        <v>3</v>
      </c>
      <c r="F302" s="6" t="s">
        <v>9591</v>
      </c>
      <c r="G302" s="6" t="s">
        <v>9370</v>
      </c>
      <c r="H302" s="6" t="s">
        <v>26</v>
      </c>
      <c r="I302" s="8"/>
      <c r="J302" s="8">
        <v>-20000</v>
      </c>
      <c r="K302" s="6" t="s">
        <v>4514</v>
      </c>
      <c r="L302" s="6" t="s">
        <v>4511</v>
      </c>
      <c r="M302" s="6" t="s">
        <v>4509</v>
      </c>
      <c r="N302" s="6" t="s">
        <v>4537</v>
      </c>
    </row>
    <row r="303" s="1" customFormat="1" ht="16.35" customHeight="1" spans="1:14">
      <c r="A303" s="5"/>
      <c r="B303" s="6" t="s">
        <v>4506</v>
      </c>
      <c r="C303" s="6">
        <v>2014</v>
      </c>
      <c r="D303" s="6">
        <v>11</v>
      </c>
      <c r="E303" s="7">
        <v>4</v>
      </c>
      <c r="F303" s="6" t="s">
        <v>9592</v>
      </c>
      <c r="G303" s="6" t="s">
        <v>9370</v>
      </c>
      <c r="H303" s="6" t="s">
        <v>26</v>
      </c>
      <c r="I303" s="8"/>
      <c r="J303" s="8">
        <v>153718</v>
      </c>
      <c r="K303" s="6" t="s">
        <v>4514</v>
      </c>
      <c r="L303" s="6" t="s">
        <v>4511</v>
      </c>
      <c r="M303" s="6" t="s">
        <v>4509</v>
      </c>
      <c r="N303" s="6" t="s">
        <v>4537</v>
      </c>
    </row>
    <row r="304" s="1" customFormat="1" ht="16.35" customHeight="1" spans="1:14">
      <c r="A304" s="5"/>
      <c r="B304" s="6" t="s">
        <v>4506</v>
      </c>
      <c r="C304" s="6">
        <v>2014</v>
      </c>
      <c r="D304" s="6">
        <v>11</v>
      </c>
      <c r="E304" s="7">
        <v>6</v>
      </c>
      <c r="F304" s="6" t="s">
        <v>9593</v>
      </c>
      <c r="G304" s="6" t="s">
        <v>9370</v>
      </c>
      <c r="H304" s="6" t="s">
        <v>26</v>
      </c>
      <c r="I304" s="8"/>
      <c r="J304" s="8">
        <v>240000</v>
      </c>
      <c r="K304" s="6" t="s">
        <v>4514</v>
      </c>
      <c r="L304" s="6" t="s">
        <v>4511</v>
      </c>
      <c r="M304" s="6" t="s">
        <v>4509</v>
      </c>
      <c r="N304" s="6" t="s">
        <v>4537</v>
      </c>
    </row>
    <row r="305" s="1" customFormat="1" ht="16.35" customHeight="1" spans="1:14">
      <c r="A305" s="5"/>
      <c r="B305" s="6" t="s">
        <v>4506</v>
      </c>
      <c r="C305" s="6">
        <v>2014</v>
      </c>
      <c r="D305" s="6">
        <v>11</v>
      </c>
      <c r="E305" s="7">
        <v>11</v>
      </c>
      <c r="F305" s="6" t="s">
        <v>9470</v>
      </c>
      <c r="G305" s="6" t="s">
        <v>9370</v>
      </c>
      <c r="H305" s="6" t="s">
        <v>26</v>
      </c>
      <c r="I305" s="8">
        <v>1500000</v>
      </c>
      <c r="J305" s="8"/>
      <c r="K305" s="6" t="s">
        <v>4509</v>
      </c>
      <c r="L305" s="6" t="s">
        <v>9218</v>
      </c>
      <c r="M305" s="6" t="s">
        <v>4509</v>
      </c>
      <c r="N305" s="6" t="s">
        <v>4537</v>
      </c>
    </row>
    <row r="306" s="1" customFormat="1" ht="16.35" customHeight="1" spans="1:14">
      <c r="A306" s="5"/>
      <c r="B306" s="6" t="s">
        <v>4506</v>
      </c>
      <c r="C306" s="6">
        <v>2014</v>
      </c>
      <c r="D306" s="6">
        <v>11</v>
      </c>
      <c r="E306" s="7">
        <v>12</v>
      </c>
      <c r="F306" s="6" t="s">
        <v>9507</v>
      </c>
      <c r="G306" s="6" t="s">
        <v>9370</v>
      </c>
      <c r="H306" s="6" t="s">
        <v>26</v>
      </c>
      <c r="I306" s="8"/>
      <c r="J306" s="8">
        <v>200000</v>
      </c>
      <c r="K306" s="6" t="s">
        <v>4514</v>
      </c>
      <c r="L306" s="6" t="s">
        <v>4511</v>
      </c>
      <c r="M306" s="6" t="s">
        <v>4509</v>
      </c>
      <c r="N306" s="6" t="s">
        <v>4537</v>
      </c>
    </row>
    <row r="307" s="1" customFormat="1" ht="16.35" customHeight="1" spans="1:14">
      <c r="A307" s="5"/>
      <c r="B307" s="6" t="s">
        <v>4506</v>
      </c>
      <c r="C307" s="6">
        <v>2014</v>
      </c>
      <c r="D307" s="6">
        <v>11</v>
      </c>
      <c r="E307" s="7">
        <v>13</v>
      </c>
      <c r="F307" s="6" t="s">
        <v>9594</v>
      </c>
      <c r="G307" s="6" t="s">
        <v>9370</v>
      </c>
      <c r="H307" s="6" t="s">
        <v>26</v>
      </c>
      <c r="I307" s="8"/>
      <c r="J307" s="8">
        <v>240000</v>
      </c>
      <c r="K307" s="6" t="s">
        <v>4514</v>
      </c>
      <c r="L307" s="6" t="s">
        <v>4511</v>
      </c>
      <c r="M307" s="6" t="s">
        <v>4509</v>
      </c>
      <c r="N307" s="6" t="s">
        <v>4537</v>
      </c>
    </row>
    <row r="308" s="1" customFormat="1" ht="16.35" customHeight="1" spans="1:14">
      <c r="A308" s="5"/>
      <c r="B308" s="6" t="s">
        <v>4506</v>
      </c>
      <c r="C308" s="6">
        <v>2014</v>
      </c>
      <c r="D308" s="6">
        <v>11</v>
      </c>
      <c r="E308" s="7">
        <v>14</v>
      </c>
      <c r="F308" s="6" t="s">
        <v>9595</v>
      </c>
      <c r="G308" s="6" t="s">
        <v>9370</v>
      </c>
      <c r="H308" s="6" t="s">
        <v>26</v>
      </c>
      <c r="I308" s="8"/>
      <c r="J308" s="8">
        <v>190000</v>
      </c>
      <c r="K308" s="6" t="s">
        <v>4514</v>
      </c>
      <c r="L308" s="6" t="s">
        <v>4511</v>
      </c>
      <c r="M308" s="6" t="s">
        <v>4509</v>
      </c>
      <c r="N308" s="6" t="s">
        <v>4537</v>
      </c>
    </row>
    <row r="309" s="1" customFormat="1" ht="16.35" customHeight="1" spans="1:14">
      <c r="A309" s="5"/>
      <c r="B309" s="6" t="s">
        <v>4506</v>
      </c>
      <c r="C309" s="6">
        <v>2014</v>
      </c>
      <c r="D309" s="6">
        <v>11</v>
      </c>
      <c r="E309" s="7">
        <v>15</v>
      </c>
      <c r="F309" s="6" t="s">
        <v>4554</v>
      </c>
      <c r="G309" s="6" t="s">
        <v>9370</v>
      </c>
      <c r="H309" s="6" t="s">
        <v>26</v>
      </c>
      <c r="I309" s="8">
        <v>246003.49</v>
      </c>
      <c r="J309" s="8"/>
      <c r="K309" s="6" t="s">
        <v>4512</v>
      </c>
      <c r="L309" s="6" t="s">
        <v>2906</v>
      </c>
      <c r="M309" s="6" t="s">
        <v>4509</v>
      </c>
      <c r="N309" s="6" t="s">
        <v>4537</v>
      </c>
    </row>
    <row r="310" s="1" customFormat="1" ht="16.35" customHeight="1" spans="1:14">
      <c r="A310" s="5"/>
      <c r="B310" s="6" t="s">
        <v>4506</v>
      </c>
      <c r="C310" s="6">
        <v>2014</v>
      </c>
      <c r="D310" s="6">
        <v>11</v>
      </c>
      <c r="E310" s="7">
        <v>16</v>
      </c>
      <c r="F310" s="6" t="s">
        <v>9596</v>
      </c>
      <c r="G310" s="6" t="s">
        <v>9370</v>
      </c>
      <c r="H310" s="6" t="s">
        <v>26</v>
      </c>
      <c r="I310" s="8"/>
      <c r="J310" s="8">
        <v>261074</v>
      </c>
      <c r="K310" s="6" t="s">
        <v>4514</v>
      </c>
      <c r="L310" s="6" t="s">
        <v>4511</v>
      </c>
      <c r="M310" s="6" t="s">
        <v>4509</v>
      </c>
      <c r="N310" s="6" t="s">
        <v>4537</v>
      </c>
    </row>
    <row r="311" s="1" customFormat="1" ht="16.35" customHeight="1" spans="1:14">
      <c r="A311" s="5"/>
      <c r="B311" s="6" t="s">
        <v>4506</v>
      </c>
      <c r="C311" s="6">
        <v>2014</v>
      </c>
      <c r="D311" s="6">
        <v>11</v>
      </c>
      <c r="E311" s="7">
        <v>17</v>
      </c>
      <c r="F311" s="6" t="s">
        <v>9597</v>
      </c>
      <c r="G311" s="6" t="s">
        <v>9370</v>
      </c>
      <c r="H311" s="6" t="s">
        <v>26</v>
      </c>
      <c r="I311" s="8"/>
      <c r="J311" s="8">
        <v>80000</v>
      </c>
      <c r="K311" s="6" t="s">
        <v>4514</v>
      </c>
      <c r="L311" s="6" t="s">
        <v>4511</v>
      </c>
      <c r="M311" s="6" t="s">
        <v>4509</v>
      </c>
      <c r="N311" s="6" t="s">
        <v>4537</v>
      </c>
    </row>
    <row r="312" s="1" customFormat="1" ht="16.35" customHeight="1" spans="1:14">
      <c r="A312" s="5"/>
      <c r="B312" s="6" t="s">
        <v>4506</v>
      </c>
      <c r="C312" s="6">
        <v>2014</v>
      </c>
      <c r="D312" s="6">
        <v>11</v>
      </c>
      <c r="E312" s="7">
        <v>20</v>
      </c>
      <c r="F312" s="6" t="s">
        <v>9598</v>
      </c>
      <c r="G312" s="6" t="s">
        <v>9370</v>
      </c>
      <c r="H312" s="6" t="s">
        <v>26</v>
      </c>
      <c r="I312" s="8"/>
      <c r="J312" s="8">
        <v>307.48</v>
      </c>
      <c r="K312" s="6" t="s">
        <v>4510</v>
      </c>
      <c r="L312" s="6" t="s">
        <v>9447</v>
      </c>
      <c r="M312" s="6" t="s">
        <v>4509</v>
      </c>
      <c r="N312" s="6" t="s">
        <v>4537</v>
      </c>
    </row>
    <row r="313" s="1" customFormat="1" ht="16.35" customHeight="1" spans="1:14">
      <c r="A313" s="5"/>
      <c r="B313" s="6" t="s">
        <v>4506</v>
      </c>
      <c r="C313" s="6">
        <v>2014</v>
      </c>
      <c r="D313" s="6">
        <v>11</v>
      </c>
      <c r="E313" s="7">
        <v>20</v>
      </c>
      <c r="F313" s="6" t="s">
        <v>9598</v>
      </c>
      <c r="G313" s="6" t="s">
        <v>9370</v>
      </c>
      <c r="H313" s="6" t="s">
        <v>26</v>
      </c>
      <c r="I313" s="8"/>
      <c r="J313" s="8">
        <v>183.2</v>
      </c>
      <c r="K313" s="6" t="s">
        <v>4516</v>
      </c>
      <c r="L313" s="6" t="s">
        <v>9449</v>
      </c>
      <c r="M313" s="6" t="s">
        <v>4509</v>
      </c>
      <c r="N313" s="6" t="s">
        <v>4537</v>
      </c>
    </row>
    <row r="314" s="1" customFormat="1" ht="16.35" customHeight="1" spans="1:14">
      <c r="A314" s="5"/>
      <c r="B314" s="6" t="s">
        <v>4506</v>
      </c>
      <c r="C314" s="6">
        <v>2014</v>
      </c>
      <c r="D314" s="6">
        <v>11</v>
      </c>
      <c r="E314" s="7">
        <v>21</v>
      </c>
      <c r="F314" s="6" t="s">
        <v>4554</v>
      </c>
      <c r="G314" s="6" t="s">
        <v>9370</v>
      </c>
      <c r="H314" s="6" t="s">
        <v>26</v>
      </c>
      <c r="I314" s="8">
        <v>1286.91</v>
      </c>
      <c r="J314" s="8"/>
      <c r="K314" s="6" t="s">
        <v>4512</v>
      </c>
      <c r="L314" s="6" t="s">
        <v>2906</v>
      </c>
      <c r="M314" s="6" t="s">
        <v>4509</v>
      </c>
      <c r="N314" s="6" t="s">
        <v>4537</v>
      </c>
    </row>
    <row r="315" s="1" customFormat="1" ht="16.35" customHeight="1" spans="1:14">
      <c r="A315" s="5"/>
      <c r="B315" s="6" t="s">
        <v>4506</v>
      </c>
      <c r="C315" s="6">
        <v>2014</v>
      </c>
      <c r="D315" s="6">
        <v>11</v>
      </c>
      <c r="E315" s="7">
        <v>27</v>
      </c>
      <c r="F315" s="6" t="s">
        <v>9599</v>
      </c>
      <c r="G315" s="6" t="s">
        <v>9370</v>
      </c>
      <c r="H315" s="6" t="s">
        <v>26</v>
      </c>
      <c r="I315" s="8"/>
      <c r="J315" s="8">
        <v>200000</v>
      </c>
      <c r="K315" s="6" t="s">
        <v>4514</v>
      </c>
      <c r="L315" s="6" t="s">
        <v>4511</v>
      </c>
      <c r="M315" s="6" t="s">
        <v>4509</v>
      </c>
      <c r="N315" s="6" t="s">
        <v>4537</v>
      </c>
    </row>
    <row r="316" s="1" customFormat="1" ht="16.35" customHeight="1" spans="1:14">
      <c r="A316" s="5"/>
      <c r="B316" s="6" t="s">
        <v>4506</v>
      </c>
      <c r="C316" s="6">
        <v>2014</v>
      </c>
      <c r="D316" s="6">
        <v>11</v>
      </c>
      <c r="E316" s="7">
        <v>28</v>
      </c>
      <c r="F316" s="6" t="s">
        <v>9600</v>
      </c>
      <c r="G316" s="6" t="s">
        <v>9370</v>
      </c>
      <c r="H316" s="6" t="s">
        <v>26</v>
      </c>
      <c r="I316" s="8"/>
      <c r="J316" s="8">
        <v>5000</v>
      </c>
      <c r="K316" s="6" t="s">
        <v>4514</v>
      </c>
      <c r="L316" s="6" t="s">
        <v>4511</v>
      </c>
      <c r="M316" s="6" t="s">
        <v>4509</v>
      </c>
      <c r="N316" s="6" t="s">
        <v>4537</v>
      </c>
    </row>
    <row r="317" s="1" customFormat="1" ht="16.35" customHeight="1" spans="1:14">
      <c r="A317" s="5"/>
      <c r="B317" s="6" t="s">
        <v>4506</v>
      </c>
      <c r="C317" s="6">
        <v>2014</v>
      </c>
      <c r="D317" s="6">
        <v>11</v>
      </c>
      <c r="E317" s="7">
        <v>29</v>
      </c>
      <c r="F317" s="6" t="s">
        <v>9601</v>
      </c>
      <c r="G317" s="6" t="s">
        <v>9370</v>
      </c>
      <c r="H317" s="6" t="s">
        <v>26</v>
      </c>
      <c r="I317" s="8"/>
      <c r="J317" s="8">
        <v>96693</v>
      </c>
      <c r="K317" s="6" t="s">
        <v>4514</v>
      </c>
      <c r="L317" s="6" t="s">
        <v>4511</v>
      </c>
      <c r="M317" s="6" t="s">
        <v>4509</v>
      </c>
      <c r="N317" s="6" t="s">
        <v>4537</v>
      </c>
    </row>
    <row r="318" s="1" customFormat="1" ht="16.35" customHeight="1" spans="1:14">
      <c r="A318" s="5"/>
      <c r="B318" s="6" t="s">
        <v>4506</v>
      </c>
      <c r="C318" s="6">
        <v>2014</v>
      </c>
      <c r="D318" s="6">
        <v>11</v>
      </c>
      <c r="E318" s="7">
        <v>30</v>
      </c>
      <c r="F318" s="6" t="s">
        <v>9600</v>
      </c>
      <c r="G318" s="6" t="s">
        <v>9370</v>
      </c>
      <c r="H318" s="6" t="s">
        <v>26</v>
      </c>
      <c r="I318" s="8"/>
      <c r="J318" s="8">
        <v>109791</v>
      </c>
      <c r="K318" s="6" t="s">
        <v>4514</v>
      </c>
      <c r="L318" s="6" t="s">
        <v>4511</v>
      </c>
      <c r="M318" s="6" t="s">
        <v>4509</v>
      </c>
      <c r="N318" s="6" t="s">
        <v>4537</v>
      </c>
    </row>
    <row r="319" s="1" customFormat="1" ht="16.35" customHeight="1" spans="1:14">
      <c r="A319" s="5"/>
      <c r="B319" s="6" t="s">
        <v>4506</v>
      </c>
      <c r="C319" s="6">
        <v>2014</v>
      </c>
      <c r="D319" s="6">
        <v>11</v>
      </c>
      <c r="E319" s="7">
        <v>31</v>
      </c>
      <c r="F319" s="6" t="s">
        <v>9602</v>
      </c>
      <c r="G319" s="6" t="s">
        <v>9370</v>
      </c>
      <c r="H319" s="6" t="s">
        <v>26</v>
      </c>
      <c r="I319" s="8"/>
      <c r="J319" s="8">
        <v>100000</v>
      </c>
      <c r="K319" s="6" t="s">
        <v>4514</v>
      </c>
      <c r="L319" s="6" t="s">
        <v>4511</v>
      </c>
      <c r="M319" s="6" t="s">
        <v>4509</v>
      </c>
      <c r="N319" s="6" t="s">
        <v>4537</v>
      </c>
    </row>
    <row r="320" s="1" customFormat="1" ht="16.35" customHeight="1" spans="1:14">
      <c r="A320" s="5"/>
      <c r="B320" s="6" t="s">
        <v>4506</v>
      </c>
      <c r="C320" s="6">
        <v>2014</v>
      </c>
      <c r="D320" s="6">
        <v>11</v>
      </c>
      <c r="E320" s="7">
        <v>32</v>
      </c>
      <c r="F320" s="6" t="s">
        <v>9603</v>
      </c>
      <c r="G320" s="6" t="s">
        <v>9370</v>
      </c>
      <c r="H320" s="6" t="s">
        <v>26</v>
      </c>
      <c r="I320" s="8"/>
      <c r="J320" s="8">
        <v>220000</v>
      </c>
      <c r="K320" s="6" t="s">
        <v>4514</v>
      </c>
      <c r="L320" s="6" t="s">
        <v>4511</v>
      </c>
      <c r="M320" s="6" t="s">
        <v>4509</v>
      </c>
      <c r="N320" s="6" t="s">
        <v>4537</v>
      </c>
    </row>
    <row r="321" s="1" customFormat="1" ht="16.35" customHeight="1" spans="1:14">
      <c r="A321" s="5"/>
      <c r="B321" s="6" t="s">
        <v>4506</v>
      </c>
      <c r="C321" s="6">
        <v>2014</v>
      </c>
      <c r="D321" s="6">
        <v>11</v>
      </c>
      <c r="E321" s="7">
        <v>33</v>
      </c>
      <c r="F321" s="6" t="s">
        <v>9604</v>
      </c>
      <c r="G321" s="6" t="s">
        <v>9370</v>
      </c>
      <c r="H321" s="6" t="s">
        <v>26</v>
      </c>
      <c r="I321" s="8"/>
      <c r="J321" s="8">
        <v>270000</v>
      </c>
      <c r="K321" s="6" t="s">
        <v>4514</v>
      </c>
      <c r="L321" s="6" t="s">
        <v>4511</v>
      </c>
      <c r="M321" s="6" t="s">
        <v>4509</v>
      </c>
      <c r="N321" s="6" t="s">
        <v>4537</v>
      </c>
    </row>
    <row r="322" s="1" customFormat="1" ht="16.35" customHeight="1" spans="1:14">
      <c r="A322" s="5"/>
      <c r="B322" s="6" t="s">
        <v>4506</v>
      </c>
      <c r="C322" s="6">
        <v>2014</v>
      </c>
      <c r="D322" s="6">
        <v>11</v>
      </c>
      <c r="E322" s="7">
        <v>35</v>
      </c>
      <c r="F322" s="6" t="s">
        <v>9508</v>
      </c>
      <c r="G322" s="6" t="s">
        <v>9370</v>
      </c>
      <c r="H322" s="6" t="s">
        <v>26</v>
      </c>
      <c r="I322" s="8"/>
      <c r="J322" s="8">
        <v>141212</v>
      </c>
      <c r="K322" s="6" t="s">
        <v>4514</v>
      </c>
      <c r="L322" s="6" t="s">
        <v>4511</v>
      </c>
      <c r="M322" s="6" t="s">
        <v>4509</v>
      </c>
      <c r="N322" s="6" t="s">
        <v>4537</v>
      </c>
    </row>
    <row r="323" s="1" customFormat="1" ht="16.35" customHeight="1" spans="1:14">
      <c r="A323" s="5"/>
      <c r="B323" s="6" t="s">
        <v>4506</v>
      </c>
      <c r="C323" s="6">
        <v>2014</v>
      </c>
      <c r="D323" s="6">
        <v>11</v>
      </c>
      <c r="E323" s="7">
        <v>36</v>
      </c>
      <c r="F323" s="6" t="s">
        <v>9605</v>
      </c>
      <c r="G323" s="6" t="s">
        <v>9370</v>
      </c>
      <c r="H323" s="6" t="s">
        <v>26</v>
      </c>
      <c r="I323" s="8"/>
      <c r="J323" s="8">
        <v>230000</v>
      </c>
      <c r="K323" s="6" t="s">
        <v>4514</v>
      </c>
      <c r="L323" s="6" t="s">
        <v>4511</v>
      </c>
      <c r="M323" s="6" t="s">
        <v>4509</v>
      </c>
      <c r="N323" s="6" t="s">
        <v>4537</v>
      </c>
    </row>
    <row r="324" s="1" customFormat="1" ht="16.35" customHeight="1" spans="1:14">
      <c r="A324" s="5"/>
      <c r="B324" s="6" t="s">
        <v>4506</v>
      </c>
      <c r="C324" s="6">
        <v>2014</v>
      </c>
      <c r="D324" s="6">
        <v>11</v>
      </c>
      <c r="E324" s="7">
        <v>37</v>
      </c>
      <c r="F324" s="6" t="s">
        <v>9606</v>
      </c>
      <c r="G324" s="6" t="s">
        <v>9370</v>
      </c>
      <c r="H324" s="6" t="s">
        <v>26</v>
      </c>
      <c r="I324" s="8"/>
      <c r="J324" s="8">
        <v>310000</v>
      </c>
      <c r="K324" s="6" t="s">
        <v>4514</v>
      </c>
      <c r="L324" s="6" t="s">
        <v>4511</v>
      </c>
      <c r="M324" s="6" t="s">
        <v>4509</v>
      </c>
      <c r="N324" s="6" t="s">
        <v>4537</v>
      </c>
    </row>
    <row r="325" s="1" customFormat="1" ht="16.35" customHeight="1" spans="1:14">
      <c r="A325" s="5"/>
      <c r="B325" s="6" t="s">
        <v>4506</v>
      </c>
      <c r="C325" s="6">
        <v>2014</v>
      </c>
      <c r="D325" s="6">
        <v>11</v>
      </c>
      <c r="E325" s="7">
        <v>45</v>
      </c>
      <c r="F325" s="6" t="s">
        <v>9607</v>
      </c>
      <c r="G325" s="6" t="s">
        <v>9370</v>
      </c>
      <c r="H325" s="6" t="s">
        <v>26</v>
      </c>
      <c r="I325" s="8"/>
      <c r="J325" s="8">
        <v>237253</v>
      </c>
      <c r="K325" s="6" t="s">
        <v>4514</v>
      </c>
      <c r="L325" s="6" t="s">
        <v>4511</v>
      </c>
      <c r="M325" s="6" t="s">
        <v>4509</v>
      </c>
      <c r="N325" s="6" t="s">
        <v>4537</v>
      </c>
    </row>
    <row r="326" s="1" customFormat="1" ht="16.35" customHeight="1" spans="1:14">
      <c r="A326" s="5"/>
      <c r="B326" s="6" t="s">
        <v>4506</v>
      </c>
      <c r="C326" s="6">
        <v>2014</v>
      </c>
      <c r="D326" s="6">
        <v>11</v>
      </c>
      <c r="E326" s="7">
        <v>46</v>
      </c>
      <c r="F326" s="6" t="s">
        <v>9608</v>
      </c>
      <c r="G326" s="6" t="s">
        <v>9370</v>
      </c>
      <c r="H326" s="6" t="s">
        <v>26</v>
      </c>
      <c r="I326" s="8"/>
      <c r="J326" s="8">
        <v>177904</v>
      </c>
      <c r="K326" s="6" t="s">
        <v>4514</v>
      </c>
      <c r="L326" s="6" t="s">
        <v>4511</v>
      </c>
      <c r="M326" s="6" t="s">
        <v>4509</v>
      </c>
      <c r="N326" s="6" t="s">
        <v>4537</v>
      </c>
    </row>
    <row r="327" s="1" customFormat="1" ht="16.35" customHeight="1" spans="1:14">
      <c r="A327" s="5"/>
      <c r="B327" s="6" t="s">
        <v>4506</v>
      </c>
      <c r="C327" s="6">
        <v>2014</v>
      </c>
      <c r="D327" s="6">
        <v>11</v>
      </c>
      <c r="E327" s="7">
        <v>48</v>
      </c>
      <c r="F327" s="6" t="s">
        <v>9609</v>
      </c>
      <c r="G327" s="6" t="s">
        <v>9370</v>
      </c>
      <c r="H327" s="6" t="s">
        <v>26</v>
      </c>
      <c r="I327" s="8"/>
      <c r="J327" s="8">
        <v>205390</v>
      </c>
      <c r="K327" s="6" t="s">
        <v>4514</v>
      </c>
      <c r="L327" s="6" t="s">
        <v>4511</v>
      </c>
      <c r="M327" s="6" t="s">
        <v>4509</v>
      </c>
      <c r="N327" s="6" t="s">
        <v>4537</v>
      </c>
    </row>
    <row r="328" s="1" customFormat="1" ht="16.35" customHeight="1" spans="1:14">
      <c r="A328" s="5"/>
      <c r="B328" s="6" t="s">
        <v>4506</v>
      </c>
      <c r="C328" s="6">
        <v>2014</v>
      </c>
      <c r="D328" s="6">
        <v>11</v>
      </c>
      <c r="E328" s="7">
        <v>51</v>
      </c>
      <c r="F328" s="6" t="s">
        <v>9610</v>
      </c>
      <c r="G328" s="6" t="s">
        <v>9370</v>
      </c>
      <c r="H328" s="6" t="s">
        <v>26</v>
      </c>
      <c r="I328" s="8"/>
      <c r="J328" s="8">
        <v>260000</v>
      </c>
      <c r="K328" s="6" t="s">
        <v>4514</v>
      </c>
      <c r="L328" s="6" t="s">
        <v>4511</v>
      </c>
      <c r="M328" s="6" t="s">
        <v>4509</v>
      </c>
      <c r="N328" s="6" t="s">
        <v>4537</v>
      </c>
    </row>
    <row r="329" s="1" customFormat="1" ht="16.35" customHeight="1" spans="1:14">
      <c r="A329" s="5"/>
      <c r="B329" s="6" t="s">
        <v>4506</v>
      </c>
      <c r="C329" s="6">
        <v>2014</v>
      </c>
      <c r="D329" s="6">
        <v>11</v>
      </c>
      <c r="E329" s="7">
        <v>55</v>
      </c>
      <c r="F329" s="6" t="s">
        <v>9531</v>
      </c>
      <c r="G329" s="6" t="s">
        <v>9370</v>
      </c>
      <c r="H329" s="6" t="s">
        <v>26</v>
      </c>
      <c r="I329" s="8"/>
      <c r="J329" s="8">
        <v>130000</v>
      </c>
      <c r="K329" s="6" t="s">
        <v>4514</v>
      </c>
      <c r="L329" s="6" t="s">
        <v>4511</v>
      </c>
      <c r="M329" s="6" t="s">
        <v>4509</v>
      </c>
      <c r="N329" s="6" t="s">
        <v>4537</v>
      </c>
    </row>
    <row r="330" s="1" customFormat="1" ht="16.35" customHeight="1" spans="1:14">
      <c r="A330" s="5"/>
      <c r="B330" s="6" t="s">
        <v>4506</v>
      </c>
      <c r="C330" s="6">
        <v>2014</v>
      </c>
      <c r="D330" s="6">
        <v>11</v>
      </c>
      <c r="E330" s="7">
        <v>56</v>
      </c>
      <c r="F330" s="6" t="s">
        <v>9611</v>
      </c>
      <c r="G330" s="6" t="s">
        <v>9370</v>
      </c>
      <c r="H330" s="6" t="s">
        <v>26</v>
      </c>
      <c r="I330" s="8"/>
      <c r="J330" s="8">
        <v>20000</v>
      </c>
      <c r="K330" s="6" t="s">
        <v>4514</v>
      </c>
      <c r="L330" s="6" t="s">
        <v>4511</v>
      </c>
      <c r="M330" s="6" t="s">
        <v>4509</v>
      </c>
      <c r="N330" s="6" t="s">
        <v>4537</v>
      </c>
    </row>
    <row r="331" s="1" customFormat="1" ht="25" customHeight="1" spans="1:14">
      <c r="A331" s="5"/>
      <c r="B331" s="6" t="s">
        <v>4506</v>
      </c>
      <c r="C331" s="6">
        <v>2014</v>
      </c>
      <c r="D331" s="6">
        <v>11</v>
      </c>
      <c r="E331" s="7">
        <v>57</v>
      </c>
      <c r="F331" s="6" t="s">
        <v>9612</v>
      </c>
      <c r="G331" s="6" t="s">
        <v>9370</v>
      </c>
      <c r="H331" s="6" t="s">
        <v>26</v>
      </c>
      <c r="I331" s="8"/>
      <c r="J331" s="8">
        <v>252486</v>
      </c>
      <c r="K331" s="6" t="s">
        <v>4509</v>
      </c>
      <c r="L331" s="6" t="s">
        <v>9218</v>
      </c>
      <c r="M331" s="6" t="s">
        <v>4509</v>
      </c>
      <c r="N331" s="6" t="s">
        <v>4537</v>
      </c>
    </row>
    <row r="332" s="1" customFormat="1" ht="25" customHeight="1" spans="1:14">
      <c r="A332" s="5"/>
      <c r="B332" s="6" t="s">
        <v>4506</v>
      </c>
      <c r="C332" s="6">
        <v>2014</v>
      </c>
      <c r="D332" s="6">
        <v>11</v>
      </c>
      <c r="E332" s="7">
        <v>57</v>
      </c>
      <c r="F332" s="6" t="s">
        <v>9612</v>
      </c>
      <c r="G332" s="6" t="s">
        <v>9370</v>
      </c>
      <c r="H332" s="6" t="s">
        <v>26</v>
      </c>
      <c r="I332" s="8"/>
      <c r="J332" s="8">
        <v>308329</v>
      </c>
      <c r="K332" s="6" t="s">
        <v>4512</v>
      </c>
      <c r="L332" s="6" t="s">
        <v>2906</v>
      </c>
      <c r="M332" s="6" t="s">
        <v>4509</v>
      </c>
      <c r="N332" s="6" t="s">
        <v>4537</v>
      </c>
    </row>
    <row r="333" s="1" customFormat="1" ht="16.35" customHeight="1" spans="1:14">
      <c r="A333" s="5"/>
      <c r="B333" s="6" t="s">
        <v>4506</v>
      </c>
      <c r="C333" s="6">
        <v>2014</v>
      </c>
      <c r="D333" s="6">
        <v>11</v>
      </c>
      <c r="E333" s="7">
        <v>58</v>
      </c>
      <c r="F333" s="6" t="s">
        <v>9613</v>
      </c>
      <c r="G333" s="6" t="s">
        <v>9370</v>
      </c>
      <c r="H333" s="6" t="s">
        <v>26</v>
      </c>
      <c r="I333" s="8"/>
      <c r="J333" s="8">
        <v>414000</v>
      </c>
      <c r="K333" s="6" t="s">
        <v>4509</v>
      </c>
      <c r="L333" s="6" t="s">
        <v>9218</v>
      </c>
      <c r="M333" s="6" t="s">
        <v>4509</v>
      </c>
      <c r="N333" s="6" t="s">
        <v>4537</v>
      </c>
    </row>
    <row r="334" s="1" customFormat="1" ht="16.35" customHeight="1" spans="1:14">
      <c r="A334" s="5"/>
      <c r="B334" s="6" t="s">
        <v>4506</v>
      </c>
      <c r="C334" s="6">
        <v>2014</v>
      </c>
      <c r="D334" s="6">
        <v>11</v>
      </c>
      <c r="E334" s="7">
        <v>59</v>
      </c>
      <c r="F334" s="6" t="s">
        <v>9380</v>
      </c>
      <c r="G334" s="6" t="s">
        <v>9370</v>
      </c>
      <c r="H334" s="6" t="s">
        <v>26</v>
      </c>
      <c r="I334" s="8"/>
      <c r="J334" s="8">
        <v>1500000</v>
      </c>
      <c r="K334" s="6" t="s">
        <v>4509</v>
      </c>
      <c r="L334" s="6" t="s">
        <v>9218</v>
      </c>
      <c r="M334" s="6" t="s">
        <v>4509</v>
      </c>
      <c r="N334" s="6" t="s">
        <v>4537</v>
      </c>
    </row>
    <row r="335" s="1" customFormat="1" ht="16.35" customHeight="1" spans="1:14">
      <c r="A335" s="5"/>
      <c r="B335" s="6" t="s">
        <v>4506</v>
      </c>
      <c r="C335" s="6">
        <v>2014</v>
      </c>
      <c r="D335" s="6">
        <v>11</v>
      </c>
      <c r="E335" s="7">
        <v>60</v>
      </c>
      <c r="F335" s="6" t="s">
        <v>9435</v>
      </c>
      <c r="G335" s="6" t="s">
        <v>9370</v>
      </c>
      <c r="H335" s="6" t="s">
        <v>26</v>
      </c>
      <c r="I335" s="8"/>
      <c r="J335" s="8">
        <v>1000000</v>
      </c>
      <c r="K335" s="6" t="s">
        <v>4509</v>
      </c>
      <c r="L335" s="6" t="s">
        <v>9218</v>
      </c>
      <c r="M335" s="6" t="s">
        <v>4509</v>
      </c>
      <c r="N335" s="6" t="s">
        <v>4537</v>
      </c>
    </row>
    <row r="336" s="1" customFormat="1" ht="16.35" customHeight="1" spans="1:14">
      <c r="A336" s="5"/>
      <c r="B336" s="6" t="s">
        <v>4506</v>
      </c>
      <c r="C336" s="6">
        <v>2014</v>
      </c>
      <c r="D336" s="6">
        <v>11</v>
      </c>
      <c r="E336" s="7">
        <v>61</v>
      </c>
      <c r="F336" s="6" t="s">
        <v>9464</v>
      </c>
      <c r="G336" s="6" t="s">
        <v>9370</v>
      </c>
      <c r="H336" s="6" t="s">
        <v>26</v>
      </c>
      <c r="I336" s="8"/>
      <c r="J336" s="8">
        <v>330</v>
      </c>
      <c r="K336" s="6" t="s">
        <v>4522</v>
      </c>
      <c r="L336" s="6" t="s">
        <v>9465</v>
      </c>
      <c r="M336" s="6" t="s">
        <v>4509</v>
      </c>
      <c r="N336" s="6" t="s">
        <v>4537</v>
      </c>
    </row>
    <row r="337" s="1" customFormat="1" ht="16.35" customHeight="1" spans="1:14">
      <c r="A337" s="5"/>
      <c r="B337" s="6" t="s">
        <v>4506</v>
      </c>
      <c r="C337" s="6">
        <v>2014</v>
      </c>
      <c r="D337" s="6">
        <v>11</v>
      </c>
      <c r="E337" s="7">
        <v>62</v>
      </c>
      <c r="F337" s="6" t="s">
        <v>4507</v>
      </c>
      <c r="G337" s="6" t="s">
        <v>9370</v>
      </c>
      <c r="H337" s="6" t="s">
        <v>26</v>
      </c>
      <c r="I337" s="8">
        <v>683532</v>
      </c>
      <c r="J337" s="8"/>
      <c r="K337" s="6" t="s">
        <v>4509</v>
      </c>
      <c r="L337" s="6" t="s">
        <v>9218</v>
      </c>
      <c r="M337" s="6" t="s">
        <v>4509</v>
      </c>
      <c r="N337" s="6" t="s">
        <v>4537</v>
      </c>
    </row>
    <row r="338" s="1" customFormat="1" ht="16.35" customHeight="1" spans="1:14">
      <c r="A338" s="5"/>
      <c r="B338" s="6" t="s">
        <v>4506</v>
      </c>
      <c r="C338" s="6">
        <v>2014</v>
      </c>
      <c r="D338" s="6">
        <v>12</v>
      </c>
      <c r="E338" s="7">
        <v>1</v>
      </c>
      <c r="F338" s="6" t="s">
        <v>9587</v>
      </c>
      <c r="G338" s="6" t="s">
        <v>9370</v>
      </c>
      <c r="H338" s="6" t="s">
        <v>26</v>
      </c>
      <c r="I338" s="8">
        <v>2000000</v>
      </c>
      <c r="J338" s="8"/>
      <c r="K338" s="6" t="s">
        <v>4509</v>
      </c>
      <c r="L338" s="6" t="s">
        <v>9218</v>
      </c>
      <c r="M338" s="6" t="s">
        <v>4509</v>
      </c>
      <c r="N338" s="6" t="s">
        <v>4537</v>
      </c>
    </row>
    <row r="339" s="1" customFormat="1" ht="16.35" customHeight="1" spans="1:14">
      <c r="A339" s="5"/>
      <c r="B339" s="6" t="s">
        <v>4506</v>
      </c>
      <c r="C339" s="6">
        <v>2014</v>
      </c>
      <c r="D339" s="6">
        <v>12</v>
      </c>
      <c r="E339" s="7">
        <v>2</v>
      </c>
      <c r="F339" s="6" t="s">
        <v>9614</v>
      </c>
      <c r="G339" s="6" t="s">
        <v>9370</v>
      </c>
      <c r="H339" s="6" t="s">
        <v>26</v>
      </c>
      <c r="I339" s="8"/>
      <c r="J339" s="8">
        <v>85900</v>
      </c>
      <c r="K339" s="6" t="s">
        <v>4514</v>
      </c>
      <c r="L339" s="6" t="s">
        <v>4511</v>
      </c>
      <c r="M339" s="6" t="s">
        <v>4509</v>
      </c>
      <c r="N339" s="6" t="s">
        <v>4537</v>
      </c>
    </row>
    <row r="340" s="1" customFormat="1" ht="16.35" customHeight="1" spans="1:14">
      <c r="A340" s="5"/>
      <c r="B340" s="6" t="s">
        <v>4506</v>
      </c>
      <c r="C340" s="6">
        <v>2014</v>
      </c>
      <c r="D340" s="6">
        <v>12</v>
      </c>
      <c r="E340" s="7">
        <v>3</v>
      </c>
      <c r="F340" s="6" t="s">
        <v>9615</v>
      </c>
      <c r="G340" s="6" t="s">
        <v>9370</v>
      </c>
      <c r="H340" s="6" t="s">
        <v>26</v>
      </c>
      <c r="I340" s="8"/>
      <c r="J340" s="8">
        <v>-20000</v>
      </c>
      <c r="K340" s="6" t="s">
        <v>4514</v>
      </c>
      <c r="L340" s="6" t="s">
        <v>4511</v>
      </c>
      <c r="M340" s="6" t="s">
        <v>4509</v>
      </c>
      <c r="N340" s="6" t="s">
        <v>4537</v>
      </c>
    </row>
    <row r="341" s="1" customFormat="1" ht="16.35" customHeight="1" spans="1:14">
      <c r="A341" s="5"/>
      <c r="B341" s="6" t="s">
        <v>4506</v>
      </c>
      <c r="C341" s="6">
        <v>2014</v>
      </c>
      <c r="D341" s="6">
        <v>12</v>
      </c>
      <c r="E341" s="7">
        <v>5</v>
      </c>
      <c r="F341" s="6" t="s">
        <v>9616</v>
      </c>
      <c r="G341" s="6" t="s">
        <v>9370</v>
      </c>
      <c r="H341" s="6" t="s">
        <v>26</v>
      </c>
      <c r="I341" s="8"/>
      <c r="J341" s="8">
        <v>96856</v>
      </c>
      <c r="K341" s="6" t="s">
        <v>4514</v>
      </c>
      <c r="L341" s="6" t="s">
        <v>4511</v>
      </c>
      <c r="M341" s="6" t="s">
        <v>4509</v>
      </c>
      <c r="N341" s="6" t="s">
        <v>4537</v>
      </c>
    </row>
    <row r="342" s="1" customFormat="1" ht="16.35" customHeight="1" spans="1:14">
      <c r="A342" s="5"/>
      <c r="B342" s="6" t="s">
        <v>4506</v>
      </c>
      <c r="C342" s="6">
        <v>2014</v>
      </c>
      <c r="D342" s="6">
        <v>12</v>
      </c>
      <c r="E342" s="7">
        <v>5</v>
      </c>
      <c r="F342" s="6" t="s">
        <v>9617</v>
      </c>
      <c r="G342" s="6" t="s">
        <v>9370</v>
      </c>
      <c r="H342" s="6" t="s">
        <v>26</v>
      </c>
      <c r="I342" s="8"/>
      <c r="J342" s="8">
        <v>-4001</v>
      </c>
      <c r="K342" s="6" t="s">
        <v>4514</v>
      </c>
      <c r="L342" s="6" t="s">
        <v>4511</v>
      </c>
      <c r="M342" s="6" t="s">
        <v>4509</v>
      </c>
      <c r="N342" s="6" t="s">
        <v>4537</v>
      </c>
    </row>
    <row r="343" s="1" customFormat="1" ht="16.35" customHeight="1" spans="1:14">
      <c r="A343" s="5"/>
      <c r="B343" s="6" t="s">
        <v>4506</v>
      </c>
      <c r="C343" s="6">
        <v>2014</v>
      </c>
      <c r="D343" s="6">
        <v>12</v>
      </c>
      <c r="E343" s="7">
        <v>6</v>
      </c>
      <c r="F343" s="6" t="s">
        <v>9618</v>
      </c>
      <c r="G343" s="6" t="s">
        <v>9370</v>
      </c>
      <c r="H343" s="6" t="s">
        <v>26</v>
      </c>
      <c r="I343" s="8"/>
      <c r="J343" s="8">
        <v>-30000</v>
      </c>
      <c r="K343" s="6" t="s">
        <v>4514</v>
      </c>
      <c r="L343" s="6" t="s">
        <v>4511</v>
      </c>
      <c r="M343" s="6" t="s">
        <v>4509</v>
      </c>
      <c r="N343" s="6" t="s">
        <v>4537</v>
      </c>
    </row>
    <row r="344" s="1" customFormat="1" ht="16.35" customHeight="1" spans="1:14">
      <c r="A344" s="5"/>
      <c r="B344" s="6" t="s">
        <v>4506</v>
      </c>
      <c r="C344" s="6">
        <v>2014</v>
      </c>
      <c r="D344" s="6">
        <v>12</v>
      </c>
      <c r="E344" s="7">
        <v>8</v>
      </c>
      <c r="F344" s="6" t="s">
        <v>9619</v>
      </c>
      <c r="G344" s="6" t="s">
        <v>9370</v>
      </c>
      <c r="H344" s="6" t="s">
        <v>26</v>
      </c>
      <c r="I344" s="8"/>
      <c r="J344" s="8">
        <v>310000</v>
      </c>
      <c r="K344" s="6" t="s">
        <v>4514</v>
      </c>
      <c r="L344" s="6" t="s">
        <v>4511</v>
      </c>
      <c r="M344" s="6" t="s">
        <v>4509</v>
      </c>
      <c r="N344" s="6" t="s">
        <v>4537</v>
      </c>
    </row>
    <row r="345" s="1" customFormat="1" ht="16.35" customHeight="1" spans="1:14">
      <c r="A345" s="5"/>
      <c r="B345" s="6" t="s">
        <v>4506</v>
      </c>
      <c r="C345" s="6">
        <v>2014</v>
      </c>
      <c r="D345" s="6">
        <v>12</v>
      </c>
      <c r="E345" s="7">
        <v>9</v>
      </c>
      <c r="F345" s="6" t="s">
        <v>9620</v>
      </c>
      <c r="G345" s="6" t="s">
        <v>9370</v>
      </c>
      <c r="H345" s="6" t="s">
        <v>26</v>
      </c>
      <c r="I345" s="8"/>
      <c r="J345" s="8">
        <v>290000</v>
      </c>
      <c r="K345" s="6" t="s">
        <v>4514</v>
      </c>
      <c r="L345" s="6" t="s">
        <v>4511</v>
      </c>
      <c r="M345" s="6" t="s">
        <v>4509</v>
      </c>
      <c r="N345" s="6" t="s">
        <v>4537</v>
      </c>
    </row>
    <row r="346" s="1" customFormat="1" ht="16.35" customHeight="1" spans="1:14">
      <c r="A346" s="5"/>
      <c r="B346" s="6" t="s">
        <v>4506</v>
      </c>
      <c r="C346" s="6">
        <v>2014</v>
      </c>
      <c r="D346" s="6">
        <v>12</v>
      </c>
      <c r="E346" s="7">
        <v>16</v>
      </c>
      <c r="F346" s="6" t="s">
        <v>9621</v>
      </c>
      <c r="G346" s="6" t="s">
        <v>9370</v>
      </c>
      <c r="H346" s="6" t="s">
        <v>26</v>
      </c>
      <c r="I346" s="8"/>
      <c r="J346" s="8">
        <v>200000</v>
      </c>
      <c r="K346" s="6" t="s">
        <v>4514</v>
      </c>
      <c r="L346" s="6" t="s">
        <v>4511</v>
      </c>
      <c r="M346" s="6" t="s">
        <v>4509</v>
      </c>
      <c r="N346" s="6" t="s">
        <v>4537</v>
      </c>
    </row>
    <row r="347" s="1" customFormat="1" ht="16.35" customHeight="1" spans="1:14">
      <c r="A347" s="5"/>
      <c r="B347" s="6" t="s">
        <v>4506</v>
      </c>
      <c r="C347" s="6">
        <v>2014</v>
      </c>
      <c r="D347" s="6">
        <v>12</v>
      </c>
      <c r="E347" s="7">
        <v>21</v>
      </c>
      <c r="F347" s="6" t="s">
        <v>9622</v>
      </c>
      <c r="G347" s="6" t="s">
        <v>9370</v>
      </c>
      <c r="H347" s="6" t="s">
        <v>26</v>
      </c>
      <c r="I347" s="8"/>
      <c r="J347" s="8">
        <v>307.48</v>
      </c>
      <c r="K347" s="6" t="s">
        <v>4510</v>
      </c>
      <c r="L347" s="6" t="s">
        <v>9447</v>
      </c>
      <c r="M347" s="6" t="s">
        <v>4509</v>
      </c>
      <c r="N347" s="6" t="s">
        <v>4537</v>
      </c>
    </row>
    <row r="348" s="1" customFormat="1" ht="16.35" customHeight="1" spans="1:14">
      <c r="A348" s="5"/>
      <c r="B348" s="6" t="s">
        <v>4506</v>
      </c>
      <c r="C348" s="6">
        <v>2014</v>
      </c>
      <c r="D348" s="6">
        <v>12</v>
      </c>
      <c r="E348" s="7">
        <v>21</v>
      </c>
      <c r="F348" s="6" t="s">
        <v>9622</v>
      </c>
      <c r="G348" s="6" t="s">
        <v>9370</v>
      </c>
      <c r="H348" s="6" t="s">
        <v>26</v>
      </c>
      <c r="I348" s="8"/>
      <c r="J348" s="8">
        <v>183.2</v>
      </c>
      <c r="K348" s="6" t="s">
        <v>4516</v>
      </c>
      <c r="L348" s="6" t="s">
        <v>9449</v>
      </c>
      <c r="M348" s="6" t="s">
        <v>4509</v>
      </c>
      <c r="N348" s="6" t="s">
        <v>4537</v>
      </c>
    </row>
    <row r="349" s="1" customFormat="1" ht="16.35" customHeight="1" spans="1:14">
      <c r="A349" s="5"/>
      <c r="B349" s="6" t="s">
        <v>4506</v>
      </c>
      <c r="C349" s="6">
        <v>2014</v>
      </c>
      <c r="D349" s="6">
        <v>12</v>
      </c>
      <c r="E349" s="7">
        <v>25</v>
      </c>
      <c r="F349" s="6" t="s">
        <v>9623</v>
      </c>
      <c r="G349" s="6" t="s">
        <v>9370</v>
      </c>
      <c r="H349" s="6" t="s">
        <v>26</v>
      </c>
      <c r="I349" s="8"/>
      <c r="J349" s="8">
        <v>205390</v>
      </c>
      <c r="K349" s="6" t="s">
        <v>4514</v>
      </c>
      <c r="L349" s="6" t="s">
        <v>4511</v>
      </c>
      <c r="M349" s="6" t="s">
        <v>4509</v>
      </c>
      <c r="N349" s="6" t="s">
        <v>4537</v>
      </c>
    </row>
    <row r="350" s="1" customFormat="1" ht="16.35" customHeight="1" spans="1:14">
      <c r="A350" s="5"/>
      <c r="B350" s="6" t="s">
        <v>4506</v>
      </c>
      <c r="C350" s="6">
        <v>2014</v>
      </c>
      <c r="D350" s="6">
        <v>12</v>
      </c>
      <c r="E350" s="7">
        <v>26</v>
      </c>
      <c r="F350" s="6" t="s">
        <v>9624</v>
      </c>
      <c r="G350" s="6" t="s">
        <v>9370</v>
      </c>
      <c r="H350" s="6" t="s">
        <v>26</v>
      </c>
      <c r="I350" s="8"/>
      <c r="J350" s="8">
        <v>-20000</v>
      </c>
      <c r="K350" s="6" t="s">
        <v>4514</v>
      </c>
      <c r="L350" s="6" t="s">
        <v>4511</v>
      </c>
      <c r="M350" s="6" t="s">
        <v>4509</v>
      </c>
      <c r="N350" s="6" t="s">
        <v>4537</v>
      </c>
    </row>
    <row r="351" s="1" customFormat="1" ht="16.35" customHeight="1" spans="1:14">
      <c r="A351" s="5"/>
      <c r="B351" s="6" t="s">
        <v>4506</v>
      </c>
      <c r="C351" s="6">
        <v>2014</v>
      </c>
      <c r="D351" s="6">
        <v>12</v>
      </c>
      <c r="E351" s="7">
        <v>27</v>
      </c>
      <c r="F351" s="6" t="s">
        <v>9625</v>
      </c>
      <c r="G351" s="6" t="s">
        <v>9370</v>
      </c>
      <c r="H351" s="6" t="s">
        <v>26</v>
      </c>
      <c r="I351" s="8"/>
      <c r="J351" s="8">
        <v>122967</v>
      </c>
      <c r="K351" s="6" t="s">
        <v>4514</v>
      </c>
      <c r="L351" s="6" t="s">
        <v>4511</v>
      </c>
      <c r="M351" s="6" t="s">
        <v>4509</v>
      </c>
      <c r="N351" s="6" t="s">
        <v>4537</v>
      </c>
    </row>
    <row r="352" s="1" customFormat="1" ht="16.35" customHeight="1" spans="1:14">
      <c r="A352" s="5"/>
      <c r="B352" s="6" t="s">
        <v>4506</v>
      </c>
      <c r="C352" s="6">
        <v>2014</v>
      </c>
      <c r="D352" s="6">
        <v>12</v>
      </c>
      <c r="E352" s="7">
        <v>31</v>
      </c>
      <c r="F352" s="6" t="s">
        <v>9626</v>
      </c>
      <c r="G352" s="6" t="s">
        <v>9370</v>
      </c>
      <c r="H352" s="6" t="s">
        <v>26</v>
      </c>
      <c r="I352" s="8"/>
      <c r="J352" s="8">
        <v>20000</v>
      </c>
      <c r="K352" s="6" t="s">
        <v>4514</v>
      </c>
      <c r="L352" s="6" t="s">
        <v>4511</v>
      </c>
      <c r="M352" s="6" t="s">
        <v>4509</v>
      </c>
      <c r="N352" s="6" t="s">
        <v>4537</v>
      </c>
    </row>
    <row r="353" s="1" customFormat="1" ht="16.35" customHeight="1" spans="1:14">
      <c r="A353" s="5"/>
      <c r="B353" s="6" t="s">
        <v>4506</v>
      </c>
      <c r="C353" s="6">
        <v>2014</v>
      </c>
      <c r="D353" s="6">
        <v>12</v>
      </c>
      <c r="E353" s="7">
        <v>32</v>
      </c>
      <c r="F353" s="6" t="s">
        <v>9627</v>
      </c>
      <c r="G353" s="6" t="s">
        <v>9370</v>
      </c>
      <c r="H353" s="6" t="s">
        <v>26</v>
      </c>
      <c r="I353" s="8"/>
      <c r="J353" s="8">
        <v>-20000</v>
      </c>
      <c r="K353" s="6" t="s">
        <v>4514</v>
      </c>
      <c r="L353" s="6" t="s">
        <v>4511</v>
      </c>
      <c r="M353" s="6" t="s">
        <v>4509</v>
      </c>
      <c r="N353" s="6" t="s">
        <v>4537</v>
      </c>
    </row>
    <row r="354" s="1" customFormat="1" ht="16.35" customHeight="1" spans="1:14">
      <c r="A354" s="5"/>
      <c r="B354" s="6" t="s">
        <v>4506</v>
      </c>
      <c r="C354" s="6">
        <v>2014</v>
      </c>
      <c r="D354" s="6">
        <v>12</v>
      </c>
      <c r="E354" s="7">
        <v>36</v>
      </c>
      <c r="F354" s="6" t="s">
        <v>9628</v>
      </c>
      <c r="G354" s="6" t="s">
        <v>9370</v>
      </c>
      <c r="H354" s="6" t="s">
        <v>26</v>
      </c>
      <c r="I354" s="8">
        <v>1000000</v>
      </c>
      <c r="J354" s="8"/>
      <c r="K354" s="6" t="s">
        <v>4509</v>
      </c>
      <c r="L354" s="6" t="s">
        <v>9218</v>
      </c>
      <c r="M354" s="6" t="s">
        <v>4509</v>
      </c>
      <c r="N354" s="6" t="s">
        <v>4537</v>
      </c>
    </row>
    <row r="355" s="1" customFormat="1" ht="16.35" customHeight="1" spans="1:14">
      <c r="A355" s="5"/>
      <c r="B355" s="6" t="s">
        <v>4506</v>
      </c>
      <c r="C355" s="6">
        <v>2014</v>
      </c>
      <c r="D355" s="6">
        <v>12</v>
      </c>
      <c r="E355" s="7">
        <v>46</v>
      </c>
      <c r="F355" s="6" t="s">
        <v>9435</v>
      </c>
      <c r="G355" s="6" t="s">
        <v>9370</v>
      </c>
      <c r="H355" s="6" t="s">
        <v>26</v>
      </c>
      <c r="I355" s="8"/>
      <c r="J355" s="8">
        <v>2500000</v>
      </c>
      <c r="K355" s="6" t="s">
        <v>4509</v>
      </c>
      <c r="L355" s="6" t="s">
        <v>9218</v>
      </c>
      <c r="M355" s="6" t="s">
        <v>4509</v>
      </c>
      <c r="N355" s="6" t="s">
        <v>4537</v>
      </c>
    </row>
    <row r="356" s="1" customFormat="1" ht="16.35" customHeight="1" spans="1:14">
      <c r="A356" s="5"/>
      <c r="B356" s="6" t="s">
        <v>4506</v>
      </c>
      <c r="C356" s="6">
        <v>2014</v>
      </c>
      <c r="D356" s="6">
        <v>12</v>
      </c>
      <c r="E356" s="7">
        <v>47</v>
      </c>
      <c r="F356" s="6" t="s">
        <v>9629</v>
      </c>
      <c r="G356" s="6" t="s">
        <v>9370</v>
      </c>
      <c r="H356" s="6" t="s">
        <v>26</v>
      </c>
      <c r="I356" s="8"/>
      <c r="J356" s="8">
        <v>738335</v>
      </c>
      <c r="K356" s="6" t="s">
        <v>4512</v>
      </c>
      <c r="L356" s="6" t="s">
        <v>2906</v>
      </c>
      <c r="M356" s="6" t="s">
        <v>4509</v>
      </c>
      <c r="N356" s="6" t="s">
        <v>4537</v>
      </c>
    </row>
    <row r="357" s="1" customFormat="1" ht="16.35" customHeight="1" spans="1:14">
      <c r="A357" s="5"/>
      <c r="B357" s="6" t="s">
        <v>4506</v>
      </c>
      <c r="C357" s="6">
        <v>2014</v>
      </c>
      <c r="D357" s="6">
        <v>12</v>
      </c>
      <c r="E357" s="7">
        <v>48</v>
      </c>
      <c r="F357" s="6" t="s">
        <v>9435</v>
      </c>
      <c r="G357" s="6" t="s">
        <v>9370</v>
      </c>
      <c r="H357" s="6" t="s">
        <v>26</v>
      </c>
      <c r="I357" s="8"/>
      <c r="J357" s="8">
        <v>645650</v>
      </c>
      <c r="K357" s="6" t="s">
        <v>4509</v>
      </c>
      <c r="L357" s="6" t="s">
        <v>9218</v>
      </c>
      <c r="M357" s="6" t="s">
        <v>4509</v>
      </c>
      <c r="N357" s="6" t="s">
        <v>4537</v>
      </c>
    </row>
    <row r="358" s="1" customFormat="1" ht="16.35" customHeight="1" spans="1:14">
      <c r="A358" s="5"/>
      <c r="B358" s="6" t="s">
        <v>4506</v>
      </c>
      <c r="C358" s="6">
        <v>2014</v>
      </c>
      <c r="D358" s="6">
        <v>12</v>
      </c>
      <c r="E358" s="7">
        <v>49</v>
      </c>
      <c r="F358" s="6" t="s">
        <v>9435</v>
      </c>
      <c r="G358" s="6" t="s">
        <v>9370</v>
      </c>
      <c r="H358" s="6" t="s">
        <v>26</v>
      </c>
      <c r="I358" s="8"/>
      <c r="J358" s="8">
        <v>266919</v>
      </c>
      <c r="K358" s="6" t="s">
        <v>4509</v>
      </c>
      <c r="L358" s="6" t="s">
        <v>9218</v>
      </c>
      <c r="M358" s="6" t="s">
        <v>4509</v>
      </c>
      <c r="N358" s="6" t="s">
        <v>4537</v>
      </c>
    </row>
    <row r="359" s="1" customFormat="1" ht="16.35" customHeight="1" spans="1:14">
      <c r="A359" s="5"/>
      <c r="B359" s="6" t="s">
        <v>4506</v>
      </c>
      <c r="C359" s="6">
        <v>2014</v>
      </c>
      <c r="D359" s="6">
        <v>12</v>
      </c>
      <c r="E359" s="7">
        <v>50</v>
      </c>
      <c r="F359" s="6" t="s">
        <v>9630</v>
      </c>
      <c r="G359" s="6" t="s">
        <v>9370</v>
      </c>
      <c r="H359" s="6" t="s">
        <v>26</v>
      </c>
      <c r="I359" s="8"/>
      <c r="J359" s="8">
        <v>4335324</v>
      </c>
      <c r="K359" s="6" t="s">
        <v>4509</v>
      </c>
      <c r="L359" s="6" t="s">
        <v>9218</v>
      </c>
      <c r="M359" s="6" t="s">
        <v>4509</v>
      </c>
      <c r="N359" s="6" t="s">
        <v>4537</v>
      </c>
    </row>
    <row r="360" s="1" customFormat="1" ht="16.35" customHeight="1" spans="1:14">
      <c r="A360" s="5"/>
      <c r="B360" s="6" t="s">
        <v>4506</v>
      </c>
      <c r="C360" s="6">
        <v>2014</v>
      </c>
      <c r="D360" s="6">
        <v>12</v>
      </c>
      <c r="E360" s="7">
        <v>51</v>
      </c>
      <c r="F360" s="6" t="s">
        <v>9613</v>
      </c>
      <c r="G360" s="6" t="s">
        <v>9370</v>
      </c>
      <c r="H360" s="6" t="s">
        <v>26</v>
      </c>
      <c r="I360" s="8"/>
      <c r="J360" s="8">
        <v>115000</v>
      </c>
      <c r="K360" s="6" t="s">
        <v>4509</v>
      </c>
      <c r="L360" s="6" t="s">
        <v>9218</v>
      </c>
      <c r="M360" s="6" t="s">
        <v>4509</v>
      </c>
      <c r="N360" s="6" t="s">
        <v>4537</v>
      </c>
    </row>
    <row r="361" s="1" customFormat="1" ht="16.35" customHeight="1" spans="1:14">
      <c r="A361" s="5"/>
      <c r="B361" s="6" t="s">
        <v>4506</v>
      </c>
      <c r="C361" s="6">
        <v>2014</v>
      </c>
      <c r="D361" s="6">
        <v>12</v>
      </c>
      <c r="E361" s="7">
        <v>54</v>
      </c>
      <c r="F361" s="6" t="s">
        <v>9631</v>
      </c>
      <c r="G361" s="6" t="s">
        <v>9370</v>
      </c>
      <c r="H361" s="6" t="s">
        <v>26</v>
      </c>
      <c r="I361" s="8"/>
      <c r="J361" s="8">
        <v>10000</v>
      </c>
      <c r="K361" s="6" t="s">
        <v>4523</v>
      </c>
      <c r="L361" s="6" t="s">
        <v>9632</v>
      </c>
      <c r="M361" s="6" t="s">
        <v>4509</v>
      </c>
      <c r="N361" s="6" t="s">
        <v>4537</v>
      </c>
    </row>
    <row r="362" s="1" customFormat="1" ht="25" customHeight="1" spans="1:14">
      <c r="A362" s="5"/>
      <c r="B362" s="6" t="s">
        <v>4506</v>
      </c>
      <c r="C362" s="6">
        <v>2014</v>
      </c>
      <c r="D362" s="6">
        <v>12</v>
      </c>
      <c r="E362" s="7">
        <v>55</v>
      </c>
      <c r="F362" s="6" t="s">
        <v>9633</v>
      </c>
      <c r="G362" s="6" t="s">
        <v>9370</v>
      </c>
      <c r="H362" s="6" t="s">
        <v>26</v>
      </c>
      <c r="I362" s="8">
        <v>7000</v>
      </c>
      <c r="J362" s="8"/>
      <c r="K362" s="6" t="s">
        <v>4509</v>
      </c>
      <c r="L362" s="6" t="s">
        <v>9218</v>
      </c>
      <c r="M362" s="6" t="s">
        <v>4509</v>
      </c>
      <c r="N362" s="6" t="s">
        <v>4537</v>
      </c>
    </row>
    <row r="363" s="1" customFormat="1" ht="16.35" customHeight="1" spans="1:14">
      <c r="A363" s="5"/>
      <c r="B363" s="6" t="s">
        <v>4506</v>
      </c>
      <c r="C363" s="6">
        <v>2014</v>
      </c>
      <c r="D363" s="6">
        <v>12</v>
      </c>
      <c r="E363" s="7">
        <v>56</v>
      </c>
      <c r="F363" s="6" t="s">
        <v>9634</v>
      </c>
      <c r="G363" s="6" t="s">
        <v>9370</v>
      </c>
      <c r="H363" s="6" t="s">
        <v>26</v>
      </c>
      <c r="I363" s="8">
        <v>1000000</v>
      </c>
      <c r="J363" s="8"/>
      <c r="K363" s="6" t="s">
        <v>4509</v>
      </c>
      <c r="L363" s="6" t="s">
        <v>9218</v>
      </c>
      <c r="M363" s="6" t="s">
        <v>4509</v>
      </c>
      <c r="N363" s="6" t="s">
        <v>4537</v>
      </c>
    </row>
    <row r="364" s="1" customFormat="1" ht="16.35" customHeight="1" spans="1:14">
      <c r="A364" s="5"/>
      <c r="B364" s="6" t="s">
        <v>4506</v>
      </c>
      <c r="C364" s="6">
        <v>2014</v>
      </c>
      <c r="D364" s="6">
        <v>12</v>
      </c>
      <c r="E364" s="7">
        <v>56</v>
      </c>
      <c r="F364" s="6" t="s">
        <v>9634</v>
      </c>
      <c r="G364" s="6" t="s">
        <v>9370</v>
      </c>
      <c r="H364" s="6" t="s">
        <v>26</v>
      </c>
      <c r="I364" s="8"/>
      <c r="J364" s="8">
        <v>50000</v>
      </c>
      <c r="K364" s="6" t="s">
        <v>4509</v>
      </c>
      <c r="L364" s="6" t="s">
        <v>9218</v>
      </c>
      <c r="M364" s="6" t="s">
        <v>4509</v>
      </c>
      <c r="N364" s="6" t="s">
        <v>4537</v>
      </c>
    </row>
    <row r="365" s="1" customFormat="1" ht="16.35" customHeight="1" spans="1:14">
      <c r="A365" s="5"/>
      <c r="B365" s="6" t="s">
        <v>4506</v>
      </c>
      <c r="C365" s="6">
        <v>2014</v>
      </c>
      <c r="D365" s="6">
        <v>12</v>
      </c>
      <c r="E365" s="7">
        <v>57</v>
      </c>
      <c r="F365" s="6" t="s">
        <v>9635</v>
      </c>
      <c r="G365" s="6" t="s">
        <v>9370</v>
      </c>
      <c r="H365" s="6" t="s">
        <v>26</v>
      </c>
      <c r="I365" s="8"/>
      <c r="J365" s="8">
        <v>307.48</v>
      </c>
      <c r="K365" s="6" t="s">
        <v>4510</v>
      </c>
      <c r="L365" s="6" t="s">
        <v>9447</v>
      </c>
      <c r="M365" s="6" t="s">
        <v>4509</v>
      </c>
      <c r="N365" s="6" t="s">
        <v>4537</v>
      </c>
    </row>
    <row r="366" s="1" customFormat="1" ht="16.35" customHeight="1" spans="1:14">
      <c r="A366" s="5"/>
      <c r="B366" s="6" t="s">
        <v>4506</v>
      </c>
      <c r="C366" s="6">
        <v>2014</v>
      </c>
      <c r="D366" s="6">
        <v>12</v>
      </c>
      <c r="E366" s="7">
        <v>57</v>
      </c>
      <c r="F366" s="6" t="s">
        <v>9635</v>
      </c>
      <c r="G366" s="6" t="s">
        <v>9370</v>
      </c>
      <c r="H366" s="6" t="s">
        <v>26</v>
      </c>
      <c r="I366" s="8"/>
      <c r="J366" s="8">
        <v>183.2</v>
      </c>
      <c r="K366" s="6" t="s">
        <v>4516</v>
      </c>
      <c r="L366" s="6" t="s">
        <v>9449</v>
      </c>
      <c r="M366" s="6" t="s">
        <v>4509</v>
      </c>
      <c r="N366" s="6" t="s">
        <v>4537</v>
      </c>
    </row>
    <row r="367" s="1" customFormat="1" ht="16.35" customHeight="1" spans="1:14">
      <c r="A367" s="5"/>
      <c r="B367" s="6" t="s">
        <v>4506</v>
      </c>
      <c r="C367" s="6">
        <v>2014</v>
      </c>
      <c r="D367" s="6">
        <v>12</v>
      </c>
      <c r="E367" s="7">
        <v>58</v>
      </c>
      <c r="F367" s="6" t="s">
        <v>9636</v>
      </c>
      <c r="G367" s="6" t="s">
        <v>9370</v>
      </c>
      <c r="H367" s="6" t="s">
        <v>26</v>
      </c>
      <c r="I367" s="8">
        <v>330</v>
      </c>
      <c r="J367" s="8"/>
      <c r="K367" s="6" t="s">
        <v>4522</v>
      </c>
      <c r="L367" s="6" t="s">
        <v>9465</v>
      </c>
      <c r="M367" s="6" t="s">
        <v>4509</v>
      </c>
      <c r="N367" s="6" t="s">
        <v>4537</v>
      </c>
    </row>
    <row r="368" s="1" customFormat="1" ht="16.35" customHeight="1" spans="1:14">
      <c r="A368" s="5"/>
      <c r="B368" s="6" t="s">
        <v>4506</v>
      </c>
      <c r="C368" s="6">
        <v>2014</v>
      </c>
      <c r="D368" s="6">
        <v>12</v>
      </c>
      <c r="E368" s="7">
        <v>58</v>
      </c>
      <c r="F368" s="6" t="s">
        <v>9636</v>
      </c>
      <c r="G368" s="6" t="s">
        <v>9370</v>
      </c>
      <c r="H368" s="6" t="s">
        <v>26</v>
      </c>
      <c r="I368" s="8"/>
      <c r="J368" s="8">
        <v>330</v>
      </c>
      <c r="K368" s="6" t="s">
        <v>4509</v>
      </c>
      <c r="L368" s="6" t="s">
        <v>9218</v>
      </c>
      <c r="M368" s="6" t="s">
        <v>4509</v>
      </c>
      <c r="N368" s="6" t="s">
        <v>4537</v>
      </c>
    </row>
    <row r="369" s="1" customFormat="1" ht="16.35" customHeight="1" spans="1:14">
      <c r="A369" s="5"/>
      <c r="B369" s="6" t="s">
        <v>4506</v>
      </c>
      <c r="C369" s="6">
        <v>2014</v>
      </c>
      <c r="D369" s="6">
        <v>12</v>
      </c>
      <c r="E369" s="7">
        <v>59</v>
      </c>
      <c r="F369" s="6" t="s">
        <v>9637</v>
      </c>
      <c r="G369" s="6" t="s">
        <v>9370</v>
      </c>
      <c r="H369" s="6" t="s">
        <v>26</v>
      </c>
      <c r="I369" s="8">
        <v>2900.02</v>
      </c>
      <c r="J369" s="8"/>
      <c r="K369" s="6" t="s">
        <v>4510</v>
      </c>
      <c r="L369" s="6" t="s">
        <v>9447</v>
      </c>
      <c r="M369" s="6" t="s">
        <v>4509</v>
      </c>
      <c r="N369" s="6" t="s">
        <v>4537</v>
      </c>
    </row>
    <row r="370" s="1" customFormat="1" ht="16.35" customHeight="1" spans="1:14">
      <c r="A370" s="5"/>
      <c r="B370" s="6" t="s">
        <v>4506</v>
      </c>
      <c r="C370" s="6">
        <v>2014</v>
      </c>
      <c r="D370" s="6">
        <v>12</v>
      </c>
      <c r="E370" s="7">
        <v>59</v>
      </c>
      <c r="F370" s="6" t="s">
        <v>9637</v>
      </c>
      <c r="G370" s="6" t="s">
        <v>9370</v>
      </c>
      <c r="H370" s="6" t="s">
        <v>26</v>
      </c>
      <c r="I370" s="8">
        <v>1865.28</v>
      </c>
      <c r="J370" s="8"/>
      <c r="K370" s="6" t="s">
        <v>4516</v>
      </c>
      <c r="L370" s="6" t="s">
        <v>9449</v>
      </c>
      <c r="M370" s="6" t="s">
        <v>4509</v>
      </c>
      <c r="N370" s="6" t="s">
        <v>4537</v>
      </c>
    </row>
    <row r="371" s="1" customFormat="1" ht="16.35" customHeight="1" spans="1:14">
      <c r="A371" s="5"/>
      <c r="B371" s="6" t="s">
        <v>4506</v>
      </c>
      <c r="C371" s="6">
        <v>2014</v>
      </c>
      <c r="D371" s="6">
        <v>12</v>
      </c>
      <c r="E371" s="7">
        <v>59</v>
      </c>
      <c r="F371" s="6" t="s">
        <v>9637</v>
      </c>
      <c r="G371" s="6" t="s">
        <v>9370</v>
      </c>
      <c r="H371" s="6" t="s">
        <v>26</v>
      </c>
      <c r="I371" s="8"/>
      <c r="J371" s="8">
        <v>4765.3</v>
      </c>
      <c r="K371" s="6" t="s">
        <v>4509</v>
      </c>
      <c r="L371" s="6" t="s">
        <v>9218</v>
      </c>
      <c r="M371" s="6" t="s">
        <v>4509</v>
      </c>
      <c r="N371" s="6" t="s">
        <v>4537</v>
      </c>
    </row>
    <row r="372" s="1" customFormat="1" ht="16.35" customHeight="1" spans="1:14">
      <c r="A372" s="5"/>
      <c r="B372" s="6" t="s">
        <v>4506</v>
      </c>
      <c r="C372" s="6">
        <v>2014</v>
      </c>
      <c r="D372" s="6">
        <v>12</v>
      </c>
      <c r="E372" s="7">
        <v>60</v>
      </c>
      <c r="F372" s="6" t="s">
        <v>9638</v>
      </c>
      <c r="G372" s="6" t="s">
        <v>9370</v>
      </c>
      <c r="H372" s="6" t="s">
        <v>26</v>
      </c>
      <c r="I372" s="8"/>
      <c r="J372" s="8">
        <v>250000</v>
      </c>
      <c r="K372" s="6" t="s">
        <v>4509</v>
      </c>
      <c r="L372" s="6" t="s">
        <v>9218</v>
      </c>
      <c r="M372" s="6" t="s">
        <v>4509</v>
      </c>
      <c r="N372" s="6" t="s">
        <v>4537</v>
      </c>
    </row>
    <row r="373" s="1" customFormat="1" ht="16.35" customHeight="1" spans="1:14">
      <c r="A373" s="5"/>
      <c r="B373" s="6" t="s">
        <v>4506</v>
      </c>
      <c r="C373" s="6">
        <v>2014</v>
      </c>
      <c r="D373" s="6">
        <v>12</v>
      </c>
      <c r="E373" s="7">
        <v>62</v>
      </c>
      <c r="F373" s="6" t="s">
        <v>9639</v>
      </c>
      <c r="G373" s="6" t="s">
        <v>9370</v>
      </c>
      <c r="H373" s="6" t="s">
        <v>26</v>
      </c>
      <c r="I373" s="8"/>
      <c r="J373" s="8">
        <v>240000</v>
      </c>
      <c r="K373" s="6" t="s">
        <v>4514</v>
      </c>
      <c r="L373" s="6" t="s">
        <v>4511</v>
      </c>
      <c r="M373" s="6" t="s">
        <v>4510</v>
      </c>
      <c r="N373" s="6" t="s">
        <v>4511</v>
      </c>
    </row>
    <row r="374" s="1" customFormat="1" ht="16.35" customHeight="1" spans="1:14">
      <c r="A374" s="5"/>
      <c r="B374" s="6" t="s">
        <v>4506</v>
      </c>
      <c r="C374" s="6">
        <v>2014</v>
      </c>
      <c r="D374" s="6">
        <v>12</v>
      </c>
      <c r="E374" s="7">
        <v>64</v>
      </c>
      <c r="F374" s="6" t="s">
        <v>4515</v>
      </c>
      <c r="G374" s="6" t="s">
        <v>9370</v>
      </c>
      <c r="H374" s="6" t="s">
        <v>26</v>
      </c>
      <c r="I374" s="8"/>
      <c r="J374" s="8">
        <v>-28873128</v>
      </c>
      <c r="K374" s="6" t="s">
        <v>4514</v>
      </c>
      <c r="L374" s="6" t="s">
        <v>4511</v>
      </c>
      <c r="M374" s="6" t="s">
        <v>4510</v>
      </c>
      <c r="N374" s="6" t="s">
        <v>4511</v>
      </c>
    </row>
    <row r="375" s="1" customFormat="1" ht="16.35" customHeight="1" spans="1:14">
      <c r="A375" s="5"/>
      <c r="B375" s="6" t="s">
        <v>4506</v>
      </c>
      <c r="C375" s="6">
        <v>2014</v>
      </c>
      <c r="D375" s="6">
        <v>12</v>
      </c>
      <c r="E375" s="7">
        <v>65</v>
      </c>
      <c r="F375" s="6" t="s">
        <v>9640</v>
      </c>
      <c r="G375" s="6" t="s">
        <v>9370</v>
      </c>
      <c r="H375" s="6" t="s">
        <v>26</v>
      </c>
      <c r="I375" s="8"/>
      <c r="J375" s="8">
        <v>9816999</v>
      </c>
      <c r="K375" s="6" t="s">
        <v>4514</v>
      </c>
      <c r="L375" s="6" t="s">
        <v>4511</v>
      </c>
      <c r="M375" s="6" t="s">
        <v>4510</v>
      </c>
      <c r="N375" s="6" t="s">
        <v>4511</v>
      </c>
    </row>
    <row r="376" s="1" customFormat="1" ht="16.35" customHeight="1" spans="1:14">
      <c r="A376" s="5"/>
      <c r="B376" s="6" t="s">
        <v>4506</v>
      </c>
      <c r="C376" s="6">
        <v>2014</v>
      </c>
      <c r="D376" s="6">
        <v>12</v>
      </c>
      <c r="E376" s="7">
        <v>65</v>
      </c>
      <c r="F376" s="6" t="s">
        <v>9640</v>
      </c>
      <c r="G376" s="6" t="s">
        <v>9370</v>
      </c>
      <c r="H376" s="6" t="s">
        <v>26</v>
      </c>
      <c r="I376" s="8">
        <v>9816999</v>
      </c>
      <c r="J376" s="8"/>
      <c r="K376" s="6" t="s">
        <v>4512</v>
      </c>
      <c r="L376" s="6" t="s">
        <v>2906</v>
      </c>
      <c r="M376" s="6" t="s">
        <v>4509</v>
      </c>
      <c r="N376" s="6" t="s">
        <v>4537</v>
      </c>
    </row>
    <row r="377" s="1" customFormat="1" ht="16.35" customHeight="1" spans="1:14">
      <c r="A377" s="5"/>
      <c r="B377" s="6" t="s">
        <v>4506</v>
      </c>
      <c r="C377" s="6">
        <v>2015</v>
      </c>
      <c r="D377" s="6">
        <v>1</v>
      </c>
      <c r="E377" s="7">
        <v>5</v>
      </c>
      <c r="F377" s="6" t="s">
        <v>9641</v>
      </c>
      <c r="G377" s="6" t="s">
        <v>9370</v>
      </c>
      <c r="H377" s="6" t="s">
        <v>26</v>
      </c>
      <c r="I377" s="8"/>
      <c r="J377" s="8">
        <v>94012</v>
      </c>
      <c r="K377" s="6" t="s">
        <v>4514</v>
      </c>
      <c r="L377" s="6" t="s">
        <v>4511</v>
      </c>
      <c r="M377" s="6" t="s">
        <v>4509</v>
      </c>
      <c r="N377" s="6" t="s">
        <v>4537</v>
      </c>
    </row>
    <row r="378" s="1" customFormat="1" ht="16.35" customHeight="1" spans="1:14">
      <c r="A378" s="5"/>
      <c r="B378" s="6" t="s">
        <v>4506</v>
      </c>
      <c r="C378" s="6">
        <v>2015</v>
      </c>
      <c r="D378" s="6">
        <v>1</v>
      </c>
      <c r="E378" s="7">
        <v>7</v>
      </c>
      <c r="F378" s="6" t="s">
        <v>9476</v>
      </c>
      <c r="G378" s="6" t="s">
        <v>9370</v>
      </c>
      <c r="H378" s="6" t="s">
        <v>26</v>
      </c>
      <c r="I378" s="8">
        <v>1600000</v>
      </c>
      <c r="J378" s="8"/>
      <c r="K378" s="6" t="s">
        <v>4509</v>
      </c>
      <c r="L378" s="6" t="s">
        <v>9218</v>
      </c>
      <c r="M378" s="6" t="s">
        <v>4509</v>
      </c>
      <c r="N378" s="6" t="s">
        <v>4537</v>
      </c>
    </row>
    <row r="379" s="1" customFormat="1" ht="16.35" customHeight="1" spans="1:14">
      <c r="A379" s="5"/>
      <c r="B379" s="6" t="s">
        <v>4506</v>
      </c>
      <c r="C379" s="6">
        <v>2015</v>
      </c>
      <c r="D379" s="6">
        <v>1</v>
      </c>
      <c r="E379" s="7">
        <v>8</v>
      </c>
      <c r="F379" s="6" t="s">
        <v>9642</v>
      </c>
      <c r="G379" s="6" t="s">
        <v>9370</v>
      </c>
      <c r="H379" s="6" t="s">
        <v>26</v>
      </c>
      <c r="I379" s="8"/>
      <c r="J379" s="8">
        <v>137901</v>
      </c>
      <c r="K379" s="6" t="s">
        <v>4514</v>
      </c>
      <c r="L379" s="6" t="s">
        <v>4511</v>
      </c>
      <c r="M379" s="6" t="s">
        <v>4509</v>
      </c>
      <c r="N379" s="6" t="s">
        <v>4537</v>
      </c>
    </row>
    <row r="380" s="1" customFormat="1" ht="16.35" customHeight="1" spans="1:14">
      <c r="A380" s="5"/>
      <c r="B380" s="6" t="s">
        <v>4506</v>
      </c>
      <c r="C380" s="6">
        <v>2015</v>
      </c>
      <c r="D380" s="6">
        <v>1</v>
      </c>
      <c r="E380" s="7">
        <v>9</v>
      </c>
      <c r="F380" s="6" t="s">
        <v>9643</v>
      </c>
      <c r="G380" s="6" t="s">
        <v>9370</v>
      </c>
      <c r="H380" s="6" t="s">
        <v>26</v>
      </c>
      <c r="I380" s="8"/>
      <c r="J380" s="8">
        <v>353906</v>
      </c>
      <c r="K380" s="6" t="s">
        <v>4514</v>
      </c>
      <c r="L380" s="6" t="s">
        <v>4511</v>
      </c>
      <c r="M380" s="6" t="s">
        <v>4509</v>
      </c>
      <c r="N380" s="6" t="s">
        <v>4537</v>
      </c>
    </row>
    <row r="381" s="1" customFormat="1" ht="16.35" customHeight="1" spans="1:14">
      <c r="A381" s="5"/>
      <c r="B381" s="6" t="s">
        <v>4506</v>
      </c>
      <c r="C381" s="6">
        <v>2015</v>
      </c>
      <c r="D381" s="6">
        <v>1</v>
      </c>
      <c r="E381" s="7">
        <v>10</v>
      </c>
      <c r="F381" s="6" t="s">
        <v>9644</v>
      </c>
      <c r="G381" s="6" t="s">
        <v>9370</v>
      </c>
      <c r="H381" s="6" t="s">
        <v>26</v>
      </c>
      <c r="I381" s="8"/>
      <c r="J381" s="8">
        <v>80000</v>
      </c>
      <c r="K381" s="6" t="s">
        <v>4514</v>
      </c>
      <c r="L381" s="6" t="s">
        <v>4511</v>
      </c>
      <c r="M381" s="6" t="s">
        <v>4509</v>
      </c>
      <c r="N381" s="6" t="s">
        <v>4537</v>
      </c>
    </row>
    <row r="382" s="1" customFormat="1" ht="16.35" customHeight="1" spans="1:14">
      <c r="A382" s="5"/>
      <c r="B382" s="6" t="s">
        <v>4506</v>
      </c>
      <c r="C382" s="6">
        <v>2015</v>
      </c>
      <c r="D382" s="6">
        <v>1</v>
      </c>
      <c r="E382" s="7">
        <v>11</v>
      </c>
      <c r="F382" s="6" t="s">
        <v>9645</v>
      </c>
      <c r="G382" s="6" t="s">
        <v>9370</v>
      </c>
      <c r="H382" s="6" t="s">
        <v>26</v>
      </c>
      <c r="I382" s="8"/>
      <c r="J382" s="8">
        <v>-240000</v>
      </c>
      <c r="K382" s="6" t="s">
        <v>4514</v>
      </c>
      <c r="L382" s="6" t="s">
        <v>4511</v>
      </c>
      <c r="M382" s="6" t="s">
        <v>4509</v>
      </c>
      <c r="N382" s="6" t="s">
        <v>4537</v>
      </c>
    </row>
    <row r="383" s="1" customFormat="1" ht="16.35" customHeight="1" spans="1:14">
      <c r="A383" s="5"/>
      <c r="B383" s="6" t="s">
        <v>4506</v>
      </c>
      <c r="C383" s="6">
        <v>2015</v>
      </c>
      <c r="D383" s="6">
        <v>1</v>
      </c>
      <c r="E383" s="7">
        <v>11</v>
      </c>
      <c r="F383" s="6" t="s">
        <v>9645</v>
      </c>
      <c r="G383" s="6" t="s">
        <v>9370</v>
      </c>
      <c r="H383" s="6" t="s">
        <v>26</v>
      </c>
      <c r="I383" s="8"/>
      <c r="J383" s="8">
        <v>240000</v>
      </c>
      <c r="K383" s="6" t="s">
        <v>4514</v>
      </c>
      <c r="L383" s="6" t="s">
        <v>4511</v>
      </c>
      <c r="M383" s="6" t="s">
        <v>4509</v>
      </c>
      <c r="N383" s="6" t="s">
        <v>4537</v>
      </c>
    </row>
    <row r="384" s="1" customFormat="1" ht="16.35" customHeight="1" spans="1:14">
      <c r="A384" s="5"/>
      <c r="B384" s="6" t="s">
        <v>4506</v>
      </c>
      <c r="C384" s="6">
        <v>2015</v>
      </c>
      <c r="D384" s="6">
        <v>1</v>
      </c>
      <c r="E384" s="7">
        <v>12</v>
      </c>
      <c r="F384" s="6" t="s">
        <v>9646</v>
      </c>
      <c r="G384" s="6" t="s">
        <v>9370</v>
      </c>
      <c r="H384" s="6" t="s">
        <v>26</v>
      </c>
      <c r="I384" s="8"/>
      <c r="J384" s="8">
        <v>250000</v>
      </c>
      <c r="K384" s="6" t="s">
        <v>4514</v>
      </c>
      <c r="L384" s="6" t="s">
        <v>4511</v>
      </c>
      <c r="M384" s="6" t="s">
        <v>4509</v>
      </c>
      <c r="N384" s="6" t="s">
        <v>4537</v>
      </c>
    </row>
    <row r="385" s="1" customFormat="1" ht="16.35" customHeight="1" spans="1:14">
      <c r="A385" s="5"/>
      <c r="B385" s="6" t="s">
        <v>4506</v>
      </c>
      <c r="C385" s="6">
        <v>2015</v>
      </c>
      <c r="D385" s="6">
        <v>1</v>
      </c>
      <c r="E385" s="7">
        <v>13</v>
      </c>
      <c r="F385" s="6" t="s">
        <v>9647</v>
      </c>
      <c r="G385" s="6" t="s">
        <v>9370</v>
      </c>
      <c r="H385" s="6" t="s">
        <v>26</v>
      </c>
      <c r="I385" s="8"/>
      <c r="J385" s="8">
        <v>100000</v>
      </c>
      <c r="K385" s="6" t="s">
        <v>4514</v>
      </c>
      <c r="L385" s="6" t="s">
        <v>4511</v>
      </c>
      <c r="M385" s="6" t="s">
        <v>4509</v>
      </c>
      <c r="N385" s="6" t="s">
        <v>4537</v>
      </c>
    </row>
    <row r="386" s="1" customFormat="1" ht="16.35" customHeight="1" spans="1:14">
      <c r="A386" s="5"/>
      <c r="B386" s="6" t="s">
        <v>4506</v>
      </c>
      <c r="C386" s="6">
        <v>2015</v>
      </c>
      <c r="D386" s="6">
        <v>1</v>
      </c>
      <c r="E386" s="7">
        <v>16</v>
      </c>
      <c r="F386" s="6" t="s">
        <v>9389</v>
      </c>
      <c r="G386" s="6" t="s">
        <v>9370</v>
      </c>
      <c r="H386" s="6" t="s">
        <v>26</v>
      </c>
      <c r="I386" s="8">
        <v>653498.85</v>
      </c>
      <c r="J386" s="8"/>
      <c r="K386" s="6" t="s">
        <v>4512</v>
      </c>
      <c r="L386" s="6" t="s">
        <v>2906</v>
      </c>
      <c r="M386" s="6" t="s">
        <v>4509</v>
      </c>
      <c r="N386" s="6" t="s">
        <v>4537</v>
      </c>
    </row>
    <row r="387" s="1" customFormat="1" ht="16.35" customHeight="1" spans="1:14">
      <c r="A387" s="5"/>
      <c r="B387" s="6" t="s">
        <v>4506</v>
      </c>
      <c r="C387" s="6">
        <v>2015</v>
      </c>
      <c r="D387" s="6">
        <v>1</v>
      </c>
      <c r="E387" s="7">
        <v>24</v>
      </c>
      <c r="F387" s="6" t="s">
        <v>9648</v>
      </c>
      <c r="G387" s="6" t="s">
        <v>9370</v>
      </c>
      <c r="H387" s="6" t="s">
        <v>26</v>
      </c>
      <c r="I387" s="8"/>
      <c r="J387" s="8">
        <v>250000</v>
      </c>
      <c r="K387" s="6" t="s">
        <v>4514</v>
      </c>
      <c r="L387" s="6" t="s">
        <v>4511</v>
      </c>
      <c r="M387" s="6" t="s">
        <v>4509</v>
      </c>
      <c r="N387" s="6" t="s">
        <v>4537</v>
      </c>
    </row>
    <row r="388" s="1" customFormat="1" ht="16.35" customHeight="1" spans="1:14">
      <c r="A388" s="5"/>
      <c r="B388" s="6" t="s">
        <v>4506</v>
      </c>
      <c r="C388" s="6">
        <v>2015</v>
      </c>
      <c r="D388" s="6">
        <v>1</v>
      </c>
      <c r="E388" s="7">
        <v>25</v>
      </c>
      <c r="F388" s="6" t="s">
        <v>9649</v>
      </c>
      <c r="G388" s="6" t="s">
        <v>9370</v>
      </c>
      <c r="H388" s="6" t="s">
        <v>26</v>
      </c>
      <c r="I388" s="8"/>
      <c r="J388" s="8">
        <v>65511</v>
      </c>
      <c r="K388" s="6" t="s">
        <v>4514</v>
      </c>
      <c r="L388" s="6" t="s">
        <v>4511</v>
      </c>
      <c r="M388" s="6" t="s">
        <v>4509</v>
      </c>
      <c r="N388" s="6" t="s">
        <v>4537</v>
      </c>
    </row>
    <row r="389" s="1" customFormat="1" ht="16.35" customHeight="1" spans="1:14">
      <c r="A389" s="5"/>
      <c r="B389" s="6" t="s">
        <v>4506</v>
      </c>
      <c r="C389" s="6">
        <v>2015</v>
      </c>
      <c r="D389" s="6">
        <v>1</v>
      </c>
      <c r="E389" s="7">
        <v>26</v>
      </c>
      <c r="F389" s="6" t="s">
        <v>9650</v>
      </c>
      <c r="G389" s="6" t="s">
        <v>9370</v>
      </c>
      <c r="H389" s="6" t="s">
        <v>26</v>
      </c>
      <c r="I389" s="8"/>
      <c r="J389" s="8">
        <v>100000</v>
      </c>
      <c r="K389" s="6" t="s">
        <v>4514</v>
      </c>
      <c r="L389" s="6" t="s">
        <v>4511</v>
      </c>
      <c r="M389" s="6" t="s">
        <v>4509</v>
      </c>
      <c r="N389" s="6" t="s">
        <v>4537</v>
      </c>
    </row>
    <row r="390" s="1" customFormat="1" ht="16.35" customHeight="1" spans="1:14">
      <c r="A390" s="5"/>
      <c r="B390" s="6" t="s">
        <v>4506</v>
      </c>
      <c r="C390" s="6">
        <v>2015</v>
      </c>
      <c r="D390" s="6">
        <v>1</v>
      </c>
      <c r="E390" s="7">
        <v>29</v>
      </c>
      <c r="F390" s="6" t="s">
        <v>9651</v>
      </c>
      <c r="G390" s="6" t="s">
        <v>9370</v>
      </c>
      <c r="H390" s="6" t="s">
        <v>26</v>
      </c>
      <c r="I390" s="8"/>
      <c r="J390" s="8">
        <v>-100925</v>
      </c>
      <c r="K390" s="6" t="s">
        <v>4514</v>
      </c>
      <c r="L390" s="6" t="s">
        <v>4511</v>
      </c>
      <c r="M390" s="6" t="s">
        <v>4509</v>
      </c>
      <c r="N390" s="6" t="s">
        <v>4537</v>
      </c>
    </row>
    <row r="391" s="1" customFormat="1" ht="16.35" customHeight="1" spans="1:14">
      <c r="A391" s="5"/>
      <c r="B391" s="6" t="s">
        <v>4506</v>
      </c>
      <c r="C391" s="6">
        <v>2015</v>
      </c>
      <c r="D391" s="6">
        <v>1</v>
      </c>
      <c r="E391" s="7">
        <v>31</v>
      </c>
      <c r="F391" s="6" t="s">
        <v>9543</v>
      </c>
      <c r="G391" s="6" t="s">
        <v>9370</v>
      </c>
      <c r="H391" s="6" t="s">
        <v>26</v>
      </c>
      <c r="I391" s="8"/>
      <c r="J391" s="8">
        <v>23093</v>
      </c>
      <c r="K391" s="6" t="s">
        <v>4514</v>
      </c>
      <c r="L391" s="6" t="s">
        <v>4511</v>
      </c>
      <c r="M391" s="6" t="s">
        <v>4509</v>
      </c>
      <c r="N391" s="6" t="s">
        <v>4537</v>
      </c>
    </row>
    <row r="392" s="1" customFormat="1" ht="16.35" customHeight="1" spans="1:14">
      <c r="A392" s="5"/>
      <c r="B392" s="6" t="s">
        <v>4506</v>
      </c>
      <c r="C392" s="6">
        <v>2015</v>
      </c>
      <c r="D392" s="6">
        <v>1</v>
      </c>
      <c r="E392" s="7">
        <v>32</v>
      </c>
      <c r="F392" s="6" t="s">
        <v>9652</v>
      </c>
      <c r="G392" s="6" t="s">
        <v>9370</v>
      </c>
      <c r="H392" s="6" t="s">
        <v>26</v>
      </c>
      <c r="I392" s="8"/>
      <c r="J392" s="8">
        <v>-50000</v>
      </c>
      <c r="K392" s="6" t="s">
        <v>4514</v>
      </c>
      <c r="L392" s="6" t="s">
        <v>4511</v>
      </c>
      <c r="M392" s="6" t="s">
        <v>4509</v>
      </c>
      <c r="N392" s="6" t="s">
        <v>4537</v>
      </c>
    </row>
    <row r="393" s="1" customFormat="1" ht="16.35" customHeight="1" spans="1:14">
      <c r="A393" s="5"/>
      <c r="B393" s="6" t="s">
        <v>4506</v>
      </c>
      <c r="C393" s="6">
        <v>2015</v>
      </c>
      <c r="D393" s="6">
        <v>1</v>
      </c>
      <c r="E393" s="7">
        <v>36</v>
      </c>
      <c r="F393" s="6" t="s">
        <v>9653</v>
      </c>
      <c r="G393" s="6" t="s">
        <v>9370</v>
      </c>
      <c r="H393" s="6" t="s">
        <v>26</v>
      </c>
      <c r="I393" s="8"/>
      <c r="J393" s="8">
        <v>370437</v>
      </c>
      <c r="K393" s="6" t="s">
        <v>4514</v>
      </c>
      <c r="L393" s="6" t="s">
        <v>4511</v>
      </c>
      <c r="M393" s="6" t="s">
        <v>4509</v>
      </c>
      <c r="N393" s="6" t="s">
        <v>4537</v>
      </c>
    </row>
    <row r="394" s="1" customFormat="1" ht="16.35" customHeight="1" spans="1:14">
      <c r="A394" s="5"/>
      <c r="B394" s="6" t="s">
        <v>4506</v>
      </c>
      <c r="C394" s="6">
        <v>2015</v>
      </c>
      <c r="D394" s="6">
        <v>1</v>
      </c>
      <c r="E394" s="7">
        <v>37</v>
      </c>
      <c r="F394" s="6" t="s">
        <v>9654</v>
      </c>
      <c r="G394" s="6" t="s">
        <v>9370</v>
      </c>
      <c r="H394" s="6" t="s">
        <v>26</v>
      </c>
      <c r="I394" s="8"/>
      <c r="J394" s="8">
        <v>310000</v>
      </c>
      <c r="K394" s="6" t="s">
        <v>4514</v>
      </c>
      <c r="L394" s="6" t="s">
        <v>4511</v>
      </c>
      <c r="M394" s="6" t="s">
        <v>4509</v>
      </c>
      <c r="N394" s="6" t="s">
        <v>4537</v>
      </c>
    </row>
    <row r="395" s="1" customFormat="1" ht="16.35" customHeight="1" spans="1:14">
      <c r="A395" s="5"/>
      <c r="B395" s="6" t="s">
        <v>4506</v>
      </c>
      <c r="C395" s="6">
        <v>2015</v>
      </c>
      <c r="D395" s="6">
        <v>1</v>
      </c>
      <c r="E395" s="7">
        <v>38</v>
      </c>
      <c r="F395" s="6" t="s">
        <v>9655</v>
      </c>
      <c r="G395" s="6" t="s">
        <v>9370</v>
      </c>
      <c r="H395" s="6" t="s">
        <v>26</v>
      </c>
      <c r="I395" s="8"/>
      <c r="J395" s="8">
        <v>20391</v>
      </c>
      <c r="K395" s="6" t="s">
        <v>4514</v>
      </c>
      <c r="L395" s="6" t="s">
        <v>4511</v>
      </c>
      <c r="M395" s="6" t="s">
        <v>4509</v>
      </c>
      <c r="N395" s="6" t="s">
        <v>4537</v>
      </c>
    </row>
    <row r="396" s="1" customFormat="1" ht="16.35" customHeight="1" spans="1:14">
      <c r="A396" s="5"/>
      <c r="B396" s="6" t="s">
        <v>4506</v>
      </c>
      <c r="C396" s="6">
        <v>2015</v>
      </c>
      <c r="D396" s="6">
        <v>1</v>
      </c>
      <c r="E396" s="7">
        <v>39</v>
      </c>
      <c r="F396" s="6" t="s">
        <v>9476</v>
      </c>
      <c r="G396" s="6" t="s">
        <v>9370</v>
      </c>
      <c r="H396" s="6" t="s">
        <v>26</v>
      </c>
      <c r="I396" s="8">
        <v>3500000</v>
      </c>
      <c r="J396" s="8"/>
      <c r="K396" s="6" t="s">
        <v>4509</v>
      </c>
      <c r="L396" s="6" t="s">
        <v>9218</v>
      </c>
      <c r="M396" s="6" t="s">
        <v>4509</v>
      </c>
      <c r="N396" s="6" t="s">
        <v>4537</v>
      </c>
    </row>
    <row r="397" s="1" customFormat="1" ht="16.35" customHeight="1" spans="1:14">
      <c r="A397" s="5"/>
      <c r="B397" s="6" t="s">
        <v>4506</v>
      </c>
      <c r="C397" s="6">
        <v>2015</v>
      </c>
      <c r="D397" s="6">
        <v>1</v>
      </c>
      <c r="E397" s="7">
        <v>43</v>
      </c>
      <c r="F397" s="6" t="s">
        <v>4552</v>
      </c>
      <c r="G397" s="6" t="s">
        <v>9370</v>
      </c>
      <c r="H397" s="6" t="s">
        <v>26</v>
      </c>
      <c r="I397" s="8"/>
      <c r="J397" s="8">
        <v>2000000</v>
      </c>
      <c r="K397" s="6" t="s">
        <v>4509</v>
      </c>
      <c r="L397" s="6" t="s">
        <v>9218</v>
      </c>
      <c r="M397" s="6" t="s">
        <v>4509</v>
      </c>
      <c r="N397" s="6" t="s">
        <v>4537</v>
      </c>
    </row>
    <row r="398" s="1" customFormat="1" ht="16.35" customHeight="1" spans="1:14">
      <c r="A398" s="5"/>
      <c r="B398" s="6" t="s">
        <v>4506</v>
      </c>
      <c r="C398" s="6">
        <v>2015</v>
      </c>
      <c r="D398" s="6">
        <v>1</v>
      </c>
      <c r="E398" s="7">
        <v>44</v>
      </c>
      <c r="F398" s="6" t="s">
        <v>4552</v>
      </c>
      <c r="G398" s="6" t="s">
        <v>9370</v>
      </c>
      <c r="H398" s="6" t="s">
        <v>26</v>
      </c>
      <c r="I398" s="8"/>
      <c r="J398" s="8">
        <v>200000</v>
      </c>
      <c r="K398" s="6" t="s">
        <v>4509</v>
      </c>
      <c r="L398" s="6" t="s">
        <v>9218</v>
      </c>
      <c r="M398" s="6" t="s">
        <v>4509</v>
      </c>
      <c r="N398" s="6" t="s">
        <v>4537</v>
      </c>
    </row>
    <row r="399" s="1" customFormat="1" ht="16.35" customHeight="1" spans="1:14">
      <c r="A399" s="5"/>
      <c r="B399" s="6" t="s">
        <v>4506</v>
      </c>
      <c r="C399" s="6">
        <v>2015</v>
      </c>
      <c r="D399" s="6">
        <v>1</v>
      </c>
      <c r="E399" s="7">
        <v>45</v>
      </c>
      <c r="F399" s="6" t="s">
        <v>4552</v>
      </c>
      <c r="G399" s="6" t="s">
        <v>9370</v>
      </c>
      <c r="H399" s="6" t="s">
        <v>26</v>
      </c>
      <c r="I399" s="8"/>
      <c r="J399" s="8">
        <v>1000000</v>
      </c>
      <c r="K399" s="6" t="s">
        <v>4509</v>
      </c>
      <c r="L399" s="6" t="s">
        <v>9218</v>
      </c>
      <c r="M399" s="6" t="s">
        <v>4509</v>
      </c>
      <c r="N399" s="6" t="s">
        <v>4537</v>
      </c>
    </row>
    <row r="400" s="1" customFormat="1" ht="16.35" customHeight="1" spans="1:14">
      <c r="A400" s="5"/>
      <c r="B400" s="6" t="s">
        <v>4506</v>
      </c>
      <c r="C400" s="6">
        <v>2015</v>
      </c>
      <c r="D400" s="6">
        <v>1</v>
      </c>
      <c r="E400" s="7">
        <v>46</v>
      </c>
      <c r="F400" s="6" t="s">
        <v>4552</v>
      </c>
      <c r="G400" s="6" t="s">
        <v>9370</v>
      </c>
      <c r="H400" s="6" t="s">
        <v>26</v>
      </c>
      <c r="I400" s="8"/>
      <c r="J400" s="8">
        <v>341766</v>
      </c>
      <c r="K400" s="6" t="s">
        <v>4509</v>
      </c>
      <c r="L400" s="6" t="s">
        <v>9218</v>
      </c>
      <c r="M400" s="6" t="s">
        <v>4509</v>
      </c>
      <c r="N400" s="6" t="s">
        <v>4537</v>
      </c>
    </row>
    <row r="401" s="1" customFormat="1" ht="16.35" customHeight="1" spans="1:14">
      <c r="A401" s="5"/>
      <c r="B401" s="6" t="s">
        <v>4506</v>
      </c>
      <c r="C401" s="6">
        <v>2015</v>
      </c>
      <c r="D401" s="6">
        <v>1</v>
      </c>
      <c r="E401" s="7">
        <v>47</v>
      </c>
      <c r="F401" s="6" t="s">
        <v>4507</v>
      </c>
      <c r="G401" s="6" t="s">
        <v>9370</v>
      </c>
      <c r="H401" s="6" t="s">
        <v>26</v>
      </c>
      <c r="I401" s="8">
        <v>241762</v>
      </c>
      <c r="J401" s="8"/>
      <c r="K401" s="6" t="s">
        <v>4509</v>
      </c>
      <c r="L401" s="6" t="s">
        <v>9218</v>
      </c>
      <c r="M401" s="6" t="s">
        <v>4509</v>
      </c>
      <c r="N401" s="6" t="s">
        <v>4537</v>
      </c>
    </row>
    <row r="402" s="1" customFormat="1" ht="16.35" customHeight="1" spans="1:14">
      <c r="A402" s="5"/>
      <c r="B402" s="6" t="s">
        <v>4506</v>
      </c>
      <c r="C402" s="6">
        <v>2015</v>
      </c>
      <c r="D402" s="6">
        <v>1</v>
      </c>
      <c r="E402" s="7">
        <v>48</v>
      </c>
      <c r="F402" s="6" t="s">
        <v>4541</v>
      </c>
      <c r="G402" s="6" t="s">
        <v>9370</v>
      </c>
      <c r="H402" s="6" t="s">
        <v>26</v>
      </c>
      <c r="I402" s="8"/>
      <c r="J402" s="8">
        <v>367425</v>
      </c>
      <c r="K402" s="6" t="s">
        <v>4514</v>
      </c>
      <c r="L402" s="6" t="s">
        <v>4511</v>
      </c>
      <c r="M402" s="6" t="s">
        <v>4509</v>
      </c>
      <c r="N402" s="6" t="s">
        <v>4537</v>
      </c>
    </row>
    <row r="403" s="1" customFormat="1" ht="16.35" customHeight="1" spans="1:14">
      <c r="A403" s="5"/>
      <c r="B403" s="6" t="s">
        <v>4506</v>
      </c>
      <c r="C403" s="6">
        <v>2015</v>
      </c>
      <c r="D403" s="6">
        <v>1</v>
      </c>
      <c r="E403" s="7">
        <v>49</v>
      </c>
      <c r="F403" s="6" t="s">
        <v>9656</v>
      </c>
      <c r="G403" s="6" t="s">
        <v>9370</v>
      </c>
      <c r="H403" s="6" t="s">
        <v>26</v>
      </c>
      <c r="I403" s="8"/>
      <c r="J403" s="8">
        <v>-357044</v>
      </c>
      <c r="K403" s="6" t="s">
        <v>4514</v>
      </c>
      <c r="L403" s="6" t="s">
        <v>4511</v>
      </c>
      <c r="M403" s="6" t="s">
        <v>4509</v>
      </c>
      <c r="N403" s="6" t="s">
        <v>4537</v>
      </c>
    </row>
    <row r="404" s="1" customFormat="1" ht="16.35" customHeight="1" spans="1:14">
      <c r="A404" s="5"/>
      <c r="B404" s="6" t="s">
        <v>4506</v>
      </c>
      <c r="C404" s="6">
        <v>2015</v>
      </c>
      <c r="D404" s="6">
        <v>1</v>
      </c>
      <c r="E404" s="7">
        <v>49</v>
      </c>
      <c r="F404" s="6" t="s">
        <v>9656</v>
      </c>
      <c r="G404" s="6" t="s">
        <v>9370</v>
      </c>
      <c r="H404" s="6" t="s">
        <v>26</v>
      </c>
      <c r="I404" s="8"/>
      <c r="J404" s="8">
        <v>357044</v>
      </c>
      <c r="K404" s="6" t="s">
        <v>4512</v>
      </c>
      <c r="L404" s="6" t="s">
        <v>2906</v>
      </c>
      <c r="M404" s="6" t="s">
        <v>4509</v>
      </c>
      <c r="N404" s="6" t="s">
        <v>4537</v>
      </c>
    </row>
    <row r="405" s="1" customFormat="1" ht="16.35" customHeight="1" spans="1:14">
      <c r="A405" s="5"/>
      <c r="B405" s="6" t="s">
        <v>4506</v>
      </c>
      <c r="C405" s="6">
        <v>2015</v>
      </c>
      <c r="D405" s="6">
        <v>1</v>
      </c>
      <c r="E405" s="7">
        <v>50</v>
      </c>
      <c r="F405" s="6" t="s">
        <v>9657</v>
      </c>
      <c r="G405" s="6" t="s">
        <v>9370</v>
      </c>
      <c r="H405" s="6" t="s">
        <v>26</v>
      </c>
      <c r="I405" s="8"/>
      <c r="J405" s="8">
        <v>-91462.14</v>
      </c>
      <c r="K405" s="6" t="s">
        <v>4514</v>
      </c>
      <c r="L405" s="6" t="s">
        <v>4511</v>
      </c>
      <c r="M405" s="6" t="s">
        <v>4509</v>
      </c>
      <c r="N405" s="6" t="s">
        <v>4537</v>
      </c>
    </row>
    <row r="406" s="1" customFormat="1" ht="16.35" customHeight="1" spans="1:14">
      <c r="A406" s="5"/>
      <c r="B406" s="6" t="s">
        <v>4506</v>
      </c>
      <c r="C406" s="6">
        <v>2015</v>
      </c>
      <c r="D406" s="6">
        <v>1</v>
      </c>
      <c r="E406" s="7">
        <v>50</v>
      </c>
      <c r="F406" s="6" t="s">
        <v>9657</v>
      </c>
      <c r="G406" s="6" t="s">
        <v>9370</v>
      </c>
      <c r="H406" s="6" t="s">
        <v>26</v>
      </c>
      <c r="I406" s="8"/>
      <c r="J406" s="8">
        <v>91462.14</v>
      </c>
      <c r="K406" s="6" t="s">
        <v>4509</v>
      </c>
      <c r="L406" s="6" t="s">
        <v>9218</v>
      </c>
      <c r="M406" s="6" t="s">
        <v>4509</v>
      </c>
      <c r="N406" s="6" t="s">
        <v>4537</v>
      </c>
    </row>
    <row r="407" s="1" customFormat="1" ht="16.35" customHeight="1" spans="1:14">
      <c r="A407" s="5"/>
      <c r="B407" s="6" t="s">
        <v>4506</v>
      </c>
      <c r="C407" s="6">
        <v>2015</v>
      </c>
      <c r="D407" s="6">
        <v>2</v>
      </c>
      <c r="E407" s="7">
        <v>1</v>
      </c>
      <c r="F407" s="6" t="s">
        <v>9658</v>
      </c>
      <c r="G407" s="6" t="s">
        <v>9370</v>
      </c>
      <c r="H407" s="6" t="s">
        <v>26</v>
      </c>
      <c r="I407" s="8"/>
      <c r="J407" s="8">
        <v>75121</v>
      </c>
      <c r="K407" s="6" t="s">
        <v>4514</v>
      </c>
      <c r="L407" s="6" t="s">
        <v>4511</v>
      </c>
      <c r="M407" s="6" t="s">
        <v>4509</v>
      </c>
      <c r="N407" s="6" t="s">
        <v>4537</v>
      </c>
    </row>
    <row r="408" s="1" customFormat="1" ht="16.35" customHeight="1" spans="1:14">
      <c r="A408" s="5"/>
      <c r="B408" s="6" t="s">
        <v>4506</v>
      </c>
      <c r="C408" s="6">
        <v>2015</v>
      </c>
      <c r="D408" s="6">
        <v>2</v>
      </c>
      <c r="E408" s="7">
        <v>5</v>
      </c>
      <c r="F408" s="6" t="s">
        <v>9659</v>
      </c>
      <c r="G408" s="6" t="s">
        <v>9370</v>
      </c>
      <c r="H408" s="6" t="s">
        <v>26</v>
      </c>
      <c r="I408" s="8"/>
      <c r="J408" s="8">
        <v>74360</v>
      </c>
      <c r="K408" s="6" t="s">
        <v>4514</v>
      </c>
      <c r="L408" s="6" t="s">
        <v>4511</v>
      </c>
      <c r="M408" s="6" t="s">
        <v>4509</v>
      </c>
      <c r="N408" s="6" t="s">
        <v>4537</v>
      </c>
    </row>
    <row r="409" s="1" customFormat="1" ht="16.35" customHeight="1" spans="1:14">
      <c r="A409" s="5"/>
      <c r="B409" s="6" t="s">
        <v>4506</v>
      </c>
      <c r="C409" s="6">
        <v>2015</v>
      </c>
      <c r="D409" s="6">
        <v>2</v>
      </c>
      <c r="E409" s="7">
        <v>7</v>
      </c>
      <c r="F409" s="6" t="s">
        <v>9476</v>
      </c>
      <c r="G409" s="6" t="s">
        <v>9370</v>
      </c>
      <c r="H409" s="6" t="s">
        <v>26</v>
      </c>
      <c r="I409" s="8">
        <v>2000000</v>
      </c>
      <c r="J409" s="8"/>
      <c r="K409" s="6" t="s">
        <v>4509</v>
      </c>
      <c r="L409" s="6" t="s">
        <v>9218</v>
      </c>
      <c r="M409" s="6" t="s">
        <v>4509</v>
      </c>
      <c r="N409" s="6" t="s">
        <v>4537</v>
      </c>
    </row>
    <row r="410" s="1" customFormat="1" ht="16.35" customHeight="1" spans="1:14">
      <c r="A410" s="5"/>
      <c r="B410" s="6" t="s">
        <v>4506</v>
      </c>
      <c r="C410" s="6">
        <v>2015</v>
      </c>
      <c r="D410" s="6">
        <v>2</v>
      </c>
      <c r="E410" s="7">
        <v>10</v>
      </c>
      <c r="F410" s="6" t="s">
        <v>9660</v>
      </c>
      <c r="G410" s="6" t="s">
        <v>9370</v>
      </c>
      <c r="H410" s="6" t="s">
        <v>26</v>
      </c>
      <c r="I410" s="8"/>
      <c r="J410" s="8">
        <v>307.48</v>
      </c>
      <c r="K410" s="6" t="s">
        <v>4510</v>
      </c>
      <c r="L410" s="6" t="s">
        <v>9447</v>
      </c>
      <c r="M410" s="6" t="s">
        <v>4509</v>
      </c>
      <c r="N410" s="6" t="s">
        <v>4537</v>
      </c>
    </row>
    <row r="411" s="1" customFormat="1" ht="16.35" customHeight="1" spans="1:14">
      <c r="A411" s="5"/>
      <c r="B411" s="6" t="s">
        <v>4506</v>
      </c>
      <c r="C411" s="6">
        <v>2015</v>
      </c>
      <c r="D411" s="6">
        <v>2</v>
      </c>
      <c r="E411" s="7">
        <v>10</v>
      </c>
      <c r="F411" s="6" t="s">
        <v>9660</v>
      </c>
      <c r="G411" s="6" t="s">
        <v>9370</v>
      </c>
      <c r="H411" s="6" t="s">
        <v>26</v>
      </c>
      <c r="I411" s="8"/>
      <c r="J411" s="8">
        <v>183.2</v>
      </c>
      <c r="K411" s="6" t="s">
        <v>4516</v>
      </c>
      <c r="L411" s="6" t="s">
        <v>9449</v>
      </c>
      <c r="M411" s="6" t="s">
        <v>4509</v>
      </c>
      <c r="N411" s="6" t="s">
        <v>4537</v>
      </c>
    </row>
    <row r="412" s="1" customFormat="1" ht="16.35" customHeight="1" spans="1:14">
      <c r="A412" s="5"/>
      <c r="B412" s="6" t="s">
        <v>4506</v>
      </c>
      <c r="C412" s="6">
        <v>2015</v>
      </c>
      <c r="D412" s="6">
        <v>2</v>
      </c>
      <c r="E412" s="7">
        <v>13</v>
      </c>
      <c r="F412" s="6" t="s">
        <v>9661</v>
      </c>
      <c r="G412" s="6" t="s">
        <v>9370</v>
      </c>
      <c r="H412" s="6" t="s">
        <v>26</v>
      </c>
      <c r="I412" s="8"/>
      <c r="J412" s="8">
        <v>78378</v>
      </c>
      <c r="K412" s="6" t="s">
        <v>4514</v>
      </c>
      <c r="L412" s="6" t="s">
        <v>4511</v>
      </c>
      <c r="M412" s="6" t="s">
        <v>4509</v>
      </c>
      <c r="N412" s="6" t="s">
        <v>4537</v>
      </c>
    </row>
    <row r="413" s="1" customFormat="1" ht="16.35" customHeight="1" spans="1:14">
      <c r="A413" s="5"/>
      <c r="B413" s="6" t="s">
        <v>4506</v>
      </c>
      <c r="C413" s="6">
        <v>2015</v>
      </c>
      <c r="D413" s="6">
        <v>2</v>
      </c>
      <c r="E413" s="7">
        <v>14</v>
      </c>
      <c r="F413" s="6" t="s">
        <v>9385</v>
      </c>
      <c r="G413" s="6" t="s">
        <v>9370</v>
      </c>
      <c r="H413" s="6" t="s">
        <v>26</v>
      </c>
      <c r="I413" s="8">
        <v>4176</v>
      </c>
      <c r="J413" s="8"/>
      <c r="K413" s="6" t="s">
        <v>4512</v>
      </c>
      <c r="L413" s="6" t="s">
        <v>2906</v>
      </c>
      <c r="M413" s="6" t="s">
        <v>4509</v>
      </c>
      <c r="N413" s="6" t="s">
        <v>4537</v>
      </c>
    </row>
    <row r="414" s="1" customFormat="1" ht="16.35" customHeight="1" spans="1:14">
      <c r="A414" s="5"/>
      <c r="B414" s="6" t="s">
        <v>4506</v>
      </c>
      <c r="C414" s="6">
        <v>2015</v>
      </c>
      <c r="D414" s="6">
        <v>2</v>
      </c>
      <c r="E414" s="7">
        <v>16</v>
      </c>
      <c r="F414" s="6" t="s">
        <v>9662</v>
      </c>
      <c r="G414" s="6" t="s">
        <v>9370</v>
      </c>
      <c r="H414" s="6" t="s">
        <v>26</v>
      </c>
      <c r="I414" s="8">
        <v>71861.09</v>
      </c>
      <c r="J414" s="8"/>
      <c r="K414" s="6" t="s">
        <v>4512</v>
      </c>
      <c r="L414" s="6" t="s">
        <v>2906</v>
      </c>
      <c r="M414" s="6" t="s">
        <v>4509</v>
      </c>
      <c r="N414" s="6" t="s">
        <v>4537</v>
      </c>
    </row>
    <row r="415" s="1" customFormat="1" ht="16.35" customHeight="1" spans="1:14">
      <c r="A415" s="5"/>
      <c r="B415" s="6" t="s">
        <v>4506</v>
      </c>
      <c r="C415" s="6">
        <v>2015</v>
      </c>
      <c r="D415" s="6">
        <v>2</v>
      </c>
      <c r="E415" s="7">
        <v>17</v>
      </c>
      <c r="F415" s="6" t="s">
        <v>4552</v>
      </c>
      <c r="G415" s="6" t="s">
        <v>9370</v>
      </c>
      <c r="H415" s="6" t="s">
        <v>26</v>
      </c>
      <c r="I415" s="8"/>
      <c r="J415" s="8">
        <v>1500000</v>
      </c>
      <c r="K415" s="6" t="s">
        <v>4509</v>
      </c>
      <c r="L415" s="6" t="s">
        <v>9218</v>
      </c>
      <c r="M415" s="6" t="s">
        <v>4509</v>
      </c>
      <c r="N415" s="6" t="s">
        <v>4537</v>
      </c>
    </row>
    <row r="416" s="1" customFormat="1" ht="16.35" customHeight="1" spans="1:14">
      <c r="A416" s="5"/>
      <c r="B416" s="6" t="s">
        <v>4506</v>
      </c>
      <c r="C416" s="6">
        <v>2015</v>
      </c>
      <c r="D416" s="6">
        <v>2</v>
      </c>
      <c r="E416" s="7">
        <v>18</v>
      </c>
      <c r="F416" s="6" t="s">
        <v>9663</v>
      </c>
      <c r="G416" s="6" t="s">
        <v>9370</v>
      </c>
      <c r="H416" s="6" t="s">
        <v>26</v>
      </c>
      <c r="I416" s="8"/>
      <c r="J416" s="8">
        <v>374112</v>
      </c>
      <c r="K416" s="6" t="s">
        <v>4514</v>
      </c>
      <c r="L416" s="6" t="s">
        <v>4511</v>
      </c>
      <c r="M416" s="6" t="s">
        <v>4509</v>
      </c>
      <c r="N416" s="6" t="s">
        <v>4537</v>
      </c>
    </row>
    <row r="417" s="1" customFormat="1" ht="16.35" customHeight="1" spans="1:14">
      <c r="A417" s="5"/>
      <c r="B417" s="6" t="s">
        <v>4506</v>
      </c>
      <c r="C417" s="6">
        <v>2015</v>
      </c>
      <c r="D417" s="6">
        <v>2</v>
      </c>
      <c r="E417" s="7">
        <v>18</v>
      </c>
      <c r="F417" s="6" t="s">
        <v>9664</v>
      </c>
      <c r="G417" s="6" t="s">
        <v>9370</v>
      </c>
      <c r="H417" s="6" t="s">
        <v>26</v>
      </c>
      <c r="I417" s="8"/>
      <c r="J417" s="8">
        <v>350983.84</v>
      </c>
      <c r="K417" s="6" t="s">
        <v>4514</v>
      </c>
      <c r="L417" s="6" t="s">
        <v>4511</v>
      </c>
      <c r="M417" s="6" t="s">
        <v>4509</v>
      </c>
      <c r="N417" s="6" t="s">
        <v>4537</v>
      </c>
    </row>
    <row r="418" s="1" customFormat="1" ht="16.35" customHeight="1" spans="1:14">
      <c r="A418" s="5"/>
      <c r="B418" s="6" t="s">
        <v>4506</v>
      </c>
      <c r="C418" s="6">
        <v>2015</v>
      </c>
      <c r="D418" s="6">
        <v>2</v>
      </c>
      <c r="E418" s="7">
        <v>19</v>
      </c>
      <c r="F418" s="6" t="s">
        <v>9665</v>
      </c>
      <c r="G418" s="6" t="s">
        <v>9370</v>
      </c>
      <c r="H418" s="6" t="s">
        <v>26</v>
      </c>
      <c r="I418" s="8"/>
      <c r="J418" s="8">
        <v>551988</v>
      </c>
      <c r="K418" s="6" t="s">
        <v>4512</v>
      </c>
      <c r="L418" s="6" t="s">
        <v>2906</v>
      </c>
      <c r="M418" s="6" t="s">
        <v>4509</v>
      </c>
      <c r="N418" s="6" t="s">
        <v>4537</v>
      </c>
    </row>
    <row r="419" s="1" customFormat="1" ht="16.35" customHeight="1" spans="1:14">
      <c r="A419" s="5"/>
      <c r="B419" s="6" t="s">
        <v>4506</v>
      </c>
      <c r="C419" s="6">
        <v>2015</v>
      </c>
      <c r="D419" s="6">
        <v>2</v>
      </c>
      <c r="E419" s="7">
        <v>20</v>
      </c>
      <c r="F419" s="6" t="s">
        <v>9666</v>
      </c>
      <c r="G419" s="6" t="s">
        <v>9370</v>
      </c>
      <c r="H419" s="6" t="s">
        <v>26</v>
      </c>
      <c r="I419" s="8">
        <v>10000</v>
      </c>
      <c r="J419" s="8"/>
      <c r="K419" s="6" t="s">
        <v>4523</v>
      </c>
      <c r="L419" s="6" t="s">
        <v>9632</v>
      </c>
      <c r="M419" s="6" t="s">
        <v>4509</v>
      </c>
      <c r="N419" s="6" t="s">
        <v>4537</v>
      </c>
    </row>
    <row r="420" s="1" customFormat="1" ht="16.35" customHeight="1" spans="1:14">
      <c r="A420" s="5"/>
      <c r="B420" s="6" t="s">
        <v>4506</v>
      </c>
      <c r="C420" s="6">
        <v>2015</v>
      </c>
      <c r="D420" s="6">
        <v>2</v>
      </c>
      <c r="E420" s="7">
        <v>20</v>
      </c>
      <c r="F420" s="6" t="s">
        <v>9666</v>
      </c>
      <c r="G420" s="6" t="s">
        <v>9370</v>
      </c>
      <c r="H420" s="6" t="s">
        <v>26</v>
      </c>
      <c r="I420" s="8"/>
      <c r="J420" s="8">
        <v>10000</v>
      </c>
      <c r="K420" s="6" t="s">
        <v>4509</v>
      </c>
      <c r="L420" s="6" t="s">
        <v>9218</v>
      </c>
      <c r="M420" s="6" t="s">
        <v>4509</v>
      </c>
      <c r="N420" s="6" t="s">
        <v>4537</v>
      </c>
    </row>
    <row r="421" s="1" customFormat="1" ht="16.35" customHeight="1" spans="1:14">
      <c r="A421" s="5"/>
      <c r="B421" s="6" t="s">
        <v>4506</v>
      </c>
      <c r="C421" s="6">
        <v>2015</v>
      </c>
      <c r="D421" s="6">
        <v>2</v>
      </c>
      <c r="E421" s="7">
        <v>21</v>
      </c>
      <c r="F421" s="6" t="s">
        <v>9667</v>
      </c>
      <c r="G421" s="6" t="s">
        <v>9370</v>
      </c>
      <c r="H421" s="6" t="s">
        <v>26</v>
      </c>
      <c r="I421" s="8"/>
      <c r="J421" s="8">
        <v>603041.22</v>
      </c>
      <c r="K421" s="6" t="s">
        <v>4509</v>
      </c>
      <c r="L421" s="6" t="s">
        <v>9218</v>
      </c>
      <c r="M421" s="6" t="s">
        <v>4509</v>
      </c>
      <c r="N421" s="6" t="s">
        <v>4537</v>
      </c>
    </row>
    <row r="422" s="1" customFormat="1" ht="16.35" customHeight="1" spans="1:14">
      <c r="A422" s="5"/>
      <c r="B422" s="6" t="s">
        <v>4506</v>
      </c>
      <c r="C422" s="6">
        <v>2015</v>
      </c>
      <c r="D422" s="6">
        <v>2</v>
      </c>
      <c r="E422" s="7">
        <v>22</v>
      </c>
      <c r="F422" s="6" t="s">
        <v>9254</v>
      </c>
      <c r="G422" s="6" t="s">
        <v>9370</v>
      </c>
      <c r="H422" s="6" t="s">
        <v>26</v>
      </c>
      <c r="I422" s="8"/>
      <c r="J422" s="8">
        <v>3500</v>
      </c>
      <c r="K422" s="6" t="s">
        <v>4509</v>
      </c>
      <c r="L422" s="6" t="s">
        <v>9218</v>
      </c>
      <c r="M422" s="6" t="s">
        <v>4509</v>
      </c>
      <c r="N422" s="6" t="s">
        <v>4537</v>
      </c>
    </row>
    <row r="423" s="1" customFormat="1" ht="16.35" customHeight="1" spans="1:14">
      <c r="A423" s="5"/>
      <c r="B423" s="6" t="s">
        <v>4506</v>
      </c>
      <c r="C423" s="6">
        <v>2015</v>
      </c>
      <c r="D423" s="6">
        <v>3</v>
      </c>
      <c r="E423" s="7">
        <v>1</v>
      </c>
      <c r="F423" s="6" t="s">
        <v>9668</v>
      </c>
      <c r="G423" s="6" t="s">
        <v>9370</v>
      </c>
      <c r="H423" s="6" t="s">
        <v>26</v>
      </c>
      <c r="I423" s="8"/>
      <c r="J423" s="8">
        <v>99530</v>
      </c>
      <c r="K423" s="6" t="s">
        <v>4514</v>
      </c>
      <c r="L423" s="6" t="s">
        <v>4511</v>
      </c>
      <c r="M423" s="6" t="s">
        <v>4509</v>
      </c>
      <c r="N423" s="6" t="s">
        <v>4537</v>
      </c>
    </row>
    <row r="424" s="1" customFormat="1" ht="16.35" customHeight="1" spans="1:14">
      <c r="A424" s="5"/>
      <c r="B424" s="6" t="s">
        <v>4506</v>
      </c>
      <c r="C424" s="6">
        <v>2015</v>
      </c>
      <c r="D424" s="6">
        <v>3</v>
      </c>
      <c r="E424" s="7">
        <v>2</v>
      </c>
      <c r="F424" s="6" t="s">
        <v>9641</v>
      </c>
      <c r="G424" s="6" t="s">
        <v>9370</v>
      </c>
      <c r="H424" s="6" t="s">
        <v>26</v>
      </c>
      <c r="I424" s="8"/>
      <c r="J424" s="8">
        <v>400</v>
      </c>
      <c r="K424" s="6" t="s">
        <v>4514</v>
      </c>
      <c r="L424" s="6" t="s">
        <v>4511</v>
      </c>
      <c r="M424" s="6" t="s">
        <v>4509</v>
      </c>
      <c r="N424" s="6" t="s">
        <v>4537</v>
      </c>
    </row>
    <row r="425" s="1" customFormat="1" ht="16.35" customHeight="1" spans="1:14">
      <c r="A425" s="5"/>
      <c r="B425" s="6" t="s">
        <v>4506</v>
      </c>
      <c r="C425" s="6">
        <v>2015</v>
      </c>
      <c r="D425" s="6">
        <v>3</v>
      </c>
      <c r="E425" s="7">
        <v>4</v>
      </c>
      <c r="F425" s="6" t="s">
        <v>9669</v>
      </c>
      <c r="G425" s="6" t="s">
        <v>9370</v>
      </c>
      <c r="H425" s="6" t="s">
        <v>26</v>
      </c>
      <c r="I425" s="8"/>
      <c r="J425" s="8">
        <v>80000</v>
      </c>
      <c r="K425" s="6" t="s">
        <v>4514</v>
      </c>
      <c r="L425" s="6" t="s">
        <v>4511</v>
      </c>
      <c r="M425" s="6" t="s">
        <v>4509</v>
      </c>
      <c r="N425" s="6" t="s">
        <v>4537</v>
      </c>
    </row>
    <row r="426" s="1" customFormat="1" ht="16.35" customHeight="1" spans="1:14">
      <c r="A426" s="5"/>
      <c r="B426" s="6" t="s">
        <v>4506</v>
      </c>
      <c r="C426" s="6">
        <v>2015</v>
      </c>
      <c r="D426" s="6">
        <v>3</v>
      </c>
      <c r="E426" s="7">
        <v>6</v>
      </c>
      <c r="F426" s="6" t="s">
        <v>9670</v>
      </c>
      <c r="G426" s="6" t="s">
        <v>9370</v>
      </c>
      <c r="H426" s="6" t="s">
        <v>26</v>
      </c>
      <c r="I426" s="8"/>
      <c r="J426" s="8">
        <v>-20000</v>
      </c>
      <c r="K426" s="6" t="s">
        <v>4514</v>
      </c>
      <c r="L426" s="6" t="s">
        <v>4511</v>
      </c>
      <c r="M426" s="6" t="s">
        <v>4509</v>
      </c>
      <c r="N426" s="6" t="s">
        <v>4537</v>
      </c>
    </row>
    <row r="427" s="1" customFormat="1" ht="16.35" customHeight="1" spans="1:14">
      <c r="A427" s="5"/>
      <c r="B427" s="6" t="s">
        <v>4506</v>
      </c>
      <c r="C427" s="6">
        <v>2015</v>
      </c>
      <c r="D427" s="6">
        <v>3</v>
      </c>
      <c r="E427" s="7">
        <v>8</v>
      </c>
      <c r="F427" s="6" t="s">
        <v>9671</v>
      </c>
      <c r="G427" s="6" t="s">
        <v>9370</v>
      </c>
      <c r="H427" s="6" t="s">
        <v>26</v>
      </c>
      <c r="I427" s="8"/>
      <c r="J427" s="8">
        <v>-20000</v>
      </c>
      <c r="K427" s="6" t="s">
        <v>4514</v>
      </c>
      <c r="L427" s="6" t="s">
        <v>4511</v>
      </c>
      <c r="M427" s="6" t="s">
        <v>4509</v>
      </c>
      <c r="N427" s="6" t="s">
        <v>4537</v>
      </c>
    </row>
    <row r="428" s="1" customFormat="1" ht="16.35" customHeight="1" spans="1:14">
      <c r="A428" s="5"/>
      <c r="B428" s="6" t="s">
        <v>4506</v>
      </c>
      <c r="C428" s="6">
        <v>2015</v>
      </c>
      <c r="D428" s="6">
        <v>3</v>
      </c>
      <c r="E428" s="7">
        <v>11</v>
      </c>
      <c r="F428" s="6" t="s">
        <v>9672</v>
      </c>
      <c r="G428" s="6" t="s">
        <v>9370</v>
      </c>
      <c r="H428" s="6" t="s">
        <v>26</v>
      </c>
      <c r="I428" s="8"/>
      <c r="J428" s="8">
        <v>4000</v>
      </c>
      <c r="K428" s="6" t="s">
        <v>4514</v>
      </c>
      <c r="L428" s="6" t="s">
        <v>4511</v>
      </c>
      <c r="M428" s="6" t="s">
        <v>4509</v>
      </c>
      <c r="N428" s="6" t="s">
        <v>4537</v>
      </c>
    </row>
    <row r="429" s="1" customFormat="1" ht="16.35" customHeight="1" spans="1:14">
      <c r="A429" s="5"/>
      <c r="B429" s="6" t="s">
        <v>4506</v>
      </c>
      <c r="C429" s="6">
        <v>2015</v>
      </c>
      <c r="D429" s="6">
        <v>3</v>
      </c>
      <c r="E429" s="7">
        <v>12</v>
      </c>
      <c r="F429" s="6" t="s">
        <v>9673</v>
      </c>
      <c r="G429" s="6" t="s">
        <v>9370</v>
      </c>
      <c r="H429" s="6" t="s">
        <v>26</v>
      </c>
      <c r="I429" s="8"/>
      <c r="J429" s="8">
        <v>10000</v>
      </c>
      <c r="K429" s="6" t="s">
        <v>4514</v>
      </c>
      <c r="L429" s="6" t="s">
        <v>4511</v>
      </c>
      <c r="M429" s="6" t="s">
        <v>4509</v>
      </c>
      <c r="N429" s="6" t="s">
        <v>4537</v>
      </c>
    </row>
    <row r="430" s="1" customFormat="1" ht="16.35" customHeight="1" spans="1:14">
      <c r="A430" s="5"/>
      <c r="B430" s="6" t="s">
        <v>4506</v>
      </c>
      <c r="C430" s="6">
        <v>2015</v>
      </c>
      <c r="D430" s="6">
        <v>3</v>
      </c>
      <c r="E430" s="7">
        <v>13</v>
      </c>
      <c r="F430" s="6" t="s">
        <v>9674</v>
      </c>
      <c r="G430" s="6" t="s">
        <v>9370</v>
      </c>
      <c r="H430" s="6" t="s">
        <v>26</v>
      </c>
      <c r="I430" s="8"/>
      <c r="J430" s="8">
        <v>5000</v>
      </c>
      <c r="K430" s="6" t="s">
        <v>4514</v>
      </c>
      <c r="L430" s="6" t="s">
        <v>4511</v>
      </c>
      <c r="M430" s="6" t="s">
        <v>4509</v>
      </c>
      <c r="N430" s="6" t="s">
        <v>4537</v>
      </c>
    </row>
    <row r="431" s="1" customFormat="1" ht="16.35" customHeight="1" spans="1:14">
      <c r="A431" s="5"/>
      <c r="B431" s="6" t="s">
        <v>4506</v>
      </c>
      <c r="C431" s="6">
        <v>2015</v>
      </c>
      <c r="D431" s="6">
        <v>3</v>
      </c>
      <c r="E431" s="7">
        <v>19</v>
      </c>
      <c r="F431" s="6" t="s">
        <v>9675</v>
      </c>
      <c r="G431" s="6" t="s">
        <v>9370</v>
      </c>
      <c r="H431" s="6" t="s">
        <v>26</v>
      </c>
      <c r="I431" s="8"/>
      <c r="J431" s="8">
        <v>307.48</v>
      </c>
      <c r="K431" s="6" t="s">
        <v>4510</v>
      </c>
      <c r="L431" s="6" t="s">
        <v>9447</v>
      </c>
      <c r="M431" s="6" t="s">
        <v>4509</v>
      </c>
      <c r="N431" s="6" t="s">
        <v>4537</v>
      </c>
    </row>
    <row r="432" s="1" customFormat="1" ht="16.35" customHeight="1" spans="1:14">
      <c r="A432" s="5"/>
      <c r="B432" s="6" t="s">
        <v>4506</v>
      </c>
      <c r="C432" s="6">
        <v>2015</v>
      </c>
      <c r="D432" s="6">
        <v>3</v>
      </c>
      <c r="E432" s="7">
        <v>19</v>
      </c>
      <c r="F432" s="6" t="s">
        <v>9675</v>
      </c>
      <c r="G432" s="6" t="s">
        <v>9370</v>
      </c>
      <c r="H432" s="6" t="s">
        <v>26</v>
      </c>
      <c r="I432" s="8"/>
      <c r="J432" s="8">
        <v>183.2</v>
      </c>
      <c r="K432" s="6" t="s">
        <v>4516</v>
      </c>
      <c r="L432" s="6" t="s">
        <v>9449</v>
      </c>
      <c r="M432" s="6" t="s">
        <v>4509</v>
      </c>
      <c r="N432" s="6" t="s">
        <v>4537</v>
      </c>
    </row>
    <row r="433" s="1" customFormat="1" ht="16.35" customHeight="1" spans="1:14">
      <c r="A433" s="5"/>
      <c r="B433" s="6" t="s">
        <v>4506</v>
      </c>
      <c r="C433" s="6">
        <v>2015</v>
      </c>
      <c r="D433" s="6">
        <v>3</v>
      </c>
      <c r="E433" s="7">
        <v>21</v>
      </c>
      <c r="F433" s="6" t="s">
        <v>4552</v>
      </c>
      <c r="G433" s="6" t="s">
        <v>9370</v>
      </c>
      <c r="H433" s="6" t="s">
        <v>26</v>
      </c>
      <c r="I433" s="8"/>
      <c r="J433" s="8">
        <v>22439</v>
      </c>
      <c r="K433" s="6" t="s">
        <v>4509</v>
      </c>
      <c r="L433" s="6" t="s">
        <v>9218</v>
      </c>
      <c r="M433" s="6" t="s">
        <v>4509</v>
      </c>
      <c r="N433" s="6" t="s">
        <v>4537</v>
      </c>
    </row>
    <row r="434" s="1" customFormat="1" ht="16.35" customHeight="1" spans="1:14">
      <c r="A434" s="5"/>
      <c r="B434" s="6" t="s">
        <v>4506</v>
      </c>
      <c r="C434" s="6">
        <v>2015</v>
      </c>
      <c r="D434" s="6">
        <v>3</v>
      </c>
      <c r="E434" s="7">
        <v>22</v>
      </c>
      <c r="F434" s="6" t="s">
        <v>9676</v>
      </c>
      <c r="G434" s="6" t="s">
        <v>9370</v>
      </c>
      <c r="H434" s="6" t="s">
        <v>26</v>
      </c>
      <c r="I434" s="8"/>
      <c r="J434" s="8">
        <v>94093</v>
      </c>
      <c r="K434" s="6" t="s">
        <v>4514</v>
      </c>
      <c r="L434" s="6" t="s">
        <v>4511</v>
      </c>
      <c r="M434" s="6" t="s">
        <v>4509</v>
      </c>
      <c r="N434" s="6" t="s">
        <v>4537</v>
      </c>
    </row>
    <row r="435" s="1" customFormat="1" ht="16.35" customHeight="1" spans="1:14">
      <c r="A435" s="5"/>
      <c r="B435" s="6" t="s">
        <v>4506</v>
      </c>
      <c r="C435" s="6">
        <v>2015</v>
      </c>
      <c r="D435" s="6">
        <v>3</v>
      </c>
      <c r="E435" s="7">
        <v>25</v>
      </c>
      <c r="F435" s="6" t="s">
        <v>9677</v>
      </c>
      <c r="G435" s="6" t="s">
        <v>9370</v>
      </c>
      <c r="H435" s="6" t="s">
        <v>26</v>
      </c>
      <c r="I435" s="8"/>
      <c r="J435" s="8">
        <v>270000</v>
      </c>
      <c r="K435" s="6" t="s">
        <v>4514</v>
      </c>
      <c r="L435" s="6" t="s">
        <v>4511</v>
      </c>
      <c r="M435" s="6" t="s">
        <v>4509</v>
      </c>
      <c r="N435" s="6" t="s">
        <v>4537</v>
      </c>
    </row>
    <row r="436" s="1" customFormat="1" ht="16.35" customHeight="1" spans="1:14">
      <c r="A436" s="5"/>
      <c r="B436" s="6" t="s">
        <v>4506</v>
      </c>
      <c r="C436" s="6">
        <v>2015</v>
      </c>
      <c r="D436" s="6">
        <v>3</v>
      </c>
      <c r="E436" s="7">
        <v>26</v>
      </c>
      <c r="F436" s="6" t="s">
        <v>9678</v>
      </c>
      <c r="G436" s="6" t="s">
        <v>9370</v>
      </c>
      <c r="H436" s="6" t="s">
        <v>26</v>
      </c>
      <c r="I436" s="8"/>
      <c r="J436" s="8">
        <v>250000</v>
      </c>
      <c r="K436" s="6" t="s">
        <v>4514</v>
      </c>
      <c r="L436" s="6" t="s">
        <v>4511</v>
      </c>
      <c r="M436" s="6" t="s">
        <v>4509</v>
      </c>
      <c r="N436" s="6" t="s">
        <v>4537</v>
      </c>
    </row>
    <row r="437" s="1" customFormat="1" ht="16.35" customHeight="1" spans="1:14">
      <c r="A437" s="5"/>
      <c r="B437" s="6" t="s">
        <v>4506</v>
      </c>
      <c r="C437" s="6">
        <v>2015</v>
      </c>
      <c r="D437" s="6">
        <v>3</v>
      </c>
      <c r="E437" s="7">
        <v>27</v>
      </c>
      <c r="F437" s="6" t="s">
        <v>412</v>
      </c>
      <c r="G437" s="6" t="s">
        <v>9370</v>
      </c>
      <c r="H437" s="6" t="s">
        <v>26</v>
      </c>
      <c r="I437" s="8"/>
      <c r="J437" s="8">
        <v>116262</v>
      </c>
      <c r="K437" s="6" t="s">
        <v>4514</v>
      </c>
      <c r="L437" s="6" t="s">
        <v>4511</v>
      </c>
      <c r="M437" s="6" t="s">
        <v>4509</v>
      </c>
      <c r="N437" s="6" t="s">
        <v>4537</v>
      </c>
    </row>
    <row r="438" s="1" customFormat="1" ht="16.35" customHeight="1" spans="1:14">
      <c r="A438" s="5"/>
      <c r="B438" s="6" t="s">
        <v>4506</v>
      </c>
      <c r="C438" s="6">
        <v>2015</v>
      </c>
      <c r="D438" s="6">
        <v>3</v>
      </c>
      <c r="E438" s="7">
        <v>28</v>
      </c>
      <c r="F438" s="6" t="s">
        <v>9679</v>
      </c>
      <c r="G438" s="6" t="s">
        <v>9370</v>
      </c>
      <c r="H438" s="6" t="s">
        <v>26</v>
      </c>
      <c r="I438" s="8"/>
      <c r="J438" s="8">
        <v>140416</v>
      </c>
      <c r="K438" s="6" t="s">
        <v>4514</v>
      </c>
      <c r="L438" s="6" t="s">
        <v>4511</v>
      </c>
      <c r="M438" s="6" t="s">
        <v>4509</v>
      </c>
      <c r="N438" s="6" t="s">
        <v>4537</v>
      </c>
    </row>
    <row r="439" s="1" customFormat="1" ht="16.35" customHeight="1" spans="1:14">
      <c r="A439" s="5"/>
      <c r="B439" s="6" t="s">
        <v>4506</v>
      </c>
      <c r="C439" s="6">
        <v>2015</v>
      </c>
      <c r="D439" s="6">
        <v>3</v>
      </c>
      <c r="E439" s="7">
        <v>31</v>
      </c>
      <c r="F439" s="6" t="s">
        <v>9680</v>
      </c>
      <c r="G439" s="6" t="s">
        <v>9370</v>
      </c>
      <c r="H439" s="6" t="s">
        <v>26</v>
      </c>
      <c r="I439" s="8"/>
      <c r="J439" s="8">
        <v>240000</v>
      </c>
      <c r="K439" s="6" t="s">
        <v>4514</v>
      </c>
      <c r="L439" s="6" t="s">
        <v>4511</v>
      </c>
      <c r="M439" s="6" t="s">
        <v>4509</v>
      </c>
      <c r="N439" s="6" t="s">
        <v>4537</v>
      </c>
    </row>
    <row r="440" s="1" customFormat="1" ht="16.35" customHeight="1" spans="1:14">
      <c r="A440" s="5"/>
      <c r="B440" s="6" t="s">
        <v>4506</v>
      </c>
      <c r="C440" s="6">
        <v>2015</v>
      </c>
      <c r="D440" s="6">
        <v>3</v>
      </c>
      <c r="E440" s="7">
        <v>32</v>
      </c>
      <c r="F440" s="6" t="s">
        <v>4552</v>
      </c>
      <c r="G440" s="6" t="s">
        <v>9370</v>
      </c>
      <c r="H440" s="6" t="s">
        <v>26</v>
      </c>
      <c r="I440" s="8"/>
      <c r="J440" s="8">
        <v>400000</v>
      </c>
      <c r="K440" s="6" t="s">
        <v>4509</v>
      </c>
      <c r="L440" s="6" t="s">
        <v>9218</v>
      </c>
      <c r="M440" s="6" t="s">
        <v>4509</v>
      </c>
      <c r="N440" s="6" t="s">
        <v>4537</v>
      </c>
    </row>
    <row r="441" s="1" customFormat="1" ht="16.35" customHeight="1" spans="1:14">
      <c r="A441" s="5"/>
      <c r="B441" s="6" t="s">
        <v>4506</v>
      </c>
      <c r="C441" s="6">
        <v>2015</v>
      </c>
      <c r="D441" s="6">
        <v>3</v>
      </c>
      <c r="E441" s="7">
        <v>33</v>
      </c>
      <c r="F441" s="6" t="s">
        <v>4552</v>
      </c>
      <c r="G441" s="6" t="s">
        <v>9370</v>
      </c>
      <c r="H441" s="6" t="s">
        <v>26</v>
      </c>
      <c r="I441" s="8"/>
      <c r="J441" s="8">
        <v>110000</v>
      </c>
      <c r="K441" s="6" t="s">
        <v>4509</v>
      </c>
      <c r="L441" s="6" t="s">
        <v>9218</v>
      </c>
      <c r="M441" s="6" t="s">
        <v>4509</v>
      </c>
      <c r="N441" s="6" t="s">
        <v>4537</v>
      </c>
    </row>
    <row r="442" s="1" customFormat="1" ht="16.35" customHeight="1" spans="1:14">
      <c r="A442" s="5"/>
      <c r="B442" s="6" t="s">
        <v>4506</v>
      </c>
      <c r="C442" s="6">
        <v>2015</v>
      </c>
      <c r="D442" s="6">
        <v>3</v>
      </c>
      <c r="E442" s="7">
        <v>34</v>
      </c>
      <c r="F442" s="6" t="s">
        <v>4552</v>
      </c>
      <c r="G442" s="6" t="s">
        <v>9370</v>
      </c>
      <c r="H442" s="6" t="s">
        <v>26</v>
      </c>
      <c r="I442" s="8"/>
      <c r="J442" s="8">
        <v>400000</v>
      </c>
      <c r="K442" s="6" t="s">
        <v>4509</v>
      </c>
      <c r="L442" s="6" t="s">
        <v>9218</v>
      </c>
      <c r="M442" s="6" t="s">
        <v>4509</v>
      </c>
      <c r="N442" s="6" t="s">
        <v>4537</v>
      </c>
    </row>
    <row r="443" s="1" customFormat="1" ht="16.35" customHeight="1" spans="1:14">
      <c r="A443" s="5"/>
      <c r="B443" s="6" t="s">
        <v>4506</v>
      </c>
      <c r="C443" s="6">
        <v>2015</v>
      </c>
      <c r="D443" s="6">
        <v>3</v>
      </c>
      <c r="E443" s="7">
        <v>37</v>
      </c>
      <c r="F443" s="6" t="s">
        <v>9681</v>
      </c>
      <c r="G443" s="6" t="s">
        <v>9370</v>
      </c>
      <c r="H443" s="6" t="s">
        <v>26</v>
      </c>
      <c r="I443" s="8"/>
      <c r="J443" s="8">
        <v>10000</v>
      </c>
      <c r="K443" s="6" t="s">
        <v>4514</v>
      </c>
      <c r="L443" s="6" t="s">
        <v>4511</v>
      </c>
      <c r="M443" s="6" t="s">
        <v>4509</v>
      </c>
      <c r="N443" s="6" t="s">
        <v>4537</v>
      </c>
    </row>
    <row r="444" s="1" customFormat="1" ht="16.35" customHeight="1" spans="1:14">
      <c r="A444" s="5"/>
      <c r="B444" s="6" t="s">
        <v>4506</v>
      </c>
      <c r="C444" s="6">
        <v>2015</v>
      </c>
      <c r="D444" s="6">
        <v>3</v>
      </c>
      <c r="E444" s="7">
        <v>38</v>
      </c>
      <c r="F444" s="6" t="s">
        <v>9385</v>
      </c>
      <c r="G444" s="6" t="s">
        <v>9370</v>
      </c>
      <c r="H444" s="6" t="s">
        <v>26</v>
      </c>
      <c r="I444" s="8">
        <v>8500</v>
      </c>
      <c r="J444" s="8"/>
      <c r="K444" s="6" t="s">
        <v>4512</v>
      </c>
      <c r="L444" s="6" t="s">
        <v>2906</v>
      </c>
      <c r="M444" s="6" t="s">
        <v>4509</v>
      </c>
      <c r="N444" s="6" t="s">
        <v>4537</v>
      </c>
    </row>
    <row r="445" s="1" customFormat="1" ht="16.35" customHeight="1" spans="1:14">
      <c r="A445" s="5"/>
      <c r="B445" s="6" t="s">
        <v>4506</v>
      </c>
      <c r="C445" s="6">
        <v>2015</v>
      </c>
      <c r="D445" s="6">
        <v>3</v>
      </c>
      <c r="E445" s="7">
        <v>41</v>
      </c>
      <c r="F445" s="6" t="s">
        <v>9682</v>
      </c>
      <c r="G445" s="6" t="s">
        <v>9370</v>
      </c>
      <c r="H445" s="6" t="s">
        <v>26</v>
      </c>
      <c r="I445" s="8"/>
      <c r="J445" s="8">
        <v>100000</v>
      </c>
      <c r="K445" s="6" t="s">
        <v>4514</v>
      </c>
      <c r="L445" s="6" t="s">
        <v>4511</v>
      </c>
      <c r="M445" s="6" t="s">
        <v>4509</v>
      </c>
      <c r="N445" s="6" t="s">
        <v>4537</v>
      </c>
    </row>
    <row r="446" s="1" customFormat="1" ht="16.35" customHeight="1" spans="1:14">
      <c r="A446" s="5"/>
      <c r="B446" s="6" t="s">
        <v>4506</v>
      </c>
      <c r="C446" s="6">
        <v>2015</v>
      </c>
      <c r="D446" s="6">
        <v>3</v>
      </c>
      <c r="E446" s="7">
        <v>43</v>
      </c>
      <c r="F446" s="6" t="s">
        <v>9683</v>
      </c>
      <c r="G446" s="6" t="s">
        <v>9370</v>
      </c>
      <c r="H446" s="6" t="s">
        <v>26</v>
      </c>
      <c r="I446" s="8"/>
      <c r="J446" s="8">
        <v>250000</v>
      </c>
      <c r="K446" s="6" t="s">
        <v>4514</v>
      </c>
      <c r="L446" s="6" t="s">
        <v>4511</v>
      </c>
      <c r="M446" s="6" t="s">
        <v>4509</v>
      </c>
      <c r="N446" s="6" t="s">
        <v>4537</v>
      </c>
    </row>
    <row r="447" s="1" customFormat="1" ht="16.35" customHeight="1" spans="1:14">
      <c r="A447" s="5"/>
      <c r="B447" s="6" t="s">
        <v>4506</v>
      </c>
      <c r="C447" s="6">
        <v>2015</v>
      </c>
      <c r="D447" s="6">
        <v>3</v>
      </c>
      <c r="E447" s="7">
        <v>44</v>
      </c>
      <c r="F447" s="6" t="s">
        <v>9435</v>
      </c>
      <c r="G447" s="6" t="s">
        <v>9370</v>
      </c>
      <c r="H447" s="6" t="s">
        <v>26</v>
      </c>
      <c r="I447" s="8"/>
      <c r="J447" s="8">
        <v>284954</v>
      </c>
      <c r="K447" s="6" t="s">
        <v>4509</v>
      </c>
      <c r="L447" s="6" t="s">
        <v>9218</v>
      </c>
      <c r="M447" s="6" t="s">
        <v>4509</v>
      </c>
      <c r="N447" s="6" t="s">
        <v>4537</v>
      </c>
    </row>
    <row r="448" s="1" customFormat="1" ht="16.35" customHeight="1" spans="1:14">
      <c r="A448" s="5"/>
      <c r="B448" s="6" t="s">
        <v>4506</v>
      </c>
      <c r="C448" s="6">
        <v>2015</v>
      </c>
      <c r="D448" s="6">
        <v>3</v>
      </c>
      <c r="E448" s="7">
        <v>45</v>
      </c>
      <c r="F448" s="6" t="s">
        <v>4552</v>
      </c>
      <c r="G448" s="6" t="s">
        <v>9370</v>
      </c>
      <c r="H448" s="6" t="s">
        <v>26</v>
      </c>
      <c r="I448" s="8"/>
      <c r="J448" s="8">
        <v>969956.56</v>
      </c>
      <c r="K448" s="6" t="s">
        <v>4509</v>
      </c>
      <c r="L448" s="6" t="s">
        <v>9218</v>
      </c>
      <c r="M448" s="6" t="s">
        <v>4509</v>
      </c>
      <c r="N448" s="6" t="s">
        <v>4537</v>
      </c>
    </row>
    <row r="449" s="1" customFormat="1" ht="16.35" customHeight="1" spans="1:14">
      <c r="A449" s="5"/>
      <c r="B449" s="6" t="s">
        <v>4506</v>
      </c>
      <c r="C449" s="6">
        <v>2015</v>
      </c>
      <c r="D449" s="6">
        <v>4</v>
      </c>
      <c r="E449" s="7">
        <v>2</v>
      </c>
      <c r="F449" s="6" t="s">
        <v>9684</v>
      </c>
      <c r="G449" s="6" t="s">
        <v>9370</v>
      </c>
      <c r="H449" s="6" t="s">
        <v>26</v>
      </c>
      <c r="I449" s="8"/>
      <c r="J449" s="8">
        <v>230000</v>
      </c>
      <c r="K449" s="6" t="s">
        <v>4514</v>
      </c>
      <c r="L449" s="6" t="s">
        <v>4511</v>
      </c>
      <c r="M449" s="6" t="s">
        <v>4509</v>
      </c>
      <c r="N449" s="6" t="s">
        <v>4537</v>
      </c>
    </row>
    <row r="450" s="1" customFormat="1" ht="16.35" customHeight="1" spans="1:14">
      <c r="A450" s="5"/>
      <c r="B450" s="6" t="s">
        <v>4506</v>
      </c>
      <c r="C450" s="6">
        <v>2015</v>
      </c>
      <c r="D450" s="6">
        <v>4</v>
      </c>
      <c r="E450" s="7">
        <v>4</v>
      </c>
      <c r="F450" s="6" t="s">
        <v>9685</v>
      </c>
      <c r="G450" s="6" t="s">
        <v>9370</v>
      </c>
      <c r="H450" s="6" t="s">
        <v>26</v>
      </c>
      <c r="I450" s="8"/>
      <c r="J450" s="8">
        <v>100000</v>
      </c>
      <c r="K450" s="6" t="s">
        <v>4509</v>
      </c>
      <c r="L450" s="6" t="s">
        <v>9218</v>
      </c>
      <c r="M450" s="6" t="s">
        <v>4509</v>
      </c>
      <c r="N450" s="6" t="s">
        <v>4537</v>
      </c>
    </row>
    <row r="451" s="1" customFormat="1" ht="16.35" customHeight="1" spans="1:14">
      <c r="A451" s="5"/>
      <c r="B451" s="6" t="s">
        <v>4506</v>
      </c>
      <c r="C451" s="6">
        <v>2015</v>
      </c>
      <c r="D451" s="6">
        <v>4</v>
      </c>
      <c r="E451" s="7">
        <v>6</v>
      </c>
      <c r="F451" s="6" t="s">
        <v>9686</v>
      </c>
      <c r="G451" s="6" t="s">
        <v>9370</v>
      </c>
      <c r="H451" s="6" t="s">
        <v>26</v>
      </c>
      <c r="I451" s="8"/>
      <c r="J451" s="8">
        <v>20000</v>
      </c>
      <c r="K451" s="6" t="s">
        <v>4514</v>
      </c>
      <c r="L451" s="6" t="s">
        <v>4511</v>
      </c>
      <c r="M451" s="6" t="s">
        <v>4509</v>
      </c>
      <c r="N451" s="6" t="s">
        <v>4537</v>
      </c>
    </row>
    <row r="452" s="1" customFormat="1" ht="16.35" customHeight="1" spans="1:14">
      <c r="A452" s="5"/>
      <c r="B452" s="6" t="s">
        <v>4506</v>
      </c>
      <c r="C452" s="6">
        <v>2015</v>
      </c>
      <c r="D452" s="6">
        <v>4</v>
      </c>
      <c r="E452" s="7">
        <v>7</v>
      </c>
      <c r="F452" s="6" t="s">
        <v>9667</v>
      </c>
      <c r="G452" s="6" t="s">
        <v>9370</v>
      </c>
      <c r="H452" s="6" t="s">
        <v>26</v>
      </c>
      <c r="I452" s="8"/>
      <c r="J452" s="8">
        <v>683532</v>
      </c>
      <c r="K452" s="6" t="s">
        <v>4509</v>
      </c>
      <c r="L452" s="6" t="s">
        <v>9218</v>
      </c>
      <c r="M452" s="6" t="s">
        <v>4509</v>
      </c>
      <c r="N452" s="6" t="s">
        <v>4537</v>
      </c>
    </row>
    <row r="453" s="1" customFormat="1" ht="16.35" customHeight="1" spans="1:14">
      <c r="A453" s="5"/>
      <c r="B453" s="6" t="s">
        <v>4506</v>
      </c>
      <c r="C453" s="6">
        <v>2015</v>
      </c>
      <c r="D453" s="6">
        <v>4</v>
      </c>
      <c r="E453" s="7">
        <v>8</v>
      </c>
      <c r="F453" s="6" t="s">
        <v>9687</v>
      </c>
      <c r="G453" s="6" t="s">
        <v>9370</v>
      </c>
      <c r="H453" s="6" t="s">
        <v>26</v>
      </c>
      <c r="I453" s="8"/>
      <c r="J453" s="8">
        <v>17092</v>
      </c>
      <c r="K453" s="6" t="s">
        <v>4514</v>
      </c>
      <c r="L453" s="6" t="s">
        <v>4511</v>
      </c>
      <c r="M453" s="6" t="s">
        <v>4509</v>
      </c>
      <c r="N453" s="6" t="s">
        <v>4537</v>
      </c>
    </row>
    <row r="454" s="1" customFormat="1" ht="16.35" customHeight="1" spans="1:14">
      <c r="A454" s="5"/>
      <c r="B454" s="6" t="s">
        <v>4506</v>
      </c>
      <c r="C454" s="6">
        <v>2015</v>
      </c>
      <c r="D454" s="6">
        <v>4</v>
      </c>
      <c r="E454" s="7">
        <v>9</v>
      </c>
      <c r="F454" s="6" t="s">
        <v>9688</v>
      </c>
      <c r="G454" s="6" t="s">
        <v>9370</v>
      </c>
      <c r="H454" s="6" t="s">
        <v>26</v>
      </c>
      <c r="I454" s="8"/>
      <c r="J454" s="8">
        <v>33413</v>
      </c>
      <c r="K454" s="6" t="s">
        <v>4514</v>
      </c>
      <c r="L454" s="6" t="s">
        <v>4511</v>
      </c>
      <c r="M454" s="6" t="s">
        <v>4509</v>
      </c>
      <c r="N454" s="6" t="s">
        <v>4537</v>
      </c>
    </row>
    <row r="455" s="1" customFormat="1" ht="16.35" customHeight="1" spans="1:14">
      <c r="A455" s="5"/>
      <c r="B455" s="6" t="s">
        <v>4506</v>
      </c>
      <c r="C455" s="6">
        <v>2015</v>
      </c>
      <c r="D455" s="6">
        <v>4</v>
      </c>
      <c r="E455" s="7">
        <v>14</v>
      </c>
      <c r="F455" s="6" t="s">
        <v>9689</v>
      </c>
      <c r="G455" s="6" t="s">
        <v>9370</v>
      </c>
      <c r="H455" s="6" t="s">
        <v>26</v>
      </c>
      <c r="I455" s="8"/>
      <c r="J455" s="8">
        <v>307.48</v>
      </c>
      <c r="K455" s="6" t="s">
        <v>4510</v>
      </c>
      <c r="L455" s="6" t="s">
        <v>9447</v>
      </c>
      <c r="M455" s="6" t="s">
        <v>4509</v>
      </c>
      <c r="N455" s="6" t="s">
        <v>4537</v>
      </c>
    </row>
    <row r="456" s="1" customFormat="1" ht="16.35" customHeight="1" spans="1:14">
      <c r="A456" s="5"/>
      <c r="B456" s="6" t="s">
        <v>4506</v>
      </c>
      <c r="C456" s="6">
        <v>2015</v>
      </c>
      <c r="D456" s="6">
        <v>4</v>
      </c>
      <c r="E456" s="7">
        <v>14</v>
      </c>
      <c r="F456" s="6" t="s">
        <v>9689</v>
      </c>
      <c r="G456" s="6" t="s">
        <v>9370</v>
      </c>
      <c r="H456" s="6" t="s">
        <v>26</v>
      </c>
      <c r="I456" s="8"/>
      <c r="J456" s="8">
        <v>183.2</v>
      </c>
      <c r="K456" s="6" t="s">
        <v>4516</v>
      </c>
      <c r="L456" s="6" t="s">
        <v>9449</v>
      </c>
      <c r="M456" s="6" t="s">
        <v>4509</v>
      </c>
      <c r="N456" s="6" t="s">
        <v>4537</v>
      </c>
    </row>
    <row r="457" s="1" customFormat="1" ht="16.35" customHeight="1" spans="1:14">
      <c r="A457" s="5"/>
      <c r="B457" s="6" t="s">
        <v>4506</v>
      </c>
      <c r="C457" s="6">
        <v>2015</v>
      </c>
      <c r="D457" s="6">
        <v>4</v>
      </c>
      <c r="E457" s="7">
        <v>15</v>
      </c>
      <c r="F457" s="6" t="s">
        <v>9690</v>
      </c>
      <c r="G457" s="6" t="s">
        <v>9370</v>
      </c>
      <c r="H457" s="6" t="s">
        <v>26</v>
      </c>
      <c r="I457" s="8"/>
      <c r="J457" s="8">
        <v>20000</v>
      </c>
      <c r="K457" s="6" t="s">
        <v>4514</v>
      </c>
      <c r="L457" s="6" t="s">
        <v>4511</v>
      </c>
      <c r="M457" s="6" t="s">
        <v>4509</v>
      </c>
      <c r="N457" s="6" t="s">
        <v>4537</v>
      </c>
    </row>
    <row r="458" s="1" customFormat="1" ht="16.35" customHeight="1" spans="1:14">
      <c r="A458" s="5"/>
      <c r="B458" s="6" t="s">
        <v>4506</v>
      </c>
      <c r="C458" s="6">
        <v>2015</v>
      </c>
      <c r="D458" s="6">
        <v>4</v>
      </c>
      <c r="E458" s="7">
        <v>17</v>
      </c>
      <c r="F458" s="6" t="s">
        <v>9691</v>
      </c>
      <c r="G458" s="6" t="s">
        <v>9370</v>
      </c>
      <c r="H458" s="6" t="s">
        <v>26</v>
      </c>
      <c r="I458" s="8"/>
      <c r="J458" s="8">
        <v>250000</v>
      </c>
      <c r="K458" s="6" t="s">
        <v>4514</v>
      </c>
      <c r="L458" s="6" t="s">
        <v>4511</v>
      </c>
      <c r="M458" s="6" t="s">
        <v>4509</v>
      </c>
      <c r="N458" s="6" t="s">
        <v>4537</v>
      </c>
    </row>
    <row r="459" s="1" customFormat="1" ht="16.35" customHeight="1" spans="1:14">
      <c r="A459" s="5"/>
      <c r="B459" s="6" t="s">
        <v>4506</v>
      </c>
      <c r="C459" s="6">
        <v>2015</v>
      </c>
      <c r="D459" s="6">
        <v>4</v>
      </c>
      <c r="E459" s="7">
        <v>18</v>
      </c>
      <c r="F459" s="6" t="s">
        <v>9692</v>
      </c>
      <c r="G459" s="6" t="s">
        <v>9370</v>
      </c>
      <c r="H459" s="6" t="s">
        <v>26</v>
      </c>
      <c r="I459" s="8"/>
      <c r="J459" s="8">
        <v>280000</v>
      </c>
      <c r="K459" s="6" t="s">
        <v>4514</v>
      </c>
      <c r="L459" s="6" t="s">
        <v>4511</v>
      </c>
      <c r="M459" s="6" t="s">
        <v>4509</v>
      </c>
      <c r="N459" s="6" t="s">
        <v>4537</v>
      </c>
    </row>
    <row r="460" s="1" customFormat="1" ht="16.35" customHeight="1" spans="1:14">
      <c r="A460" s="5"/>
      <c r="B460" s="6" t="s">
        <v>4506</v>
      </c>
      <c r="C460" s="6">
        <v>2015</v>
      </c>
      <c r="D460" s="6">
        <v>4</v>
      </c>
      <c r="E460" s="7">
        <v>19</v>
      </c>
      <c r="F460" s="6" t="s">
        <v>9693</v>
      </c>
      <c r="G460" s="6" t="s">
        <v>9370</v>
      </c>
      <c r="H460" s="6" t="s">
        <v>26</v>
      </c>
      <c r="I460" s="8"/>
      <c r="J460" s="8">
        <v>210000</v>
      </c>
      <c r="K460" s="6" t="s">
        <v>4514</v>
      </c>
      <c r="L460" s="6" t="s">
        <v>4511</v>
      </c>
      <c r="M460" s="6" t="s">
        <v>4509</v>
      </c>
      <c r="N460" s="6" t="s">
        <v>4537</v>
      </c>
    </row>
    <row r="461" s="1" customFormat="1" ht="16.35" customHeight="1" spans="1:14">
      <c r="A461" s="5"/>
      <c r="B461" s="6" t="s">
        <v>4506</v>
      </c>
      <c r="C461" s="6">
        <v>2015</v>
      </c>
      <c r="D461" s="6">
        <v>4</v>
      </c>
      <c r="E461" s="7">
        <v>20</v>
      </c>
      <c r="F461" s="6" t="s">
        <v>9694</v>
      </c>
      <c r="G461" s="6" t="s">
        <v>9370</v>
      </c>
      <c r="H461" s="6" t="s">
        <v>26</v>
      </c>
      <c r="I461" s="8"/>
      <c r="J461" s="8">
        <v>190000</v>
      </c>
      <c r="K461" s="6" t="s">
        <v>4514</v>
      </c>
      <c r="L461" s="6" t="s">
        <v>4511</v>
      </c>
      <c r="M461" s="6" t="s">
        <v>4509</v>
      </c>
      <c r="N461" s="6" t="s">
        <v>4537</v>
      </c>
    </row>
    <row r="462" s="1" customFormat="1" ht="16.35" customHeight="1" spans="1:14">
      <c r="A462" s="5"/>
      <c r="B462" s="6" t="s">
        <v>4506</v>
      </c>
      <c r="C462" s="6">
        <v>2015</v>
      </c>
      <c r="D462" s="6">
        <v>4</v>
      </c>
      <c r="E462" s="7">
        <v>22</v>
      </c>
      <c r="F462" s="6" t="s">
        <v>9681</v>
      </c>
      <c r="G462" s="6" t="s">
        <v>9370</v>
      </c>
      <c r="H462" s="6" t="s">
        <v>26</v>
      </c>
      <c r="I462" s="8"/>
      <c r="J462" s="8">
        <v>91970</v>
      </c>
      <c r="K462" s="6" t="s">
        <v>4514</v>
      </c>
      <c r="L462" s="6" t="s">
        <v>4511</v>
      </c>
      <c r="M462" s="6" t="s">
        <v>4509</v>
      </c>
      <c r="N462" s="6" t="s">
        <v>4537</v>
      </c>
    </row>
    <row r="463" s="1" customFormat="1" ht="16.35" customHeight="1" spans="1:14">
      <c r="A463" s="5"/>
      <c r="B463" s="6" t="s">
        <v>4506</v>
      </c>
      <c r="C463" s="6">
        <v>2015</v>
      </c>
      <c r="D463" s="6">
        <v>4</v>
      </c>
      <c r="E463" s="7">
        <v>26</v>
      </c>
      <c r="F463" s="6" t="s">
        <v>9690</v>
      </c>
      <c r="G463" s="6" t="s">
        <v>9370</v>
      </c>
      <c r="H463" s="6" t="s">
        <v>26</v>
      </c>
      <c r="I463" s="8"/>
      <c r="J463" s="8">
        <v>284091</v>
      </c>
      <c r="K463" s="6" t="s">
        <v>4514</v>
      </c>
      <c r="L463" s="6" t="s">
        <v>4511</v>
      </c>
      <c r="M463" s="6" t="s">
        <v>4509</v>
      </c>
      <c r="N463" s="6" t="s">
        <v>4537</v>
      </c>
    </row>
    <row r="464" s="1" customFormat="1" ht="16.35" customHeight="1" spans="1:14">
      <c r="A464" s="5"/>
      <c r="B464" s="6" t="s">
        <v>4506</v>
      </c>
      <c r="C464" s="6">
        <v>2015</v>
      </c>
      <c r="D464" s="6">
        <v>4</v>
      </c>
      <c r="E464" s="7">
        <v>29</v>
      </c>
      <c r="F464" s="6" t="s">
        <v>9695</v>
      </c>
      <c r="G464" s="6" t="s">
        <v>9370</v>
      </c>
      <c r="H464" s="6" t="s">
        <v>26</v>
      </c>
      <c r="I464" s="8"/>
      <c r="J464" s="8">
        <v>-20000</v>
      </c>
      <c r="K464" s="6" t="s">
        <v>4514</v>
      </c>
      <c r="L464" s="6" t="s">
        <v>4511</v>
      </c>
      <c r="M464" s="6" t="s">
        <v>4509</v>
      </c>
      <c r="N464" s="6" t="s">
        <v>4537</v>
      </c>
    </row>
    <row r="465" s="1" customFormat="1" ht="16.35" customHeight="1" spans="1:14">
      <c r="A465" s="5"/>
      <c r="B465" s="6" t="s">
        <v>4506</v>
      </c>
      <c r="C465" s="6">
        <v>2015</v>
      </c>
      <c r="D465" s="6">
        <v>4</v>
      </c>
      <c r="E465" s="7">
        <v>30</v>
      </c>
      <c r="F465" s="6" t="s">
        <v>9696</v>
      </c>
      <c r="G465" s="6" t="s">
        <v>9370</v>
      </c>
      <c r="H465" s="6" t="s">
        <v>26</v>
      </c>
      <c r="I465" s="8"/>
      <c r="J465" s="8">
        <v>10000</v>
      </c>
      <c r="K465" s="6" t="s">
        <v>4514</v>
      </c>
      <c r="L465" s="6" t="s">
        <v>4511</v>
      </c>
      <c r="M465" s="6" t="s">
        <v>4509</v>
      </c>
      <c r="N465" s="6" t="s">
        <v>4537</v>
      </c>
    </row>
    <row r="466" s="1" customFormat="1" ht="16.35" customHeight="1" spans="1:14">
      <c r="A466" s="5"/>
      <c r="B466" s="6" t="s">
        <v>4506</v>
      </c>
      <c r="C466" s="6">
        <v>2015</v>
      </c>
      <c r="D466" s="6">
        <v>4</v>
      </c>
      <c r="E466" s="7">
        <v>32</v>
      </c>
      <c r="F466" s="6" t="s">
        <v>4546</v>
      </c>
      <c r="G466" s="6" t="s">
        <v>9370</v>
      </c>
      <c r="H466" s="6" t="s">
        <v>26</v>
      </c>
      <c r="I466" s="8"/>
      <c r="J466" s="8">
        <v>28901</v>
      </c>
      <c r="K466" s="6" t="s">
        <v>4509</v>
      </c>
      <c r="L466" s="6" t="s">
        <v>9218</v>
      </c>
      <c r="M466" s="6" t="s">
        <v>4509</v>
      </c>
      <c r="N466" s="6" t="s">
        <v>4537</v>
      </c>
    </row>
    <row r="467" s="1" customFormat="1" ht="16.35" customHeight="1" spans="1:14">
      <c r="A467" s="5"/>
      <c r="B467" s="6" t="s">
        <v>4506</v>
      </c>
      <c r="C467" s="6">
        <v>2015</v>
      </c>
      <c r="D467" s="6">
        <v>4</v>
      </c>
      <c r="E467" s="7">
        <v>35</v>
      </c>
      <c r="F467" s="6" t="s">
        <v>4549</v>
      </c>
      <c r="G467" s="6" t="s">
        <v>9370</v>
      </c>
      <c r="H467" s="6" t="s">
        <v>26</v>
      </c>
      <c r="I467" s="8"/>
      <c r="J467" s="8">
        <v>40807</v>
      </c>
      <c r="K467" s="6" t="s">
        <v>4509</v>
      </c>
      <c r="L467" s="6" t="s">
        <v>9218</v>
      </c>
      <c r="M467" s="6" t="s">
        <v>4509</v>
      </c>
      <c r="N467" s="6" t="s">
        <v>4537</v>
      </c>
    </row>
    <row r="468" s="1" customFormat="1" ht="16.35" customHeight="1" spans="1:14">
      <c r="A468" s="5"/>
      <c r="B468" s="6" t="s">
        <v>4506</v>
      </c>
      <c r="C468" s="6">
        <v>2015</v>
      </c>
      <c r="D468" s="6">
        <v>5</v>
      </c>
      <c r="E468" s="7">
        <v>5</v>
      </c>
      <c r="F468" s="6" t="s">
        <v>9697</v>
      </c>
      <c r="G468" s="6" t="s">
        <v>9370</v>
      </c>
      <c r="H468" s="6" t="s">
        <v>26</v>
      </c>
      <c r="I468" s="8"/>
      <c r="J468" s="8">
        <v>1311</v>
      </c>
      <c r="K468" s="6" t="s">
        <v>4512</v>
      </c>
      <c r="L468" s="6" t="s">
        <v>2906</v>
      </c>
      <c r="M468" s="6" t="s">
        <v>4509</v>
      </c>
      <c r="N468" s="6" t="s">
        <v>4537</v>
      </c>
    </row>
    <row r="469" s="1" customFormat="1" ht="16.35" customHeight="1" spans="1:14">
      <c r="A469" s="5"/>
      <c r="B469" s="6" t="s">
        <v>4506</v>
      </c>
      <c r="C469" s="6">
        <v>2015</v>
      </c>
      <c r="D469" s="6">
        <v>5</v>
      </c>
      <c r="E469" s="7">
        <v>6</v>
      </c>
      <c r="F469" s="6" t="s">
        <v>9696</v>
      </c>
      <c r="G469" s="6" t="s">
        <v>9370</v>
      </c>
      <c r="H469" s="6" t="s">
        <v>26</v>
      </c>
      <c r="I469" s="8"/>
      <c r="J469" s="8">
        <v>75769</v>
      </c>
      <c r="K469" s="6" t="s">
        <v>4514</v>
      </c>
      <c r="L469" s="6" t="s">
        <v>4511</v>
      </c>
      <c r="M469" s="6" t="s">
        <v>4509</v>
      </c>
      <c r="N469" s="6" t="s">
        <v>4537</v>
      </c>
    </row>
    <row r="470" s="1" customFormat="1" ht="16.35" customHeight="1" spans="1:14">
      <c r="A470" s="5"/>
      <c r="B470" s="6" t="s">
        <v>4506</v>
      </c>
      <c r="C470" s="6">
        <v>2015</v>
      </c>
      <c r="D470" s="6">
        <v>5</v>
      </c>
      <c r="E470" s="7">
        <v>7</v>
      </c>
      <c r="F470" s="6" t="s">
        <v>9698</v>
      </c>
      <c r="G470" s="6" t="s">
        <v>9370</v>
      </c>
      <c r="H470" s="6" t="s">
        <v>26</v>
      </c>
      <c r="I470" s="8"/>
      <c r="J470" s="8">
        <v>6795</v>
      </c>
      <c r="K470" s="6" t="s">
        <v>4514</v>
      </c>
      <c r="L470" s="6" t="s">
        <v>4511</v>
      </c>
      <c r="M470" s="6" t="s">
        <v>4509</v>
      </c>
      <c r="N470" s="6" t="s">
        <v>4537</v>
      </c>
    </row>
    <row r="471" s="1" customFormat="1" ht="16.35" customHeight="1" spans="1:14">
      <c r="A471" s="5"/>
      <c r="B471" s="6" t="s">
        <v>4506</v>
      </c>
      <c r="C471" s="6">
        <v>2015</v>
      </c>
      <c r="D471" s="6">
        <v>5</v>
      </c>
      <c r="E471" s="7">
        <v>8</v>
      </c>
      <c r="F471" s="6" t="s">
        <v>9699</v>
      </c>
      <c r="G471" s="6" t="s">
        <v>9370</v>
      </c>
      <c r="H471" s="6" t="s">
        <v>26</v>
      </c>
      <c r="I471" s="8"/>
      <c r="J471" s="8">
        <v>6800</v>
      </c>
      <c r="K471" s="6" t="s">
        <v>4514</v>
      </c>
      <c r="L471" s="6" t="s">
        <v>4511</v>
      </c>
      <c r="M471" s="6" t="s">
        <v>4509</v>
      </c>
      <c r="N471" s="6" t="s">
        <v>4537</v>
      </c>
    </row>
    <row r="472" s="1" customFormat="1" ht="16.35" customHeight="1" spans="1:14">
      <c r="A472" s="5"/>
      <c r="B472" s="6" t="s">
        <v>4506</v>
      </c>
      <c r="C472" s="6">
        <v>2015</v>
      </c>
      <c r="D472" s="6">
        <v>5</v>
      </c>
      <c r="E472" s="7">
        <v>9</v>
      </c>
      <c r="F472" s="6" t="s">
        <v>9700</v>
      </c>
      <c r="G472" s="6" t="s">
        <v>9370</v>
      </c>
      <c r="H472" s="6" t="s">
        <v>26</v>
      </c>
      <c r="I472" s="8"/>
      <c r="J472" s="8">
        <v>79973.7</v>
      </c>
      <c r="K472" s="6" t="s">
        <v>4509</v>
      </c>
      <c r="L472" s="6" t="s">
        <v>9218</v>
      </c>
      <c r="M472" s="6" t="s">
        <v>4509</v>
      </c>
      <c r="N472" s="6" t="s">
        <v>4537</v>
      </c>
    </row>
    <row r="473" s="1" customFormat="1" ht="16.35" customHeight="1" spans="1:14">
      <c r="A473" s="5"/>
      <c r="B473" s="6" t="s">
        <v>4506</v>
      </c>
      <c r="C473" s="6">
        <v>2015</v>
      </c>
      <c r="D473" s="6">
        <v>5</v>
      </c>
      <c r="E473" s="7">
        <v>10</v>
      </c>
      <c r="F473" s="6" t="s">
        <v>9476</v>
      </c>
      <c r="G473" s="6" t="s">
        <v>9370</v>
      </c>
      <c r="H473" s="6" t="s">
        <v>26</v>
      </c>
      <c r="I473" s="8">
        <v>1000000</v>
      </c>
      <c r="J473" s="8"/>
      <c r="K473" s="6" t="s">
        <v>4509</v>
      </c>
      <c r="L473" s="6" t="s">
        <v>9218</v>
      </c>
      <c r="M473" s="6" t="s">
        <v>4509</v>
      </c>
      <c r="N473" s="6" t="s">
        <v>4537</v>
      </c>
    </row>
    <row r="474" s="1" customFormat="1" ht="16.35" customHeight="1" spans="1:14">
      <c r="A474" s="5"/>
      <c r="B474" s="6" t="s">
        <v>4506</v>
      </c>
      <c r="C474" s="6">
        <v>2015</v>
      </c>
      <c r="D474" s="6">
        <v>5</v>
      </c>
      <c r="E474" s="7">
        <v>12</v>
      </c>
      <c r="F474" s="6" t="s">
        <v>9662</v>
      </c>
      <c r="G474" s="6" t="s">
        <v>9370</v>
      </c>
      <c r="H474" s="6" t="s">
        <v>26</v>
      </c>
      <c r="I474" s="8">
        <v>768</v>
      </c>
      <c r="J474" s="8"/>
      <c r="K474" s="6" t="s">
        <v>4512</v>
      </c>
      <c r="L474" s="6" t="s">
        <v>2906</v>
      </c>
      <c r="M474" s="6" t="s">
        <v>4509</v>
      </c>
      <c r="N474" s="6" t="s">
        <v>4537</v>
      </c>
    </row>
    <row r="475" s="1" customFormat="1" ht="16.35" customHeight="1" spans="1:14">
      <c r="A475" s="5"/>
      <c r="B475" s="6" t="s">
        <v>4506</v>
      </c>
      <c r="C475" s="6">
        <v>2015</v>
      </c>
      <c r="D475" s="6">
        <v>5</v>
      </c>
      <c r="E475" s="7">
        <v>16</v>
      </c>
      <c r="F475" s="6" t="s">
        <v>9701</v>
      </c>
      <c r="G475" s="6" t="s">
        <v>9370</v>
      </c>
      <c r="H475" s="6" t="s">
        <v>26</v>
      </c>
      <c r="I475" s="8"/>
      <c r="J475" s="8">
        <v>210000</v>
      </c>
      <c r="K475" s="6" t="s">
        <v>4514</v>
      </c>
      <c r="L475" s="6" t="s">
        <v>4511</v>
      </c>
      <c r="M475" s="6" t="s">
        <v>4509</v>
      </c>
      <c r="N475" s="6" t="s">
        <v>4537</v>
      </c>
    </row>
    <row r="476" s="1" customFormat="1" ht="16.35" customHeight="1" spans="1:14">
      <c r="A476" s="5"/>
      <c r="B476" s="6" t="s">
        <v>4506</v>
      </c>
      <c r="C476" s="6">
        <v>2015</v>
      </c>
      <c r="D476" s="6">
        <v>5</v>
      </c>
      <c r="E476" s="7">
        <v>18</v>
      </c>
      <c r="F476" s="6" t="s">
        <v>9702</v>
      </c>
      <c r="G476" s="6" t="s">
        <v>9370</v>
      </c>
      <c r="H476" s="6" t="s">
        <v>26</v>
      </c>
      <c r="I476" s="8"/>
      <c r="J476" s="8">
        <v>200000</v>
      </c>
      <c r="K476" s="6" t="s">
        <v>4514</v>
      </c>
      <c r="L476" s="6" t="s">
        <v>4511</v>
      </c>
      <c r="M476" s="6" t="s">
        <v>4509</v>
      </c>
      <c r="N476" s="6" t="s">
        <v>4537</v>
      </c>
    </row>
    <row r="477" s="1" customFormat="1" ht="16.35" customHeight="1" spans="1:14">
      <c r="A477" s="5"/>
      <c r="B477" s="6" t="s">
        <v>4506</v>
      </c>
      <c r="C477" s="6">
        <v>2015</v>
      </c>
      <c r="D477" s="6">
        <v>5</v>
      </c>
      <c r="E477" s="7">
        <v>19</v>
      </c>
      <c r="F477" s="6" t="s">
        <v>9703</v>
      </c>
      <c r="G477" s="6" t="s">
        <v>9370</v>
      </c>
      <c r="H477" s="6" t="s">
        <v>26</v>
      </c>
      <c r="I477" s="8"/>
      <c r="J477" s="8">
        <v>180000</v>
      </c>
      <c r="K477" s="6" t="s">
        <v>4514</v>
      </c>
      <c r="L477" s="6" t="s">
        <v>4511</v>
      </c>
      <c r="M477" s="6" t="s">
        <v>4509</v>
      </c>
      <c r="N477" s="6" t="s">
        <v>4537</v>
      </c>
    </row>
    <row r="478" s="1" customFormat="1" ht="16.35" customHeight="1" spans="1:14">
      <c r="A478" s="5"/>
      <c r="B478" s="6" t="s">
        <v>4506</v>
      </c>
      <c r="C478" s="6">
        <v>2015</v>
      </c>
      <c r="D478" s="6">
        <v>5</v>
      </c>
      <c r="E478" s="7">
        <v>22</v>
      </c>
      <c r="F478" s="6" t="s">
        <v>9704</v>
      </c>
      <c r="G478" s="6" t="s">
        <v>9370</v>
      </c>
      <c r="H478" s="6" t="s">
        <v>26</v>
      </c>
      <c r="I478" s="8"/>
      <c r="J478" s="8">
        <v>307.48</v>
      </c>
      <c r="K478" s="6" t="s">
        <v>4510</v>
      </c>
      <c r="L478" s="6" t="s">
        <v>9447</v>
      </c>
      <c r="M478" s="6" t="s">
        <v>4509</v>
      </c>
      <c r="N478" s="6" t="s">
        <v>4537</v>
      </c>
    </row>
    <row r="479" s="1" customFormat="1" ht="16.35" customHeight="1" spans="1:14">
      <c r="A479" s="5"/>
      <c r="B479" s="6" t="s">
        <v>4506</v>
      </c>
      <c r="C479" s="6">
        <v>2015</v>
      </c>
      <c r="D479" s="6">
        <v>5</v>
      </c>
      <c r="E479" s="7">
        <v>22</v>
      </c>
      <c r="F479" s="6" t="s">
        <v>9704</v>
      </c>
      <c r="G479" s="6" t="s">
        <v>9370</v>
      </c>
      <c r="H479" s="6" t="s">
        <v>26</v>
      </c>
      <c r="I479" s="8"/>
      <c r="J479" s="8">
        <v>183.2</v>
      </c>
      <c r="K479" s="6" t="s">
        <v>4516</v>
      </c>
      <c r="L479" s="6" t="s">
        <v>9449</v>
      </c>
      <c r="M479" s="6" t="s">
        <v>4509</v>
      </c>
      <c r="N479" s="6" t="s">
        <v>4537</v>
      </c>
    </row>
    <row r="480" s="1" customFormat="1" ht="16.35" customHeight="1" spans="1:14">
      <c r="A480" s="5"/>
      <c r="B480" s="6" t="s">
        <v>4506</v>
      </c>
      <c r="C480" s="6">
        <v>2015</v>
      </c>
      <c r="D480" s="6">
        <v>5</v>
      </c>
      <c r="E480" s="7">
        <v>27</v>
      </c>
      <c r="F480" s="6" t="s">
        <v>9705</v>
      </c>
      <c r="G480" s="6" t="s">
        <v>9370</v>
      </c>
      <c r="H480" s="6" t="s">
        <v>26</v>
      </c>
      <c r="I480" s="8"/>
      <c r="J480" s="8">
        <v>511345</v>
      </c>
      <c r="K480" s="6" t="s">
        <v>4512</v>
      </c>
      <c r="L480" s="6" t="s">
        <v>2906</v>
      </c>
      <c r="M480" s="6" t="s">
        <v>4509</v>
      </c>
      <c r="N480" s="6" t="s">
        <v>4537</v>
      </c>
    </row>
    <row r="481" s="1" customFormat="1" ht="16.35" customHeight="1" spans="1:14">
      <c r="A481" s="5"/>
      <c r="B481" s="6" t="s">
        <v>4506</v>
      </c>
      <c r="C481" s="6">
        <v>2015</v>
      </c>
      <c r="D481" s="6">
        <v>5</v>
      </c>
      <c r="E481" s="7">
        <v>28</v>
      </c>
      <c r="F481" s="6" t="s">
        <v>9706</v>
      </c>
      <c r="G481" s="6" t="s">
        <v>9370</v>
      </c>
      <c r="H481" s="6" t="s">
        <v>26</v>
      </c>
      <c r="I481" s="8"/>
      <c r="J481" s="8">
        <v>240000</v>
      </c>
      <c r="K481" s="6" t="s">
        <v>4514</v>
      </c>
      <c r="L481" s="6" t="s">
        <v>4511</v>
      </c>
      <c r="M481" s="6" t="s">
        <v>4509</v>
      </c>
      <c r="N481" s="6" t="s">
        <v>4537</v>
      </c>
    </row>
    <row r="482" s="1" customFormat="1" ht="16.35" customHeight="1" spans="1:14">
      <c r="A482" s="5"/>
      <c r="B482" s="6" t="s">
        <v>4506</v>
      </c>
      <c r="C482" s="6">
        <v>2015</v>
      </c>
      <c r="D482" s="6">
        <v>5</v>
      </c>
      <c r="E482" s="7">
        <v>29</v>
      </c>
      <c r="F482" s="6" t="s">
        <v>9707</v>
      </c>
      <c r="G482" s="6" t="s">
        <v>9370</v>
      </c>
      <c r="H482" s="6" t="s">
        <v>26</v>
      </c>
      <c r="I482" s="8"/>
      <c r="J482" s="8">
        <v>10000</v>
      </c>
      <c r="K482" s="6" t="s">
        <v>4512</v>
      </c>
      <c r="L482" s="6" t="s">
        <v>2906</v>
      </c>
      <c r="M482" s="6" t="s">
        <v>4509</v>
      </c>
      <c r="N482" s="6" t="s">
        <v>4537</v>
      </c>
    </row>
    <row r="483" s="1" customFormat="1" ht="16.35" customHeight="1" spans="1:14">
      <c r="A483" s="5"/>
      <c r="B483" s="6" t="s">
        <v>4506</v>
      </c>
      <c r="C483" s="6">
        <v>2015</v>
      </c>
      <c r="D483" s="6">
        <v>5</v>
      </c>
      <c r="E483" s="7">
        <v>32</v>
      </c>
      <c r="F483" s="6" t="s">
        <v>9708</v>
      </c>
      <c r="G483" s="6" t="s">
        <v>9370</v>
      </c>
      <c r="H483" s="6" t="s">
        <v>26</v>
      </c>
      <c r="I483" s="8"/>
      <c r="J483" s="8">
        <v>198828.3</v>
      </c>
      <c r="K483" s="6" t="s">
        <v>4512</v>
      </c>
      <c r="L483" s="6" t="s">
        <v>2906</v>
      </c>
      <c r="M483" s="6" t="s">
        <v>4509</v>
      </c>
      <c r="N483" s="6" t="s">
        <v>4537</v>
      </c>
    </row>
    <row r="484" s="1" customFormat="1" ht="16.35" customHeight="1" spans="1:14">
      <c r="A484" s="5"/>
      <c r="B484" s="6" t="s">
        <v>4506</v>
      </c>
      <c r="C484" s="6">
        <v>2015</v>
      </c>
      <c r="D484" s="6">
        <v>5</v>
      </c>
      <c r="E484" s="7">
        <v>33</v>
      </c>
      <c r="F484" s="6" t="s">
        <v>9709</v>
      </c>
      <c r="G484" s="6" t="s">
        <v>9370</v>
      </c>
      <c r="H484" s="6" t="s">
        <v>26</v>
      </c>
      <c r="I484" s="8">
        <v>340000</v>
      </c>
      <c r="J484" s="8"/>
      <c r="K484" s="6" t="s">
        <v>4512</v>
      </c>
      <c r="L484" s="6" t="s">
        <v>2906</v>
      </c>
      <c r="M484" s="6" t="s">
        <v>4509</v>
      </c>
      <c r="N484" s="6" t="s">
        <v>4537</v>
      </c>
    </row>
    <row r="485" s="1" customFormat="1" ht="16.35" customHeight="1" spans="1:14">
      <c r="A485" s="5"/>
      <c r="B485" s="6" t="s">
        <v>4506</v>
      </c>
      <c r="C485" s="6">
        <v>2015</v>
      </c>
      <c r="D485" s="6">
        <v>5</v>
      </c>
      <c r="E485" s="7">
        <v>34</v>
      </c>
      <c r="F485" s="6" t="s">
        <v>9435</v>
      </c>
      <c r="G485" s="6" t="s">
        <v>9370</v>
      </c>
      <c r="H485" s="6" t="s">
        <v>26</v>
      </c>
      <c r="I485" s="8"/>
      <c r="J485" s="8">
        <v>500000</v>
      </c>
      <c r="K485" s="6" t="s">
        <v>4509</v>
      </c>
      <c r="L485" s="6" t="s">
        <v>9218</v>
      </c>
      <c r="M485" s="6" t="s">
        <v>4509</v>
      </c>
      <c r="N485" s="6" t="s">
        <v>4537</v>
      </c>
    </row>
    <row r="486" s="1" customFormat="1" ht="16.35" customHeight="1" spans="1:14">
      <c r="A486" s="5"/>
      <c r="B486" s="6" t="s">
        <v>4506</v>
      </c>
      <c r="C486" s="6">
        <v>2015</v>
      </c>
      <c r="D486" s="6">
        <v>5</v>
      </c>
      <c r="E486" s="7">
        <v>35</v>
      </c>
      <c r="F486" s="6" t="s">
        <v>9710</v>
      </c>
      <c r="G486" s="6" t="s">
        <v>9370</v>
      </c>
      <c r="H486" s="6" t="s">
        <v>26</v>
      </c>
      <c r="I486" s="8"/>
      <c r="J486" s="8">
        <v>748080.25</v>
      </c>
      <c r="K486" s="6" t="s">
        <v>4509</v>
      </c>
      <c r="L486" s="6" t="s">
        <v>9218</v>
      </c>
      <c r="M486" s="6" t="s">
        <v>4509</v>
      </c>
      <c r="N486" s="6" t="s">
        <v>4537</v>
      </c>
    </row>
    <row r="487" s="1" customFormat="1" ht="16.35" customHeight="1" spans="1:14">
      <c r="A487" s="5"/>
      <c r="B487" s="6" t="s">
        <v>4506</v>
      </c>
      <c r="C487" s="6">
        <v>2015</v>
      </c>
      <c r="D487" s="6">
        <v>5</v>
      </c>
      <c r="E487" s="7">
        <v>36</v>
      </c>
      <c r="F487" s="6" t="s">
        <v>4554</v>
      </c>
      <c r="G487" s="6" t="s">
        <v>9370</v>
      </c>
      <c r="H487" s="6" t="s">
        <v>26</v>
      </c>
      <c r="I487" s="8">
        <v>221</v>
      </c>
      <c r="J487" s="8"/>
      <c r="K487" s="6" t="s">
        <v>4512</v>
      </c>
      <c r="L487" s="6" t="s">
        <v>2906</v>
      </c>
      <c r="M487" s="6" t="s">
        <v>4509</v>
      </c>
      <c r="N487" s="6" t="s">
        <v>4537</v>
      </c>
    </row>
    <row r="488" s="1" customFormat="1" ht="16.35" customHeight="1" spans="1:14">
      <c r="A488" s="5"/>
      <c r="B488" s="6" t="s">
        <v>4506</v>
      </c>
      <c r="C488" s="6">
        <v>2015</v>
      </c>
      <c r="D488" s="6">
        <v>5</v>
      </c>
      <c r="E488" s="7">
        <v>37</v>
      </c>
      <c r="F488" s="6" t="s">
        <v>9711</v>
      </c>
      <c r="G488" s="6" t="s">
        <v>9370</v>
      </c>
      <c r="H488" s="6" t="s">
        <v>26</v>
      </c>
      <c r="I488" s="8"/>
      <c r="J488" s="8">
        <v>142153.85</v>
      </c>
      <c r="K488" s="6" t="s">
        <v>4509</v>
      </c>
      <c r="L488" s="6" t="s">
        <v>9218</v>
      </c>
      <c r="M488" s="6" t="s">
        <v>4509</v>
      </c>
      <c r="N488" s="6" t="s">
        <v>4537</v>
      </c>
    </row>
    <row r="489" s="1" customFormat="1" ht="16.35" customHeight="1" spans="1:14">
      <c r="A489" s="5"/>
      <c r="B489" s="6" t="s">
        <v>4506</v>
      </c>
      <c r="C489" s="6">
        <v>2015</v>
      </c>
      <c r="D489" s="6">
        <v>5</v>
      </c>
      <c r="E489" s="7">
        <v>38</v>
      </c>
      <c r="F489" s="6" t="s">
        <v>9712</v>
      </c>
      <c r="G489" s="6" t="s">
        <v>9370</v>
      </c>
      <c r="H489" s="6" t="s">
        <v>26</v>
      </c>
      <c r="I489" s="8"/>
      <c r="J489" s="8">
        <v>153498.85</v>
      </c>
      <c r="K489" s="6" t="s">
        <v>4509</v>
      </c>
      <c r="L489" s="6" t="s">
        <v>9218</v>
      </c>
      <c r="M489" s="6" t="s">
        <v>4509</v>
      </c>
      <c r="N489" s="6" t="s">
        <v>4537</v>
      </c>
    </row>
    <row r="490" s="1" customFormat="1" ht="16.35" customHeight="1" spans="1:14">
      <c r="A490" s="5"/>
      <c r="B490" s="6" t="s">
        <v>4506</v>
      </c>
      <c r="C490" s="6">
        <v>2015</v>
      </c>
      <c r="D490" s="6">
        <v>6</v>
      </c>
      <c r="E490" s="7">
        <v>3</v>
      </c>
      <c r="F490" s="6" t="s">
        <v>9713</v>
      </c>
      <c r="G490" s="6" t="s">
        <v>9370</v>
      </c>
      <c r="H490" s="6" t="s">
        <v>26</v>
      </c>
      <c r="I490" s="8"/>
      <c r="J490" s="8">
        <v>1200</v>
      </c>
      <c r="K490" s="6" t="s">
        <v>4512</v>
      </c>
      <c r="L490" s="6" t="s">
        <v>2906</v>
      </c>
      <c r="M490" s="6" t="s">
        <v>4509</v>
      </c>
      <c r="N490" s="6" t="s">
        <v>4537</v>
      </c>
    </row>
    <row r="491" s="1" customFormat="1" ht="16.35" customHeight="1" spans="1:14">
      <c r="A491" s="5"/>
      <c r="B491" s="6" t="s">
        <v>4506</v>
      </c>
      <c r="C491" s="6">
        <v>2015</v>
      </c>
      <c r="D491" s="6">
        <v>6</v>
      </c>
      <c r="E491" s="7">
        <v>4</v>
      </c>
      <c r="F491" s="6" t="s">
        <v>9714</v>
      </c>
      <c r="G491" s="6" t="s">
        <v>9370</v>
      </c>
      <c r="H491" s="6" t="s">
        <v>26</v>
      </c>
      <c r="I491" s="8"/>
      <c r="J491" s="8">
        <v>161398</v>
      </c>
      <c r="K491" s="6" t="s">
        <v>4509</v>
      </c>
      <c r="L491" s="6" t="s">
        <v>9218</v>
      </c>
      <c r="M491" s="6" t="s">
        <v>4509</v>
      </c>
      <c r="N491" s="6" t="s">
        <v>4537</v>
      </c>
    </row>
    <row r="492" s="1" customFormat="1" ht="16.35" customHeight="1" spans="1:14">
      <c r="A492" s="5"/>
      <c r="B492" s="6" t="s">
        <v>4506</v>
      </c>
      <c r="C492" s="6">
        <v>2015</v>
      </c>
      <c r="D492" s="6">
        <v>6</v>
      </c>
      <c r="E492" s="7">
        <v>5</v>
      </c>
      <c r="F492" s="6" t="s">
        <v>9715</v>
      </c>
      <c r="G492" s="6" t="s">
        <v>9370</v>
      </c>
      <c r="H492" s="6" t="s">
        <v>26</v>
      </c>
      <c r="I492" s="8"/>
      <c r="J492" s="8">
        <v>2200</v>
      </c>
      <c r="K492" s="6" t="s">
        <v>4512</v>
      </c>
      <c r="L492" s="6" t="s">
        <v>2906</v>
      </c>
      <c r="M492" s="6" t="s">
        <v>4509</v>
      </c>
      <c r="N492" s="6" t="s">
        <v>4537</v>
      </c>
    </row>
    <row r="493" s="1" customFormat="1" ht="16.35" customHeight="1" spans="1:14">
      <c r="A493" s="5"/>
      <c r="B493" s="6" t="s">
        <v>4506</v>
      </c>
      <c r="C493" s="6">
        <v>2015</v>
      </c>
      <c r="D493" s="6">
        <v>6</v>
      </c>
      <c r="E493" s="7">
        <v>6</v>
      </c>
      <c r="F493" s="6" t="s">
        <v>9716</v>
      </c>
      <c r="G493" s="6" t="s">
        <v>9370</v>
      </c>
      <c r="H493" s="6" t="s">
        <v>26</v>
      </c>
      <c r="I493" s="8"/>
      <c r="J493" s="8">
        <v>19339.14</v>
      </c>
      <c r="K493" s="6" t="s">
        <v>4512</v>
      </c>
      <c r="L493" s="6" t="s">
        <v>2906</v>
      </c>
      <c r="M493" s="6" t="s">
        <v>4509</v>
      </c>
      <c r="N493" s="6" t="s">
        <v>4537</v>
      </c>
    </row>
    <row r="494" s="1" customFormat="1" ht="16.35" customHeight="1" spans="1:14">
      <c r="A494" s="5"/>
      <c r="B494" s="6" t="s">
        <v>4506</v>
      </c>
      <c r="C494" s="6">
        <v>2015</v>
      </c>
      <c r="D494" s="6">
        <v>6</v>
      </c>
      <c r="E494" s="7">
        <v>9</v>
      </c>
      <c r="F494" s="6" t="s">
        <v>420</v>
      </c>
      <c r="G494" s="6" t="s">
        <v>9370</v>
      </c>
      <c r="H494" s="6" t="s">
        <v>26</v>
      </c>
      <c r="I494" s="8"/>
      <c r="J494" s="8">
        <v>21968</v>
      </c>
      <c r="K494" s="6" t="s">
        <v>4509</v>
      </c>
      <c r="L494" s="6" t="s">
        <v>9218</v>
      </c>
      <c r="M494" s="6" t="s">
        <v>4509</v>
      </c>
      <c r="N494" s="6" t="s">
        <v>4537</v>
      </c>
    </row>
    <row r="495" s="1" customFormat="1" ht="16.35" customHeight="1" spans="1:14">
      <c r="A495" s="5"/>
      <c r="B495" s="6" t="s">
        <v>4506</v>
      </c>
      <c r="C495" s="6">
        <v>2015</v>
      </c>
      <c r="D495" s="6">
        <v>6</v>
      </c>
      <c r="E495" s="7">
        <v>10</v>
      </c>
      <c r="F495" s="6" t="s">
        <v>9717</v>
      </c>
      <c r="G495" s="6" t="s">
        <v>9370</v>
      </c>
      <c r="H495" s="6" t="s">
        <v>26</v>
      </c>
      <c r="I495" s="8"/>
      <c r="J495" s="8">
        <v>363.34</v>
      </c>
      <c r="K495" s="6" t="s">
        <v>4510</v>
      </c>
      <c r="L495" s="6" t="s">
        <v>9447</v>
      </c>
      <c r="M495" s="6" t="s">
        <v>4509</v>
      </c>
      <c r="N495" s="6" t="s">
        <v>4537</v>
      </c>
    </row>
    <row r="496" s="1" customFormat="1" ht="16.35" customHeight="1" spans="1:14">
      <c r="A496" s="5"/>
      <c r="B496" s="6" t="s">
        <v>4506</v>
      </c>
      <c r="C496" s="6">
        <v>2015</v>
      </c>
      <c r="D496" s="6">
        <v>6</v>
      </c>
      <c r="E496" s="7">
        <v>10</v>
      </c>
      <c r="F496" s="6" t="s">
        <v>9717</v>
      </c>
      <c r="G496" s="6" t="s">
        <v>9370</v>
      </c>
      <c r="H496" s="6" t="s">
        <v>26</v>
      </c>
      <c r="I496" s="8"/>
      <c r="J496" s="8">
        <v>258.8</v>
      </c>
      <c r="K496" s="6" t="s">
        <v>4516</v>
      </c>
      <c r="L496" s="6" t="s">
        <v>9449</v>
      </c>
      <c r="M496" s="6" t="s">
        <v>4509</v>
      </c>
      <c r="N496" s="6" t="s">
        <v>4537</v>
      </c>
    </row>
    <row r="497" s="1" customFormat="1" ht="16.35" customHeight="1" spans="1:14">
      <c r="A497" s="5"/>
      <c r="B497" s="6" t="s">
        <v>4506</v>
      </c>
      <c r="C497" s="6">
        <v>2015</v>
      </c>
      <c r="D497" s="6">
        <v>6</v>
      </c>
      <c r="E497" s="7">
        <v>10</v>
      </c>
      <c r="F497" s="6" t="s">
        <v>9717</v>
      </c>
      <c r="G497" s="6" t="s">
        <v>9370</v>
      </c>
      <c r="H497" s="6" t="s">
        <v>26</v>
      </c>
      <c r="I497" s="8"/>
      <c r="J497" s="8">
        <v>16827.16</v>
      </c>
      <c r="K497" s="6" t="s">
        <v>4512</v>
      </c>
      <c r="L497" s="6" t="s">
        <v>2906</v>
      </c>
      <c r="M497" s="6" t="s">
        <v>4509</v>
      </c>
      <c r="N497" s="6" t="s">
        <v>4537</v>
      </c>
    </row>
    <row r="498" s="1" customFormat="1" ht="16.35" customHeight="1" spans="1:14">
      <c r="A498" s="5"/>
      <c r="B498" s="6" t="s">
        <v>4506</v>
      </c>
      <c r="C498" s="6">
        <v>2015</v>
      </c>
      <c r="D498" s="6">
        <v>6</v>
      </c>
      <c r="E498" s="7">
        <v>12</v>
      </c>
      <c r="F498" s="6" t="s">
        <v>9435</v>
      </c>
      <c r="G498" s="6" t="s">
        <v>9370</v>
      </c>
      <c r="H498" s="6" t="s">
        <v>26</v>
      </c>
      <c r="I498" s="8"/>
      <c r="J498" s="8">
        <v>500000</v>
      </c>
      <c r="K498" s="6" t="s">
        <v>4509</v>
      </c>
      <c r="L498" s="6" t="s">
        <v>9218</v>
      </c>
      <c r="M498" s="6" t="s">
        <v>4509</v>
      </c>
      <c r="N498" s="6" t="s">
        <v>4537</v>
      </c>
    </row>
    <row r="499" s="1" customFormat="1" ht="16.35" customHeight="1" spans="1:14">
      <c r="A499" s="5"/>
      <c r="B499" s="6" t="s">
        <v>4506</v>
      </c>
      <c r="C499" s="6">
        <v>2015</v>
      </c>
      <c r="D499" s="6">
        <v>6</v>
      </c>
      <c r="E499" s="7">
        <v>13</v>
      </c>
      <c r="F499" s="6" t="s">
        <v>4550</v>
      </c>
      <c r="G499" s="6" t="s">
        <v>9370</v>
      </c>
      <c r="H499" s="6" t="s">
        <v>26</v>
      </c>
      <c r="I499" s="8"/>
      <c r="J499" s="8">
        <v>96469</v>
      </c>
      <c r="K499" s="6" t="s">
        <v>4509</v>
      </c>
      <c r="L499" s="6" t="s">
        <v>9218</v>
      </c>
      <c r="M499" s="6" t="s">
        <v>4509</v>
      </c>
      <c r="N499" s="6" t="s">
        <v>4537</v>
      </c>
    </row>
    <row r="500" s="1" customFormat="1" ht="16.35" customHeight="1" spans="1:14">
      <c r="A500" s="5"/>
      <c r="B500" s="6" t="s">
        <v>4506</v>
      </c>
      <c r="C500" s="6">
        <v>2015</v>
      </c>
      <c r="D500" s="6">
        <v>7</v>
      </c>
      <c r="E500" s="7">
        <v>6</v>
      </c>
      <c r="F500" s="6" t="s">
        <v>634</v>
      </c>
      <c r="G500" s="6" t="s">
        <v>9370</v>
      </c>
      <c r="H500" s="6" t="s">
        <v>26</v>
      </c>
      <c r="I500" s="8"/>
      <c r="J500" s="8">
        <v>86020</v>
      </c>
      <c r="K500" s="6" t="s">
        <v>4509</v>
      </c>
      <c r="L500" s="6" t="s">
        <v>9218</v>
      </c>
      <c r="M500" s="6" t="s">
        <v>4509</v>
      </c>
      <c r="N500" s="6" t="s">
        <v>4537</v>
      </c>
    </row>
    <row r="501" s="1" customFormat="1" ht="16.35" customHeight="1" spans="1:14">
      <c r="A501" s="5"/>
      <c r="B501" s="6" t="s">
        <v>4506</v>
      </c>
      <c r="C501" s="6">
        <v>2015</v>
      </c>
      <c r="D501" s="6">
        <v>7</v>
      </c>
      <c r="E501" s="7">
        <v>9</v>
      </c>
      <c r="F501" s="6" t="s">
        <v>9708</v>
      </c>
      <c r="G501" s="6" t="s">
        <v>9370</v>
      </c>
      <c r="H501" s="6" t="s">
        <v>26</v>
      </c>
      <c r="I501" s="8"/>
      <c r="J501" s="8">
        <v>37162.16</v>
      </c>
      <c r="K501" s="6" t="s">
        <v>4512</v>
      </c>
      <c r="L501" s="6" t="s">
        <v>2906</v>
      </c>
      <c r="M501" s="6" t="s">
        <v>4509</v>
      </c>
      <c r="N501" s="6" t="s">
        <v>4537</v>
      </c>
    </row>
    <row r="502" s="1" customFormat="1" ht="16.35" customHeight="1" spans="1:14">
      <c r="A502" s="5"/>
      <c r="B502" s="6" t="s">
        <v>4506</v>
      </c>
      <c r="C502" s="6">
        <v>2015</v>
      </c>
      <c r="D502" s="6">
        <v>7</v>
      </c>
      <c r="E502" s="7">
        <v>13</v>
      </c>
      <c r="F502" s="6" t="s">
        <v>9718</v>
      </c>
      <c r="G502" s="6" t="s">
        <v>9370</v>
      </c>
      <c r="H502" s="6" t="s">
        <v>26</v>
      </c>
      <c r="I502" s="8"/>
      <c r="J502" s="8">
        <v>307.48</v>
      </c>
      <c r="K502" s="6" t="s">
        <v>4510</v>
      </c>
      <c r="L502" s="6" t="s">
        <v>9447</v>
      </c>
      <c r="M502" s="6" t="s">
        <v>4509</v>
      </c>
      <c r="N502" s="6" t="s">
        <v>4537</v>
      </c>
    </row>
    <row r="503" s="1" customFormat="1" ht="16.35" customHeight="1" spans="1:14">
      <c r="A503" s="5"/>
      <c r="B503" s="6" t="s">
        <v>4506</v>
      </c>
      <c r="C503" s="6">
        <v>2015</v>
      </c>
      <c r="D503" s="6">
        <v>7</v>
      </c>
      <c r="E503" s="7">
        <v>13</v>
      </c>
      <c r="F503" s="6" t="s">
        <v>9718</v>
      </c>
      <c r="G503" s="6" t="s">
        <v>9370</v>
      </c>
      <c r="H503" s="6" t="s">
        <v>26</v>
      </c>
      <c r="I503" s="8"/>
      <c r="J503" s="8">
        <v>183.2</v>
      </c>
      <c r="K503" s="6" t="s">
        <v>4516</v>
      </c>
      <c r="L503" s="6" t="s">
        <v>9449</v>
      </c>
      <c r="M503" s="6" t="s">
        <v>4509</v>
      </c>
      <c r="N503" s="6" t="s">
        <v>4537</v>
      </c>
    </row>
    <row r="504" s="1" customFormat="1" ht="16.35" customHeight="1" spans="1:14">
      <c r="A504" s="5"/>
      <c r="B504" s="6" t="s">
        <v>4506</v>
      </c>
      <c r="C504" s="6">
        <v>2015</v>
      </c>
      <c r="D504" s="6">
        <v>7</v>
      </c>
      <c r="E504" s="7">
        <v>14</v>
      </c>
      <c r="F504" s="6" t="s">
        <v>9719</v>
      </c>
      <c r="G504" s="6" t="s">
        <v>9370</v>
      </c>
      <c r="H504" s="6" t="s">
        <v>26</v>
      </c>
      <c r="I504" s="8"/>
      <c r="J504" s="8">
        <v>230000</v>
      </c>
      <c r="K504" s="6" t="s">
        <v>4514</v>
      </c>
      <c r="L504" s="6" t="s">
        <v>4511</v>
      </c>
      <c r="M504" s="6" t="s">
        <v>4509</v>
      </c>
      <c r="N504" s="6" t="s">
        <v>4537</v>
      </c>
    </row>
    <row r="505" s="1" customFormat="1" ht="16.35" customHeight="1" spans="1:14">
      <c r="A505" s="5"/>
      <c r="B505" s="6" t="s">
        <v>4506</v>
      </c>
      <c r="C505" s="6">
        <v>2015</v>
      </c>
      <c r="D505" s="6">
        <v>7</v>
      </c>
      <c r="E505" s="7">
        <v>15</v>
      </c>
      <c r="F505" s="6" t="s">
        <v>9720</v>
      </c>
      <c r="G505" s="6" t="s">
        <v>9370</v>
      </c>
      <c r="H505" s="6" t="s">
        <v>26</v>
      </c>
      <c r="I505" s="8"/>
      <c r="J505" s="8">
        <v>190000</v>
      </c>
      <c r="K505" s="6" t="s">
        <v>4514</v>
      </c>
      <c r="L505" s="6" t="s">
        <v>4511</v>
      </c>
      <c r="M505" s="6" t="s">
        <v>4509</v>
      </c>
      <c r="N505" s="6" t="s">
        <v>4537</v>
      </c>
    </row>
    <row r="506" s="1" customFormat="1" ht="16.35" customHeight="1" spans="1:14">
      <c r="A506" s="5"/>
      <c r="B506" s="6" t="s">
        <v>4506</v>
      </c>
      <c r="C506" s="6">
        <v>2015</v>
      </c>
      <c r="D506" s="6">
        <v>7</v>
      </c>
      <c r="E506" s="7">
        <v>16</v>
      </c>
      <c r="F506" s="6" t="s">
        <v>9721</v>
      </c>
      <c r="G506" s="6" t="s">
        <v>9370</v>
      </c>
      <c r="H506" s="6" t="s">
        <v>26</v>
      </c>
      <c r="I506" s="8"/>
      <c r="J506" s="8">
        <v>200000</v>
      </c>
      <c r="K506" s="6" t="s">
        <v>4514</v>
      </c>
      <c r="L506" s="6" t="s">
        <v>4511</v>
      </c>
      <c r="M506" s="6" t="s">
        <v>4509</v>
      </c>
      <c r="N506" s="6" t="s">
        <v>4537</v>
      </c>
    </row>
    <row r="507" s="1" customFormat="1" ht="16.35" customHeight="1" spans="1:14">
      <c r="A507" s="5"/>
      <c r="B507" s="6" t="s">
        <v>4506</v>
      </c>
      <c r="C507" s="6">
        <v>2015</v>
      </c>
      <c r="D507" s="6">
        <v>7</v>
      </c>
      <c r="E507" s="7">
        <v>17</v>
      </c>
      <c r="F507" s="6" t="s">
        <v>9722</v>
      </c>
      <c r="G507" s="6" t="s">
        <v>9370</v>
      </c>
      <c r="H507" s="6" t="s">
        <v>26</v>
      </c>
      <c r="I507" s="8"/>
      <c r="J507" s="8">
        <v>190000</v>
      </c>
      <c r="K507" s="6" t="s">
        <v>4514</v>
      </c>
      <c r="L507" s="6" t="s">
        <v>4511</v>
      </c>
      <c r="M507" s="6" t="s">
        <v>4509</v>
      </c>
      <c r="N507" s="6" t="s">
        <v>4537</v>
      </c>
    </row>
    <row r="508" s="1" customFormat="1" ht="16.35" customHeight="1" spans="1:14">
      <c r="A508" s="5"/>
      <c r="B508" s="6" t="s">
        <v>4506</v>
      </c>
      <c r="C508" s="6">
        <v>2015</v>
      </c>
      <c r="D508" s="6">
        <v>7</v>
      </c>
      <c r="E508" s="7">
        <v>18</v>
      </c>
      <c r="F508" s="6" t="s">
        <v>9723</v>
      </c>
      <c r="G508" s="6" t="s">
        <v>9370</v>
      </c>
      <c r="H508" s="6" t="s">
        <v>26</v>
      </c>
      <c r="I508" s="8"/>
      <c r="J508" s="8">
        <v>190000</v>
      </c>
      <c r="K508" s="6" t="s">
        <v>4514</v>
      </c>
      <c r="L508" s="6" t="s">
        <v>4511</v>
      </c>
      <c r="M508" s="6" t="s">
        <v>4509</v>
      </c>
      <c r="N508" s="6" t="s">
        <v>4537</v>
      </c>
    </row>
    <row r="509" s="1" customFormat="1" ht="16.35" customHeight="1" spans="1:14">
      <c r="A509" s="5"/>
      <c r="B509" s="6" t="s">
        <v>4506</v>
      </c>
      <c r="C509" s="6">
        <v>2015</v>
      </c>
      <c r="D509" s="6">
        <v>7</v>
      </c>
      <c r="E509" s="7">
        <v>19</v>
      </c>
      <c r="F509" s="6" t="s">
        <v>9724</v>
      </c>
      <c r="G509" s="6" t="s">
        <v>9370</v>
      </c>
      <c r="H509" s="6" t="s">
        <v>26</v>
      </c>
      <c r="I509" s="8"/>
      <c r="J509" s="8">
        <v>180000</v>
      </c>
      <c r="K509" s="6" t="s">
        <v>4514</v>
      </c>
      <c r="L509" s="6" t="s">
        <v>4511</v>
      </c>
      <c r="M509" s="6" t="s">
        <v>4509</v>
      </c>
      <c r="N509" s="6" t="s">
        <v>4537</v>
      </c>
    </row>
    <row r="510" s="1" customFormat="1" ht="16.35" customHeight="1" spans="1:14">
      <c r="A510" s="5"/>
      <c r="B510" s="6" t="s">
        <v>4506</v>
      </c>
      <c r="C510" s="6">
        <v>2015</v>
      </c>
      <c r="D510" s="6">
        <v>7</v>
      </c>
      <c r="E510" s="7">
        <v>21</v>
      </c>
      <c r="F510" s="6" t="s">
        <v>274</v>
      </c>
      <c r="G510" s="6" t="s">
        <v>9370</v>
      </c>
      <c r="H510" s="6" t="s">
        <v>26</v>
      </c>
      <c r="I510" s="8"/>
      <c r="J510" s="8">
        <v>21135</v>
      </c>
      <c r="K510" s="6" t="s">
        <v>4509</v>
      </c>
      <c r="L510" s="6" t="s">
        <v>9218</v>
      </c>
      <c r="M510" s="6" t="s">
        <v>4509</v>
      </c>
      <c r="N510" s="6" t="s">
        <v>4537</v>
      </c>
    </row>
    <row r="511" s="1" customFormat="1" ht="16.35" customHeight="1" spans="1:14">
      <c r="A511" s="5"/>
      <c r="B511" s="6" t="s">
        <v>4506</v>
      </c>
      <c r="C511" s="6">
        <v>2015</v>
      </c>
      <c r="D511" s="6">
        <v>7</v>
      </c>
      <c r="E511" s="7">
        <v>23</v>
      </c>
      <c r="F511" s="6" t="s">
        <v>4507</v>
      </c>
      <c r="G511" s="6" t="s">
        <v>9370</v>
      </c>
      <c r="H511" s="6" t="s">
        <v>26</v>
      </c>
      <c r="I511" s="8">
        <v>1500000</v>
      </c>
      <c r="J511" s="8"/>
      <c r="K511" s="6" t="s">
        <v>4509</v>
      </c>
      <c r="L511" s="6" t="s">
        <v>9218</v>
      </c>
      <c r="M511" s="6" t="s">
        <v>4509</v>
      </c>
      <c r="N511" s="6" t="s">
        <v>4537</v>
      </c>
    </row>
    <row r="512" s="1" customFormat="1" ht="16.35" customHeight="1" spans="1:14">
      <c r="A512" s="5"/>
      <c r="B512" s="6" t="s">
        <v>4506</v>
      </c>
      <c r="C512" s="6">
        <v>2015</v>
      </c>
      <c r="D512" s="6">
        <v>7</v>
      </c>
      <c r="E512" s="7">
        <v>24</v>
      </c>
      <c r="F512" s="6" t="s">
        <v>4507</v>
      </c>
      <c r="G512" s="6" t="s">
        <v>9370</v>
      </c>
      <c r="H512" s="6" t="s">
        <v>26</v>
      </c>
      <c r="I512" s="8">
        <v>800000</v>
      </c>
      <c r="J512" s="8"/>
      <c r="K512" s="6" t="s">
        <v>4509</v>
      </c>
      <c r="L512" s="6" t="s">
        <v>9218</v>
      </c>
      <c r="M512" s="6" t="s">
        <v>4509</v>
      </c>
      <c r="N512" s="6" t="s">
        <v>4537</v>
      </c>
    </row>
    <row r="513" s="1" customFormat="1" ht="16.35" customHeight="1" spans="1:14">
      <c r="A513" s="5"/>
      <c r="B513" s="6" t="s">
        <v>4506</v>
      </c>
      <c r="C513" s="6">
        <v>2015</v>
      </c>
      <c r="D513" s="6">
        <v>7</v>
      </c>
      <c r="E513" s="7">
        <v>25</v>
      </c>
      <c r="F513" s="6" t="s">
        <v>4554</v>
      </c>
      <c r="G513" s="6" t="s">
        <v>9370</v>
      </c>
      <c r="H513" s="6" t="s">
        <v>26</v>
      </c>
      <c r="I513" s="8">
        <v>32</v>
      </c>
      <c r="J513" s="8"/>
      <c r="K513" s="6" t="s">
        <v>4512</v>
      </c>
      <c r="L513" s="6" t="s">
        <v>2906</v>
      </c>
      <c r="M513" s="6" t="s">
        <v>4509</v>
      </c>
      <c r="N513" s="6" t="s">
        <v>4537</v>
      </c>
    </row>
    <row r="514" s="1" customFormat="1" ht="16.35" customHeight="1" spans="1:14">
      <c r="A514" s="5"/>
      <c r="B514" s="6" t="s">
        <v>4506</v>
      </c>
      <c r="C514" s="6">
        <v>2015</v>
      </c>
      <c r="D514" s="6">
        <v>7</v>
      </c>
      <c r="E514" s="7">
        <v>25</v>
      </c>
      <c r="F514" s="6" t="s">
        <v>4554</v>
      </c>
      <c r="G514" s="6" t="s">
        <v>9370</v>
      </c>
      <c r="H514" s="6" t="s">
        <v>26</v>
      </c>
      <c r="I514" s="8"/>
      <c r="J514" s="8">
        <v>32</v>
      </c>
      <c r="K514" s="6" t="s">
        <v>4514</v>
      </c>
      <c r="L514" s="6" t="s">
        <v>4511</v>
      </c>
      <c r="M514" s="6" t="s">
        <v>4509</v>
      </c>
      <c r="N514" s="6" t="s">
        <v>4537</v>
      </c>
    </row>
    <row r="515" s="1" customFormat="1" ht="16.35" customHeight="1" spans="1:14">
      <c r="A515" s="5"/>
      <c r="B515" s="6" t="s">
        <v>4506</v>
      </c>
      <c r="C515" s="6">
        <v>2015</v>
      </c>
      <c r="D515" s="6">
        <v>7</v>
      </c>
      <c r="E515" s="7">
        <v>26</v>
      </c>
      <c r="F515" s="6" t="s">
        <v>9725</v>
      </c>
      <c r="G515" s="6" t="s">
        <v>9370</v>
      </c>
      <c r="H515" s="6" t="s">
        <v>26</v>
      </c>
      <c r="I515" s="8"/>
      <c r="J515" s="8">
        <v>80773.25</v>
      </c>
      <c r="K515" s="6" t="s">
        <v>4509</v>
      </c>
      <c r="L515" s="6" t="s">
        <v>9218</v>
      </c>
      <c r="M515" s="6" t="s">
        <v>4509</v>
      </c>
      <c r="N515" s="6" t="s">
        <v>4537</v>
      </c>
    </row>
    <row r="516" s="1" customFormat="1" ht="16.35" customHeight="1" spans="1:14">
      <c r="A516" s="5"/>
      <c r="B516" s="6" t="s">
        <v>4506</v>
      </c>
      <c r="C516" s="6">
        <v>2015</v>
      </c>
      <c r="D516" s="6">
        <v>7</v>
      </c>
      <c r="E516" s="7">
        <v>27</v>
      </c>
      <c r="F516" s="6" t="s">
        <v>9726</v>
      </c>
      <c r="G516" s="6" t="s">
        <v>9370</v>
      </c>
      <c r="H516" s="6" t="s">
        <v>26</v>
      </c>
      <c r="I516" s="8"/>
      <c r="J516" s="8">
        <v>5425.45</v>
      </c>
      <c r="K516" s="6" t="s">
        <v>4509</v>
      </c>
      <c r="L516" s="6" t="s">
        <v>9218</v>
      </c>
      <c r="M516" s="6" t="s">
        <v>4509</v>
      </c>
      <c r="N516" s="6" t="s">
        <v>4537</v>
      </c>
    </row>
    <row r="517" s="1" customFormat="1" ht="16.35" customHeight="1" spans="1:14">
      <c r="A517" s="5"/>
      <c r="B517" s="6" t="s">
        <v>4506</v>
      </c>
      <c r="C517" s="6">
        <v>2015</v>
      </c>
      <c r="D517" s="6">
        <v>7</v>
      </c>
      <c r="E517" s="7">
        <v>28</v>
      </c>
      <c r="F517" s="6" t="s">
        <v>9613</v>
      </c>
      <c r="G517" s="6" t="s">
        <v>9370</v>
      </c>
      <c r="H517" s="6" t="s">
        <v>26</v>
      </c>
      <c r="I517" s="8"/>
      <c r="J517" s="8">
        <v>115000</v>
      </c>
      <c r="K517" s="6" t="s">
        <v>4509</v>
      </c>
      <c r="L517" s="6" t="s">
        <v>9218</v>
      </c>
      <c r="M517" s="6" t="s">
        <v>4509</v>
      </c>
      <c r="N517" s="6" t="s">
        <v>4537</v>
      </c>
    </row>
    <row r="518" s="1" customFormat="1" ht="16.35" customHeight="1" spans="1:14">
      <c r="A518" s="5"/>
      <c r="B518" s="6" t="s">
        <v>4506</v>
      </c>
      <c r="C518" s="6">
        <v>2015</v>
      </c>
      <c r="D518" s="6">
        <v>8</v>
      </c>
      <c r="E518" s="7">
        <v>1</v>
      </c>
      <c r="F518" s="6" t="s">
        <v>613</v>
      </c>
      <c r="G518" s="6" t="s">
        <v>9370</v>
      </c>
      <c r="H518" s="6" t="s">
        <v>26</v>
      </c>
      <c r="I518" s="8"/>
      <c r="J518" s="8">
        <v>29898</v>
      </c>
      <c r="K518" s="6" t="s">
        <v>4509</v>
      </c>
      <c r="L518" s="6" t="s">
        <v>9218</v>
      </c>
      <c r="M518" s="6" t="s">
        <v>4509</v>
      </c>
      <c r="N518" s="6" t="s">
        <v>4537</v>
      </c>
    </row>
    <row r="519" s="1" customFormat="1" ht="16.35" customHeight="1" spans="1:14">
      <c r="A519" s="5"/>
      <c r="B519" s="6" t="s">
        <v>4506</v>
      </c>
      <c r="C519" s="6">
        <v>2015</v>
      </c>
      <c r="D519" s="6">
        <v>8</v>
      </c>
      <c r="E519" s="7">
        <v>3</v>
      </c>
      <c r="F519" s="6" t="s">
        <v>9727</v>
      </c>
      <c r="G519" s="6" t="s">
        <v>9370</v>
      </c>
      <c r="H519" s="6" t="s">
        <v>26</v>
      </c>
      <c r="I519" s="8"/>
      <c r="J519" s="8">
        <v>-180000</v>
      </c>
      <c r="K519" s="6" t="s">
        <v>4514</v>
      </c>
      <c r="L519" s="6" t="s">
        <v>4511</v>
      </c>
      <c r="M519" s="6" t="s">
        <v>4509</v>
      </c>
      <c r="N519" s="6" t="s">
        <v>4537</v>
      </c>
    </row>
    <row r="520" s="1" customFormat="1" ht="16.35" customHeight="1" spans="1:14">
      <c r="A520" s="5"/>
      <c r="B520" s="6" t="s">
        <v>4506</v>
      </c>
      <c r="C520" s="6">
        <v>2015</v>
      </c>
      <c r="D520" s="6">
        <v>8</v>
      </c>
      <c r="E520" s="7">
        <v>4</v>
      </c>
      <c r="F520" s="6" t="s">
        <v>9728</v>
      </c>
      <c r="G520" s="6" t="s">
        <v>9370</v>
      </c>
      <c r="H520" s="6" t="s">
        <v>26</v>
      </c>
      <c r="I520" s="8"/>
      <c r="J520" s="8">
        <v>-190000</v>
      </c>
      <c r="K520" s="6" t="s">
        <v>4514</v>
      </c>
      <c r="L520" s="6" t="s">
        <v>4511</v>
      </c>
      <c r="M520" s="6" t="s">
        <v>4509</v>
      </c>
      <c r="N520" s="6" t="s">
        <v>4537</v>
      </c>
    </row>
    <row r="521" s="1" customFormat="1" ht="16.35" customHeight="1" spans="1:14">
      <c r="A521" s="5"/>
      <c r="B521" s="6" t="s">
        <v>4506</v>
      </c>
      <c r="C521" s="6">
        <v>2015</v>
      </c>
      <c r="D521" s="6">
        <v>8</v>
      </c>
      <c r="E521" s="7">
        <v>6</v>
      </c>
      <c r="F521" s="6" t="s">
        <v>9729</v>
      </c>
      <c r="G521" s="6" t="s">
        <v>9370</v>
      </c>
      <c r="H521" s="6" t="s">
        <v>26</v>
      </c>
      <c r="I521" s="8"/>
      <c r="J521" s="8">
        <v>307.48</v>
      </c>
      <c r="K521" s="6" t="s">
        <v>4510</v>
      </c>
      <c r="L521" s="6" t="s">
        <v>9447</v>
      </c>
      <c r="M521" s="6" t="s">
        <v>4509</v>
      </c>
      <c r="N521" s="6" t="s">
        <v>4537</v>
      </c>
    </row>
    <row r="522" s="1" customFormat="1" ht="16.35" customHeight="1" spans="1:14">
      <c r="A522" s="5"/>
      <c r="B522" s="6" t="s">
        <v>4506</v>
      </c>
      <c r="C522" s="6">
        <v>2015</v>
      </c>
      <c r="D522" s="6">
        <v>8</v>
      </c>
      <c r="E522" s="7">
        <v>6</v>
      </c>
      <c r="F522" s="6" t="s">
        <v>9729</v>
      </c>
      <c r="G522" s="6" t="s">
        <v>9370</v>
      </c>
      <c r="H522" s="6" t="s">
        <v>26</v>
      </c>
      <c r="I522" s="8"/>
      <c r="J522" s="8">
        <v>183.2</v>
      </c>
      <c r="K522" s="6" t="s">
        <v>4516</v>
      </c>
      <c r="L522" s="6" t="s">
        <v>9449</v>
      </c>
      <c r="M522" s="6" t="s">
        <v>4509</v>
      </c>
      <c r="N522" s="6" t="s">
        <v>4537</v>
      </c>
    </row>
    <row r="523" s="1" customFormat="1" ht="16.35" customHeight="1" spans="1:14">
      <c r="A523" s="5"/>
      <c r="B523" s="6" t="s">
        <v>4506</v>
      </c>
      <c r="C523" s="6">
        <v>2015</v>
      </c>
      <c r="D523" s="6">
        <v>8</v>
      </c>
      <c r="E523" s="7">
        <v>9</v>
      </c>
      <c r="F523" s="6" t="s">
        <v>258</v>
      </c>
      <c r="G523" s="6" t="s">
        <v>9370</v>
      </c>
      <c r="H523" s="6" t="s">
        <v>26</v>
      </c>
      <c r="I523" s="8"/>
      <c r="J523" s="8">
        <v>280000</v>
      </c>
      <c r="K523" s="6" t="s">
        <v>4514</v>
      </c>
      <c r="L523" s="6" t="s">
        <v>4511</v>
      </c>
      <c r="M523" s="6" t="s">
        <v>4509</v>
      </c>
      <c r="N523" s="6" t="s">
        <v>4537</v>
      </c>
    </row>
    <row r="524" s="1" customFormat="1" ht="16.35" customHeight="1" spans="1:14">
      <c r="A524" s="5"/>
      <c r="B524" s="6" t="s">
        <v>4506</v>
      </c>
      <c r="C524" s="6">
        <v>2015</v>
      </c>
      <c r="D524" s="6">
        <v>8</v>
      </c>
      <c r="E524" s="7">
        <v>17</v>
      </c>
      <c r="F524" s="6" t="s">
        <v>9730</v>
      </c>
      <c r="G524" s="6" t="s">
        <v>9370</v>
      </c>
      <c r="H524" s="6" t="s">
        <v>26</v>
      </c>
      <c r="I524" s="8"/>
      <c r="J524" s="8">
        <v>200000</v>
      </c>
      <c r="K524" s="6" t="s">
        <v>4512</v>
      </c>
      <c r="L524" s="6" t="s">
        <v>2906</v>
      </c>
      <c r="M524" s="6" t="s">
        <v>4509</v>
      </c>
      <c r="N524" s="6" t="s">
        <v>4537</v>
      </c>
    </row>
    <row r="525" s="1" customFormat="1" ht="16.35" customHeight="1" spans="1:14">
      <c r="A525" s="5"/>
      <c r="B525" s="6" t="s">
        <v>4506</v>
      </c>
      <c r="C525" s="6">
        <v>2015</v>
      </c>
      <c r="D525" s="6">
        <v>8</v>
      </c>
      <c r="E525" s="7">
        <v>18</v>
      </c>
      <c r="F525" s="6" t="s">
        <v>274</v>
      </c>
      <c r="G525" s="6" t="s">
        <v>9370</v>
      </c>
      <c r="H525" s="6" t="s">
        <v>26</v>
      </c>
      <c r="I525" s="8"/>
      <c r="J525" s="8">
        <v>280000</v>
      </c>
      <c r="K525" s="6" t="s">
        <v>4514</v>
      </c>
      <c r="L525" s="6" t="s">
        <v>4511</v>
      </c>
      <c r="M525" s="6" t="s">
        <v>4509</v>
      </c>
      <c r="N525" s="6" t="s">
        <v>4537</v>
      </c>
    </row>
    <row r="526" s="1" customFormat="1" ht="16.35" customHeight="1" spans="1:14">
      <c r="A526" s="5"/>
      <c r="B526" s="6" t="s">
        <v>4506</v>
      </c>
      <c r="C526" s="6">
        <v>2015</v>
      </c>
      <c r="D526" s="6">
        <v>8</v>
      </c>
      <c r="E526" s="7">
        <v>22</v>
      </c>
      <c r="F526" s="6" t="s">
        <v>342</v>
      </c>
      <c r="G526" s="6" t="s">
        <v>9370</v>
      </c>
      <c r="H526" s="6" t="s">
        <v>26</v>
      </c>
      <c r="I526" s="8"/>
      <c r="J526" s="8">
        <v>210000</v>
      </c>
      <c r="K526" s="6" t="s">
        <v>4514</v>
      </c>
      <c r="L526" s="6" t="s">
        <v>4511</v>
      </c>
      <c r="M526" s="6" t="s">
        <v>4509</v>
      </c>
      <c r="N526" s="6" t="s">
        <v>4537</v>
      </c>
    </row>
    <row r="527" s="1" customFormat="1" ht="16.35" customHeight="1" spans="1:14">
      <c r="A527" s="5"/>
      <c r="B527" s="6" t="s">
        <v>4506</v>
      </c>
      <c r="C527" s="6">
        <v>2015</v>
      </c>
      <c r="D527" s="6">
        <v>8</v>
      </c>
      <c r="E527" s="7">
        <v>23</v>
      </c>
      <c r="F527" s="6" t="s">
        <v>9731</v>
      </c>
      <c r="G527" s="6" t="s">
        <v>9370</v>
      </c>
      <c r="H527" s="6" t="s">
        <v>26</v>
      </c>
      <c r="I527" s="8"/>
      <c r="J527" s="8">
        <v>179800</v>
      </c>
      <c r="K527" s="6" t="s">
        <v>4509</v>
      </c>
      <c r="L527" s="6" t="s">
        <v>9218</v>
      </c>
      <c r="M527" s="6" t="s">
        <v>4509</v>
      </c>
      <c r="N527" s="6" t="s">
        <v>4537</v>
      </c>
    </row>
    <row r="528" s="1" customFormat="1" ht="16.35" customHeight="1" spans="1:14">
      <c r="A528" s="5"/>
      <c r="B528" s="6" t="s">
        <v>4506</v>
      </c>
      <c r="C528" s="6">
        <v>2015</v>
      </c>
      <c r="D528" s="6">
        <v>8</v>
      </c>
      <c r="E528" s="7">
        <v>24</v>
      </c>
      <c r="F528" s="6" t="s">
        <v>559</v>
      </c>
      <c r="G528" s="6" t="s">
        <v>9370</v>
      </c>
      <c r="H528" s="6" t="s">
        <v>26</v>
      </c>
      <c r="I528" s="8"/>
      <c r="J528" s="8">
        <v>200000</v>
      </c>
      <c r="K528" s="6" t="s">
        <v>4514</v>
      </c>
      <c r="L528" s="6" t="s">
        <v>4511</v>
      </c>
      <c r="M528" s="6" t="s">
        <v>4509</v>
      </c>
      <c r="N528" s="6" t="s">
        <v>4537</v>
      </c>
    </row>
    <row r="529" s="1" customFormat="1" ht="16.35" customHeight="1" spans="1:14">
      <c r="A529" s="5"/>
      <c r="B529" s="6" t="s">
        <v>4506</v>
      </c>
      <c r="C529" s="6">
        <v>2015</v>
      </c>
      <c r="D529" s="6">
        <v>8</v>
      </c>
      <c r="E529" s="7">
        <v>25</v>
      </c>
      <c r="F529" s="6" t="s">
        <v>9435</v>
      </c>
      <c r="G529" s="6" t="s">
        <v>9370</v>
      </c>
      <c r="H529" s="6" t="s">
        <v>26</v>
      </c>
      <c r="I529" s="8"/>
      <c r="J529" s="8">
        <v>169500</v>
      </c>
      <c r="K529" s="6" t="s">
        <v>4509</v>
      </c>
      <c r="L529" s="6" t="s">
        <v>9218</v>
      </c>
      <c r="M529" s="6" t="s">
        <v>4509</v>
      </c>
      <c r="N529" s="6" t="s">
        <v>4537</v>
      </c>
    </row>
    <row r="530" s="1" customFormat="1" ht="16.35" customHeight="1" spans="1:14">
      <c r="A530" s="5"/>
      <c r="B530" s="6" t="s">
        <v>4506</v>
      </c>
      <c r="C530" s="6">
        <v>2015</v>
      </c>
      <c r="D530" s="6">
        <v>8</v>
      </c>
      <c r="E530" s="7">
        <v>26</v>
      </c>
      <c r="F530" s="6" t="s">
        <v>9435</v>
      </c>
      <c r="G530" s="6" t="s">
        <v>9370</v>
      </c>
      <c r="H530" s="6" t="s">
        <v>26</v>
      </c>
      <c r="I530" s="8"/>
      <c r="J530" s="8">
        <v>700000</v>
      </c>
      <c r="K530" s="6" t="s">
        <v>4509</v>
      </c>
      <c r="L530" s="6" t="s">
        <v>9218</v>
      </c>
      <c r="M530" s="6" t="s">
        <v>4509</v>
      </c>
      <c r="N530" s="6" t="s">
        <v>4537</v>
      </c>
    </row>
    <row r="531" s="1" customFormat="1" ht="16.35" customHeight="1" spans="1:14">
      <c r="A531" s="5"/>
      <c r="B531" s="6" t="s">
        <v>4506</v>
      </c>
      <c r="C531" s="6">
        <v>2015</v>
      </c>
      <c r="D531" s="6">
        <v>8</v>
      </c>
      <c r="E531" s="7">
        <v>27</v>
      </c>
      <c r="F531" s="6" t="s">
        <v>9732</v>
      </c>
      <c r="G531" s="6" t="s">
        <v>9370</v>
      </c>
      <c r="H531" s="6" t="s">
        <v>26</v>
      </c>
      <c r="I531" s="8"/>
      <c r="J531" s="8">
        <v>-390000</v>
      </c>
      <c r="K531" s="6" t="s">
        <v>4514</v>
      </c>
      <c r="L531" s="6" t="s">
        <v>4511</v>
      </c>
      <c r="M531" s="6" t="s">
        <v>4509</v>
      </c>
      <c r="N531" s="6" t="s">
        <v>4537</v>
      </c>
    </row>
    <row r="532" s="1" customFormat="1" ht="16.35" customHeight="1" spans="1:14">
      <c r="A532" s="5"/>
      <c r="B532" s="6" t="s">
        <v>4506</v>
      </c>
      <c r="C532" s="6">
        <v>2015</v>
      </c>
      <c r="D532" s="6">
        <v>8</v>
      </c>
      <c r="E532" s="7">
        <v>28</v>
      </c>
      <c r="F532" s="6" t="s">
        <v>9733</v>
      </c>
      <c r="G532" s="6" t="s">
        <v>9370</v>
      </c>
      <c r="H532" s="6" t="s">
        <v>26</v>
      </c>
      <c r="I532" s="8"/>
      <c r="J532" s="8">
        <v>-47000</v>
      </c>
      <c r="K532" s="6" t="s">
        <v>4514</v>
      </c>
      <c r="L532" s="6" t="s">
        <v>4511</v>
      </c>
      <c r="M532" s="6" t="s">
        <v>4509</v>
      </c>
      <c r="N532" s="6" t="s">
        <v>4537</v>
      </c>
    </row>
    <row r="533" s="1" customFormat="1" ht="16.35" customHeight="1" spans="1:14">
      <c r="A533" s="5"/>
      <c r="B533" s="6" t="s">
        <v>4506</v>
      </c>
      <c r="C533" s="6">
        <v>2015</v>
      </c>
      <c r="D533" s="6">
        <v>8</v>
      </c>
      <c r="E533" s="7">
        <v>30</v>
      </c>
      <c r="F533" s="6" t="s">
        <v>9299</v>
      </c>
      <c r="G533" s="6" t="s">
        <v>9370</v>
      </c>
      <c r="H533" s="6" t="s">
        <v>26</v>
      </c>
      <c r="I533" s="8"/>
      <c r="J533" s="8">
        <v>2000</v>
      </c>
      <c r="K533" s="6" t="s">
        <v>4509</v>
      </c>
      <c r="L533" s="6" t="s">
        <v>9218</v>
      </c>
      <c r="M533" s="6" t="s">
        <v>4509</v>
      </c>
      <c r="N533" s="6" t="s">
        <v>4537</v>
      </c>
    </row>
    <row r="534" s="1" customFormat="1" ht="16.35" customHeight="1" spans="1:14">
      <c r="A534" s="5"/>
      <c r="B534" s="6" t="s">
        <v>4506</v>
      </c>
      <c r="C534" s="6">
        <v>2015</v>
      </c>
      <c r="D534" s="6">
        <v>8</v>
      </c>
      <c r="E534" s="7">
        <v>31</v>
      </c>
      <c r="F534" s="6" t="s">
        <v>9734</v>
      </c>
      <c r="G534" s="6" t="s">
        <v>9370</v>
      </c>
      <c r="H534" s="6" t="s">
        <v>26</v>
      </c>
      <c r="I534" s="8"/>
      <c r="J534" s="8">
        <v>-20000</v>
      </c>
      <c r="K534" s="6" t="s">
        <v>4514</v>
      </c>
      <c r="L534" s="6" t="s">
        <v>4511</v>
      </c>
      <c r="M534" s="6" t="s">
        <v>4509</v>
      </c>
      <c r="N534" s="6" t="s">
        <v>4537</v>
      </c>
    </row>
    <row r="535" s="1" customFormat="1" ht="16.35" customHeight="1" spans="1:14">
      <c r="A535" s="5"/>
      <c r="B535" s="6" t="s">
        <v>4506</v>
      </c>
      <c r="C535" s="6">
        <v>2015</v>
      </c>
      <c r="D535" s="6">
        <v>8</v>
      </c>
      <c r="E535" s="7">
        <v>32</v>
      </c>
      <c r="F535" s="6" t="s">
        <v>559</v>
      </c>
      <c r="G535" s="6" t="s">
        <v>9370</v>
      </c>
      <c r="H535" s="6" t="s">
        <v>26</v>
      </c>
      <c r="I535" s="8"/>
      <c r="J535" s="8">
        <v>98980</v>
      </c>
      <c r="K535" s="6" t="s">
        <v>4514</v>
      </c>
      <c r="L535" s="6" t="s">
        <v>4511</v>
      </c>
      <c r="M535" s="6" t="s">
        <v>4509</v>
      </c>
      <c r="N535" s="6" t="s">
        <v>4537</v>
      </c>
    </row>
    <row r="536" s="1" customFormat="1" ht="16.35" customHeight="1" spans="1:14">
      <c r="A536" s="5"/>
      <c r="B536" s="6" t="s">
        <v>4506</v>
      </c>
      <c r="C536" s="6">
        <v>2015</v>
      </c>
      <c r="D536" s="6">
        <v>8</v>
      </c>
      <c r="E536" s="7">
        <v>33</v>
      </c>
      <c r="F536" s="6" t="s">
        <v>258</v>
      </c>
      <c r="G536" s="6" t="s">
        <v>9370</v>
      </c>
      <c r="H536" s="6" t="s">
        <v>26</v>
      </c>
      <c r="I536" s="8"/>
      <c r="J536" s="8">
        <v>131378</v>
      </c>
      <c r="K536" s="6" t="s">
        <v>4514</v>
      </c>
      <c r="L536" s="6" t="s">
        <v>4511</v>
      </c>
      <c r="M536" s="6" t="s">
        <v>4509</v>
      </c>
      <c r="N536" s="6" t="s">
        <v>4537</v>
      </c>
    </row>
    <row r="537" s="1" customFormat="1" ht="16.35" customHeight="1" spans="1:14">
      <c r="A537" s="5"/>
      <c r="B537" s="6" t="s">
        <v>4506</v>
      </c>
      <c r="C537" s="6">
        <v>2015</v>
      </c>
      <c r="D537" s="6">
        <v>8</v>
      </c>
      <c r="E537" s="7">
        <v>34</v>
      </c>
      <c r="F537" s="6" t="s">
        <v>9730</v>
      </c>
      <c r="G537" s="6" t="s">
        <v>9370</v>
      </c>
      <c r="H537" s="6" t="s">
        <v>26</v>
      </c>
      <c r="I537" s="8"/>
      <c r="J537" s="8">
        <v>1500</v>
      </c>
      <c r="K537" s="6" t="s">
        <v>4512</v>
      </c>
      <c r="L537" s="6" t="s">
        <v>2906</v>
      </c>
      <c r="M537" s="6" t="s">
        <v>4509</v>
      </c>
      <c r="N537" s="6" t="s">
        <v>4537</v>
      </c>
    </row>
    <row r="538" s="1" customFormat="1" ht="16.35" customHeight="1" spans="1:14">
      <c r="A538" s="5"/>
      <c r="B538" s="6" t="s">
        <v>4506</v>
      </c>
      <c r="C538" s="6">
        <v>2015</v>
      </c>
      <c r="D538" s="6">
        <v>8</v>
      </c>
      <c r="E538" s="7">
        <v>35</v>
      </c>
      <c r="F538" s="6" t="s">
        <v>398</v>
      </c>
      <c r="G538" s="6" t="s">
        <v>9370</v>
      </c>
      <c r="H538" s="6" t="s">
        <v>26</v>
      </c>
      <c r="I538" s="8"/>
      <c r="J538" s="8">
        <v>47000</v>
      </c>
      <c r="K538" s="6" t="s">
        <v>4514</v>
      </c>
      <c r="L538" s="6" t="s">
        <v>4511</v>
      </c>
      <c r="M538" s="6" t="s">
        <v>4509</v>
      </c>
      <c r="N538" s="6" t="s">
        <v>4537</v>
      </c>
    </row>
    <row r="539" s="1" customFormat="1" ht="16.35" customHeight="1" spans="1:14">
      <c r="A539" s="5"/>
      <c r="B539" s="6" t="s">
        <v>4506</v>
      </c>
      <c r="C539" s="6">
        <v>2015</v>
      </c>
      <c r="D539" s="6">
        <v>9</v>
      </c>
      <c r="E539" s="7">
        <v>1</v>
      </c>
      <c r="F539" s="6" t="s">
        <v>9735</v>
      </c>
      <c r="G539" s="6" t="s">
        <v>9370</v>
      </c>
      <c r="H539" s="6" t="s">
        <v>26</v>
      </c>
      <c r="I539" s="8"/>
      <c r="J539" s="8">
        <v>-280000</v>
      </c>
      <c r="K539" s="6" t="s">
        <v>4514</v>
      </c>
      <c r="L539" s="6" t="s">
        <v>4511</v>
      </c>
      <c r="M539" s="6" t="s">
        <v>4509</v>
      </c>
      <c r="N539" s="6" t="s">
        <v>4537</v>
      </c>
    </row>
    <row r="540" s="1" customFormat="1" ht="16.35" customHeight="1" spans="1:14">
      <c r="A540" s="5"/>
      <c r="B540" s="6" t="s">
        <v>4506</v>
      </c>
      <c r="C540" s="6">
        <v>2015</v>
      </c>
      <c r="D540" s="6">
        <v>9</v>
      </c>
      <c r="E540" s="7">
        <v>5</v>
      </c>
      <c r="F540" s="6" t="s">
        <v>9736</v>
      </c>
      <c r="G540" s="6" t="s">
        <v>9370</v>
      </c>
      <c r="H540" s="6" t="s">
        <v>26</v>
      </c>
      <c r="I540" s="8"/>
      <c r="J540" s="8">
        <v>302.86</v>
      </c>
      <c r="K540" s="6" t="s">
        <v>4510</v>
      </c>
      <c r="L540" s="6" t="s">
        <v>9447</v>
      </c>
      <c r="M540" s="6" t="s">
        <v>4509</v>
      </c>
      <c r="N540" s="6" t="s">
        <v>4537</v>
      </c>
    </row>
    <row r="541" s="1" customFormat="1" ht="16.35" customHeight="1" spans="1:14">
      <c r="A541" s="5"/>
      <c r="B541" s="6" t="s">
        <v>4506</v>
      </c>
      <c r="C541" s="6">
        <v>2015</v>
      </c>
      <c r="D541" s="6">
        <v>9</v>
      </c>
      <c r="E541" s="7">
        <v>5</v>
      </c>
      <c r="F541" s="6" t="s">
        <v>9736</v>
      </c>
      <c r="G541" s="6" t="s">
        <v>9370</v>
      </c>
      <c r="H541" s="6" t="s">
        <v>26</v>
      </c>
      <c r="I541" s="8"/>
      <c r="J541" s="8">
        <v>198.32</v>
      </c>
      <c r="K541" s="6" t="s">
        <v>4516</v>
      </c>
      <c r="L541" s="6" t="s">
        <v>9449</v>
      </c>
      <c r="M541" s="6" t="s">
        <v>4509</v>
      </c>
      <c r="N541" s="6" t="s">
        <v>4537</v>
      </c>
    </row>
    <row r="542" s="1" customFormat="1" ht="16.35" customHeight="1" spans="1:14">
      <c r="A542" s="5"/>
      <c r="B542" s="6" t="s">
        <v>4506</v>
      </c>
      <c r="C542" s="6">
        <v>2015</v>
      </c>
      <c r="D542" s="6">
        <v>9</v>
      </c>
      <c r="E542" s="7">
        <v>9</v>
      </c>
      <c r="F542" s="6" t="s">
        <v>9435</v>
      </c>
      <c r="G542" s="6" t="s">
        <v>9370</v>
      </c>
      <c r="H542" s="6" t="s">
        <v>26</v>
      </c>
      <c r="I542" s="8"/>
      <c r="J542" s="8">
        <v>170000</v>
      </c>
      <c r="K542" s="6" t="s">
        <v>4509</v>
      </c>
      <c r="L542" s="6" t="s">
        <v>9218</v>
      </c>
      <c r="M542" s="6" t="s">
        <v>4509</v>
      </c>
      <c r="N542" s="6" t="s">
        <v>4537</v>
      </c>
    </row>
    <row r="543" s="1" customFormat="1" ht="16.35" customHeight="1" spans="1:14">
      <c r="A543" s="5"/>
      <c r="B543" s="6" t="s">
        <v>4506</v>
      </c>
      <c r="C543" s="6">
        <v>2015</v>
      </c>
      <c r="D543" s="6">
        <v>9</v>
      </c>
      <c r="E543" s="7">
        <v>10</v>
      </c>
      <c r="F543" s="6" t="s">
        <v>9435</v>
      </c>
      <c r="G543" s="6" t="s">
        <v>9370</v>
      </c>
      <c r="H543" s="6" t="s">
        <v>26</v>
      </c>
      <c r="I543" s="8"/>
      <c r="J543" s="8">
        <v>50000</v>
      </c>
      <c r="K543" s="6" t="s">
        <v>4509</v>
      </c>
      <c r="L543" s="6" t="s">
        <v>9218</v>
      </c>
      <c r="M543" s="6" t="s">
        <v>4509</v>
      </c>
      <c r="N543" s="6" t="s">
        <v>4537</v>
      </c>
    </row>
    <row r="544" s="1" customFormat="1" ht="16.35" customHeight="1" spans="1:14">
      <c r="A544" s="5"/>
      <c r="B544" s="6" t="s">
        <v>4506</v>
      </c>
      <c r="C544" s="6">
        <v>2015</v>
      </c>
      <c r="D544" s="6">
        <v>9</v>
      </c>
      <c r="E544" s="7">
        <v>14</v>
      </c>
      <c r="F544" s="6" t="s">
        <v>4552</v>
      </c>
      <c r="G544" s="6" t="s">
        <v>9370</v>
      </c>
      <c r="H544" s="6" t="s">
        <v>26</v>
      </c>
      <c r="I544" s="8"/>
      <c r="J544" s="8">
        <v>37870.6</v>
      </c>
      <c r="K544" s="6" t="s">
        <v>4509</v>
      </c>
      <c r="L544" s="6" t="s">
        <v>9218</v>
      </c>
      <c r="M544" s="6" t="s">
        <v>4509</v>
      </c>
      <c r="N544" s="6" t="s">
        <v>4537</v>
      </c>
    </row>
    <row r="545" s="1" customFormat="1" ht="16.35" customHeight="1" spans="1:14">
      <c r="A545" s="5"/>
      <c r="B545" s="6" t="s">
        <v>4506</v>
      </c>
      <c r="C545" s="6">
        <v>2015</v>
      </c>
      <c r="D545" s="6">
        <v>9</v>
      </c>
      <c r="E545" s="7">
        <v>15</v>
      </c>
      <c r="F545" s="6" t="s">
        <v>4552</v>
      </c>
      <c r="G545" s="6" t="s">
        <v>9370</v>
      </c>
      <c r="H545" s="6" t="s">
        <v>26</v>
      </c>
      <c r="I545" s="8"/>
      <c r="J545" s="8">
        <v>35877.6</v>
      </c>
      <c r="K545" s="6" t="s">
        <v>4509</v>
      </c>
      <c r="L545" s="6" t="s">
        <v>9218</v>
      </c>
      <c r="M545" s="6" t="s">
        <v>4509</v>
      </c>
      <c r="N545" s="6" t="s">
        <v>4537</v>
      </c>
    </row>
    <row r="546" s="1" customFormat="1" ht="16.35" customHeight="1" spans="1:14">
      <c r="A546" s="5"/>
      <c r="B546" s="6" t="s">
        <v>4506</v>
      </c>
      <c r="C546" s="6">
        <v>2015</v>
      </c>
      <c r="D546" s="6">
        <v>9</v>
      </c>
      <c r="E546" s="7">
        <v>17</v>
      </c>
      <c r="F546" s="6" t="s">
        <v>112</v>
      </c>
      <c r="G546" s="6" t="s">
        <v>9370</v>
      </c>
      <c r="H546" s="6" t="s">
        <v>26</v>
      </c>
      <c r="I546" s="8"/>
      <c r="J546" s="8">
        <v>230000</v>
      </c>
      <c r="K546" s="6" t="s">
        <v>4514</v>
      </c>
      <c r="L546" s="6" t="s">
        <v>4511</v>
      </c>
      <c r="M546" s="6" t="s">
        <v>4509</v>
      </c>
      <c r="N546" s="6" t="s">
        <v>4537</v>
      </c>
    </row>
    <row r="547" s="1" customFormat="1" ht="16.35" customHeight="1" spans="1:14">
      <c r="A547" s="5"/>
      <c r="B547" s="6" t="s">
        <v>4506</v>
      </c>
      <c r="C547" s="6">
        <v>2015</v>
      </c>
      <c r="D547" s="6">
        <v>9</v>
      </c>
      <c r="E547" s="7">
        <v>18</v>
      </c>
      <c r="F547" s="6" t="s">
        <v>9667</v>
      </c>
      <c r="G547" s="6" t="s">
        <v>9370</v>
      </c>
      <c r="H547" s="6" t="s">
        <v>26</v>
      </c>
      <c r="I547" s="8">
        <v>27369.94</v>
      </c>
      <c r="J547" s="8"/>
      <c r="K547" s="6" t="s">
        <v>4512</v>
      </c>
      <c r="L547" s="6" t="s">
        <v>2906</v>
      </c>
      <c r="M547" s="6" t="s">
        <v>4509</v>
      </c>
      <c r="N547" s="6" t="s">
        <v>4537</v>
      </c>
    </row>
    <row r="548" s="1" customFormat="1" ht="16.35" customHeight="1" spans="1:14">
      <c r="A548" s="5"/>
      <c r="B548" s="6" t="s">
        <v>4506</v>
      </c>
      <c r="C548" s="6">
        <v>2015</v>
      </c>
      <c r="D548" s="6">
        <v>9</v>
      </c>
      <c r="E548" s="7">
        <v>18</v>
      </c>
      <c r="F548" s="6" t="s">
        <v>479</v>
      </c>
      <c r="G548" s="6" t="s">
        <v>9370</v>
      </c>
      <c r="H548" s="6" t="s">
        <v>26</v>
      </c>
      <c r="I548" s="8"/>
      <c r="J548" s="8">
        <v>24312.5</v>
      </c>
      <c r="K548" s="6" t="s">
        <v>4509</v>
      </c>
      <c r="L548" s="6" t="s">
        <v>9218</v>
      </c>
      <c r="M548" s="6" t="s">
        <v>4509</v>
      </c>
      <c r="N548" s="6" t="s">
        <v>4537</v>
      </c>
    </row>
    <row r="549" s="1" customFormat="1" ht="16.35" customHeight="1" spans="1:14">
      <c r="A549" s="5"/>
      <c r="B549" s="6" t="s">
        <v>4506</v>
      </c>
      <c r="C549" s="6">
        <v>2015</v>
      </c>
      <c r="D549" s="6">
        <v>9</v>
      </c>
      <c r="E549" s="7">
        <v>21</v>
      </c>
      <c r="F549" s="6" t="s">
        <v>9737</v>
      </c>
      <c r="G549" s="6" t="s">
        <v>9370</v>
      </c>
      <c r="H549" s="6" t="s">
        <v>26</v>
      </c>
      <c r="I549" s="8"/>
      <c r="J549" s="8">
        <v>302.86</v>
      </c>
      <c r="K549" s="6" t="s">
        <v>4510</v>
      </c>
      <c r="L549" s="6" t="s">
        <v>9447</v>
      </c>
      <c r="M549" s="6" t="s">
        <v>4509</v>
      </c>
      <c r="N549" s="6" t="s">
        <v>4537</v>
      </c>
    </row>
    <row r="550" s="1" customFormat="1" ht="16.35" customHeight="1" spans="1:14">
      <c r="A550" s="5"/>
      <c r="B550" s="6" t="s">
        <v>4506</v>
      </c>
      <c r="C550" s="6">
        <v>2015</v>
      </c>
      <c r="D550" s="6">
        <v>9</v>
      </c>
      <c r="E550" s="7">
        <v>21</v>
      </c>
      <c r="F550" s="6" t="s">
        <v>9737</v>
      </c>
      <c r="G550" s="6" t="s">
        <v>9370</v>
      </c>
      <c r="H550" s="6" t="s">
        <v>26</v>
      </c>
      <c r="I550" s="8"/>
      <c r="J550" s="8">
        <v>198.32</v>
      </c>
      <c r="K550" s="6" t="s">
        <v>4516</v>
      </c>
      <c r="L550" s="6" t="s">
        <v>9449</v>
      </c>
      <c r="M550" s="6" t="s">
        <v>4509</v>
      </c>
      <c r="N550" s="6" t="s">
        <v>4537</v>
      </c>
    </row>
    <row r="551" s="1" customFormat="1" ht="16.35" customHeight="1" spans="1:14">
      <c r="A551" s="5"/>
      <c r="B551" s="6" t="s">
        <v>4506</v>
      </c>
      <c r="C551" s="6">
        <v>2015</v>
      </c>
      <c r="D551" s="6">
        <v>10</v>
      </c>
      <c r="E551" s="7">
        <v>1</v>
      </c>
      <c r="F551" s="6" t="s">
        <v>4554</v>
      </c>
      <c r="G551" s="6" t="s">
        <v>9370</v>
      </c>
      <c r="H551" s="6" t="s">
        <v>26</v>
      </c>
      <c r="I551" s="8">
        <v>57061</v>
      </c>
      <c r="J551" s="8"/>
      <c r="K551" s="6" t="s">
        <v>4512</v>
      </c>
      <c r="L551" s="6" t="s">
        <v>2906</v>
      </c>
      <c r="M551" s="6" t="s">
        <v>4509</v>
      </c>
      <c r="N551" s="6" t="s">
        <v>4537</v>
      </c>
    </row>
    <row r="552" s="1" customFormat="1" ht="16.35" customHeight="1" spans="1:14">
      <c r="A552" s="5"/>
      <c r="B552" s="6" t="s">
        <v>4506</v>
      </c>
      <c r="C552" s="6">
        <v>2015</v>
      </c>
      <c r="D552" s="6">
        <v>10</v>
      </c>
      <c r="E552" s="7">
        <v>5</v>
      </c>
      <c r="F552" s="6" t="s">
        <v>4552</v>
      </c>
      <c r="G552" s="6" t="s">
        <v>9370</v>
      </c>
      <c r="H552" s="6" t="s">
        <v>26</v>
      </c>
      <c r="I552" s="8"/>
      <c r="J552" s="8">
        <v>65740.5</v>
      </c>
      <c r="K552" s="6" t="s">
        <v>4509</v>
      </c>
      <c r="L552" s="6" t="s">
        <v>9218</v>
      </c>
      <c r="M552" s="6" t="s">
        <v>4509</v>
      </c>
      <c r="N552" s="6" t="s">
        <v>4537</v>
      </c>
    </row>
    <row r="553" s="1" customFormat="1" ht="16.35" customHeight="1" spans="1:14">
      <c r="A553" s="5"/>
      <c r="B553" s="6" t="s">
        <v>4506</v>
      </c>
      <c r="C553" s="6">
        <v>2015</v>
      </c>
      <c r="D553" s="6">
        <v>10</v>
      </c>
      <c r="E553" s="7">
        <v>8</v>
      </c>
      <c r="F553" s="6" t="s">
        <v>9564</v>
      </c>
      <c r="G553" s="6" t="s">
        <v>9370</v>
      </c>
      <c r="H553" s="6" t="s">
        <v>26</v>
      </c>
      <c r="I553" s="8"/>
      <c r="J553" s="8">
        <v>250000</v>
      </c>
      <c r="K553" s="6" t="s">
        <v>4509</v>
      </c>
      <c r="L553" s="6" t="s">
        <v>9218</v>
      </c>
      <c r="M553" s="6" t="s">
        <v>4509</v>
      </c>
      <c r="N553" s="6" t="s">
        <v>4537</v>
      </c>
    </row>
    <row r="554" s="1" customFormat="1" ht="16.35" customHeight="1" spans="1:14">
      <c r="A554" s="5"/>
      <c r="B554" s="6" t="s">
        <v>4506</v>
      </c>
      <c r="C554" s="6">
        <v>2015</v>
      </c>
      <c r="D554" s="6">
        <v>10</v>
      </c>
      <c r="E554" s="7">
        <v>9</v>
      </c>
      <c r="F554" s="6" t="s">
        <v>9730</v>
      </c>
      <c r="G554" s="6" t="s">
        <v>9370</v>
      </c>
      <c r="H554" s="6" t="s">
        <v>26</v>
      </c>
      <c r="I554" s="8"/>
      <c r="J554" s="8">
        <v>6000</v>
      </c>
      <c r="K554" s="6" t="s">
        <v>4512</v>
      </c>
      <c r="L554" s="6" t="s">
        <v>2906</v>
      </c>
      <c r="M554" s="6" t="s">
        <v>4509</v>
      </c>
      <c r="N554" s="6" t="s">
        <v>4537</v>
      </c>
    </row>
    <row r="555" s="1" customFormat="1" ht="16.35" customHeight="1" spans="1:14">
      <c r="A555" s="5"/>
      <c r="B555" s="6" t="s">
        <v>4506</v>
      </c>
      <c r="C555" s="6">
        <v>2015</v>
      </c>
      <c r="D555" s="6">
        <v>10</v>
      </c>
      <c r="E555" s="7">
        <v>15</v>
      </c>
      <c r="F555" s="6" t="s">
        <v>4507</v>
      </c>
      <c r="G555" s="6" t="s">
        <v>9370</v>
      </c>
      <c r="H555" s="6" t="s">
        <v>26</v>
      </c>
      <c r="I555" s="8">
        <v>335</v>
      </c>
      <c r="J555" s="8"/>
      <c r="K555" s="6" t="s">
        <v>4509</v>
      </c>
      <c r="L555" s="6" t="s">
        <v>9218</v>
      </c>
      <c r="M555" s="6" t="s">
        <v>4509</v>
      </c>
      <c r="N555" s="6" t="s">
        <v>4537</v>
      </c>
    </row>
    <row r="556" s="1" customFormat="1" ht="16.35" customHeight="1" spans="1:14">
      <c r="A556" s="5"/>
      <c r="B556" s="6" t="s">
        <v>4506</v>
      </c>
      <c r="C556" s="6">
        <v>2015</v>
      </c>
      <c r="D556" s="6">
        <v>11</v>
      </c>
      <c r="E556" s="7">
        <v>1</v>
      </c>
      <c r="F556" s="6" t="s">
        <v>9738</v>
      </c>
      <c r="G556" s="6" t="s">
        <v>9370</v>
      </c>
      <c r="H556" s="6" t="s">
        <v>26</v>
      </c>
      <c r="I556" s="8">
        <v>142153.85</v>
      </c>
      <c r="J556" s="8"/>
      <c r="K556" s="6" t="s">
        <v>4509</v>
      </c>
      <c r="L556" s="6" t="s">
        <v>9218</v>
      </c>
      <c r="M556" s="6" t="s">
        <v>4509</v>
      </c>
      <c r="N556" s="6" t="s">
        <v>4537</v>
      </c>
    </row>
    <row r="557" s="1" customFormat="1" ht="16.35" customHeight="1" spans="1:14">
      <c r="A557" s="5"/>
      <c r="B557" s="6" t="s">
        <v>4506</v>
      </c>
      <c r="C557" s="6">
        <v>2015</v>
      </c>
      <c r="D557" s="6">
        <v>11</v>
      </c>
      <c r="E557" s="7">
        <v>4</v>
      </c>
      <c r="F557" s="6" t="s">
        <v>509</v>
      </c>
      <c r="G557" s="6" t="s">
        <v>9370</v>
      </c>
      <c r="H557" s="6" t="s">
        <v>26</v>
      </c>
      <c r="I557" s="8"/>
      <c r="J557" s="8">
        <v>99130</v>
      </c>
      <c r="K557" s="6" t="s">
        <v>4514</v>
      </c>
      <c r="L557" s="6" t="s">
        <v>4511</v>
      </c>
      <c r="M557" s="6" t="s">
        <v>4509</v>
      </c>
      <c r="N557" s="6" t="s">
        <v>4537</v>
      </c>
    </row>
    <row r="558" s="1" customFormat="1" ht="16.35" customHeight="1" spans="1:14">
      <c r="A558" s="5"/>
      <c r="B558" s="6" t="s">
        <v>4506</v>
      </c>
      <c r="C558" s="6">
        <v>2015</v>
      </c>
      <c r="D558" s="6">
        <v>11</v>
      </c>
      <c r="E558" s="7">
        <v>5</v>
      </c>
      <c r="F558" s="6" t="s">
        <v>388</v>
      </c>
      <c r="G558" s="6" t="s">
        <v>9370</v>
      </c>
      <c r="H558" s="6" t="s">
        <v>26</v>
      </c>
      <c r="I558" s="8"/>
      <c r="J558" s="8">
        <v>157.6</v>
      </c>
      <c r="K558" s="6" t="s">
        <v>4514</v>
      </c>
      <c r="L558" s="6" t="s">
        <v>4511</v>
      </c>
      <c r="M558" s="6" t="s">
        <v>4509</v>
      </c>
      <c r="N558" s="6" t="s">
        <v>4537</v>
      </c>
    </row>
    <row r="559" s="1" customFormat="1" ht="16.35" customHeight="1" spans="1:14">
      <c r="A559" s="5"/>
      <c r="B559" s="6" t="s">
        <v>4506</v>
      </c>
      <c r="C559" s="6">
        <v>2015</v>
      </c>
      <c r="D559" s="6">
        <v>11</v>
      </c>
      <c r="E559" s="7">
        <v>11</v>
      </c>
      <c r="F559" s="6" t="s">
        <v>9734</v>
      </c>
      <c r="G559" s="6" t="s">
        <v>9370</v>
      </c>
      <c r="H559" s="6" t="s">
        <v>26</v>
      </c>
      <c r="I559" s="8"/>
      <c r="J559" s="8">
        <v>-20000</v>
      </c>
      <c r="K559" s="6" t="s">
        <v>4514</v>
      </c>
      <c r="L559" s="6" t="s">
        <v>4511</v>
      </c>
      <c r="M559" s="6" t="s">
        <v>4509</v>
      </c>
      <c r="N559" s="6" t="s">
        <v>4537</v>
      </c>
    </row>
    <row r="560" s="1" customFormat="1" ht="16.35" customHeight="1" spans="1:14">
      <c r="A560" s="5"/>
      <c r="B560" s="6" t="s">
        <v>4506</v>
      </c>
      <c r="C560" s="6">
        <v>2015</v>
      </c>
      <c r="D560" s="6">
        <v>11</v>
      </c>
      <c r="E560" s="7">
        <v>12</v>
      </c>
      <c r="F560" s="6" t="s">
        <v>9734</v>
      </c>
      <c r="G560" s="6" t="s">
        <v>9370</v>
      </c>
      <c r="H560" s="6" t="s">
        <v>26</v>
      </c>
      <c r="I560" s="8"/>
      <c r="J560" s="8">
        <v>-20000</v>
      </c>
      <c r="K560" s="6" t="s">
        <v>4514</v>
      </c>
      <c r="L560" s="6" t="s">
        <v>4511</v>
      </c>
      <c r="M560" s="6" t="s">
        <v>4509</v>
      </c>
      <c r="N560" s="6" t="s">
        <v>4537</v>
      </c>
    </row>
    <row r="561" s="1" customFormat="1" ht="16.35" customHeight="1" spans="1:14">
      <c r="A561" s="5"/>
      <c r="B561" s="6" t="s">
        <v>4506</v>
      </c>
      <c r="C561" s="6">
        <v>2015</v>
      </c>
      <c r="D561" s="6">
        <v>11</v>
      </c>
      <c r="E561" s="7">
        <v>14</v>
      </c>
      <c r="F561" s="6" t="s">
        <v>9667</v>
      </c>
      <c r="G561" s="6" t="s">
        <v>9370</v>
      </c>
      <c r="H561" s="6" t="s">
        <v>26</v>
      </c>
      <c r="I561" s="8"/>
      <c r="J561" s="8">
        <v>419993.3</v>
      </c>
      <c r="K561" s="6" t="s">
        <v>4512</v>
      </c>
      <c r="L561" s="6" t="s">
        <v>2906</v>
      </c>
      <c r="M561" s="6" t="s">
        <v>4509</v>
      </c>
      <c r="N561" s="6" t="s">
        <v>4537</v>
      </c>
    </row>
    <row r="562" s="1" customFormat="1" ht="16.35" customHeight="1" spans="1:14">
      <c r="A562" s="5"/>
      <c r="B562" s="6" t="s">
        <v>4506</v>
      </c>
      <c r="C562" s="6">
        <v>2015</v>
      </c>
      <c r="D562" s="6">
        <v>11</v>
      </c>
      <c r="E562" s="7">
        <v>20</v>
      </c>
      <c r="F562" s="6" t="s">
        <v>9564</v>
      </c>
      <c r="G562" s="6" t="s">
        <v>9370</v>
      </c>
      <c r="H562" s="6" t="s">
        <v>26</v>
      </c>
      <c r="I562" s="8"/>
      <c r="J562" s="8">
        <v>155600</v>
      </c>
      <c r="K562" s="6" t="s">
        <v>4509</v>
      </c>
      <c r="L562" s="6" t="s">
        <v>9218</v>
      </c>
      <c r="M562" s="6" t="s">
        <v>4509</v>
      </c>
      <c r="N562" s="6" t="s">
        <v>4537</v>
      </c>
    </row>
    <row r="563" s="1" customFormat="1" ht="16.35" customHeight="1" spans="1:14">
      <c r="A563" s="5"/>
      <c r="B563" s="6" t="s">
        <v>4506</v>
      </c>
      <c r="C563" s="6">
        <v>2015</v>
      </c>
      <c r="D563" s="6">
        <v>11</v>
      </c>
      <c r="E563" s="7">
        <v>22</v>
      </c>
      <c r="F563" s="6" t="s">
        <v>4554</v>
      </c>
      <c r="G563" s="6" t="s">
        <v>9370</v>
      </c>
      <c r="H563" s="6" t="s">
        <v>26</v>
      </c>
      <c r="I563" s="8">
        <v>3771.82</v>
      </c>
      <c r="J563" s="8"/>
      <c r="K563" s="6" t="s">
        <v>4512</v>
      </c>
      <c r="L563" s="6" t="s">
        <v>2906</v>
      </c>
      <c r="M563" s="6" t="s">
        <v>4509</v>
      </c>
      <c r="N563" s="6" t="s">
        <v>4537</v>
      </c>
    </row>
    <row r="564" s="1" customFormat="1" ht="16.35" customHeight="1" spans="1:14">
      <c r="A564" s="5"/>
      <c r="B564" s="6" t="s">
        <v>4506</v>
      </c>
      <c r="C564" s="6">
        <v>2015</v>
      </c>
      <c r="D564" s="6">
        <v>11</v>
      </c>
      <c r="E564" s="7">
        <v>25</v>
      </c>
      <c r="F564" s="6" t="s">
        <v>9564</v>
      </c>
      <c r="G564" s="6" t="s">
        <v>9370</v>
      </c>
      <c r="H564" s="6" t="s">
        <v>26</v>
      </c>
      <c r="I564" s="8"/>
      <c r="J564" s="8">
        <v>100000</v>
      </c>
      <c r="K564" s="6" t="s">
        <v>4509</v>
      </c>
      <c r="L564" s="6" t="s">
        <v>9218</v>
      </c>
      <c r="M564" s="6" t="s">
        <v>4509</v>
      </c>
      <c r="N564" s="6" t="s">
        <v>4537</v>
      </c>
    </row>
    <row r="565" s="1" customFormat="1" ht="16.35" customHeight="1" spans="1:14">
      <c r="A565" s="5"/>
      <c r="B565" s="6" t="s">
        <v>4506</v>
      </c>
      <c r="C565" s="6">
        <v>2015</v>
      </c>
      <c r="D565" s="6">
        <v>11</v>
      </c>
      <c r="E565" s="7">
        <v>26</v>
      </c>
      <c r="F565" s="6" t="s">
        <v>4554</v>
      </c>
      <c r="G565" s="6" t="s">
        <v>9370</v>
      </c>
      <c r="H565" s="6" t="s">
        <v>26</v>
      </c>
      <c r="I565" s="8">
        <v>508.61</v>
      </c>
      <c r="J565" s="8"/>
      <c r="K565" s="6" t="s">
        <v>4512</v>
      </c>
      <c r="L565" s="6" t="s">
        <v>2906</v>
      </c>
      <c r="M565" s="6" t="s">
        <v>4509</v>
      </c>
      <c r="N565" s="6" t="s">
        <v>4537</v>
      </c>
    </row>
    <row r="566" s="1" customFormat="1" ht="16.35" customHeight="1" spans="1:14">
      <c r="A566" s="5"/>
      <c r="B566" s="6" t="s">
        <v>4506</v>
      </c>
      <c r="C566" s="6">
        <v>2015</v>
      </c>
      <c r="D566" s="6">
        <v>11</v>
      </c>
      <c r="E566" s="7">
        <v>27</v>
      </c>
      <c r="F566" s="6" t="s">
        <v>9730</v>
      </c>
      <c r="G566" s="6" t="s">
        <v>9370</v>
      </c>
      <c r="H566" s="6" t="s">
        <v>26</v>
      </c>
      <c r="I566" s="8"/>
      <c r="J566" s="8">
        <v>50000</v>
      </c>
      <c r="K566" s="6" t="s">
        <v>4512</v>
      </c>
      <c r="L566" s="6" t="s">
        <v>2906</v>
      </c>
      <c r="M566" s="6" t="s">
        <v>4509</v>
      </c>
      <c r="N566" s="6" t="s">
        <v>4537</v>
      </c>
    </row>
    <row r="567" s="1" customFormat="1" ht="16.35" customHeight="1" spans="1:14">
      <c r="A567" s="5"/>
      <c r="B567" s="6" t="s">
        <v>4506</v>
      </c>
      <c r="C567" s="6">
        <v>2015</v>
      </c>
      <c r="D567" s="6">
        <v>11</v>
      </c>
      <c r="E567" s="7">
        <v>28</v>
      </c>
      <c r="F567" s="6" t="s">
        <v>9739</v>
      </c>
      <c r="G567" s="6" t="s">
        <v>9370</v>
      </c>
      <c r="H567" s="6" t="s">
        <v>26</v>
      </c>
      <c r="I567" s="8"/>
      <c r="J567" s="8">
        <v>80000</v>
      </c>
      <c r="K567" s="6" t="s">
        <v>4509</v>
      </c>
      <c r="L567" s="6" t="s">
        <v>9218</v>
      </c>
      <c r="M567" s="6" t="s">
        <v>4509</v>
      </c>
      <c r="N567" s="6" t="s">
        <v>4537</v>
      </c>
    </row>
    <row r="568" s="1" customFormat="1" ht="16.35" customHeight="1" spans="1:14">
      <c r="A568" s="5"/>
      <c r="B568" s="6" t="s">
        <v>4506</v>
      </c>
      <c r="C568" s="6">
        <v>2015</v>
      </c>
      <c r="D568" s="6">
        <v>11</v>
      </c>
      <c r="E568" s="7">
        <v>29</v>
      </c>
      <c r="F568" s="6" t="s">
        <v>4554</v>
      </c>
      <c r="G568" s="6" t="s">
        <v>9370</v>
      </c>
      <c r="H568" s="6" t="s">
        <v>26</v>
      </c>
      <c r="I568" s="8">
        <v>155740</v>
      </c>
      <c r="J568" s="8"/>
      <c r="K568" s="6" t="s">
        <v>4512</v>
      </c>
      <c r="L568" s="6" t="s">
        <v>2906</v>
      </c>
      <c r="M568" s="6" t="s">
        <v>4509</v>
      </c>
      <c r="N568" s="6" t="s">
        <v>4537</v>
      </c>
    </row>
    <row r="569" s="1" customFormat="1" ht="16.35" customHeight="1" spans="1:14">
      <c r="A569" s="5"/>
      <c r="B569" s="6" t="s">
        <v>4506</v>
      </c>
      <c r="C569" s="6">
        <v>2015</v>
      </c>
      <c r="D569" s="6">
        <v>11</v>
      </c>
      <c r="E569" s="7">
        <v>31</v>
      </c>
      <c r="F569" s="6" t="s">
        <v>9740</v>
      </c>
      <c r="G569" s="6" t="s">
        <v>9370</v>
      </c>
      <c r="H569" s="6" t="s">
        <v>26</v>
      </c>
      <c r="I569" s="8"/>
      <c r="J569" s="8">
        <v>302.86</v>
      </c>
      <c r="K569" s="6" t="s">
        <v>4510</v>
      </c>
      <c r="L569" s="6" t="s">
        <v>9447</v>
      </c>
      <c r="M569" s="6" t="s">
        <v>4509</v>
      </c>
      <c r="N569" s="6" t="s">
        <v>4537</v>
      </c>
    </row>
    <row r="570" s="1" customFormat="1" ht="16.35" customHeight="1" spans="1:14">
      <c r="A570" s="5"/>
      <c r="B570" s="6" t="s">
        <v>4506</v>
      </c>
      <c r="C570" s="6">
        <v>2015</v>
      </c>
      <c r="D570" s="6">
        <v>11</v>
      </c>
      <c r="E570" s="7">
        <v>31</v>
      </c>
      <c r="F570" s="6" t="s">
        <v>9740</v>
      </c>
      <c r="G570" s="6" t="s">
        <v>9370</v>
      </c>
      <c r="H570" s="6" t="s">
        <v>26</v>
      </c>
      <c r="I570" s="8"/>
      <c r="J570" s="8">
        <v>198.32</v>
      </c>
      <c r="K570" s="6" t="s">
        <v>4516</v>
      </c>
      <c r="L570" s="6" t="s">
        <v>9449</v>
      </c>
      <c r="M570" s="6" t="s">
        <v>4509</v>
      </c>
      <c r="N570" s="6" t="s">
        <v>4537</v>
      </c>
    </row>
    <row r="571" s="1" customFormat="1" ht="16.35" customHeight="1" spans="1:14">
      <c r="A571" s="5"/>
      <c r="B571" s="6" t="s">
        <v>4506</v>
      </c>
      <c r="C571" s="6">
        <v>2015</v>
      </c>
      <c r="D571" s="6">
        <v>11</v>
      </c>
      <c r="E571" s="7">
        <v>34</v>
      </c>
      <c r="F571" s="6" t="s">
        <v>9667</v>
      </c>
      <c r="G571" s="6" t="s">
        <v>9370</v>
      </c>
      <c r="H571" s="6" t="s">
        <v>26</v>
      </c>
      <c r="I571" s="8"/>
      <c r="J571" s="8">
        <v>169500</v>
      </c>
      <c r="K571" s="6" t="s">
        <v>4509</v>
      </c>
      <c r="L571" s="6" t="s">
        <v>9218</v>
      </c>
      <c r="M571" s="6" t="s">
        <v>4509</v>
      </c>
      <c r="N571" s="6" t="s">
        <v>4537</v>
      </c>
    </row>
    <row r="572" s="1" customFormat="1" ht="16.35" customHeight="1" spans="1:14">
      <c r="A572" s="5"/>
      <c r="B572" s="6" t="s">
        <v>4506</v>
      </c>
      <c r="C572" s="6">
        <v>2015</v>
      </c>
      <c r="D572" s="6">
        <v>12</v>
      </c>
      <c r="E572" s="7">
        <v>1</v>
      </c>
      <c r="F572" s="6" t="s">
        <v>9380</v>
      </c>
      <c r="G572" s="6" t="s">
        <v>9370</v>
      </c>
      <c r="H572" s="6" t="s">
        <v>26</v>
      </c>
      <c r="I572" s="8"/>
      <c r="J572" s="8">
        <v>100000</v>
      </c>
      <c r="K572" s="6" t="s">
        <v>4509</v>
      </c>
      <c r="L572" s="6" t="s">
        <v>9218</v>
      </c>
      <c r="M572" s="6" t="s">
        <v>4509</v>
      </c>
      <c r="N572" s="6" t="s">
        <v>4537</v>
      </c>
    </row>
    <row r="573" s="1" customFormat="1" ht="16.35" customHeight="1" spans="1:14">
      <c r="A573" s="5"/>
      <c r="B573" s="6" t="s">
        <v>4506</v>
      </c>
      <c r="C573" s="6">
        <v>2015</v>
      </c>
      <c r="D573" s="6">
        <v>12</v>
      </c>
      <c r="E573" s="7">
        <v>2</v>
      </c>
      <c r="F573" s="6" t="s">
        <v>9741</v>
      </c>
      <c r="G573" s="6" t="s">
        <v>9370</v>
      </c>
      <c r="H573" s="6" t="s">
        <v>26</v>
      </c>
      <c r="I573" s="8"/>
      <c r="J573" s="8">
        <v>40550</v>
      </c>
      <c r="K573" s="6" t="s">
        <v>4509</v>
      </c>
      <c r="L573" s="6" t="s">
        <v>9218</v>
      </c>
      <c r="M573" s="6" t="s">
        <v>4509</v>
      </c>
      <c r="N573" s="6" t="s">
        <v>4537</v>
      </c>
    </row>
    <row r="574" s="1" customFormat="1" ht="16.35" customHeight="1" spans="1:14">
      <c r="A574" s="5"/>
      <c r="B574" s="6" t="s">
        <v>4506</v>
      </c>
      <c r="C574" s="6">
        <v>2015</v>
      </c>
      <c r="D574" s="6">
        <v>12</v>
      </c>
      <c r="E574" s="7">
        <v>4</v>
      </c>
      <c r="F574" s="6" t="s">
        <v>92</v>
      </c>
      <c r="G574" s="6" t="s">
        <v>9370</v>
      </c>
      <c r="H574" s="6" t="s">
        <v>26</v>
      </c>
      <c r="I574" s="8"/>
      <c r="J574" s="8">
        <v>20000</v>
      </c>
      <c r="K574" s="6" t="s">
        <v>4514</v>
      </c>
      <c r="L574" s="6" t="s">
        <v>4511</v>
      </c>
      <c r="M574" s="6" t="s">
        <v>4509</v>
      </c>
      <c r="N574" s="6" t="s">
        <v>4537</v>
      </c>
    </row>
    <row r="575" s="1" customFormat="1" ht="16.35" customHeight="1" spans="1:14">
      <c r="A575" s="5"/>
      <c r="B575" s="6" t="s">
        <v>4506</v>
      </c>
      <c r="C575" s="6">
        <v>2015</v>
      </c>
      <c r="D575" s="6">
        <v>12</v>
      </c>
      <c r="E575" s="7">
        <v>6</v>
      </c>
      <c r="F575" s="6" t="s">
        <v>4554</v>
      </c>
      <c r="G575" s="6" t="s">
        <v>9370</v>
      </c>
      <c r="H575" s="6" t="s">
        <v>26</v>
      </c>
      <c r="I575" s="8">
        <v>14400</v>
      </c>
      <c r="J575" s="8"/>
      <c r="K575" s="6" t="s">
        <v>4512</v>
      </c>
      <c r="L575" s="6" t="s">
        <v>2906</v>
      </c>
      <c r="M575" s="6" t="s">
        <v>4509</v>
      </c>
      <c r="N575" s="6" t="s">
        <v>4537</v>
      </c>
    </row>
    <row r="576" s="1" customFormat="1" ht="16.35" customHeight="1" spans="1:14">
      <c r="A576" s="5"/>
      <c r="B576" s="6" t="s">
        <v>4506</v>
      </c>
      <c r="C576" s="6">
        <v>2015</v>
      </c>
      <c r="D576" s="6">
        <v>12</v>
      </c>
      <c r="E576" s="7">
        <v>8</v>
      </c>
      <c r="F576" s="6" t="s">
        <v>443</v>
      </c>
      <c r="G576" s="6" t="s">
        <v>9370</v>
      </c>
      <c r="H576" s="6" t="s">
        <v>26</v>
      </c>
      <c r="I576" s="8"/>
      <c r="J576" s="8">
        <v>260047</v>
      </c>
      <c r="K576" s="6" t="s">
        <v>4514</v>
      </c>
      <c r="L576" s="6" t="s">
        <v>4511</v>
      </c>
      <c r="M576" s="6" t="s">
        <v>4509</v>
      </c>
      <c r="N576" s="6" t="s">
        <v>4537</v>
      </c>
    </row>
    <row r="577" s="1" customFormat="1" ht="16.35" customHeight="1" spans="1:14">
      <c r="A577" s="5"/>
      <c r="B577" s="6" t="s">
        <v>4506</v>
      </c>
      <c r="C577" s="6">
        <v>2015</v>
      </c>
      <c r="D577" s="6">
        <v>12</v>
      </c>
      <c r="E577" s="7">
        <v>9</v>
      </c>
      <c r="F577" s="6" t="s">
        <v>4554</v>
      </c>
      <c r="G577" s="6" t="s">
        <v>9370</v>
      </c>
      <c r="H577" s="6" t="s">
        <v>26</v>
      </c>
      <c r="I577" s="8">
        <v>4000</v>
      </c>
      <c r="J577" s="8"/>
      <c r="K577" s="6" t="s">
        <v>4512</v>
      </c>
      <c r="L577" s="6" t="s">
        <v>2906</v>
      </c>
      <c r="M577" s="6" t="s">
        <v>4509</v>
      </c>
      <c r="N577" s="6" t="s">
        <v>4537</v>
      </c>
    </row>
    <row r="578" s="1" customFormat="1" ht="16.35" customHeight="1" spans="1:14">
      <c r="A578" s="5"/>
      <c r="B578" s="6" t="s">
        <v>4506</v>
      </c>
      <c r="C578" s="6">
        <v>2015</v>
      </c>
      <c r="D578" s="6">
        <v>12</v>
      </c>
      <c r="E578" s="7">
        <v>11</v>
      </c>
      <c r="F578" s="6" t="s">
        <v>4554</v>
      </c>
      <c r="G578" s="6" t="s">
        <v>9370</v>
      </c>
      <c r="H578" s="6" t="s">
        <v>26</v>
      </c>
      <c r="I578" s="8">
        <v>4453.05</v>
      </c>
      <c r="J578" s="8"/>
      <c r="K578" s="6" t="s">
        <v>4512</v>
      </c>
      <c r="L578" s="6" t="s">
        <v>2906</v>
      </c>
      <c r="M578" s="6" t="s">
        <v>4509</v>
      </c>
      <c r="N578" s="6" t="s">
        <v>4537</v>
      </c>
    </row>
    <row r="579" s="1" customFormat="1" ht="16.35" customHeight="1" spans="1:14">
      <c r="A579" s="5"/>
      <c r="B579" s="6" t="s">
        <v>4506</v>
      </c>
      <c r="C579" s="6">
        <v>2015</v>
      </c>
      <c r="D579" s="6">
        <v>12</v>
      </c>
      <c r="E579" s="7">
        <v>13</v>
      </c>
      <c r="F579" s="6" t="s">
        <v>4554</v>
      </c>
      <c r="G579" s="6" t="s">
        <v>9370</v>
      </c>
      <c r="H579" s="6" t="s">
        <v>26</v>
      </c>
      <c r="I579" s="8">
        <v>562.91</v>
      </c>
      <c r="J579" s="8"/>
      <c r="K579" s="6" t="s">
        <v>4512</v>
      </c>
      <c r="L579" s="6" t="s">
        <v>2906</v>
      </c>
      <c r="M579" s="6" t="s">
        <v>4509</v>
      </c>
      <c r="N579" s="6" t="s">
        <v>4537</v>
      </c>
    </row>
    <row r="580" s="1" customFormat="1" ht="16.35" customHeight="1" spans="1:14">
      <c r="A580" s="5"/>
      <c r="B580" s="6" t="s">
        <v>4506</v>
      </c>
      <c r="C580" s="6">
        <v>2015</v>
      </c>
      <c r="D580" s="6">
        <v>12</v>
      </c>
      <c r="E580" s="7">
        <v>17</v>
      </c>
      <c r="F580" s="6" t="s">
        <v>9742</v>
      </c>
      <c r="G580" s="6" t="s">
        <v>9370</v>
      </c>
      <c r="H580" s="6" t="s">
        <v>26</v>
      </c>
      <c r="I580" s="8"/>
      <c r="J580" s="8">
        <v>302.86</v>
      </c>
      <c r="K580" s="6" t="s">
        <v>4510</v>
      </c>
      <c r="L580" s="6" t="s">
        <v>9447</v>
      </c>
      <c r="M580" s="6" t="s">
        <v>4509</v>
      </c>
      <c r="N580" s="6" t="s">
        <v>4537</v>
      </c>
    </row>
    <row r="581" s="1" customFormat="1" ht="16.35" customHeight="1" spans="1:14">
      <c r="A581" s="5"/>
      <c r="B581" s="6" t="s">
        <v>4506</v>
      </c>
      <c r="C581" s="6">
        <v>2015</v>
      </c>
      <c r="D581" s="6">
        <v>12</v>
      </c>
      <c r="E581" s="7">
        <v>17</v>
      </c>
      <c r="F581" s="6" t="s">
        <v>9742</v>
      </c>
      <c r="G581" s="6" t="s">
        <v>9370</v>
      </c>
      <c r="H581" s="6" t="s">
        <v>26</v>
      </c>
      <c r="I581" s="8"/>
      <c r="J581" s="8">
        <v>198.32</v>
      </c>
      <c r="K581" s="6" t="s">
        <v>4516</v>
      </c>
      <c r="L581" s="6" t="s">
        <v>9449</v>
      </c>
      <c r="M581" s="6" t="s">
        <v>4509</v>
      </c>
      <c r="N581" s="6" t="s">
        <v>4537</v>
      </c>
    </row>
    <row r="582" s="1" customFormat="1" ht="16.35" customHeight="1" spans="1:14">
      <c r="A582" s="5"/>
      <c r="B582" s="6" t="s">
        <v>4506</v>
      </c>
      <c r="C582" s="6">
        <v>2015</v>
      </c>
      <c r="D582" s="6">
        <v>12</v>
      </c>
      <c r="E582" s="7">
        <v>18</v>
      </c>
      <c r="F582" s="6" t="s">
        <v>4507</v>
      </c>
      <c r="G582" s="6" t="s">
        <v>9370</v>
      </c>
      <c r="H582" s="6" t="s">
        <v>26</v>
      </c>
      <c r="I582" s="8">
        <v>11345</v>
      </c>
      <c r="J582" s="8"/>
      <c r="K582" s="6" t="s">
        <v>4509</v>
      </c>
      <c r="L582" s="6" t="s">
        <v>9218</v>
      </c>
      <c r="M582" s="6" t="s">
        <v>4509</v>
      </c>
      <c r="N582" s="6" t="s">
        <v>4537</v>
      </c>
    </row>
    <row r="583" s="1" customFormat="1" ht="16.35" customHeight="1" spans="1:14">
      <c r="A583" s="5"/>
      <c r="B583" s="6" t="s">
        <v>4506</v>
      </c>
      <c r="C583" s="6">
        <v>2015</v>
      </c>
      <c r="D583" s="6">
        <v>12</v>
      </c>
      <c r="E583" s="7">
        <v>24</v>
      </c>
      <c r="F583" s="6" t="s">
        <v>9667</v>
      </c>
      <c r="G583" s="6" t="s">
        <v>9370</v>
      </c>
      <c r="H583" s="6" t="s">
        <v>26</v>
      </c>
      <c r="I583" s="8"/>
      <c r="J583" s="8">
        <v>259116</v>
      </c>
      <c r="K583" s="6" t="s">
        <v>4514</v>
      </c>
      <c r="L583" s="6" t="s">
        <v>4511</v>
      </c>
      <c r="M583" s="6" t="s">
        <v>4509</v>
      </c>
      <c r="N583" s="6" t="s">
        <v>4537</v>
      </c>
    </row>
    <row r="584" s="1" customFormat="1" ht="16.35" customHeight="1" spans="1:14">
      <c r="A584" s="5"/>
      <c r="B584" s="6" t="s">
        <v>4506</v>
      </c>
      <c r="C584" s="6">
        <v>2015</v>
      </c>
      <c r="D584" s="6">
        <v>12</v>
      </c>
      <c r="E584" s="7">
        <v>24</v>
      </c>
      <c r="F584" s="6" t="s">
        <v>9667</v>
      </c>
      <c r="G584" s="6" t="s">
        <v>9370</v>
      </c>
      <c r="H584" s="6" t="s">
        <v>26</v>
      </c>
      <c r="I584" s="8"/>
      <c r="J584" s="8">
        <v>45624.4</v>
      </c>
      <c r="K584" s="6" t="s">
        <v>4509</v>
      </c>
      <c r="L584" s="6" t="s">
        <v>9218</v>
      </c>
      <c r="M584" s="6" t="s">
        <v>4509</v>
      </c>
      <c r="N584" s="6" t="s">
        <v>4537</v>
      </c>
    </row>
    <row r="585" s="1" customFormat="1" ht="16.35" customHeight="1" spans="1:14">
      <c r="A585" s="5"/>
      <c r="B585" s="6" t="s">
        <v>4506</v>
      </c>
      <c r="C585" s="6">
        <v>2015</v>
      </c>
      <c r="D585" s="6">
        <v>12</v>
      </c>
      <c r="E585" s="7">
        <v>25</v>
      </c>
      <c r="F585" s="6" t="s">
        <v>9743</v>
      </c>
      <c r="G585" s="6" t="s">
        <v>9370</v>
      </c>
      <c r="H585" s="6" t="s">
        <v>26</v>
      </c>
      <c r="I585" s="8"/>
      <c r="J585" s="8">
        <v>176.74</v>
      </c>
      <c r="K585" s="6" t="s">
        <v>4510</v>
      </c>
      <c r="L585" s="6" t="s">
        <v>9447</v>
      </c>
      <c r="M585" s="6" t="s">
        <v>4509</v>
      </c>
      <c r="N585" s="6" t="s">
        <v>4537</v>
      </c>
    </row>
    <row r="586" s="1" customFormat="1" ht="16.35" customHeight="1" spans="1:14">
      <c r="A586" s="5"/>
      <c r="B586" s="6" t="s">
        <v>4506</v>
      </c>
      <c r="C586" s="6">
        <v>2015</v>
      </c>
      <c r="D586" s="6">
        <v>12</v>
      </c>
      <c r="E586" s="7">
        <v>25</v>
      </c>
      <c r="F586" s="6" t="s">
        <v>9743</v>
      </c>
      <c r="G586" s="6" t="s">
        <v>9370</v>
      </c>
      <c r="H586" s="6" t="s">
        <v>26</v>
      </c>
      <c r="I586" s="8"/>
      <c r="J586" s="8">
        <v>228.56</v>
      </c>
      <c r="K586" s="6" t="s">
        <v>4516</v>
      </c>
      <c r="L586" s="6" t="s">
        <v>9449</v>
      </c>
      <c r="M586" s="6" t="s">
        <v>4509</v>
      </c>
      <c r="N586" s="6" t="s">
        <v>4537</v>
      </c>
    </row>
    <row r="587" s="1" customFormat="1" ht="16.35" customHeight="1" spans="1:14">
      <c r="A587" s="5"/>
      <c r="B587" s="6" t="s">
        <v>4506</v>
      </c>
      <c r="C587" s="6">
        <v>2015</v>
      </c>
      <c r="D587" s="6">
        <v>12</v>
      </c>
      <c r="E587" s="7">
        <v>26</v>
      </c>
      <c r="F587" s="6" t="s">
        <v>9744</v>
      </c>
      <c r="G587" s="6" t="s">
        <v>9370</v>
      </c>
      <c r="H587" s="6" t="s">
        <v>26</v>
      </c>
      <c r="I587" s="8">
        <v>3651.12</v>
      </c>
      <c r="J587" s="8"/>
      <c r="K587" s="6" t="s">
        <v>4510</v>
      </c>
      <c r="L587" s="6" t="s">
        <v>9447</v>
      </c>
      <c r="M587" s="6" t="s">
        <v>4509</v>
      </c>
      <c r="N587" s="6" t="s">
        <v>4537</v>
      </c>
    </row>
    <row r="588" s="1" customFormat="1" ht="16.35" customHeight="1" spans="1:14">
      <c r="A588" s="5"/>
      <c r="B588" s="6" t="s">
        <v>4506</v>
      </c>
      <c r="C588" s="6">
        <v>2015</v>
      </c>
      <c r="D588" s="6">
        <v>12</v>
      </c>
      <c r="E588" s="7">
        <v>26</v>
      </c>
      <c r="F588" s="6" t="s">
        <v>9744</v>
      </c>
      <c r="G588" s="6" t="s">
        <v>9370</v>
      </c>
      <c r="H588" s="6" t="s">
        <v>26</v>
      </c>
      <c r="I588" s="8">
        <v>2379.84</v>
      </c>
      <c r="J588" s="8"/>
      <c r="K588" s="6" t="s">
        <v>4516</v>
      </c>
      <c r="L588" s="6" t="s">
        <v>9449</v>
      </c>
      <c r="M588" s="6" t="s">
        <v>4509</v>
      </c>
      <c r="N588" s="6" t="s">
        <v>4537</v>
      </c>
    </row>
    <row r="589" s="1" customFormat="1" ht="16.35" customHeight="1" spans="1:14">
      <c r="A589" s="5"/>
      <c r="B589" s="6" t="s">
        <v>4506</v>
      </c>
      <c r="C589" s="6">
        <v>2015</v>
      </c>
      <c r="D589" s="6">
        <v>12</v>
      </c>
      <c r="E589" s="7">
        <v>26</v>
      </c>
      <c r="F589" s="6" t="s">
        <v>9744</v>
      </c>
      <c r="G589" s="6" t="s">
        <v>9370</v>
      </c>
      <c r="H589" s="6" t="s">
        <v>26</v>
      </c>
      <c r="I589" s="8"/>
      <c r="J589" s="8">
        <v>6030.96</v>
      </c>
      <c r="K589" s="6" t="s">
        <v>4509</v>
      </c>
      <c r="L589" s="6" t="s">
        <v>9218</v>
      </c>
      <c r="M589" s="6" t="s">
        <v>4509</v>
      </c>
      <c r="N589" s="6" t="s">
        <v>4537</v>
      </c>
    </row>
    <row r="590" s="1" customFormat="1" ht="16.35" customHeight="1" spans="1:14">
      <c r="A590" s="5"/>
      <c r="B590" s="6" t="s">
        <v>4506</v>
      </c>
      <c r="C590" s="6">
        <v>2016</v>
      </c>
      <c r="D590" s="6">
        <v>1</v>
      </c>
      <c r="E590" s="7">
        <v>2</v>
      </c>
      <c r="F590" s="6" t="s">
        <v>80</v>
      </c>
      <c r="G590" s="6" t="s">
        <v>9370</v>
      </c>
      <c r="H590" s="6" t="s">
        <v>26</v>
      </c>
      <c r="I590" s="8"/>
      <c r="J590" s="8">
        <v>140000</v>
      </c>
      <c r="K590" s="6" t="s">
        <v>4514</v>
      </c>
      <c r="L590" s="6" t="s">
        <v>4511</v>
      </c>
      <c r="M590" s="6" t="s">
        <v>4509</v>
      </c>
      <c r="N590" s="6" t="s">
        <v>4537</v>
      </c>
    </row>
    <row r="591" s="1" customFormat="1" ht="16.35" customHeight="1" spans="1:14">
      <c r="A591" s="5"/>
      <c r="B591" s="6" t="s">
        <v>4506</v>
      </c>
      <c r="C591" s="6">
        <v>2016</v>
      </c>
      <c r="D591" s="6">
        <v>1</v>
      </c>
      <c r="E591" s="7">
        <v>6</v>
      </c>
      <c r="F591" s="6" t="s">
        <v>4507</v>
      </c>
      <c r="G591" s="6" t="s">
        <v>9370</v>
      </c>
      <c r="H591" s="6" t="s">
        <v>26</v>
      </c>
      <c r="I591" s="8">
        <v>7000000</v>
      </c>
      <c r="J591" s="8"/>
      <c r="K591" s="6" t="s">
        <v>4509</v>
      </c>
      <c r="L591" s="6" t="s">
        <v>9218</v>
      </c>
      <c r="M591" s="6" t="s">
        <v>4509</v>
      </c>
      <c r="N591" s="6" t="s">
        <v>4537</v>
      </c>
    </row>
    <row r="592" s="1" customFormat="1" ht="16.35" customHeight="1" spans="1:14">
      <c r="A592" s="5"/>
      <c r="B592" s="6" t="s">
        <v>4506</v>
      </c>
      <c r="C592" s="6">
        <v>2016</v>
      </c>
      <c r="D592" s="6">
        <v>1</v>
      </c>
      <c r="E592" s="7">
        <v>9</v>
      </c>
      <c r="F592" s="6" t="s">
        <v>4554</v>
      </c>
      <c r="G592" s="6" t="s">
        <v>9370</v>
      </c>
      <c r="H592" s="6" t="s">
        <v>26</v>
      </c>
      <c r="I592" s="8">
        <v>6816.42</v>
      </c>
      <c r="J592" s="8"/>
      <c r="K592" s="6" t="s">
        <v>4512</v>
      </c>
      <c r="L592" s="6" t="s">
        <v>2906</v>
      </c>
      <c r="M592" s="6" t="s">
        <v>4509</v>
      </c>
      <c r="N592" s="6" t="s">
        <v>4537</v>
      </c>
    </row>
    <row r="593" s="1" customFormat="1" ht="16.35" customHeight="1" spans="1:14">
      <c r="A593" s="5"/>
      <c r="B593" s="6" t="s">
        <v>4506</v>
      </c>
      <c r="C593" s="6">
        <v>2016</v>
      </c>
      <c r="D593" s="6">
        <v>1</v>
      </c>
      <c r="E593" s="7">
        <v>10</v>
      </c>
      <c r="F593" s="6" t="s">
        <v>9745</v>
      </c>
      <c r="G593" s="6" t="s">
        <v>9370</v>
      </c>
      <c r="H593" s="6" t="s">
        <v>26</v>
      </c>
      <c r="I593" s="8"/>
      <c r="J593" s="8">
        <v>1300</v>
      </c>
      <c r="K593" s="6" t="s">
        <v>4524</v>
      </c>
      <c r="L593" s="6" t="s">
        <v>9746</v>
      </c>
      <c r="M593" s="6" t="s">
        <v>4509</v>
      </c>
      <c r="N593" s="6" t="s">
        <v>4537</v>
      </c>
    </row>
    <row r="594" s="1" customFormat="1" ht="16.35" customHeight="1" spans="1:14">
      <c r="A594" s="5"/>
      <c r="B594" s="6" t="s">
        <v>4506</v>
      </c>
      <c r="C594" s="6">
        <v>2016</v>
      </c>
      <c r="D594" s="6">
        <v>1</v>
      </c>
      <c r="E594" s="7">
        <v>11</v>
      </c>
      <c r="F594" s="6" t="s">
        <v>246</v>
      </c>
      <c r="G594" s="6" t="s">
        <v>9370</v>
      </c>
      <c r="H594" s="6" t="s">
        <v>26</v>
      </c>
      <c r="I594" s="8"/>
      <c r="J594" s="8">
        <v>70182</v>
      </c>
      <c r="K594" s="6" t="s">
        <v>4514</v>
      </c>
      <c r="L594" s="6" t="s">
        <v>4511</v>
      </c>
      <c r="M594" s="6" t="s">
        <v>4509</v>
      </c>
      <c r="N594" s="6" t="s">
        <v>4537</v>
      </c>
    </row>
    <row r="595" s="1" customFormat="1" ht="16.35" customHeight="1" spans="1:14">
      <c r="A595" s="5"/>
      <c r="B595" s="6" t="s">
        <v>4506</v>
      </c>
      <c r="C595" s="6">
        <v>2016</v>
      </c>
      <c r="D595" s="6">
        <v>1</v>
      </c>
      <c r="E595" s="7">
        <v>13</v>
      </c>
      <c r="F595" s="6" t="s">
        <v>9730</v>
      </c>
      <c r="G595" s="6" t="s">
        <v>9370</v>
      </c>
      <c r="H595" s="6" t="s">
        <v>26</v>
      </c>
      <c r="I595" s="8"/>
      <c r="J595" s="8">
        <v>1390000</v>
      </c>
      <c r="K595" s="6" t="s">
        <v>4512</v>
      </c>
      <c r="L595" s="6" t="s">
        <v>2906</v>
      </c>
      <c r="M595" s="6" t="s">
        <v>4509</v>
      </c>
      <c r="N595" s="6" t="s">
        <v>4537</v>
      </c>
    </row>
    <row r="596" s="1" customFormat="1" ht="16.35" customHeight="1" spans="1:14">
      <c r="A596" s="5"/>
      <c r="B596" s="6" t="s">
        <v>4506</v>
      </c>
      <c r="C596" s="6">
        <v>2016</v>
      </c>
      <c r="D596" s="6">
        <v>1</v>
      </c>
      <c r="E596" s="7">
        <v>18</v>
      </c>
      <c r="F596" s="6" t="s">
        <v>9747</v>
      </c>
      <c r="G596" s="6" t="s">
        <v>9370</v>
      </c>
      <c r="H596" s="6" t="s">
        <v>26</v>
      </c>
      <c r="I596" s="8"/>
      <c r="J596" s="8">
        <v>-139000</v>
      </c>
      <c r="K596" s="6" t="s">
        <v>4514</v>
      </c>
      <c r="L596" s="6" t="s">
        <v>4511</v>
      </c>
      <c r="M596" s="6" t="s">
        <v>4509</v>
      </c>
      <c r="N596" s="6" t="s">
        <v>4537</v>
      </c>
    </row>
    <row r="597" s="1" customFormat="1" ht="16.35" customHeight="1" spans="1:14">
      <c r="A597" s="5"/>
      <c r="B597" s="6" t="s">
        <v>4506</v>
      </c>
      <c r="C597" s="6">
        <v>2016</v>
      </c>
      <c r="D597" s="6">
        <v>1</v>
      </c>
      <c r="E597" s="7">
        <v>19</v>
      </c>
      <c r="F597" s="6" t="s">
        <v>9748</v>
      </c>
      <c r="G597" s="6" t="s">
        <v>9370</v>
      </c>
      <c r="H597" s="6" t="s">
        <v>26</v>
      </c>
      <c r="I597" s="8"/>
      <c r="J597" s="8">
        <v>188000</v>
      </c>
      <c r="K597" s="6" t="s">
        <v>4514</v>
      </c>
      <c r="L597" s="6" t="s">
        <v>4511</v>
      </c>
      <c r="M597" s="6" t="s">
        <v>4509</v>
      </c>
      <c r="N597" s="6" t="s">
        <v>4537</v>
      </c>
    </row>
    <row r="598" s="1" customFormat="1" ht="16.35" customHeight="1" spans="1:14">
      <c r="A598" s="5"/>
      <c r="B598" s="6" t="s">
        <v>4506</v>
      </c>
      <c r="C598" s="6">
        <v>2016</v>
      </c>
      <c r="D598" s="6">
        <v>1</v>
      </c>
      <c r="E598" s="7">
        <v>20</v>
      </c>
      <c r="F598" s="6" t="s">
        <v>9749</v>
      </c>
      <c r="G598" s="6" t="s">
        <v>9370</v>
      </c>
      <c r="H598" s="6" t="s">
        <v>26</v>
      </c>
      <c r="I598" s="8"/>
      <c r="J598" s="8">
        <v>180000</v>
      </c>
      <c r="K598" s="6" t="s">
        <v>4514</v>
      </c>
      <c r="L598" s="6" t="s">
        <v>4511</v>
      </c>
      <c r="M598" s="6" t="s">
        <v>4509</v>
      </c>
      <c r="N598" s="6" t="s">
        <v>4537</v>
      </c>
    </row>
    <row r="599" s="1" customFormat="1" ht="16.35" customHeight="1" spans="1:14">
      <c r="A599" s="5"/>
      <c r="B599" s="6" t="s">
        <v>4506</v>
      </c>
      <c r="C599" s="6">
        <v>2016</v>
      </c>
      <c r="D599" s="6">
        <v>1</v>
      </c>
      <c r="E599" s="7">
        <v>21</v>
      </c>
      <c r="F599" s="6" t="s">
        <v>9750</v>
      </c>
      <c r="G599" s="6" t="s">
        <v>9370</v>
      </c>
      <c r="H599" s="6" t="s">
        <v>26</v>
      </c>
      <c r="I599" s="8"/>
      <c r="J599" s="8">
        <v>139000</v>
      </c>
      <c r="K599" s="6" t="s">
        <v>4514</v>
      </c>
      <c r="L599" s="6" t="s">
        <v>4511</v>
      </c>
      <c r="M599" s="6" t="s">
        <v>4509</v>
      </c>
      <c r="N599" s="6" t="s">
        <v>4537</v>
      </c>
    </row>
    <row r="600" s="1" customFormat="1" ht="16.35" customHeight="1" spans="1:14">
      <c r="A600" s="5"/>
      <c r="B600" s="6" t="s">
        <v>4506</v>
      </c>
      <c r="C600" s="6">
        <v>2016</v>
      </c>
      <c r="D600" s="6">
        <v>1</v>
      </c>
      <c r="E600" s="7">
        <v>23</v>
      </c>
      <c r="F600" s="6" t="s">
        <v>9751</v>
      </c>
      <c r="G600" s="6" t="s">
        <v>9370</v>
      </c>
      <c r="H600" s="6" t="s">
        <v>26</v>
      </c>
      <c r="I600" s="8"/>
      <c r="J600" s="8">
        <v>3200000</v>
      </c>
      <c r="K600" s="6" t="s">
        <v>4509</v>
      </c>
      <c r="L600" s="6" t="s">
        <v>9218</v>
      </c>
      <c r="M600" s="6" t="s">
        <v>4509</v>
      </c>
      <c r="N600" s="6" t="s">
        <v>4537</v>
      </c>
    </row>
    <row r="601" s="1" customFormat="1" ht="16.35" customHeight="1" spans="1:14">
      <c r="A601" s="5"/>
      <c r="B601" s="6" t="s">
        <v>4506</v>
      </c>
      <c r="C601" s="6">
        <v>2016</v>
      </c>
      <c r="D601" s="6">
        <v>1</v>
      </c>
      <c r="E601" s="7">
        <v>24</v>
      </c>
      <c r="F601" s="6" t="s">
        <v>9752</v>
      </c>
      <c r="G601" s="6" t="s">
        <v>9370</v>
      </c>
      <c r="H601" s="6" t="s">
        <v>26</v>
      </c>
      <c r="I601" s="8"/>
      <c r="J601" s="8">
        <v>155740</v>
      </c>
      <c r="K601" s="6" t="s">
        <v>4512</v>
      </c>
      <c r="L601" s="6" t="s">
        <v>2906</v>
      </c>
      <c r="M601" s="6" t="s">
        <v>4509</v>
      </c>
      <c r="N601" s="6" t="s">
        <v>4537</v>
      </c>
    </row>
    <row r="602" s="1" customFormat="1" ht="16.35" customHeight="1" spans="1:14">
      <c r="A602" s="5"/>
      <c r="B602" s="6" t="s">
        <v>4506</v>
      </c>
      <c r="C602" s="6">
        <v>2016</v>
      </c>
      <c r="D602" s="6">
        <v>1</v>
      </c>
      <c r="E602" s="7">
        <v>25</v>
      </c>
      <c r="F602" s="6" t="s">
        <v>9751</v>
      </c>
      <c r="G602" s="6" t="s">
        <v>9370</v>
      </c>
      <c r="H602" s="6" t="s">
        <v>26</v>
      </c>
      <c r="I602" s="8"/>
      <c r="J602" s="8">
        <v>304959.6</v>
      </c>
      <c r="K602" s="6" t="s">
        <v>4514</v>
      </c>
      <c r="L602" s="6" t="s">
        <v>4511</v>
      </c>
      <c r="M602" s="6" t="s">
        <v>4509</v>
      </c>
      <c r="N602" s="6" t="s">
        <v>4537</v>
      </c>
    </row>
    <row r="603" s="1" customFormat="1" ht="16.35" customHeight="1" spans="1:14">
      <c r="A603" s="5"/>
      <c r="B603" s="6" t="s">
        <v>4506</v>
      </c>
      <c r="C603" s="6">
        <v>2016</v>
      </c>
      <c r="D603" s="6">
        <v>1</v>
      </c>
      <c r="E603" s="7">
        <v>26</v>
      </c>
      <c r="F603" s="6" t="s">
        <v>9753</v>
      </c>
      <c r="G603" s="6" t="s">
        <v>9370</v>
      </c>
      <c r="H603" s="6" t="s">
        <v>26</v>
      </c>
      <c r="I603" s="8"/>
      <c r="J603" s="8">
        <v>180000</v>
      </c>
      <c r="K603" s="6" t="s">
        <v>4514</v>
      </c>
      <c r="L603" s="6" t="s">
        <v>4511</v>
      </c>
      <c r="M603" s="6" t="s">
        <v>4509</v>
      </c>
      <c r="N603" s="6" t="s">
        <v>4537</v>
      </c>
    </row>
    <row r="604" s="1" customFormat="1" ht="16.35" customHeight="1" spans="1:14">
      <c r="A604" s="5"/>
      <c r="B604" s="6" t="s">
        <v>4506</v>
      </c>
      <c r="C604" s="6">
        <v>2016</v>
      </c>
      <c r="D604" s="6">
        <v>1</v>
      </c>
      <c r="E604" s="7">
        <v>27</v>
      </c>
      <c r="F604" s="6" t="s">
        <v>9667</v>
      </c>
      <c r="G604" s="6" t="s">
        <v>9370</v>
      </c>
      <c r="H604" s="6" t="s">
        <v>26</v>
      </c>
      <c r="I604" s="8"/>
      <c r="J604" s="8">
        <v>302966.4</v>
      </c>
      <c r="K604" s="6" t="s">
        <v>4514</v>
      </c>
      <c r="L604" s="6" t="s">
        <v>4511</v>
      </c>
      <c r="M604" s="6" t="s">
        <v>4509</v>
      </c>
      <c r="N604" s="6" t="s">
        <v>4537</v>
      </c>
    </row>
    <row r="605" s="1" customFormat="1" ht="16.35" customHeight="1" spans="1:14">
      <c r="A605" s="5"/>
      <c r="B605" s="6" t="s">
        <v>4506</v>
      </c>
      <c r="C605" s="6">
        <v>2016</v>
      </c>
      <c r="D605" s="6">
        <v>1</v>
      </c>
      <c r="E605" s="7">
        <v>31</v>
      </c>
      <c r="F605" s="6" t="s">
        <v>9754</v>
      </c>
      <c r="G605" s="6" t="s">
        <v>9370</v>
      </c>
      <c r="H605" s="6" t="s">
        <v>26</v>
      </c>
      <c r="I605" s="8"/>
      <c r="J605" s="8">
        <v>302.86</v>
      </c>
      <c r="K605" s="6" t="s">
        <v>4510</v>
      </c>
      <c r="L605" s="6" t="s">
        <v>9447</v>
      </c>
      <c r="M605" s="6" t="s">
        <v>4509</v>
      </c>
      <c r="N605" s="6" t="s">
        <v>4537</v>
      </c>
    </row>
    <row r="606" s="1" customFormat="1" ht="16.35" customHeight="1" spans="1:14">
      <c r="A606" s="5"/>
      <c r="B606" s="6" t="s">
        <v>4506</v>
      </c>
      <c r="C606" s="6">
        <v>2016</v>
      </c>
      <c r="D606" s="6">
        <v>1</v>
      </c>
      <c r="E606" s="7">
        <v>31</v>
      </c>
      <c r="F606" s="6" t="s">
        <v>9754</v>
      </c>
      <c r="G606" s="6" t="s">
        <v>9370</v>
      </c>
      <c r="H606" s="6" t="s">
        <v>26</v>
      </c>
      <c r="I606" s="8"/>
      <c r="J606" s="8">
        <v>198.32</v>
      </c>
      <c r="K606" s="6" t="s">
        <v>4516</v>
      </c>
      <c r="L606" s="6" t="s">
        <v>9449</v>
      </c>
      <c r="M606" s="6" t="s">
        <v>4509</v>
      </c>
      <c r="N606" s="6" t="s">
        <v>4537</v>
      </c>
    </row>
    <row r="607" s="1" customFormat="1" ht="16.35" customHeight="1" spans="1:14">
      <c r="A607" s="5"/>
      <c r="B607" s="6" t="s">
        <v>4506</v>
      </c>
      <c r="C607" s="6">
        <v>2016</v>
      </c>
      <c r="D607" s="6">
        <v>2</v>
      </c>
      <c r="E607" s="7">
        <v>1</v>
      </c>
      <c r="F607" s="6" t="s">
        <v>92</v>
      </c>
      <c r="G607" s="6" t="s">
        <v>9370</v>
      </c>
      <c r="H607" s="6" t="s">
        <v>26</v>
      </c>
      <c r="I607" s="8"/>
      <c r="J607" s="8">
        <v>70396</v>
      </c>
      <c r="K607" s="6" t="s">
        <v>4514</v>
      </c>
      <c r="L607" s="6" t="s">
        <v>4511</v>
      </c>
      <c r="M607" s="6" t="s">
        <v>4509</v>
      </c>
      <c r="N607" s="6" t="s">
        <v>4537</v>
      </c>
    </row>
    <row r="608" s="2" customFormat="1" ht="16.35" customHeight="1" spans="1:14">
      <c r="A608" s="9"/>
      <c r="B608" s="10" t="s">
        <v>4506</v>
      </c>
      <c r="C608" s="10">
        <v>2016</v>
      </c>
      <c r="D608" s="10">
        <v>2</v>
      </c>
      <c r="E608" s="11">
        <v>2</v>
      </c>
      <c r="F608" s="10" t="s">
        <v>469</v>
      </c>
      <c r="G608" s="10" t="s">
        <v>9370</v>
      </c>
      <c r="H608" s="10" t="s">
        <v>26</v>
      </c>
      <c r="I608" s="12"/>
      <c r="J608" s="12">
        <v>10000</v>
      </c>
      <c r="K608" s="10" t="s">
        <v>4514</v>
      </c>
      <c r="L608" s="10" t="s">
        <v>4511</v>
      </c>
      <c r="M608" s="10" t="s">
        <v>4509</v>
      </c>
      <c r="N608" s="10" t="s">
        <v>4537</v>
      </c>
    </row>
    <row r="609" s="1" customFormat="1" ht="16.35" customHeight="1" spans="1:14">
      <c r="A609" s="5"/>
      <c r="B609" s="6" t="s">
        <v>4506</v>
      </c>
      <c r="C609" s="6">
        <v>2016</v>
      </c>
      <c r="D609" s="6">
        <v>2</v>
      </c>
      <c r="E609" s="7">
        <v>3</v>
      </c>
      <c r="F609" s="6" t="s">
        <v>124</v>
      </c>
      <c r="G609" s="6" t="s">
        <v>9370</v>
      </c>
      <c r="H609" s="6" t="s">
        <v>26</v>
      </c>
      <c r="I609" s="8"/>
      <c r="J609" s="8">
        <v>10000</v>
      </c>
      <c r="K609" s="6" t="s">
        <v>4514</v>
      </c>
      <c r="L609" s="6" t="s">
        <v>4511</v>
      </c>
      <c r="M609" s="6" t="s">
        <v>4509</v>
      </c>
      <c r="N609" s="6" t="s">
        <v>4537</v>
      </c>
    </row>
    <row r="610" s="1" customFormat="1" ht="16.35" customHeight="1" spans="1:14">
      <c r="A610" s="5"/>
      <c r="B610" s="6" t="s">
        <v>4506</v>
      </c>
      <c r="C610" s="6">
        <v>2016</v>
      </c>
      <c r="D610" s="6">
        <v>2</v>
      </c>
      <c r="E610" s="7">
        <v>4</v>
      </c>
      <c r="F610" s="6" t="s">
        <v>416</v>
      </c>
      <c r="G610" s="6" t="s">
        <v>9370</v>
      </c>
      <c r="H610" s="6" t="s">
        <v>26</v>
      </c>
      <c r="I610" s="8"/>
      <c r="J610" s="8">
        <v>10000</v>
      </c>
      <c r="K610" s="6" t="s">
        <v>4514</v>
      </c>
      <c r="L610" s="6" t="s">
        <v>4511</v>
      </c>
      <c r="M610" s="6" t="s">
        <v>4509</v>
      </c>
      <c r="N610" s="6" t="s">
        <v>4537</v>
      </c>
    </row>
    <row r="611" s="1" customFormat="1" ht="16.35" customHeight="1" spans="1:14">
      <c r="A611" s="5"/>
      <c r="B611" s="6" t="s">
        <v>4506</v>
      </c>
      <c r="C611" s="6">
        <v>2016</v>
      </c>
      <c r="D611" s="6">
        <v>2</v>
      </c>
      <c r="E611" s="7">
        <v>5</v>
      </c>
      <c r="F611" s="6" t="s">
        <v>630</v>
      </c>
      <c r="G611" s="6" t="s">
        <v>9370</v>
      </c>
      <c r="H611" s="6" t="s">
        <v>26</v>
      </c>
      <c r="I611" s="8"/>
      <c r="J611" s="8">
        <v>10000</v>
      </c>
      <c r="K611" s="6" t="s">
        <v>4514</v>
      </c>
      <c r="L611" s="6" t="s">
        <v>4511</v>
      </c>
      <c r="M611" s="6" t="s">
        <v>4509</v>
      </c>
      <c r="N611" s="6" t="s">
        <v>4537</v>
      </c>
    </row>
    <row r="612" s="1" customFormat="1" ht="16.35" customHeight="1" spans="1:14">
      <c r="A612" s="5"/>
      <c r="B612" s="6" t="s">
        <v>4506</v>
      </c>
      <c r="C612" s="6">
        <v>2016</v>
      </c>
      <c r="D612" s="6">
        <v>2</v>
      </c>
      <c r="E612" s="7">
        <v>6</v>
      </c>
      <c r="F612" s="6" t="s">
        <v>9755</v>
      </c>
      <c r="G612" s="6" t="s">
        <v>9370</v>
      </c>
      <c r="H612" s="6" t="s">
        <v>26</v>
      </c>
      <c r="I612" s="8"/>
      <c r="J612" s="8">
        <v>35000</v>
      </c>
      <c r="K612" s="6" t="s">
        <v>4514</v>
      </c>
      <c r="L612" s="6" t="s">
        <v>4511</v>
      </c>
      <c r="M612" s="6" t="s">
        <v>4509</v>
      </c>
      <c r="N612" s="6" t="s">
        <v>4537</v>
      </c>
    </row>
    <row r="613" s="1" customFormat="1" ht="16.35" customHeight="1" spans="1:14">
      <c r="A613" s="5"/>
      <c r="B613" s="6" t="s">
        <v>4506</v>
      </c>
      <c r="C613" s="6">
        <v>2016</v>
      </c>
      <c r="D613" s="6">
        <v>2</v>
      </c>
      <c r="E613" s="7">
        <v>7</v>
      </c>
      <c r="F613" s="6" t="s">
        <v>104</v>
      </c>
      <c r="G613" s="6" t="s">
        <v>9370</v>
      </c>
      <c r="H613" s="6" t="s">
        <v>26</v>
      </c>
      <c r="I613" s="8"/>
      <c r="J613" s="8">
        <v>10000</v>
      </c>
      <c r="K613" s="6" t="s">
        <v>4514</v>
      </c>
      <c r="L613" s="6" t="s">
        <v>4511</v>
      </c>
      <c r="M613" s="6" t="s">
        <v>4509</v>
      </c>
      <c r="N613" s="6" t="s">
        <v>4537</v>
      </c>
    </row>
    <row r="614" s="1" customFormat="1" ht="16.35" customHeight="1" spans="1:14">
      <c r="A614" s="5"/>
      <c r="B614" s="6" t="s">
        <v>4506</v>
      </c>
      <c r="C614" s="6">
        <v>2016</v>
      </c>
      <c r="D614" s="6">
        <v>2</v>
      </c>
      <c r="E614" s="7">
        <v>8</v>
      </c>
      <c r="F614" s="6" t="s">
        <v>112</v>
      </c>
      <c r="G614" s="6" t="s">
        <v>9370</v>
      </c>
      <c r="H614" s="6" t="s">
        <v>26</v>
      </c>
      <c r="I614" s="8"/>
      <c r="J614" s="8">
        <v>10000</v>
      </c>
      <c r="K614" s="6" t="s">
        <v>4514</v>
      </c>
      <c r="L614" s="6" t="s">
        <v>4511</v>
      </c>
      <c r="M614" s="6" t="s">
        <v>4509</v>
      </c>
      <c r="N614" s="6" t="s">
        <v>4537</v>
      </c>
    </row>
    <row r="615" s="1" customFormat="1" ht="16.35" customHeight="1" spans="1:14">
      <c r="A615" s="5"/>
      <c r="B615" s="6" t="s">
        <v>4506</v>
      </c>
      <c r="C615" s="6">
        <v>2016</v>
      </c>
      <c r="D615" s="6">
        <v>2</v>
      </c>
      <c r="E615" s="7">
        <v>9</v>
      </c>
      <c r="F615" s="6" t="s">
        <v>648</v>
      </c>
      <c r="G615" s="6" t="s">
        <v>9370</v>
      </c>
      <c r="H615" s="6" t="s">
        <v>26</v>
      </c>
      <c r="I615" s="8"/>
      <c r="J615" s="8">
        <v>10000</v>
      </c>
      <c r="K615" s="6" t="s">
        <v>4514</v>
      </c>
      <c r="L615" s="6" t="s">
        <v>4511</v>
      </c>
      <c r="M615" s="6" t="s">
        <v>4509</v>
      </c>
      <c r="N615" s="6" t="s">
        <v>4537</v>
      </c>
    </row>
    <row r="616" s="1" customFormat="1" ht="16.35" customHeight="1" spans="1:14">
      <c r="A616" s="5"/>
      <c r="B616" s="6" t="s">
        <v>4506</v>
      </c>
      <c r="C616" s="6">
        <v>2016</v>
      </c>
      <c r="D616" s="6">
        <v>2</v>
      </c>
      <c r="E616" s="7">
        <v>10</v>
      </c>
      <c r="F616" s="6" t="s">
        <v>102</v>
      </c>
      <c r="G616" s="6" t="s">
        <v>9370</v>
      </c>
      <c r="H616" s="6" t="s">
        <v>26</v>
      </c>
      <c r="I616" s="8"/>
      <c r="J616" s="8">
        <v>10000</v>
      </c>
      <c r="K616" s="6" t="s">
        <v>4514</v>
      </c>
      <c r="L616" s="6" t="s">
        <v>4511</v>
      </c>
      <c r="M616" s="6" t="s">
        <v>4509</v>
      </c>
      <c r="N616" s="6" t="s">
        <v>4537</v>
      </c>
    </row>
    <row r="617" s="1" customFormat="1" ht="16.35" customHeight="1" spans="1:14">
      <c r="A617" s="5"/>
      <c r="B617" s="6" t="s">
        <v>4506</v>
      </c>
      <c r="C617" s="6">
        <v>2016</v>
      </c>
      <c r="D617" s="6">
        <v>2</v>
      </c>
      <c r="E617" s="7">
        <v>11</v>
      </c>
      <c r="F617" s="6" t="s">
        <v>453</v>
      </c>
      <c r="G617" s="6" t="s">
        <v>9370</v>
      </c>
      <c r="H617" s="6" t="s">
        <v>26</v>
      </c>
      <c r="I617" s="8"/>
      <c r="J617" s="8">
        <v>10000</v>
      </c>
      <c r="K617" s="6" t="s">
        <v>4514</v>
      </c>
      <c r="L617" s="6" t="s">
        <v>4511</v>
      </c>
      <c r="M617" s="6" t="s">
        <v>4509</v>
      </c>
      <c r="N617" s="6" t="s">
        <v>4537</v>
      </c>
    </row>
    <row r="618" s="1" customFormat="1" ht="16.35" customHeight="1" spans="1:14">
      <c r="A618" s="5"/>
      <c r="B618" s="6" t="s">
        <v>4506</v>
      </c>
      <c r="C618" s="6">
        <v>2016</v>
      </c>
      <c r="D618" s="6">
        <v>2</v>
      </c>
      <c r="E618" s="7">
        <v>12</v>
      </c>
      <c r="F618" s="6" t="s">
        <v>404</v>
      </c>
      <c r="G618" s="6" t="s">
        <v>9370</v>
      </c>
      <c r="H618" s="6" t="s">
        <v>26</v>
      </c>
      <c r="I618" s="8"/>
      <c r="J618" s="8">
        <v>10000</v>
      </c>
      <c r="K618" s="6" t="s">
        <v>4514</v>
      </c>
      <c r="L618" s="6" t="s">
        <v>4511</v>
      </c>
      <c r="M618" s="6" t="s">
        <v>4509</v>
      </c>
      <c r="N618" s="6" t="s">
        <v>4537</v>
      </c>
    </row>
    <row r="619" s="1" customFormat="1" ht="16.35" customHeight="1" spans="1:14">
      <c r="A619" s="5"/>
      <c r="B619" s="6" t="s">
        <v>4506</v>
      </c>
      <c r="C619" s="6">
        <v>2016</v>
      </c>
      <c r="D619" s="6">
        <v>2</v>
      </c>
      <c r="E619" s="7">
        <v>13</v>
      </c>
      <c r="F619" s="6" t="s">
        <v>499</v>
      </c>
      <c r="G619" s="6" t="s">
        <v>9370</v>
      </c>
      <c r="H619" s="6" t="s">
        <v>26</v>
      </c>
      <c r="I619" s="8"/>
      <c r="J619" s="8">
        <v>10000</v>
      </c>
      <c r="K619" s="6" t="s">
        <v>4514</v>
      </c>
      <c r="L619" s="6" t="s">
        <v>4511</v>
      </c>
      <c r="M619" s="6" t="s">
        <v>4509</v>
      </c>
      <c r="N619" s="6" t="s">
        <v>4537</v>
      </c>
    </row>
    <row r="620" s="1" customFormat="1" ht="16.35" customHeight="1" spans="1:14">
      <c r="A620" s="5"/>
      <c r="B620" s="6" t="s">
        <v>4506</v>
      </c>
      <c r="C620" s="6">
        <v>2016</v>
      </c>
      <c r="D620" s="6">
        <v>2</v>
      </c>
      <c r="E620" s="7">
        <v>14</v>
      </c>
      <c r="F620" s="6" t="s">
        <v>384</v>
      </c>
      <c r="G620" s="6" t="s">
        <v>9370</v>
      </c>
      <c r="H620" s="6" t="s">
        <v>26</v>
      </c>
      <c r="I620" s="8"/>
      <c r="J620" s="8">
        <v>98246</v>
      </c>
      <c r="K620" s="6" t="s">
        <v>4514</v>
      </c>
      <c r="L620" s="6" t="s">
        <v>4511</v>
      </c>
      <c r="M620" s="6" t="s">
        <v>4509</v>
      </c>
      <c r="N620" s="6" t="s">
        <v>4537</v>
      </c>
    </row>
    <row r="621" s="1" customFormat="1" ht="16.35" customHeight="1" spans="1:14">
      <c r="A621" s="5"/>
      <c r="B621" s="6" t="s">
        <v>4506</v>
      </c>
      <c r="C621" s="6">
        <v>2016</v>
      </c>
      <c r="D621" s="6">
        <v>2</v>
      </c>
      <c r="E621" s="7">
        <v>15</v>
      </c>
      <c r="F621" s="6" t="s">
        <v>124</v>
      </c>
      <c r="G621" s="6" t="s">
        <v>9370</v>
      </c>
      <c r="H621" s="6" t="s">
        <v>26</v>
      </c>
      <c r="I621" s="8"/>
      <c r="J621" s="8">
        <v>75704</v>
      </c>
      <c r="K621" s="6" t="s">
        <v>4514</v>
      </c>
      <c r="L621" s="6" t="s">
        <v>4511</v>
      </c>
      <c r="M621" s="6" t="s">
        <v>4509</v>
      </c>
      <c r="N621" s="6" t="s">
        <v>4537</v>
      </c>
    </row>
    <row r="622" s="1" customFormat="1" ht="16.35" customHeight="1" spans="1:14">
      <c r="A622" s="5"/>
      <c r="B622" s="6" t="s">
        <v>4506</v>
      </c>
      <c r="C622" s="6">
        <v>2016</v>
      </c>
      <c r="D622" s="6">
        <v>2</v>
      </c>
      <c r="E622" s="7">
        <v>16</v>
      </c>
      <c r="F622" s="6" t="s">
        <v>120</v>
      </c>
      <c r="G622" s="6" t="s">
        <v>9370</v>
      </c>
      <c r="H622" s="6" t="s">
        <v>26</v>
      </c>
      <c r="I622" s="8"/>
      <c r="J622" s="8">
        <v>10000</v>
      </c>
      <c r="K622" s="6" t="s">
        <v>4514</v>
      </c>
      <c r="L622" s="6" t="s">
        <v>4511</v>
      </c>
      <c r="M622" s="6" t="s">
        <v>4509</v>
      </c>
      <c r="N622" s="6" t="s">
        <v>4537</v>
      </c>
    </row>
    <row r="623" s="1" customFormat="1" ht="16.35" customHeight="1" spans="1:14">
      <c r="A623" s="5"/>
      <c r="B623" s="6" t="s">
        <v>4506</v>
      </c>
      <c r="C623" s="6">
        <v>2016</v>
      </c>
      <c r="D623" s="6">
        <v>2</v>
      </c>
      <c r="E623" s="7">
        <v>17</v>
      </c>
      <c r="F623" s="6" t="s">
        <v>9756</v>
      </c>
      <c r="G623" s="6" t="s">
        <v>9370</v>
      </c>
      <c r="H623" s="6" t="s">
        <v>26</v>
      </c>
      <c r="I623" s="8"/>
      <c r="J623" s="8">
        <v>30000</v>
      </c>
      <c r="K623" s="6" t="s">
        <v>4514</v>
      </c>
      <c r="L623" s="6" t="s">
        <v>4511</v>
      </c>
      <c r="M623" s="6" t="s">
        <v>4509</v>
      </c>
      <c r="N623" s="6" t="s">
        <v>4537</v>
      </c>
    </row>
    <row r="624" s="1" customFormat="1" ht="16.35" customHeight="1" spans="1:14">
      <c r="A624" s="5"/>
      <c r="B624" s="6" t="s">
        <v>4506</v>
      </c>
      <c r="C624" s="6">
        <v>2016</v>
      </c>
      <c r="D624" s="6">
        <v>2</v>
      </c>
      <c r="E624" s="7">
        <v>18</v>
      </c>
      <c r="F624" s="6" t="s">
        <v>67</v>
      </c>
      <c r="G624" s="6" t="s">
        <v>9370</v>
      </c>
      <c r="H624" s="6" t="s">
        <v>26</v>
      </c>
      <c r="I624" s="8"/>
      <c r="J624" s="8">
        <v>10000</v>
      </c>
      <c r="K624" s="6" t="s">
        <v>4514</v>
      </c>
      <c r="L624" s="6" t="s">
        <v>4511</v>
      </c>
      <c r="M624" s="6" t="s">
        <v>4509</v>
      </c>
      <c r="N624" s="6" t="s">
        <v>4537</v>
      </c>
    </row>
    <row r="625" s="1" customFormat="1" ht="16.35" customHeight="1" spans="1:14">
      <c r="A625" s="5"/>
      <c r="B625" s="6" t="s">
        <v>4506</v>
      </c>
      <c r="C625" s="6">
        <v>2016</v>
      </c>
      <c r="D625" s="6">
        <v>2</v>
      </c>
      <c r="E625" s="7">
        <v>19</v>
      </c>
      <c r="F625" s="6" t="s">
        <v>9757</v>
      </c>
      <c r="G625" s="6" t="s">
        <v>9370</v>
      </c>
      <c r="H625" s="6" t="s">
        <v>26</v>
      </c>
      <c r="I625" s="8"/>
      <c r="J625" s="8">
        <v>30000</v>
      </c>
      <c r="K625" s="6" t="s">
        <v>4514</v>
      </c>
      <c r="L625" s="6" t="s">
        <v>4511</v>
      </c>
      <c r="M625" s="6" t="s">
        <v>4509</v>
      </c>
      <c r="N625" s="6" t="s">
        <v>4537</v>
      </c>
    </row>
    <row r="626" s="1" customFormat="1" ht="16.35" customHeight="1" spans="1:14">
      <c r="A626" s="5"/>
      <c r="B626" s="6" t="s">
        <v>4506</v>
      </c>
      <c r="C626" s="6">
        <v>2016</v>
      </c>
      <c r="D626" s="6">
        <v>2</v>
      </c>
      <c r="E626" s="7">
        <v>20</v>
      </c>
      <c r="F626" s="6" t="s">
        <v>380</v>
      </c>
      <c r="G626" s="6" t="s">
        <v>9370</v>
      </c>
      <c r="H626" s="6" t="s">
        <v>26</v>
      </c>
      <c r="I626" s="8"/>
      <c r="J626" s="8">
        <v>10000</v>
      </c>
      <c r="K626" s="6" t="s">
        <v>4514</v>
      </c>
      <c r="L626" s="6" t="s">
        <v>4511</v>
      </c>
      <c r="M626" s="6" t="s">
        <v>4509</v>
      </c>
      <c r="N626" s="6" t="s">
        <v>4537</v>
      </c>
    </row>
    <row r="627" s="1" customFormat="1" ht="16.35" customHeight="1" spans="1:14">
      <c r="A627" s="5"/>
      <c r="B627" s="6" t="s">
        <v>4506</v>
      </c>
      <c r="C627" s="6">
        <v>2016</v>
      </c>
      <c r="D627" s="6">
        <v>2</v>
      </c>
      <c r="E627" s="7">
        <v>21</v>
      </c>
      <c r="F627" s="6" t="s">
        <v>497</v>
      </c>
      <c r="G627" s="6" t="s">
        <v>9370</v>
      </c>
      <c r="H627" s="6" t="s">
        <v>26</v>
      </c>
      <c r="I627" s="8"/>
      <c r="J627" s="8">
        <v>10000</v>
      </c>
      <c r="K627" s="6" t="s">
        <v>4514</v>
      </c>
      <c r="L627" s="6" t="s">
        <v>4511</v>
      </c>
      <c r="M627" s="6" t="s">
        <v>4509</v>
      </c>
      <c r="N627" s="6" t="s">
        <v>4537</v>
      </c>
    </row>
    <row r="628" s="1" customFormat="1" ht="16.35" customHeight="1" spans="1:14">
      <c r="A628" s="5"/>
      <c r="B628" s="6" t="s">
        <v>4506</v>
      </c>
      <c r="C628" s="6">
        <v>2016</v>
      </c>
      <c r="D628" s="6">
        <v>2</v>
      </c>
      <c r="E628" s="7">
        <v>22</v>
      </c>
      <c r="F628" s="6" t="s">
        <v>142</v>
      </c>
      <c r="G628" s="6" t="s">
        <v>9370</v>
      </c>
      <c r="H628" s="6" t="s">
        <v>26</v>
      </c>
      <c r="I628" s="8"/>
      <c r="J628" s="8">
        <v>5000</v>
      </c>
      <c r="K628" s="6" t="s">
        <v>4514</v>
      </c>
      <c r="L628" s="6" t="s">
        <v>4511</v>
      </c>
      <c r="M628" s="6" t="s">
        <v>4509</v>
      </c>
      <c r="N628" s="6" t="s">
        <v>4537</v>
      </c>
    </row>
    <row r="629" s="1" customFormat="1" ht="16.35" customHeight="1" spans="1:14">
      <c r="A629" s="5"/>
      <c r="B629" s="6" t="s">
        <v>4506</v>
      </c>
      <c r="C629" s="6">
        <v>2016</v>
      </c>
      <c r="D629" s="6">
        <v>2</v>
      </c>
      <c r="E629" s="7">
        <v>23</v>
      </c>
      <c r="F629" s="6" t="s">
        <v>126</v>
      </c>
      <c r="G629" s="6" t="s">
        <v>9370</v>
      </c>
      <c r="H629" s="6" t="s">
        <v>26</v>
      </c>
      <c r="I629" s="8"/>
      <c r="J629" s="8">
        <v>10000</v>
      </c>
      <c r="K629" s="6" t="s">
        <v>4514</v>
      </c>
      <c r="L629" s="6" t="s">
        <v>4511</v>
      </c>
      <c r="M629" s="6" t="s">
        <v>4509</v>
      </c>
      <c r="N629" s="6" t="s">
        <v>4537</v>
      </c>
    </row>
    <row r="630" s="1" customFormat="1" ht="16.35" customHeight="1" spans="1:14">
      <c r="A630" s="5"/>
      <c r="B630" s="6" t="s">
        <v>4506</v>
      </c>
      <c r="C630" s="6">
        <v>2016</v>
      </c>
      <c r="D630" s="6">
        <v>2</v>
      </c>
      <c r="E630" s="7">
        <v>24</v>
      </c>
      <c r="F630" s="6" t="s">
        <v>118</v>
      </c>
      <c r="G630" s="6" t="s">
        <v>9370</v>
      </c>
      <c r="H630" s="6" t="s">
        <v>26</v>
      </c>
      <c r="I630" s="8"/>
      <c r="J630" s="8">
        <v>10000</v>
      </c>
      <c r="K630" s="6" t="s">
        <v>4514</v>
      </c>
      <c r="L630" s="6" t="s">
        <v>4511</v>
      </c>
      <c r="M630" s="6" t="s">
        <v>4509</v>
      </c>
      <c r="N630" s="6" t="s">
        <v>4537</v>
      </c>
    </row>
    <row r="631" s="1" customFormat="1" ht="16.35" customHeight="1" spans="1:14">
      <c r="A631" s="5"/>
      <c r="B631" s="6" t="s">
        <v>4506</v>
      </c>
      <c r="C631" s="6">
        <v>2016</v>
      </c>
      <c r="D631" s="6">
        <v>2</v>
      </c>
      <c r="E631" s="7">
        <v>25</v>
      </c>
      <c r="F631" s="6" t="s">
        <v>106</v>
      </c>
      <c r="G631" s="6" t="s">
        <v>9370</v>
      </c>
      <c r="H631" s="6" t="s">
        <v>26</v>
      </c>
      <c r="I631" s="8"/>
      <c r="J631" s="8">
        <v>81766</v>
      </c>
      <c r="K631" s="6" t="s">
        <v>4514</v>
      </c>
      <c r="L631" s="6" t="s">
        <v>4511</v>
      </c>
      <c r="M631" s="6" t="s">
        <v>4509</v>
      </c>
      <c r="N631" s="6" t="s">
        <v>4537</v>
      </c>
    </row>
    <row r="632" s="1" customFormat="1" ht="16.35" customHeight="1" spans="1:14">
      <c r="A632" s="5"/>
      <c r="B632" s="6" t="s">
        <v>4506</v>
      </c>
      <c r="C632" s="6">
        <v>2016</v>
      </c>
      <c r="D632" s="6">
        <v>2</v>
      </c>
      <c r="E632" s="7">
        <v>26</v>
      </c>
      <c r="F632" s="6" t="s">
        <v>646</v>
      </c>
      <c r="G632" s="6" t="s">
        <v>9370</v>
      </c>
      <c r="H632" s="6" t="s">
        <v>26</v>
      </c>
      <c r="I632" s="8"/>
      <c r="J632" s="8">
        <v>103852</v>
      </c>
      <c r="K632" s="6" t="s">
        <v>4514</v>
      </c>
      <c r="L632" s="6" t="s">
        <v>4511</v>
      </c>
      <c r="M632" s="6" t="s">
        <v>4509</v>
      </c>
      <c r="N632" s="6" t="s">
        <v>4537</v>
      </c>
    </row>
    <row r="633" s="1" customFormat="1" ht="16.35" customHeight="1" spans="1:14">
      <c r="A633" s="5"/>
      <c r="B633" s="6" t="s">
        <v>4506</v>
      </c>
      <c r="C633" s="6">
        <v>2016</v>
      </c>
      <c r="D633" s="6">
        <v>2</v>
      </c>
      <c r="E633" s="7">
        <v>27</v>
      </c>
      <c r="F633" s="6" t="s">
        <v>61</v>
      </c>
      <c r="G633" s="6" t="s">
        <v>9370</v>
      </c>
      <c r="H633" s="6" t="s">
        <v>26</v>
      </c>
      <c r="I633" s="8"/>
      <c r="J633" s="8">
        <v>5000</v>
      </c>
      <c r="K633" s="6" t="s">
        <v>4514</v>
      </c>
      <c r="L633" s="6" t="s">
        <v>4511</v>
      </c>
      <c r="M633" s="6" t="s">
        <v>4509</v>
      </c>
      <c r="N633" s="6" t="s">
        <v>4537</v>
      </c>
    </row>
    <row r="634" s="1" customFormat="1" ht="16.35" customHeight="1" spans="1:14">
      <c r="A634" s="5"/>
      <c r="B634" s="6" t="s">
        <v>4506</v>
      </c>
      <c r="C634" s="6">
        <v>2016</v>
      </c>
      <c r="D634" s="6">
        <v>2</v>
      </c>
      <c r="E634" s="7">
        <v>28</v>
      </c>
      <c r="F634" s="6" t="s">
        <v>380</v>
      </c>
      <c r="G634" s="6" t="s">
        <v>9370</v>
      </c>
      <c r="H634" s="6" t="s">
        <v>26</v>
      </c>
      <c r="I634" s="8"/>
      <c r="J634" s="8">
        <v>32900</v>
      </c>
      <c r="K634" s="6" t="s">
        <v>4514</v>
      </c>
      <c r="L634" s="6" t="s">
        <v>4511</v>
      </c>
      <c r="M634" s="6" t="s">
        <v>4509</v>
      </c>
      <c r="N634" s="6" t="s">
        <v>4537</v>
      </c>
    </row>
    <row r="635" s="1" customFormat="1" ht="16.35" customHeight="1" spans="1:14">
      <c r="A635" s="5"/>
      <c r="B635" s="6" t="s">
        <v>4506</v>
      </c>
      <c r="C635" s="6">
        <v>2016</v>
      </c>
      <c r="D635" s="6">
        <v>2</v>
      </c>
      <c r="E635" s="7">
        <v>29</v>
      </c>
      <c r="F635" s="6" t="s">
        <v>51</v>
      </c>
      <c r="G635" s="6" t="s">
        <v>9370</v>
      </c>
      <c r="H635" s="6" t="s">
        <v>26</v>
      </c>
      <c r="I635" s="8"/>
      <c r="J635" s="8">
        <v>10000</v>
      </c>
      <c r="K635" s="6" t="s">
        <v>4514</v>
      </c>
      <c r="L635" s="6" t="s">
        <v>4511</v>
      </c>
      <c r="M635" s="6" t="s">
        <v>4509</v>
      </c>
      <c r="N635" s="6" t="s">
        <v>4537</v>
      </c>
    </row>
    <row r="636" s="1" customFormat="1" ht="16.35" customHeight="1" spans="1:14">
      <c r="A636" s="5"/>
      <c r="B636" s="6" t="s">
        <v>4506</v>
      </c>
      <c r="C636" s="6">
        <v>2016</v>
      </c>
      <c r="D636" s="6">
        <v>2</v>
      </c>
      <c r="E636" s="7">
        <v>30</v>
      </c>
      <c r="F636" s="6" t="s">
        <v>54</v>
      </c>
      <c r="G636" s="6" t="s">
        <v>9370</v>
      </c>
      <c r="H636" s="6" t="s">
        <v>26</v>
      </c>
      <c r="I636" s="8"/>
      <c r="J636" s="8">
        <v>5000</v>
      </c>
      <c r="K636" s="6" t="s">
        <v>4514</v>
      </c>
      <c r="L636" s="6" t="s">
        <v>4511</v>
      </c>
      <c r="M636" s="6" t="s">
        <v>4509</v>
      </c>
      <c r="N636" s="6" t="s">
        <v>4537</v>
      </c>
    </row>
    <row r="637" s="1" customFormat="1" ht="16.35" customHeight="1" spans="1:14">
      <c r="A637" s="5"/>
      <c r="B637" s="6" t="s">
        <v>4506</v>
      </c>
      <c r="C637" s="6">
        <v>2016</v>
      </c>
      <c r="D637" s="6">
        <v>2</v>
      </c>
      <c r="E637" s="7">
        <v>31</v>
      </c>
      <c r="F637" s="6" t="s">
        <v>447</v>
      </c>
      <c r="G637" s="6" t="s">
        <v>9370</v>
      </c>
      <c r="H637" s="6" t="s">
        <v>26</v>
      </c>
      <c r="I637" s="8"/>
      <c r="J637" s="8">
        <v>49178</v>
      </c>
      <c r="K637" s="6" t="s">
        <v>4514</v>
      </c>
      <c r="L637" s="6" t="s">
        <v>4511</v>
      </c>
      <c r="M637" s="6" t="s">
        <v>4509</v>
      </c>
      <c r="N637" s="6" t="s">
        <v>4537</v>
      </c>
    </row>
    <row r="638" s="1" customFormat="1" ht="16.35" customHeight="1" spans="1:14">
      <c r="A638" s="5"/>
      <c r="B638" s="6" t="s">
        <v>4506</v>
      </c>
      <c r="C638" s="6">
        <v>2016</v>
      </c>
      <c r="D638" s="6">
        <v>2</v>
      </c>
      <c r="E638" s="7">
        <v>32</v>
      </c>
      <c r="F638" s="6" t="s">
        <v>449</v>
      </c>
      <c r="G638" s="6" t="s">
        <v>9370</v>
      </c>
      <c r="H638" s="6" t="s">
        <v>26</v>
      </c>
      <c r="I638" s="8"/>
      <c r="J638" s="8">
        <v>500</v>
      </c>
      <c r="K638" s="6" t="s">
        <v>4514</v>
      </c>
      <c r="L638" s="6" t="s">
        <v>4511</v>
      </c>
      <c r="M638" s="6" t="s">
        <v>4509</v>
      </c>
      <c r="N638" s="6" t="s">
        <v>4537</v>
      </c>
    </row>
    <row r="639" s="1" customFormat="1" ht="16.35" customHeight="1" spans="1:14">
      <c r="A639" s="5"/>
      <c r="B639" s="6" t="s">
        <v>4506</v>
      </c>
      <c r="C639" s="6">
        <v>2016</v>
      </c>
      <c r="D639" s="6">
        <v>2</v>
      </c>
      <c r="E639" s="7">
        <v>33</v>
      </c>
      <c r="F639" s="6" t="s">
        <v>116</v>
      </c>
      <c r="G639" s="6" t="s">
        <v>9370</v>
      </c>
      <c r="H639" s="6" t="s">
        <v>26</v>
      </c>
      <c r="I639" s="8"/>
      <c r="J639" s="8">
        <v>1000</v>
      </c>
      <c r="K639" s="6" t="s">
        <v>4514</v>
      </c>
      <c r="L639" s="6" t="s">
        <v>4511</v>
      </c>
      <c r="M639" s="6" t="s">
        <v>4509</v>
      </c>
      <c r="N639" s="6" t="s">
        <v>4537</v>
      </c>
    </row>
    <row r="640" s="1" customFormat="1" ht="16.35" customHeight="1" spans="1:14">
      <c r="A640" s="5"/>
      <c r="B640" s="6" t="s">
        <v>4506</v>
      </c>
      <c r="C640" s="6">
        <v>2016</v>
      </c>
      <c r="D640" s="6">
        <v>2</v>
      </c>
      <c r="E640" s="7">
        <v>34</v>
      </c>
      <c r="F640" s="6" t="s">
        <v>475</v>
      </c>
      <c r="G640" s="6" t="s">
        <v>9370</v>
      </c>
      <c r="H640" s="6" t="s">
        <v>26</v>
      </c>
      <c r="I640" s="8"/>
      <c r="J640" s="8">
        <v>105926</v>
      </c>
      <c r="K640" s="6" t="s">
        <v>4514</v>
      </c>
      <c r="L640" s="6" t="s">
        <v>4511</v>
      </c>
      <c r="M640" s="6" t="s">
        <v>4509</v>
      </c>
      <c r="N640" s="6" t="s">
        <v>4537</v>
      </c>
    </row>
    <row r="641" s="1" customFormat="1" ht="16.35" customHeight="1" spans="1:14">
      <c r="A641" s="5"/>
      <c r="B641" s="6" t="s">
        <v>4506</v>
      </c>
      <c r="C641" s="6">
        <v>2016</v>
      </c>
      <c r="D641" s="6">
        <v>2</v>
      </c>
      <c r="E641" s="7">
        <v>38</v>
      </c>
      <c r="F641" s="6" t="s">
        <v>4554</v>
      </c>
      <c r="G641" s="6" t="s">
        <v>9370</v>
      </c>
      <c r="H641" s="6" t="s">
        <v>26</v>
      </c>
      <c r="I641" s="8">
        <v>200000</v>
      </c>
      <c r="J641" s="8"/>
      <c r="K641" s="6" t="s">
        <v>4512</v>
      </c>
      <c r="L641" s="6" t="s">
        <v>2906</v>
      </c>
      <c r="M641" s="6" t="s">
        <v>4509</v>
      </c>
      <c r="N641" s="6" t="s">
        <v>4537</v>
      </c>
    </row>
    <row r="642" s="1" customFormat="1" ht="16.35" customHeight="1" spans="1:14">
      <c r="A642" s="5"/>
      <c r="B642" s="6" t="s">
        <v>4506</v>
      </c>
      <c r="C642" s="6">
        <v>2016</v>
      </c>
      <c r="D642" s="6">
        <v>2</v>
      </c>
      <c r="E642" s="7">
        <v>39</v>
      </c>
      <c r="F642" s="6" t="s">
        <v>9758</v>
      </c>
      <c r="G642" s="6" t="s">
        <v>9370</v>
      </c>
      <c r="H642" s="6" t="s">
        <v>26</v>
      </c>
      <c r="I642" s="8"/>
      <c r="J642" s="8">
        <v>-180000</v>
      </c>
      <c r="K642" s="6" t="s">
        <v>4514</v>
      </c>
      <c r="L642" s="6" t="s">
        <v>4511</v>
      </c>
      <c r="M642" s="6" t="s">
        <v>4509</v>
      </c>
      <c r="N642" s="6" t="s">
        <v>4537</v>
      </c>
    </row>
    <row r="643" s="1" customFormat="1" ht="16.35" customHeight="1" spans="1:14">
      <c r="A643" s="5"/>
      <c r="B643" s="6" t="s">
        <v>4506</v>
      </c>
      <c r="C643" s="6">
        <v>2016</v>
      </c>
      <c r="D643" s="6">
        <v>2</v>
      </c>
      <c r="E643" s="7">
        <v>40</v>
      </c>
      <c r="F643" s="6" t="s">
        <v>9759</v>
      </c>
      <c r="G643" s="6" t="s">
        <v>9370</v>
      </c>
      <c r="H643" s="6" t="s">
        <v>26</v>
      </c>
      <c r="I643" s="8">
        <v>5992.03</v>
      </c>
      <c r="J643" s="8"/>
      <c r="K643" s="6" t="s">
        <v>4512</v>
      </c>
      <c r="L643" s="6" t="s">
        <v>2906</v>
      </c>
      <c r="M643" s="6" t="s">
        <v>4509</v>
      </c>
      <c r="N643" s="6" t="s">
        <v>4537</v>
      </c>
    </row>
    <row r="644" s="1" customFormat="1" ht="16.35" customHeight="1" spans="1:14">
      <c r="A644" s="5"/>
      <c r="B644" s="6" t="s">
        <v>4506</v>
      </c>
      <c r="C644" s="6">
        <v>2016</v>
      </c>
      <c r="D644" s="6">
        <v>2</v>
      </c>
      <c r="E644" s="7">
        <v>41</v>
      </c>
      <c r="F644" s="6" t="s">
        <v>9759</v>
      </c>
      <c r="G644" s="6" t="s">
        <v>9370</v>
      </c>
      <c r="H644" s="6" t="s">
        <v>26</v>
      </c>
      <c r="I644" s="8">
        <v>8664.52</v>
      </c>
      <c r="J644" s="8"/>
      <c r="K644" s="6" t="s">
        <v>4512</v>
      </c>
      <c r="L644" s="6" t="s">
        <v>2906</v>
      </c>
      <c r="M644" s="6" t="s">
        <v>4509</v>
      </c>
      <c r="N644" s="6" t="s">
        <v>4537</v>
      </c>
    </row>
    <row r="645" s="1" customFormat="1" ht="16.35" customHeight="1" spans="1:14">
      <c r="A645" s="5"/>
      <c r="B645" s="6" t="s">
        <v>4506</v>
      </c>
      <c r="C645" s="6">
        <v>2016</v>
      </c>
      <c r="D645" s="6">
        <v>2</v>
      </c>
      <c r="E645" s="7">
        <v>42</v>
      </c>
      <c r="F645" s="6" t="s">
        <v>9759</v>
      </c>
      <c r="G645" s="6" t="s">
        <v>9370</v>
      </c>
      <c r="H645" s="6" t="s">
        <v>26</v>
      </c>
      <c r="I645" s="8">
        <v>570.15</v>
      </c>
      <c r="J645" s="8"/>
      <c r="K645" s="6" t="s">
        <v>4512</v>
      </c>
      <c r="L645" s="6" t="s">
        <v>2906</v>
      </c>
      <c r="M645" s="6" t="s">
        <v>4509</v>
      </c>
      <c r="N645" s="6" t="s">
        <v>4537</v>
      </c>
    </row>
    <row r="646" s="1" customFormat="1" ht="16.35" customHeight="1" spans="1:14">
      <c r="A646" s="5"/>
      <c r="B646" s="6" t="s">
        <v>4506</v>
      </c>
      <c r="C646" s="6">
        <v>2016</v>
      </c>
      <c r="D646" s="6">
        <v>2</v>
      </c>
      <c r="E646" s="7">
        <v>43</v>
      </c>
      <c r="F646" s="6" t="s">
        <v>577</v>
      </c>
      <c r="G646" s="6" t="s">
        <v>9370</v>
      </c>
      <c r="H646" s="6" t="s">
        <v>26</v>
      </c>
      <c r="I646" s="8"/>
      <c r="J646" s="8">
        <v>180000</v>
      </c>
      <c r="K646" s="6" t="s">
        <v>4514</v>
      </c>
      <c r="L646" s="6" t="s">
        <v>4511</v>
      </c>
      <c r="M646" s="6" t="s">
        <v>4509</v>
      </c>
      <c r="N646" s="6" t="s">
        <v>4537</v>
      </c>
    </row>
    <row r="647" s="1" customFormat="1" ht="16.35" customHeight="1" spans="1:14">
      <c r="A647" s="5"/>
      <c r="B647" s="6" t="s">
        <v>4506</v>
      </c>
      <c r="C647" s="6">
        <v>2016</v>
      </c>
      <c r="D647" s="6">
        <v>2</v>
      </c>
      <c r="E647" s="7">
        <v>44</v>
      </c>
      <c r="F647" s="6" t="s">
        <v>4507</v>
      </c>
      <c r="G647" s="6" t="s">
        <v>9370</v>
      </c>
      <c r="H647" s="6" t="s">
        <v>26</v>
      </c>
      <c r="I647" s="8">
        <v>1000000</v>
      </c>
      <c r="J647" s="8"/>
      <c r="K647" s="6" t="s">
        <v>4509</v>
      </c>
      <c r="L647" s="6" t="s">
        <v>9218</v>
      </c>
      <c r="M647" s="6" t="s">
        <v>4509</v>
      </c>
      <c r="N647" s="6" t="s">
        <v>4537</v>
      </c>
    </row>
    <row r="648" s="1" customFormat="1" ht="16.35" customHeight="1" spans="1:14">
      <c r="A648" s="5"/>
      <c r="B648" s="6" t="s">
        <v>4506</v>
      </c>
      <c r="C648" s="6">
        <v>2016</v>
      </c>
      <c r="D648" s="6">
        <v>2</v>
      </c>
      <c r="E648" s="7">
        <v>45</v>
      </c>
      <c r="F648" s="6" t="s">
        <v>9747</v>
      </c>
      <c r="G648" s="6" t="s">
        <v>9370</v>
      </c>
      <c r="H648" s="6" t="s">
        <v>26</v>
      </c>
      <c r="I648" s="8"/>
      <c r="J648" s="8">
        <v>-356960</v>
      </c>
      <c r="K648" s="6" t="s">
        <v>4514</v>
      </c>
      <c r="L648" s="6" t="s">
        <v>4511</v>
      </c>
      <c r="M648" s="6" t="s">
        <v>4509</v>
      </c>
      <c r="N648" s="6" t="s">
        <v>4537</v>
      </c>
    </row>
    <row r="649" s="1" customFormat="1" ht="16.35" customHeight="1" spans="1:14">
      <c r="A649" s="5"/>
      <c r="B649" s="6" t="s">
        <v>4506</v>
      </c>
      <c r="C649" s="6">
        <v>2016</v>
      </c>
      <c r="D649" s="6">
        <v>2</v>
      </c>
      <c r="E649" s="7">
        <v>46</v>
      </c>
      <c r="F649" s="6" t="s">
        <v>4554</v>
      </c>
      <c r="G649" s="6" t="s">
        <v>9370</v>
      </c>
      <c r="H649" s="6" t="s">
        <v>26</v>
      </c>
      <c r="I649" s="8">
        <v>40000</v>
      </c>
      <c r="J649" s="8"/>
      <c r="K649" s="6" t="s">
        <v>4512</v>
      </c>
      <c r="L649" s="6" t="s">
        <v>2906</v>
      </c>
      <c r="M649" s="6" t="s">
        <v>4509</v>
      </c>
      <c r="N649" s="6" t="s">
        <v>4537</v>
      </c>
    </row>
    <row r="650" s="1" customFormat="1" ht="16.35" customHeight="1" spans="1:14">
      <c r="A650" s="5"/>
      <c r="B650" s="6" t="s">
        <v>4506</v>
      </c>
      <c r="C650" s="6">
        <v>2016</v>
      </c>
      <c r="D650" s="6">
        <v>2</v>
      </c>
      <c r="E650" s="7">
        <v>49</v>
      </c>
      <c r="F650" s="6" t="s">
        <v>9760</v>
      </c>
      <c r="G650" s="6" t="s">
        <v>9370</v>
      </c>
      <c r="H650" s="6" t="s">
        <v>26</v>
      </c>
      <c r="I650" s="8"/>
      <c r="J650" s="8">
        <v>30000</v>
      </c>
      <c r="K650" s="6" t="s">
        <v>4509</v>
      </c>
      <c r="L650" s="6" t="s">
        <v>9218</v>
      </c>
      <c r="M650" s="6" t="s">
        <v>4509</v>
      </c>
      <c r="N650" s="6" t="s">
        <v>4537</v>
      </c>
    </row>
    <row r="651" s="1" customFormat="1" ht="16.35" customHeight="1" spans="1:14">
      <c r="A651" s="5"/>
      <c r="B651" s="6" t="s">
        <v>4506</v>
      </c>
      <c r="C651" s="6">
        <v>2016</v>
      </c>
      <c r="D651" s="6">
        <v>2</v>
      </c>
      <c r="E651" s="7">
        <v>50</v>
      </c>
      <c r="F651" s="6" t="s">
        <v>499</v>
      </c>
      <c r="G651" s="6" t="s">
        <v>9370</v>
      </c>
      <c r="H651" s="6" t="s">
        <v>26</v>
      </c>
      <c r="I651" s="8"/>
      <c r="J651" s="8">
        <v>96967</v>
      </c>
      <c r="K651" s="6" t="s">
        <v>4514</v>
      </c>
      <c r="L651" s="6" t="s">
        <v>4511</v>
      </c>
      <c r="M651" s="6" t="s">
        <v>4509</v>
      </c>
      <c r="N651" s="6" t="s">
        <v>4537</v>
      </c>
    </row>
    <row r="652" s="1" customFormat="1" ht="16.35" customHeight="1" spans="1:14">
      <c r="A652" s="5"/>
      <c r="B652" s="6" t="s">
        <v>4506</v>
      </c>
      <c r="C652" s="6">
        <v>2016</v>
      </c>
      <c r="D652" s="6">
        <v>2</v>
      </c>
      <c r="E652" s="7">
        <v>51</v>
      </c>
      <c r="F652" s="6" t="s">
        <v>416</v>
      </c>
      <c r="G652" s="6" t="s">
        <v>9370</v>
      </c>
      <c r="H652" s="6" t="s">
        <v>26</v>
      </c>
      <c r="I652" s="8"/>
      <c r="J652" s="8">
        <v>120831</v>
      </c>
      <c r="K652" s="6" t="s">
        <v>4514</v>
      </c>
      <c r="L652" s="6" t="s">
        <v>4511</v>
      </c>
      <c r="M652" s="6" t="s">
        <v>4509</v>
      </c>
      <c r="N652" s="6" t="s">
        <v>4537</v>
      </c>
    </row>
    <row r="653" s="1" customFormat="1" ht="16.35" customHeight="1" spans="1:14">
      <c r="A653" s="5"/>
      <c r="B653" s="6" t="s">
        <v>4506</v>
      </c>
      <c r="C653" s="6">
        <v>2016</v>
      </c>
      <c r="D653" s="6">
        <v>2</v>
      </c>
      <c r="E653" s="7">
        <v>53</v>
      </c>
      <c r="F653" s="6" t="s">
        <v>9385</v>
      </c>
      <c r="G653" s="6" t="s">
        <v>9370</v>
      </c>
      <c r="H653" s="6" t="s">
        <v>26</v>
      </c>
      <c r="I653" s="8">
        <v>6000</v>
      </c>
      <c r="J653" s="8"/>
      <c r="K653" s="6" t="s">
        <v>4512</v>
      </c>
      <c r="L653" s="6" t="s">
        <v>2906</v>
      </c>
      <c r="M653" s="6" t="s">
        <v>4509</v>
      </c>
      <c r="N653" s="6" t="s">
        <v>4537</v>
      </c>
    </row>
    <row r="654" s="1" customFormat="1" ht="16.35" customHeight="1" spans="1:14">
      <c r="A654" s="5"/>
      <c r="B654" s="6" t="s">
        <v>4506</v>
      </c>
      <c r="C654" s="6">
        <v>2016</v>
      </c>
      <c r="D654" s="6">
        <v>2</v>
      </c>
      <c r="E654" s="7">
        <v>54</v>
      </c>
      <c r="F654" s="6" t="s">
        <v>4554</v>
      </c>
      <c r="G654" s="6" t="s">
        <v>9370</v>
      </c>
      <c r="H654" s="6" t="s">
        <v>26</v>
      </c>
      <c r="I654" s="8">
        <v>4500</v>
      </c>
      <c r="J654" s="8"/>
      <c r="K654" s="6" t="s">
        <v>4512</v>
      </c>
      <c r="L654" s="6" t="s">
        <v>2906</v>
      </c>
      <c r="M654" s="6" t="s">
        <v>4509</v>
      </c>
      <c r="N654" s="6" t="s">
        <v>4537</v>
      </c>
    </row>
    <row r="655" s="1" customFormat="1" ht="16.35" customHeight="1" spans="1:14">
      <c r="A655" s="5"/>
      <c r="B655" s="6" t="s">
        <v>4506</v>
      </c>
      <c r="C655" s="6">
        <v>2016</v>
      </c>
      <c r="D655" s="6">
        <v>2</v>
      </c>
      <c r="E655" s="7">
        <v>55</v>
      </c>
      <c r="F655" s="6" t="s">
        <v>4507</v>
      </c>
      <c r="G655" s="6" t="s">
        <v>9370</v>
      </c>
      <c r="H655" s="6" t="s">
        <v>26</v>
      </c>
      <c r="I655" s="8">
        <v>450000</v>
      </c>
      <c r="J655" s="8"/>
      <c r="K655" s="6" t="s">
        <v>4509</v>
      </c>
      <c r="L655" s="6" t="s">
        <v>9218</v>
      </c>
      <c r="M655" s="6" t="s">
        <v>4509</v>
      </c>
      <c r="N655" s="6" t="s">
        <v>4537</v>
      </c>
    </row>
    <row r="656" s="1" customFormat="1" ht="16.35" customHeight="1" spans="1:14">
      <c r="A656" s="5"/>
      <c r="B656" s="6" t="s">
        <v>4506</v>
      </c>
      <c r="C656" s="6">
        <v>2016</v>
      </c>
      <c r="D656" s="6">
        <v>2</v>
      </c>
      <c r="E656" s="7">
        <v>58</v>
      </c>
      <c r="F656" s="6" t="s">
        <v>9761</v>
      </c>
      <c r="G656" s="6" t="s">
        <v>9370</v>
      </c>
      <c r="H656" s="6" t="s">
        <v>26</v>
      </c>
      <c r="I656" s="8"/>
      <c r="J656" s="8">
        <v>1000000</v>
      </c>
      <c r="K656" s="6" t="s">
        <v>4509</v>
      </c>
      <c r="L656" s="6" t="s">
        <v>9218</v>
      </c>
      <c r="M656" s="6" t="s">
        <v>4509</v>
      </c>
      <c r="N656" s="6" t="s">
        <v>4537</v>
      </c>
    </row>
    <row r="657" s="1" customFormat="1" ht="16.35" customHeight="1" spans="1:14">
      <c r="A657" s="5"/>
      <c r="B657" s="6" t="s">
        <v>4506</v>
      </c>
      <c r="C657" s="6">
        <v>2016</v>
      </c>
      <c r="D657" s="6">
        <v>2</v>
      </c>
      <c r="E657" s="7">
        <v>59</v>
      </c>
      <c r="F657" s="6" t="s">
        <v>9762</v>
      </c>
      <c r="G657" s="6" t="s">
        <v>9370</v>
      </c>
      <c r="H657" s="6" t="s">
        <v>26</v>
      </c>
      <c r="I657" s="8"/>
      <c r="J657" s="8">
        <v>302.86</v>
      </c>
      <c r="K657" s="6" t="s">
        <v>4510</v>
      </c>
      <c r="L657" s="6" t="s">
        <v>9447</v>
      </c>
      <c r="M657" s="6" t="s">
        <v>4509</v>
      </c>
      <c r="N657" s="6" t="s">
        <v>4537</v>
      </c>
    </row>
    <row r="658" s="1" customFormat="1" ht="16.35" customHeight="1" spans="1:14">
      <c r="A658" s="5"/>
      <c r="B658" s="6" t="s">
        <v>4506</v>
      </c>
      <c r="C658" s="6">
        <v>2016</v>
      </c>
      <c r="D658" s="6">
        <v>2</v>
      </c>
      <c r="E658" s="7">
        <v>59</v>
      </c>
      <c r="F658" s="6" t="s">
        <v>9762</v>
      </c>
      <c r="G658" s="6" t="s">
        <v>9370</v>
      </c>
      <c r="H658" s="6" t="s">
        <v>26</v>
      </c>
      <c r="I658" s="8"/>
      <c r="J658" s="8">
        <v>198.32</v>
      </c>
      <c r="K658" s="6" t="s">
        <v>4516</v>
      </c>
      <c r="L658" s="6" t="s">
        <v>9449</v>
      </c>
      <c r="M658" s="6" t="s">
        <v>4509</v>
      </c>
      <c r="N658" s="6" t="s">
        <v>4537</v>
      </c>
    </row>
    <row r="659" s="1" customFormat="1" ht="16.35" customHeight="1" spans="1:14">
      <c r="A659" s="5"/>
      <c r="B659" s="6" t="s">
        <v>4506</v>
      </c>
      <c r="C659" s="6">
        <v>2016</v>
      </c>
      <c r="D659" s="6">
        <v>3</v>
      </c>
      <c r="E659" s="7">
        <v>1</v>
      </c>
      <c r="F659" s="6" t="s">
        <v>475</v>
      </c>
      <c r="G659" s="6" t="s">
        <v>9370</v>
      </c>
      <c r="H659" s="6" t="s">
        <v>26</v>
      </c>
      <c r="I659" s="8"/>
      <c r="J659" s="8">
        <v>2</v>
      </c>
      <c r="K659" s="6" t="s">
        <v>4514</v>
      </c>
      <c r="L659" s="6" t="s">
        <v>4511</v>
      </c>
      <c r="M659" s="6" t="s">
        <v>4509</v>
      </c>
      <c r="N659" s="6" t="s">
        <v>4537</v>
      </c>
    </row>
    <row r="660" s="1" customFormat="1" ht="16.35" customHeight="1" spans="1:14">
      <c r="A660" s="5"/>
      <c r="B660" s="6" t="s">
        <v>4506</v>
      </c>
      <c r="C660" s="6">
        <v>2016</v>
      </c>
      <c r="D660" s="6">
        <v>3</v>
      </c>
      <c r="E660" s="7">
        <v>2</v>
      </c>
      <c r="F660" s="6" t="s">
        <v>114</v>
      </c>
      <c r="G660" s="6" t="s">
        <v>9370</v>
      </c>
      <c r="H660" s="6" t="s">
        <v>26</v>
      </c>
      <c r="I660" s="8"/>
      <c r="J660" s="8">
        <v>3000</v>
      </c>
      <c r="K660" s="6" t="s">
        <v>4514</v>
      </c>
      <c r="L660" s="6" t="s">
        <v>4511</v>
      </c>
      <c r="M660" s="6" t="s">
        <v>4509</v>
      </c>
      <c r="N660" s="6" t="s">
        <v>4537</v>
      </c>
    </row>
    <row r="661" s="1" customFormat="1" ht="16.35" customHeight="1" spans="1:14">
      <c r="A661" s="5"/>
      <c r="B661" s="6" t="s">
        <v>4506</v>
      </c>
      <c r="C661" s="6">
        <v>2016</v>
      </c>
      <c r="D661" s="6">
        <v>3</v>
      </c>
      <c r="E661" s="7">
        <v>3</v>
      </c>
      <c r="F661" s="6" t="s">
        <v>148</v>
      </c>
      <c r="G661" s="6" t="s">
        <v>9370</v>
      </c>
      <c r="H661" s="6" t="s">
        <v>26</v>
      </c>
      <c r="I661" s="8"/>
      <c r="J661" s="8">
        <v>10000</v>
      </c>
      <c r="K661" s="6" t="s">
        <v>4514</v>
      </c>
      <c r="L661" s="6" t="s">
        <v>4511</v>
      </c>
      <c r="M661" s="6" t="s">
        <v>4509</v>
      </c>
      <c r="N661" s="6" t="s">
        <v>4537</v>
      </c>
    </row>
    <row r="662" s="1" customFormat="1" ht="16.35" customHeight="1" spans="1:14">
      <c r="A662" s="5"/>
      <c r="B662" s="6" t="s">
        <v>4506</v>
      </c>
      <c r="C662" s="6">
        <v>2016</v>
      </c>
      <c r="D662" s="6">
        <v>3</v>
      </c>
      <c r="E662" s="7">
        <v>4</v>
      </c>
      <c r="F662" s="6" t="s">
        <v>644</v>
      </c>
      <c r="G662" s="6" t="s">
        <v>9370</v>
      </c>
      <c r="H662" s="6" t="s">
        <v>26</v>
      </c>
      <c r="I662" s="8"/>
      <c r="J662" s="8">
        <v>302799</v>
      </c>
      <c r="K662" s="6" t="s">
        <v>4514</v>
      </c>
      <c r="L662" s="6" t="s">
        <v>4511</v>
      </c>
      <c r="M662" s="6" t="s">
        <v>4509</v>
      </c>
      <c r="N662" s="6" t="s">
        <v>4537</v>
      </c>
    </row>
    <row r="663" s="1" customFormat="1" ht="16.35" customHeight="1" spans="1:14">
      <c r="A663" s="5"/>
      <c r="B663" s="6" t="s">
        <v>4506</v>
      </c>
      <c r="C663" s="6">
        <v>2016</v>
      </c>
      <c r="D663" s="6">
        <v>3</v>
      </c>
      <c r="E663" s="7">
        <v>5</v>
      </c>
      <c r="F663" s="6" t="s">
        <v>120</v>
      </c>
      <c r="G663" s="6" t="s">
        <v>9370</v>
      </c>
      <c r="H663" s="6" t="s">
        <v>26</v>
      </c>
      <c r="I663" s="8"/>
      <c r="J663" s="8">
        <v>86630</v>
      </c>
      <c r="K663" s="6" t="s">
        <v>4514</v>
      </c>
      <c r="L663" s="6" t="s">
        <v>4511</v>
      </c>
      <c r="M663" s="6" t="s">
        <v>4509</v>
      </c>
      <c r="N663" s="6" t="s">
        <v>4537</v>
      </c>
    </row>
    <row r="664" s="1" customFormat="1" ht="16.35" customHeight="1" spans="1:14">
      <c r="A664" s="5"/>
      <c r="B664" s="6" t="s">
        <v>4506</v>
      </c>
      <c r="C664" s="6">
        <v>2016</v>
      </c>
      <c r="D664" s="6">
        <v>3</v>
      </c>
      <c r="E664" s="7">
        <v>6</v>
      </c>
      <c r="F664" s="6" t="s">
        <v>630</v>
      </c>
      <c r="G664" s="6" t="s">
        <v>9370</v>
      </c>
      <c r="H664" s="6" t="s">
        <v>26</v>
      </c>
      <c r="I664" s="8"/>
      <c r="J664" s="8">
        <v>89866</v>
      </c>
      <c r="K664" s="6" t="s">
        <v>4514</v>
      </c>
      <c r="L664" s="6" t="s">
        <v>4511</v>
      </c>
      <c r="M664" s="6" t="s">
        <v>4509</v>
      </c>
      <c r="N664" s="6" t="s">
        <v>4537</v>
      </c>
    </row>
    <row r="665" s="1" customFormat="1" ht="16.35" customHeight="1" spans="1:14">
      <c r="A665" s="5"/>
      <c r="B665" s="6" t="s">
        <v>4506</v>
      </c>
      <c r="C665" s="6">
        <v>2016</v>
      </c>
      <c r="D665" s="6">
        <v>3</v>
      </c>
      <c r="E665" s="7">
        <v>7</v>
      </c>
      <c r="F665" s="6" t="s">
        <v>130</v>
      </c>
      <c r="G665" s="6" t="s">
        <v>9370</v>
      </c>
      <c r="H665" s="6" t="s">
        <v>26</v>
      </c>
      <c r="I665" s="8"/>
      <c r="J665" s="8">
        <v>52944</v>
      </c>
      <c r="K665" s="6" t="s">
        <v>4514</v>
      </c>
      <c r="L665" s="6" t="s">
        <v>4511</v>
      </c>
      <c r="M665" s="6" t="s">
        <v>4509</v>
      </c>
      <c r="N665" s="6" t="s">
        <v>4537</v>
      </c>
    </row>
    <row r="666" s="1" customFormat="1" ht="16.35" customHeight="1" spans="1:14">
      <c r="A666" s="5"/>
      <c r="B666" s="6" t="s">
        <v>4506</v>
      </c>
      <c r="C666" s="6">
        <v>2016</v>
      </c>
      <c r="D666" s="6">
        <v>3</v>
      </c>
      <c r="E666" s="7">
        <v>8</v>
      </c>
      <c r="F666" s="6" t="s">
        <v>54</v>
      </c>
      <c r="G666" s="6" t="s">
        <v>9370</v>
      </c>
      <c r="H666" s="6" t="s">
        <v>26</v>
      </c>
      <c r="I666" s="8"/>
      <c r="J666" s="8">
        <v>168900</v>
      </c>
      <c r="K666" s="6" t="s">
        <v>4514</v>
      </c>
      <c r="L666" s="6" t="s">
        <v>4511</v>
      </c>
      <c r="M666" s="6" t="s">
        <v>4509</v>
      </c>
      <c r="N666" s="6" t="s">
        <v>4537</v>
      </c>
    </row>
    <row r="667" s="1" customFormat="1" ht="16.35" customHeight="1" spans="1:14">
      <c r="A667" s="5"/>
      <c r="B667" s="6" t="s">
        <v>4506</v>
      </c>
      <c r="C667" s="6">
        <v>2016</v>
      </c>
      <c r="D667" s="6">
        <v>3</v>
      </c>
      <c r="E667" s="7">
        <v>9</v>
      </c>
      <c r="F667" s="6" t="s">
        <v>61</v>
      </c>
      <c r="G667" s="6" t="s">
        <v>9370</v>
      </c>
      <c r="H667" s="6" t="s">
        <v>26</v>
      </c>
      <c r="I667" s="8"/>
      <c r="J667" s="8">
        <v>135776</v>
      </c>
      <c r="K667" s="6" t="s">
        <v>4514</v>
      </c>
      <c r="L667" s="6" t="s">
        <v>4511</v>
      </c>
      <c r="M667" s="6" t="s">
        <v>4509</v>
      </c>
      <c r="N667" s="6" t="s">
        <v>4537</v>
      </c>
    </row>
    <row r="668" s="1" customFormat="1" ht="16.35" customHeight="1" spans="1:14">
      <c r="A668" s="5"/>
      <c r="B668" s="6" t="s">
        <v>4506</v>
      </c>
      <c r="C668" s="6">
        <v>2016</v>
      </c>
      <c r="D668" s="6">
        <v>3</v>
      </c>
      <c r="E668" s="7">
        <v>10</v>
      </c>
      <c r="F668" s="6" t="s">
        <v>9763</v>
      </c>
      <c r="G668" s="6" t="s">
        <v>9370</v>
      </c>
      <c r="H668" s="6" t="s">
        <v>26</v>
      </c>
      <c r="I668" s="8"/>
      <c r="J668" s="8">
        <v>332396</v>
      </c>
      <c r="K668" s="6" t="s">
        <v>4514</v>
      </c>
      <c r="L668" s="6" t="s">
        <v>4511</v>
      </c>
      <c r="M668" s="6" t="s">
        <v>4509</v>
      </c>
      <c r="N668" s="6" t="s">
        <v>4537</v>
      </c>
    </row>
    <row r="669" s="1" customFormat="1" ht="16.35" customHeight="1" spans="1:14">
      <c r="A669" s="5"/>
      <c r="B669" s="6" t="s">
        <v>4506</v>
      </c>
      <c r="C669" s="6">
        <v>2016</v>
      </c>
      <c r="D669" s="6">
        <v>3</v>
      </c>
      <c r="E669" s="7">
        <v>11</v>
      </c>
      <c r="F669" s="6" t="s">
        <v>132</v>
      </c>
      <c r="G669" s="6" t="s">
        <v>9370</v>
      </c>
      <c r="H669" s="6" t="s">
        <v>26</v>
      </c>
      <c r="I669" s="8"/>
      <c r="J669" s="8">
        <v>52944</v>
      </c>
      <c r="K669" s="6" t="s">
        <v>4514</v>
      </c>
      <c r="L669" s="6" t="s">
        <v>4511</v>
      </c>
      <c r="M669" s="6" t="s">
        <v>4509</v>
      </c>
      <c r="N669" s="6" t="s">
        <v>4537</v>
      </c>
    </row>
    <row r="670" s="1" customFormat="1" ht="16.35" customHeight="1" spans="1:14">
      <c r="A670" s="5"/>
      <c r="B670" s="6" t="s">
        <v>4506</v>
      </c>
      <c r="C670" s="6">
        <v>2016</v>
      </c>
      <c r="D670" s="6">
        <v>3</v>
      </c>
      <c r="E670" s="7">
        <v>12</v>
      </c>
      <c r="F670" s="6" t="s">
        <v>104</v>
      </c>
      <c r="G670" s="6" t="s">
        <v>9370</v>
      </c>
      <c r="H670" s="6" t="s">
        <v>26</v>
      </c>
      <c r="I670" s="8"/>
      <c r="J670" s="8">
        <v>76088</v>
      </c>
      <c r="K670" s="6" t="s">
        <v>4514</v>
      </c>
      <c r="L670" s="6" t="s">
        <v>4511</v>
      </c>
      <c r="M670" s="6" t="s">
        <v>4509</v>
      </c>
      <c r="N670" s="6" t="s">
        <v>4537</v>
      </c>
    </row>
    <row r="671" s="1" customFormat="1" ht="16.35" customHeight="1" spans="1:14">
      <c r="A671" s="5"/>
      <c r="B671" s="6" t="s">
        <v>4506</v>
      </c>
      <c r="C671" s="6">
        <v>2016</v>
      </c>
      <c r="D671" s="6">
        <v>3</v>
      </c>
      <c r="E671" s="7">
        <v>13</v>
      </c>
      <c r="F671" s="6" t="s">
        <v>150</v>
      </c>
      <c r="G671" s="6" t="s">
        <v>9370</v>
      </c>
      <c r="H671" s="6" t="s">
        <v>26</v>
      </c>
      <c r="I671" s="8"/>
      <c r="J671" s="8">
        <v>52306</v>
      </c>
      <c r="K671" s="6" t="s">
        <v>4514</v>
      </c>
      <c r="L671" s="6" t="s">
        <v>4511</v>
      </c>
      <c r="M671" s="6" t="s">
        <v>4509</v>
      </c>
      <c r="N671" s="6" t="s">
        <v>4537</v>
      </c>
    </row>
    <row r="672" s="1" customFormat="1" ht="16.35" customHeight="1" spans="1:14">
      <c r="A672" s="5"/>
      <c r="B672" s="6" t="s">
        <v>4506</v>
      </c>
      <c r="C672" s="6">
        <v>2016</v>
      </c>
      <c r="D672" s="6">
        <v>3</v>
      </c>
      <c r="E672" s="7">
        <v>14</v>
      </c>
      <c r="F672" s="6" t="s">
        <v>541</v>
      </c>
      <c r="G672" s="6" t="s">
        <v>9370</v>
      </c>
      <c r="H672" s="6" t="s">
        <v>26</v>
      </c>
      <c r="I672" s="8"/>
      <c r="J672" s="8">
        <v>5000</v>
      </c>
      <c r="K672" s="6" t="s">
        <v>4514</v>
      </c>
      <c r="L672" s="6" t="s">
        <v>4511</v>
      </c>
      <c r="M672" s="6" t="s">
        <v>4509</v>
      </c>
      <c r="N672" s="6" t="s">
        <v>4537</v>
      </c>
    </row>
    <row r="673" s="1" customFormat="1" ht="16.35" customHeight="1" spans="1:14">
      <c r="A673" s="5"/>
      <c r="B673" s="6" t="s">
        <v>4506</v>
      </c>
      <c r="C673" s="6">
        <v>2016</v>
      </c>
      <c r="D673" s="6">
        <v>3</v>
      </c>
      <c r="E673" s="7">
        <v>15</v>
      </c>
      <c r="F673" s="6" t="s">
        <v>126</v>
      </c>
      <c r="G673" s="6" t="s">
        <v>9370</v>
      </c>
      <c r="H673" s="6" t="s">
        <v>26</v>
      </c>
      <c r="I673" s="8"/>
      <c r="J673" s="8">
        <v>70793</v>
      </c>
      <c r="K673" s="6" t="s">
        <v>4514</v>
      </c>
      <c r="L673" s="6" t="s">
        <v>4511</v>
      </c>
      <c r="M673" s="6" t="s">
        <v>4509</v>
      </c>
      <c r="N673" s="6" t="s">
        <v>4537</v>
      </c>
    </row>
    <row r="674" s="1" customFormat="1" ht="16.35" customHeight="1" spans="1:14">
      <c r="A674" s="5"/>
      <c r="B674" s="6" t="s">
        <v>4506</v>
      </c>
      <c r="C674" s="6">
        <v>2016</v>
      </c>
      <c r="D674" s="6">
        <v>3</v>
      </c>
      <c r="E674" s="7">
        <v>16</v>
      </c>
      <c r="F674" s="6" t="s">
        <v>449</v>
      </c>
      <c r="G674" s="6" t="s">
        <v>9370</v>
      </c>
      <c r="H674" s="6" t="s">
        <v>26</v>
      </c>
      <c r="I674" s="8"/>
      <c r="J674" s="8">
        <v>9500</v>
      </c>
      <c r="K674" s="6" t="s">
        <v>4514</v>
      </c>
      <c r="L674" s="6" t="s">
        <v>4511</v>
      </c>
      <c r="M674" s="6" t="s">
        <v>4509</v>
      </c>
      <c r="N674" s="6" t="s">
        <v>4537</v>
      </c>
    </row>
    <row r="675" s="1" customFormat="1" ht="16.35" customHeight="1" spans="1:14">
      <c r="A675" s="5"/>
      <c r="B675" s="6" t="s">
        <v>4506</v>
      </c>
      <c r="C675" s="6">
        <v>2016</v>
      </c>
      <c r="D675" s="6">
        <v>3</v>
      </c>
      <c r="E675" s="7">
        <v>17</v>
      </c>
      <c r="F675" s="6" t="s">
        <v>152</v>
      </c>
      <c r="G675" s="6" t="s">
        <v>9370</v>
      </c>
      <c r="H675" s="6" t="s">
        <v>26</v>
      </c>
      <c r="I675" s="8"/>
      <c r="J675" s="8">
        <v>67455</v>
      </c>
      <c r="K675" s="6" t="s">
        <v>4514</v>
      </c>
      <c r="L675" s="6" t="s">
        <v>4511</v>
      </c>
      <c r="M675" s="6" t="s">
        <v>4509</v>
      </c>
      <c r="N675" s="6" t="s">
        <v>4537</v>
      </c>
    </row>
    <row r="676" s="1" customFormat="1" ht="16.35" customHeight="1" spans="1:14">
      <c r="A676" s="5"/>
      <c r="B676" s="6" t="s">
        <v>4506</v>
      </c>
      <c r="C676" s="6">
        <v>2016</v>
      </c>
      <c r="D676" s="6">
        <v>3</v>
      </c>
      <c r="E676" s="7">
        <v>18</v>
      </c>
      <c r="F676" s="6" t="s">
        <v>497</v>
      </c>
      <c r="G676" s="6" t="s">
        <v>9370</v>
      </c>
      <c r="H676" s="6" t="s">
        <v>26</v>
      </c>
      <c r="I676" s="8"/>
      <c r="J676" s="8">
        <v>147676</v>
      </c>
      <c r="K676" s="6" t="s">
        <v>4514</v>
      </c>
      <c r="L676" s="6" t="s">
        <v>4511</v>
      </c>
      <c r="M676" s="6" t="s">
        <v>4509</v>
      </c>
      <c r="N676" s="6" t="s">
        <v>4537</v>
      </c>
    </row>
    <row r="677" s="1" customFormat="1" ht="16.35" customHeight="1" spans="1:14">
      <c r="A677" s="5"/>
      <c r="B677" s="6" t="s">
        <v>4506</v>
      </c>
      <c r="C677" s="6">
        <v>2016</v>
      </c>
      <c r="D677" s="6">
        <v>3</v>
      </c>
      <c r="E677" s="7">
        <v>19</v>
      </c>
      <c r="F677" s="6" t="s">
        <v>445</v>
      </c>
      <c r="G677" s="6" t="s">
        <v>9370</v>
      </c>
      <c r="H677" s="6" t="s">
        <v>26</v>
      </c>
      <c r="I677" s="8"/>
      <c r="J677" s="8">
        <v>68726</v>
      </c>
      <c r="K677" s="6" t="s">
        <v>4514</v>
      </c>
      <c r="L677" s="6" t="s">
        <v>4511</v>
      </c>
      <c r="M677" s="6" t="s">
        <v>4509</v>
      </c>
      <c r="N677" s="6" t="s">
        <v>4537</v>
      </c>
    </row>
    <row r="678" s="1" customFormat="1" ht="16.35" customHeight="1" spans="1:14">
      <c r="A678" s="5"/>
      <c r="B678" s="6" t="s">
        <v>4506</v>
      </c>
      <c r="C678" s="6">
        <v>2016</v>
      </c>
      <c r="D678" s="6">
        <v>3</v>
      </c>
      <c r="E678" s="7">
        <v>20</v>
      </c>
      <c r="F678" s="6" t="s">
        <v>648</v>
      </c>
      <c r="G678" s="6" t="s">
        <v>9370</v>
      </c>
      <c r="H678" s="6" t="s">
        <v>26</v>
      </c>
      <c r="I678" s="8"/>
      <c r="J678" s="8">
        <v>64866</v>
      </c>
      <c r="K678" s="6" t="s">
        <v>4514</v>
      </c>
      <c r="L678" s="6" t="s">
        <v>4511</v>
      </c>
      <c r="M678" s="6" t="s">
        <v>4509</v>
      </c>
      <c r="N678" s="6" t="s">
        <v>4537</v>
      </c>
    </row>
    <row r="679" s="1" customFormat="1" ht="16.35" customHeight="1" spans="1:14">
      <c r="A679" s="5"/>
      <c r="B679" s="6" t="s">
        <v>4506</v>
      </c>
      <c r="C679" s="6">
        <v>2016</v>
      </c>
      <c r="D679" s="6">
        <v>3</v>
      </c>
      <c r="E679" s="7">
        <v>21</v>
      </c>
      <c r="F679" s="6" t="s">
        <v>648</v>
      </c>
      <c r="G679" s="6" t="s">
        <v>9370</v>
      </c>
      <c r="H679" s="6" t="s">
        <v>26</v>
      </c>
      <c r="I679" s="8"/>
      <c r="J679" s="8">
        <v>25000</v>
      </c>
      <c r="K679" s="6" t="s">
        <v>4514</v>
      </c>
      <c r="L679" s="6" t="s">
        <v>4511</v>
      </c>
      <c r="M679" s="6" t="s">
        <v>4509</v>
      </c>
      <c r="N679" s="6" t="s">
        <v>4537</v>
      </c>
    </row>
    <row r="680" s="1" customFormat="1" ht="16.35" customHeight="1" spans="1:14">
      <c r="A680" s="5"/>
      <c r="B680" s="6" t="s">
        <v>4506</v>
      </c>
      <c r="C680" s="6">
        <v>2016</v>
      </c>
      <c r="D680" s="6">
        <v>3</v>
      </c>
      <c r="E680" s="7">
        <v>22</v>
      </c>
      <c r="F680" s="6" t="s">
        <v>100</v>
      </c>
      <c r="G680" s="6" t="s">
        <v>9370</v>
      </c>
      <c r="H680" s="6" t="s">
        <v>26</v>
      </c>
      <c r="I680" s="8"/>
      <c r="J680" s="8">
        <v>5000</v>
      </c>
      <c r="K680" s="6" t="s">
        <v>4514</v>
      </c>
      <c r="L680" s="6" t="s">
        <v>4511</v>
      </c>
      <c r="M680" s="6" t="s">
        <v>4509</v>
      </c>
      <c r="N680" s="6" t="s">
        <v>4537</v>
      </c>
    </row>
    <row r="681" s="1" customFormat="1" ht="16.35" customHeight="1" spans="1:14">
      <c r="A681" s="5"/>
      <c r="B681" s="6" t="s">
        <v>4506</v>
      </c>
      <c r="C681" s="6">
        <v>2016</v>
      </c>
      <c r="D681" s="6">
        <v>3</v>
      </c>
      <c r="E681" s="7">
        <v>23</v>
      </c>
      <c r="F681" s="6" t="s">
        <v>545</v>
      </c>
      <c r="G681" s="6" t="s">
        <v>9370</v>
      </c>
      <c r="H681" s="6" t="s">
        <v>26</v>
      </c>
      <c r="I681" s="8"/>
      <c r="J681" s="8">
        <v>84224</v>
      </c>
      <c r="K681" s="6" t="s">
        <v>4514</v>
      </c>
      <c r="L681" s="6" t="s">
        <v>4511</v>
      </c>
      <c r="M681" s="6" t="s">
        <v>4509</v>
      </c>
      <c r="N681" s="6" t="s">
        <v>4537</v>
      </c>
    </row>
    <row r="682" s="1" customFormat="1" ht="16.35" customHeight="1" spans="1:14">
      <c r="A682" s="5"/>
      <c r="B682" s="6" t="s">
        <v>4506</v>
      </c>
      <c r="C682" s="6">
        <v>2016</v>
      </c>
      <c r="D682" s="6">
        <v>3</v>
      </c>
      <c r="E682" s="7">
        <v>24</v>
      </c>
      <c r="F682" s="6" t="s">
        <v>63</v>
      </c>
      <c r="G682" s="6" t="s">
        <v>9370</v>
      </c>
      <c r="H682" s="6" t="s">
        <v>26</v>
      </c>
      <c r="I682" s="8"/>
      <c r="J682" s="8">
        <v>90125</v>
      </c>
      <c r="K682" s="6" t="s">
        <v>4514</v>
      </c>
      <c r="L682" s="6" t="s">
        <v>4511</v>
      </c>
      <c r="M682" s="6" t="s">
        <v>4509</v>
      </c>
      <c r="N682" s="6" t="s">
        <v>4537</v>
      </c>
    </row>
    <row r="683" s="1" customFormat="1" ht="16.35" customHeight="1" spans="1:14">
      <c r="A683" s="5"/>
      <c r="B683" s="6" t="s">
        <v>4506</v>
      </c>
      <c r="C683" s="6">
        <v>2016</v>
      </c>
      <c r="D683" s="6">
        <v>3</v>
      </c>
      <c r="E683" s="7">
        <v>25</v>
      </c>
      <c r="F683" s="6" t="s">
        <v>136</v>
      </c>
      <c r="G683" s="6" t="s">
        <v>9370</v>
      </c>
      <c r="H683" s="6" t="s">
        <v>26</v>
      </c>
      <c r="I683" s="8"/>
      <c r="J683" s="8">
        <v>10000</v>
      </c>
      <c r="K683" s="6" t="s">
        <v>4514</v>
      </c>
      <c r="L683" s="6" t="s">
        <v>4511</v>
      </c>
      <c r="M683" s="6" t="s">
        <v>4509</v>
      </c>
      <c r="N683" s="6" t="s">
        <v>4537</v>
      </c>
    </row>
    <row r="684" s="1" customFormat="1" ht="16.35" customHeight="1" spans="1:14">
      <c r="A684" s="5"/>
      <c r="B684" s="6" t="s">
        <v>4506</v>
      </c>
      <c r="C684" s="6">
        <v>2016</v>
      </c>
      <c r="D684" s="6">
        <v>3</v>
      </c>
      <c r="E684" s="7">
        <v>26</v>
      </c>
      <c r="F684" s="6" t="s">
        <v>67</v>
      </c>
      <c r="G684" s="6" t="s">
        <v>9370</v>
      </c>
      <c r="H684" s="6" t="s">
        <v>26</v>
      </c>
      <c r="I684" s="8"/>
      <c r="J684" s="8">
        <v>84275</v>
      </c>
      <c r="K684" s="6" t="s">
        <v>4514</v>
      </c>
      <c r="L684" s="6" t="s">
        <v>4511</v>
      </c>
      <c r="M684" s="6" t="s">
        <v>4509</v>
      </c>
      <c r="N684" s="6" t="s">
        <v>4537</v>
      </c>
    </row>
    <row r="685" s="1" customFormat="1" ht="16.35" customHeight="1" spans="1:14">
      <c r="A685" s="5"/>
      <c r="B685" s="6" t="s">
        <v>4506</v>
      </c>
      <c r="C685" s="6">
        <v>2016</v>
      </c>
      <c r="D685" s="6">
        <v>3</v>
      </c>
      <c r="E685" s="7">
        <v>27</v>
      </c>
      <c r="F685" s="6" t="s">
        <v>471</v>
      </c>
      <c r="G685" s="6" t="s">
        <v>9370</v>
      </c>
      <c r="H685" s="6" t="s">
        <v>26</v>
      </c>
      <c r="I685" s="8"/>
      <c r="J685" s="8">
        <v>49178</v>
      </c>
      <c r="K685" s="6" t="s">
        <v>4514</v>
      </c>
      <c r="L685" s="6" t="s">
        <v>4511</v>
      </c>
      <c r="M685" s="6" t="s">
        <v>4509</v>
      </c>
      <c r="N685" s="6" t="s">
        <v>4537</v>
      </c>
    </row>
    <row r="686" s="1" customFormat="1" ht="16.35" customHeight="1" spans="1:14">
      <c r="A686" s="5"/>
      <c r="B686" s="6" t="s">
        <v>4506</v>
      </c>
      <c r="C686" s="6">
        <v>2016</v>
      </c>
      <c r="D686" s="6">
        <v>3</v>
      </c>
      <c r="E686" s="7">
        <v>28</v>
      </c>
      <c r="F686" s="6" t="s">
        <v>410</v>
      </c>
      <c r="G686" s="6" t="s">
        <v>9370</v>
      </c>
      <c r="H686" s="6" t="s">
        <v>26</v>
      </c>
      <c r="I686" s="8"/>
      <c r="J686" s="8">
        <v>42988</v>
      </c>
      <c r="K686" s="6" t="s">
        <v>4514</v>
      </c>
      <c r="L686" s="6" t="s">
        <v>4511</v>
      </c>
      <c r="M686" s="6" t="s">
        <v>4509</v>
      </c>
      <c r="N686" s="6" t="s">
        <v>4537</v>
      </c>
    </row>
    <row r="687" s="1" customFormat="1" ht="16.35" customHeight="1" spans="1:14">
      <c r="A687" s="5"/>
      <c r="B687" s="6" t="s">
        <v>4506</v>
      </c>
      <c r="C687" s="6">
        <v>2016</v>
      </c>
      <c r="D687" s="6">
        <v>3</v>
      </c>
      <c r="E687" s="7">
        <v>29</v>
      </c>
      <c r="F687" s="6" t="s">
        <v>422</v>
      </c>
      <c r="G687" s="6" t="s">
        <v>9370</v>
      </c>
      <c r="H687" s="6" t="s">
        <v>26</v>
      </c>
      <c r="I687" s="8"/>
      <c r="J687" s="8">
        <v>34480</v>
      </c>
      <c r="K687" s="6" t="s">
        <v>4514</v>
      </c>
      <c r="L687" s="6" t="s">
        <v>4511</v>
      </c>
      <c r="M687" s="6" t="s">
        <v>4509</v>
      </c>
      <c r="N687" s="6" t="s">
        <v>4537</v>
      </c>
    </row>
    <row r="688" s="1" customFormat="1" ht="16.35" customHeight="1" spans="1:14">
      <c r="A688" s="5"/>
      <c r="B688" s="6" t="s">
        <v>4506</v>
      </c>
      <c r="C688" s="6">
        <v>2016</v>
      </c>
      <c r="D688" s="6">
        <v>3</v>
      </c>
      <c r="E688" s="7">
        <v>30</v>
      </c>
      <c r="F688" s="6" t="s">
        <v>626</v>
      </c>
      <c r="G688" s="6" t="s">
        <v>9370</v>
      </c>
      <c r="H688" s="6" t="s">
        <v>26</v>
      </c>
      <c r="I688" s="8"/>
      <c r="J688" s="8">
        <v>302994</v>
      </c>
      <c r="K688" s="6" t="s">
        <v>4514</v>
      </c>
      <c r="L688" s="6" t="s">
        <v>4511</v>
      </c>
      <c r="M688" s="6" t="s">
        <v>4509</v>
      </c>
      <c r="N688" s="6" t="s">
        <v>4537</v>
      </c>
    </row>
    <row r="689" s="1" customFormat="1" ht="16.35" customHeight="1" spans="1:14">
      <c r="A689" s="5"/>
      <c r="B689" s="6" t="s">
        <v>4506</v>
      </c>
      <c r="C689" s="6">
        <v>2016</v>
      </c>
      <c r="D689" s="6">
        <v>3</v>
      </c>
      <c r="E689" s="7">
        <v>31</v>
      </c>
      <c r="F689" s="6" t="s">
        <v>116</v>
      </c>
      <c r="G689" s="6" t="s">
        <v>9370</v>
      </c>
      <c r="H689" s="6" t="s">
        <v>26</v>
      </c>
      <c r="I689" s="8"/>
      <c r="J689" s="8">
        <v>9000</v>
      </c>
      <c r="K689" s="6" t="s">
        <v>4514</v>
      </c>
      <c r="L689" s="6" t="s">
        <v>4511</v>
      </c>
      <c r="M689" s="6" t="s">
        <v>4509</v>
      </c>
      <c r="N689" s="6" t="s">
        <v>4537</v>
      </c>
    </row>
    <row r="690" s="1" customFormat="1" ht="16.35" customHeight="1" spans="1:14">
      <c r="A690" s="5"/>
      <c r="B690" s="6" t="s">
        <v>4506</v>
      </c>
      <c r="C690" s="6">
        <v>2016</v>
      </c>
      <c r="D690" s="6">
        <v>3</v>
      </c>
      <c r="E690" s="7">
        <v>32</v>
      </c>
      <c r="F690" s="6" t="s">
        <v>146</v>
      </c>
      <c r="G690" s="6" t="s">
        <v>9370</v>
      </c>
      <c r="H690" s="6" t="s">
        <v>26</v>
      </c>
      <c r="I690" s="8"/>
      <c r="J690" s="8">
        <v>161793</v>
      </c>
      <c r="K690" s="6" t="s">
        <v>4514</v>
      </c>
      <c r="L690" s="6" t="s">
        <v>4511</v>
      </c>
      <c r="M690" s="6" t="s">
        <v>4509</v>
      </c>
      <c r="N690" s="6" t="s">
        <v>4537</v>
      </c>
    </row>
    <row r="691" s="1" customFormat="1" ht="16.35" customHeight="1" spans="1:14">
      <c r="A691" s="5"/>
      <c r="B691" s="6" t="s">
        <v>4506</v>
      </c>
      <c r="C691" s="6">
        <v>2016</v>
      </c>
      <c r="D691" s="6">
        <v>3</v>
      </c>
      <c r="E691" s="7">
        <v>33</v>
      </c>
      <c r="F691" s="6" t="s">
        <v>94</v>
      </c>
      <c r="G691" s="6" t="s">
        <v>9370</v>
      </c>
      <c r="H691" s="6" t="s">
        <v>26</v>
      </c>
      <c r="I691" s="8"/>
      <c r="J691" s="8">
        <v>87342</v>
      </c>
      <c r="K691" s="6" t="s">
        <v>4514</v>
      </c>
      <c r="L691" s="6" t="s">
        <v>4511</v>
      </c>
      <c r="M691" s="6" t="s">
        <v>4509</v>
      </c>
      <c r="N691" s="6" t="s">
        <v>4537</v>
      </c>
    </row>
    <row r="692" s="1" customFormat="1" ht="16.35" customHeight="1" spans="1:14">
      <c r="A692" s="5"/>
      <c r="B692" s="6" t="s">
        <v>4506</v>
      </c>
      <c r="C692" s="6">
        <v>2016</v>
      </c>
      <c r="D692" s="6">
        <v>3</v>
      </c>
      <c r="E692" s="7">
        <v>34</v>
      </c>
      <c r="F692" s="6" t="s">
        <v>114</v>
      </c>
      <c r="G692" s="6" t="s">
        <v>9370</v>
      </c>
      <c r="H692" s="6" t="s">
        <v>26</v>
      </c>
      <c r="I692" s="8"/>
      <c r="J692" s="8">
        <v>96631</v>
      </c>
      <c r="K692" s="6" t="s">
        <v>4514</v>
      </c>
      <c r="L692" s="6" t="s">
        <v>4511</v>
      </c>
      <c r="M692" s="6" t="s">
        <v>4509</v>
      </c>
      <c r="N692" s="6" t="s">
        <v>4537</v>
      </c>
    </row>
    <row r="693" s="1" customFormat="1" ht="16.35" customHeight="1" spans="1:14">
      <c r="A693" s="5"/>
      <c r="B693" s="6" t="s">
        <v>4506</v>
      </c>
      <c r="C693" s="6">
        <v>2016</v>
      </c>
      <c r="D693" s="6">
        <v>3</v>
      </c>
      <c r="E693" s="7">
        <v>35</v>
      </c>
      <c r="F693" s="6" t="s">
        <v>118</v>
      </c>
      <c r="G693" s="6" t="s">
        <v>9370</v>
      </c>
      <c r="H693" s="6" t="s">
        <v>26</v>
      </c>
      <c r="I693" s="8"/>
      <c r="J693" s="8">
        <v>107601</v>
      </c>
      <c r="K693" s="6" t="s">
        <v>4514</v>
      </c>
      <c r="L693" s="6" t="s">
        <v>4511</v>
      </c>
      <c r="M693" s="6" t="s">
        <v>4509</v>
      </c>
      <c r="N693" s="6" t="s">
        <v>4537</v>
      </c>
    </row>
    <row r="694" s="1" customFormat="1" ht="16.35" customHeight="1" spans="1:14">
      <c r="A694" s="5"/>
      <c r="B694" s="6" t="s">
        <v>4506</v>
      </c>
      <c r="C694" s="6">
        <v>2016</v>
      </c>
      <c r="D694" s="6">
        <v>3</v>
      </c>
      <c r="E694" s="7">
        <v>36</v>
      </c>
      <c r="F694" s="6" t="s">
        <v>82</v>
      </c>
      <c r="G694" s="6" t="s">
        <v>9370</v>
      </c>
      <c r="H694" s="6" t="s">
        <v>26</v>
      </c>
      <c r="I694" s="8"/>
      <c r="J694" s="8">
        <v>10000</v>
      </c>
      <c r="K694" s="6" t="s">
        <v>4514</v>
      </c>
      <c r="L694" s="6" t="s">
        <v>4511</v>
      </c>
      <c r="M694" s="6" t="s">
        <v>4509</v>
      </c>
      <c r="N694" s="6" t="s">
        <v>4537</v>
      </c>
    </row>
    <row r="695" s="1" customFormat="1" ht="16.35" customHeight="1" spans="1:14">
      <c r="A695" s="5"/>
      <c r="B695" s="6" t="s">
        <v>4506</v>
      </c>
      <c r="C695" s="6">
        <v>2016</v>
      </c>
      <c r="D695" s="6">
        <v>3</v>
      </c>
      <c r="E695" s="7">
        <v>37</v>
      </c>
      <c r="F695" s="6" t="s">
        <v>455</v>
      </c>
      <c r="G695" s="6" t="s">
        <v>9370</v>
      </c>
      <c r="H695" s="6" t="s">
        <v>26</v>
      </c>
      <c r="I695" s="8"/>
      <c r="J695" s="8">
        <v>83784</v>
      </c>
      <c r="K695" s="6" t="s">
        <v>4514</v>
      </c>
      <c r="L695" s="6" t="s">
        <v>4511</v>
      </c>
      <c r="M695" s="6" t="s">
        <v>4509</v>
      </c>
      <c r="N695" s="6" t="s">
        <v>4537</v>
      </c>
    </row>
    <row r="696" s="1" customFormat="1" ht="16.35" customHeight="1" spans="1:14">
      <c r="A696" s="5"/>
      <c r="B696" s="6" t="s">
        <v>4506</v>
      </c>
      <c r="C696" s="6">
        <v>2016</v>
      </c>
      <c r="D696" s="6">
        <v>3</v>
      </c>
      <c r="E696" s="7">
        <v>38</v>
      </c>
      <c r="F696" s="6" t="s">
        <v>100</v>
      </c>
      <c r="G696" s="6" t="s">
        <v>9370</v>
      </c>
      <c r="H696" s="6" t="s">
        <v>26</v>
      </c>
      <c r="I696" s="8"/>
      <c r="J696" s="8">
        <v>94307</v>
      </c>
      <c r="K696" s="6" t="s">
        <v>4514</v>
      </c>
      <c r="L696" s="6" t="s">
        <v>4511</v>
      </c>
      <c r="M696" s="6" t="s">
        <v>4509</v>
      </c>
      <c r="N696" s="6" t="s">
        <v>4537</v>
      </c>
    </row>
    <row r="697" s="1" customFormat="1" ht="16.35" customHeight="1" spans="1:14">
      <c r="A697" s="5"/>
      <c r="B697" s="6" t="s">
        <v>4506</v>
      </c>
      <c r="C697" s="6">
        <v>2016</v>
      </c>
      <c r="D697" s="6">
        <v>3</v>
      </c>
      <c r="E697" s="7">
        <v>39</v>
      </c>
      <c r="F697" s="6" t="s">
        <v>583</v>
      </c>
      <c r="G697" s="6" t="s">
        <v>9370</v>
      </c>
      <c r="H697" s="6" t="s">
        <v>26</v>
      </c>
      <c r="I697" s="8"/>
      <c r="J697" s="8">
        <v>50000</v>
      </c>
      <c r="K697" s="6" t="s">
        <v>4514</v>
      </c>
      <c r="L697" s="6" t="s">
        <v>4511</v>
      </c>
      <c r="M697" s="6" t="s">
        <v>4509</v>
      </c>
      <c r="N697" s="6" t="s">
        <v>4537</v>
      </c>
    </row>
    <row r="698" s="1" customFormat="1" ht="16.35" customHeight="1" spans="1:14">
      <c r="A698" s="5"/>
      <c r="B698" s="6" t="s">
        <v>4506</v>
      </c>
      <c r="C698" s="6">
        <v>2016</v>
      </c>
      <c r="D698" s="6">
        <v>3</v>
      </c>
      <c r="E698" s="7">
        <v>40</v>
      </c>
      <c r="F698" s="6" t="s">
        <v>51</v>
      </c>
      <c r="G698" s="6" t="s">
        <v>9370</v>
      </c>
      <c r="H698" s="6" t="s">
        <v>26</v>
      </c>
      <c r="I698" s="8"/>
      <c r="J698" s="8">
        <v>72689</v>
      </c>
      <c r="K698" s="6" t="s">
        <v>4514</v>
      </c>
      <c r="L698" s="6" t="s">
        <v>4511</v>
      </c>
      <c r="M698" s="6" t="s">
        <v>4509</v>
      </c>
      <c r="N698" s="6" t="s">
        <v>4537</v>
      </c>
    </row>
    <row r="699" s="1" customFormat="1" ht="16.35" customHeight="1" spans="1:14">
      <c r="A699" s="5"/>
      <c r="B699" s="6" t="s">
        <v>4506</v>
      </c>
      <c r="C699" s="6">
        <v>2016</v>
      </c>
      <c r="D699" s="6">
        <v>3</v>
      </c>
      <c r="E699" s="7">
        <v>41</v>
      </c>
      <c r="F699" s="6" t="s">
        <v>102</v>
      </c>
      <c r="G699" s="6" t="s">
        <v>9370</v>
      </c>
      <c r="H699" s="6" t="s">
        <v>26</v>
      </c>
      <c r="I699" s="8"/>
      <c r="J699" s="8">
        <v>184704</v>
      </c>
      <c r="K699" s="6" t="s">
        <v>4514</v>
      </c>
      <c r="L699" s="6" t="s">
        <v>4511</v>
      </c>
      <c r="M699" s="6" t="s">
        <v>4509</v>
      </c>
      <c r="N699" s="6" t="s">
        <v>4537</v>
      </c>
    </row>
    <row r="700" s="1" customFormat="1" ht="16.35" customHeight="1" spans="1:14">
      <c r="A700" s="5"/>
      <c r="B700" s="6" t="s">
        <v>4506</v>
      </c>
      <c r="C700" s="6">
        <v>2016</v>
      </c>
      <c r="D700" s="6">
        <v>3</v>
      </c>
      <c r="E700" s="7">
        <v>42</v>
      </c>
      <c r="F700" s="6" t="s">
        <v>134</v>
      </c>
      <c r="G700" s="6" t="s">
        <v>9370</v>
      </c>
      <c r="H700" s="6" t="s">
        <v>26</v>
      </c>
      <c r="I700" s="8"/>
      <c r="J700" s="8">
        <v>86631</v>
      </c>
      <c r="K700" s="6" t="s">
        <v>4514</v>
      </c>
      <c r="L700" s="6" t="s">
        <v>4511</v>
      </c>
      <c r="M700" s="6" t="s">
        <v>4509</v>
      </c>
      <c r="N700" s="6" t="s">
        <v>4537</v>
      </c>
    </row>
    <row r="701" s="1" customFormat="1" ht="16.35" customHeight="1" spans="1:14">
      <c r="A701" s="5"/>
      <c r="B701" s="6" t="s">
        <v>4506</v>
      </c>
      <c r="C701" s="6">
        <v>2016</v>
      </c>
      <c r="D701" s="6">
        <v>3</v>
      </c>
      <c r="E701" s="7">
        <v>43</v>
      </c>
      <c r="F701" s="6" t="s">
        <v>573</v>
      </c>
      <c r="G701" s="6" t="s">
        <v>9370</v>
      </c>
      <c r="H701" s="6" t="s">
        <v>26</v>
      </c>
      <c r="I701" s="8"/>
      <c r="J701" s="8">
        <v>10000</v>
      </c>
      <c r="K701" s="6" t="s">
        <v>4514</v>
      </c>
      <c r="L701" s="6" t="s">
        <v>4511</v>
      </c>
      <c r="M701" s="6" t="s">
        <v>4509</v>
      </c>
      <c r="N701" s="6" t="s">
        <v>4537</v>
      </c>
    </row>
    <row r="702" s="1" customFormat="1" ht="16.35" customHeight="1" spans="1:14">
      <c r="A702" s="5"/>
      <c r="B702" s="6" t="s">
        <v>4506</v>
      </c>
      <c r="C702" s="6">
        <v>2016</v>
      </c>
      <c r="D702" s="6">
        <v>3</v>
      </c>
      <c r="E702" s="7">
        <v>44</v>
      </c>
      <c r="F702" s="6" t="s">
        <v>75</v>
      </c>
      <c r="G702" s="6" t="s">
        <v>9370</v>
      </c>
      <c r="H702" s="6" t="s">
        <v>26</v>
      </c>
      <c r="I702" s="8"/>
      <c r="J702" s="8">
        <v>86592</v>
      </c>
      <c r="K702" s="6" t="s">
        <v>4514</v>
      </c>
      <c r="L702" s="6" t="s">
        <v>4511</v>
      </c>
      <c r="M702" s="6" t="s">
        <v>4509</v>
      </c>
      <c r="N702" s="6" t="s">
        <v>4537</v>
      </c>
    </row>
    <row r="703" s="1" customFormat="1" ht="16.35" customHeight="1" spans="1:14">
      <c r="A703" s="5"/>
      <c r="B703" s="6" t="s">
        <v>4506</v>
      </c>
      <c r="C703" s="6">
        <v>2016</v>
      </c>
      <c r="D703" s="6">
        <v>3</v>
      </c>
      <c r="E703" s="7">
        <v>45</v>
      </c>
      <c r="F703" s="6" t="s">
        <v>65</v>
      </c>
      <c r="G703" s="6" t="s">
        <v>9370</v>
      </c>
      <c r="H703" s="6" t="s">
        <v>26</v>
      </c>
      <c r="I703" s="8"/>
      <c r="J703" s="8">
        <v>150862</v>
      </c>
      <c r="K703" s="6" t="s">
        <v>4514</v>
      </c>
      <c r="L703" s="6" t="s">
        <v>4511</v>
      </c>
      <c r="M703" s="6" t="s">
        <v>4509</v>
      </c>
      <c r="N703" s="6" t="s">
        <v>4537</v>
      </c>
    </row>
    <row r="704" s="1" customFormat="1" ht="16.35" customHeight="1" spans="1:14">
      <c r="A704" s="5"/>
      <c r="B704" s="6" t="s">
        <v>4506</v>
      </c>
      <c r="C704" s="6">
        <v>2016</v>
      </c>
      <c r="D704" s="6">
        <v>3</v>
      </c>
      <c r="E704" s="7">
        <v>46</v>
      </c>
      <c r="F704" s="6" t="s">
        <v>609</v>
      </c>
      <c r="G704" s="6" t="s">
        <v>9370</v>
      </c>
      <c r="H704" s="6" t="s">
        <v>26</v>
      </c>
      <c r="I704" s="8"/>
      <c r="J704" s="8">
        <v>10000</v>
      </c>
      <c r="K704" s="6" t="s">
        <v>4514</v>
      </c>
      <c r="L704" s="6" t="s">
        <v>4511</v>
      </c>
      <c r="M704" s="6" t="s">
        <v>4509</v>
      </c>
      <c r="N704" s="6" t="s">
        <v>4537</v>
      </c>
    </row>
    <row r="705" s="1" customFormat="1" ht="16.35" customHeight="1" spans="1:14">
      <c r="A705" s="5"/>
      <c r="B705" s="6" t="s">
        <v>4506</v>
      </c>
      <c r="C705" s="6">
        <v>2016</v>
      </c>
      <c r="D705" s="6">
        <v>3</v>
      </c>
      <c r="E705" s="7">
        <v>47</v>
      </c>
      <c r="F705" s="6" t="s">
        <v>392</v>
      </c>
      <c r="G705" s="6" t="s">
        <v>9370</v>
      </c>
      <c r="H705" s="6" t="s">
        <v>26</v>
      </c>
      <c r="I705" s="8"/>
      <c r="J705" s="8">
        <v>12848</v>
      </c>
      <c r="K705" s="6" t="s">
        <v>4514</v>
      </c>
      <c r="L705" s="6" t="s">
        <v>4511</v>
      </c>
      <c r="M705" s="6" t="s">
        <v>4509</v>
      </c>
      <c r="N705" s="6" t="s">
        <v>4537</v>
      </c>
    </row>
    <row r="706" s="1" customFormat="1" ht="16.35" customHeight="1" spans="1:14">
      <c r="A706" s="5"/>
      <c r="B706" s="6" t="s">
        <v>4506</v>
      </c>
      <c r="C706" s="6">
        <v>2016</v>
      </c>
      <c r="D706" s="6">
        <v>3</v>
      </c>
      <c r="E706" s="7">
        <v>48</v>
      </c>
      <c r="F706" s="6" t="s">
        <v>533</v>
      </c>
      <c r="G706" s="6" t="s">
        <v>9370</v>
      </c>
      <c r="H706" s="6" t="s">
        <v>26</v>
      </c>
      <c r="I706" s="8"/>
      <c r="J706" s="8">
        <v>50200</v>
      </c>
      <c r="K706" s="6" t="s">
        <v>4514</v>
      </c>
      <c r="L706" s="6" t="s">
        <v>4511</v>
      </c>
      <c r="M706" s="6" t="s">
        <v>4509</v>
      </c>
      <c r="N706" s="6" t="s">
        <v>4537</v>
      </c>
    </row>
    <row r="707" s="1" customFormat="1" ht="16.35" customHeight="1" spans="1:14">
      <c r="A707" s="5"/>
      <c r="B707" s="6" t="s">
        <v>4506</v>
      </c>
      <c r="C707" s="6">
        <v>2016</v>
      </c>
      <c r="D707" s="6">
        <v>3</v>
      </c>
      <c r="E707" s="7">
        <v>49</v>
      </c>
      <c r="F707" s="6" t="s">
        <v>116</v>
      </c>
      <c r="G707" s="6" t="s">
        <v>9370</v>
      </c>
      <c r="H707" s="6" t="s">
        <v>26</v>
      </c>
      <c r="I707" s="8"/>
      <c r="J707" s="8">
        <v>310292</v>
      </c>
      <c r="K707" s="6" t="s">
        <v>4514</v>
      </c>
      <c r="L707" s="6" t="s">
        <v>4511</v>
      </c>
      <c r="M707" s="6" t="s">
        <v>4509</v>
      </c>
      <c r="N707" s="6" t="s">
        <v>4537</v>
      </c>
    </row>
    <row r="708" s="1" customFormat="1" ht="16.35" customHeight="1" spans="1:14">
      <c r="A708" s="5"/>
      <c r="B708" s="6" t="s">
        <v>4506</v>
      </c>
      <c r="C708" s="6">
        <v>2016</v>
      </c>
      <c r="D708" s="6">
        <v>3</v>
      </c>
      <c r="E708" s="7">
        <v>50</v>
      </c>
      <c r="F708" s="6" t="s">
        <v>847</v>
      </c>
      <c r="G708" s="6" t="s">
        <v>9370</v>
      </c>
      <c r="H708" s="6" t="s">
        <v>26</v>
      </c>
      <c r="I708" s="8"/>
      <c r="J708" s="8">
        <v>200000</v>
      </c>
      <c r="K708" s="6" t="s">
        <v>4514</v>
      </c>
      <c r="L708" s="6" t="s">
        <v>4511</v>
      </c>
      <c r="M708" s="6" t="s">
        <v>4509</v>
      </c>
      <c r="N708" s="6" t="s">
        <v>4537</v>
      </c>
    </row>
    <row r="709" s="1" customFormat="1" ht="16.35" customHeight="1" spans="1:14">
      <c r="A709" s="5"/>
      <c r="B709" s="6" t="s">
        <v>4506</v>
      </c>
      <c r="C709" s="6">
        <v>2016</v>
      </c>
      <c r="D709" s="6">
        <v>3</v>
      </c>
      <c r="E709" s="7">
        <v>51</v>
      </c>
      <c r="F709" s="6" t="s">
        <v>106</v>
      </c>
      <c r="G709" s="6" t="s">
        <v>9370</v>
      </c>
      <c r="H709" s="6" t="s">
        <v>26</v>
      </c>
      <c r="I709" s="8"/>
      <c r="J709" s="8">
        <v>568</v>
      </c>
      <c r="K709" s="6" t="s">
        <v>4514</v>
      </c>
      <c r="L709" s="6" t="s">
        <v>4511</v>
      </c>
      <c r="M709" s="6" t="s">
        <v>4509</v>
      </c>
      <c r="N709" s="6" t="s">
        <v>4537</v>
      </c>
    </row>
    <row r="710" s="1" customFormat="1" ht="16.35" customHeight="1" spans="1:14">
      <c r="A710" s="5"/>
      <c r="B710" s="6" t="s">
        <v>4506</v>
      </c>
      <c r="C710" s="6">
        <v>2016</v>
      </c>
      <c r="D710" s="6">
        <v>3</v>
      </c>
      <c r="E710" s="7">
        <v>52</v>
      </c>
      <c r="F710" s="6" t="s">
        <v>597</v>
      </c>
      <c r="G710" s="6" t="s">
        <v>9370</v>
      </c>
      <c r="H710" s="6" t="s">
        <v>26</v>
      </c>
      <c r="I710" s="8"/>
      <c r="J710" s="8">
        <v>80213</v>
      </c>
      <c r="K710" s="6" t="s">
        <v>4514</v>
      </c>
      <c r="L710" s="6" t="s">
        <v>4511</v>
      </c>
      <c r="M710" s="6" t="s">
        <v>4509</v>
      </c>
      <c r="N710" s="6" t="s">
        <v>4537</v>
      </c>
    </row>
    <row r="711" s="1" customFormat="1" ht="16.35" customHeight="1" spans="1:14">
      <c r="A711" s="5"/>
      <c r="B711" s="6" t="s">
        <v>4506</v>
      </c>
      <c r="C711" s="6">
        <v>2016</v>
      </c>
      <c r="D711" s="6">
        <v>3</v>
      </c>
      <c r="E711" s="7">
        <v>53</v>
      </c>
      <c r="F711" s="6" t="s">
        <v>136</v>
      </c>
      <c r="G711" s="6" t="s">
        <v>9370</v>
      </c>
      <c r="H711" s="6" t="s">
        <v>26</v>
      </c>
      <c r="I711" s="8"/>
      <c r="J711" s="8">
        <v>160309</v>
      </c>
      <c r="K711" s="6" t="s">
        <v>4514</v>
      </c>
      <c r="L711" s="6" t="s">
        <v>4511</v>
      </c>
      <c r="M711" s="6" t="s">
        <v>4509</v>
      </c>
      <c r="N711" s="6" t="s">
        <v>4537</v>
      </c>
    </row>
    <row r="712" s="1" customFormat="1" ht="16.35" customHeight="1" spans="1:14">
      <c r="A712" s="5"/>
      <c r="B712" s="6" t="s">
        <v>4506</v>
      </c>
      <c r="C712" s="6">
        <v>2016</v>
      </c>
      <c r="D712" s="6">
        <v>3</v>
      </c>
      <c r="E712" s="7">
        <v>54</v>
      </c>
      <c r="F712" s="6" t="s">
        <v>9764</v>
      </c>
      <c r="G712" s="6" t="s">
        <v>9370</v>
      </c>
      <c r="H712" s="6" t="s">
        <v>26</v>
      </c>
      <c r="I712" s="8">
        <v>1940000</v>
      </c>
      <c r="J712" s="8"/>
      <c r="K712" s="6" t="s">
        <v>4509</v>
      </c>
      <c r="L712" s="6" t="s">
        <v>9218</v>
      </c>
      <c r="M712" s="6" t="s">
        <v>4509</v>
      </c>
      <c r="N712" s="6" t="s">
        <v>4537</v>
      </c>
    </row>
    <row r="713" s="1" customFormat="1" ht="16.35" customHeight="1" spans="1:14">
      <c r="A713" s="5"/>
      <c r="B713" s="6" t="s">
        <v>4506</v>
      </c>
      <c r="C713" s="6">
        <v>2016</v>
      </c>
      <c r="D713" s="6">
        <v>3</v>
      </c>
      <c r="E713" s="7">
        <v>55</v>
      </c>
      <c r="F713" s="6" t="s">
        <v>9765</v>
      </c>
      <c r="G713" s="6" t="s">
        <v>9370</v>
      </c>
      <c r="H713" s="6" t="s">
        <v>26</v>
      </c>
      <c r="I713" s="8"/>
      <c r="J713" s="8">
        <v>180000</v>
      </c>
      <c r="K713" s="6" t="s">
        <v>4514</v>
      </c>
      <c r="L713" s="6" t="s">
        <v>4511</v>
      </c>
      <c r="M713" s="6" t="s">
        <v>4509</v>
      </c>
      <c r="N713" s="6" t="s">
        <v>4537</v>
      </c>
    </row>
    <row r="714" s="1" customFormat="1" ht="16.35" customHeight="1" spans="1:14">
      <c r="A714" s="5"/>
      <c r="B714" s="6" t="s">
        <v>4506</v>
      </c>
      <c r="C714" s="6">
        <v>2016</v>
      </c>
      <c r="D714" s="6">
        <v>3</v>
      </c>
      <c r="E714" s="7">
        <v>56</v>
      </c>
      <c r="F714" s="6" t="s">
        <v>9766</v>
      </c>
      <c r="G714" s="6" t="s">
        <v>9370</v>
      </c>
      <c r="H714" s="6" t="s">
        <v>26</v>
      </c>
      <c r="I714" s="8"/>
      <c r="J714" s="8">
        <v>-180000</v>
      </c>
      <c r="K714" s="6" t="s">
        <v>4514</v>
      </c>
      <c r="L714" s="6" t="s">
        <v>4511</v>
      </c>
      <c r="M714" s="6" t="s">
        <v>4509</v>
      </c>
      <c r="N714" s="6" t="s">
        <v>4537</v>
      </c>
    </row>
    <row r="715" s="1" customFormat="1" ht="16.35" customHeight="1" spans="1:14">
      <c r="A715" s="5"/>
      <c r="B715" s="6" t="s">
        <v>4506</v>
      </c>
      <c r="C715" s="6">
        <v>2016</v>
      </c>
      <c r="D715" s="6">
        <v>3</v>
      </c>
      <c r="E715" s="7">
        <v>59</v>
      </c>
      <c r="F715" s="6" t="s">
        <v>9747</v>
      </c>
      <c r="G715" s="6" t="s">
        <v>9370</v>
      </c>
      <c r="H715" s="6" t="s">
        <v>26</v>
      </c>
      <c r="I715" s="8"/>
      <c r="J715" s="8">
        <v>-20000</v>
      </c>
      <c r="K715" s="6" t="s">
        <v>4514</v>
      </c>
      <c r="L715" s="6" t="s">
        <v>4511</v>
      </c>
      <c r="M715" s="6" t="s">
        <v>4509</v>
      </c>
      <c r="N715" s="6" t="s">
        <v>4537</v>
      </c>
    </row>
    <row r="716" s="1" customFormat="1" ht="16.35" customHeight="1" spans="1:14">
      <c r="A716" s="5"/>
      <c r="B716" s="6" t="s">
        <v>4506</v>
      </c>
      <c r="C716" s="6">
        <v>2016</v>
      </c>
      <c r="D716" s="6">
        <v>3</v>
      </c>
      <c r="E716" s="7">
        <v>61</v>
      </c>
      <c r="F716" s="6" t="s">
        <v>112</v>
      </c>
      <c r="G716" s="6" t="s">
        <v>9370</v>
      </c>
      <c r="H716" s="6" t="s">
        <v>26</v>
      </c>
      <c r="I716" s="8"/>
      <c r="J716" s="8">
        <v>197922</v>
      </c>
      <c r="K716" s="6" t="s">
        <v>4514</v>
      </c>
      <c r="L716" s="6" t="s">
        <v>4511</v>
      </c>
      <c r="M716" s="6" t="s">
        <v>4509</v>
      </c>
      <c r="N716" s="6" t="s">
        <v>4537</v>
      </c>
    </row>
    <row r="717" s="1" customFormat="1" ht="16.35" customHeight="1" spans="1:14">
      <c r="A717" s="5"/>
      <c r="B717" s="6" t="s">
        <v>4506</v>
      </c>
      <c r="C717" s="6">
        <v>2016</v>
      </c>
      <c r="D717" s="6">
        <v>3</v>
      </c>
      <c r="E717" s="7">
        <v>63</v>
      </c>
      <c r="F717" s="6" t="s">
        <v>9767</v>
      </c>
      <c r="G717" s="6" t="s">
        <v>9370</v>
      </c>
      <c r="H717" s="6" t="s">
        <v>26</v>
      </c>
      <c r="I717" s="8"/>
      <c r="J717" s="8">
        <v>160000</v>
      </c>
      <c r="K717" s="6" t="s">
        <v>4514</v>
      </c>
      <c r="L717" s="6" t="s">
        <v>4511</v>
      </c>
      <c r="M717" s="6" t="s">
        <v>4509</v>
      </c>
      <c r="N717" s="6" t="s">
        <v>4537</v>
      </c>
    </row>
    <row r="718" s="1" customFormat="1" ht="16.35" customHeight="1" spans="1:14">
      <c r="A718" s="5"/>
      <c r="B718" s="6" t="s">
        <v>4506</v>
      </c>
      <c r="C718" s="6">
        <v>2016</v>
      </c>
      <c r="D718" s="6">
        <v>3</v>
      </c>
      <c r="E718" s="7">
        <v>64</v>
      </c>
      <c r="F718" s="6" t="s">
        <v>9764</v>
      </c>
      <c r="G718" s="6" t="s">
        <v>9370</v>
      </c>
      <c r="H718" s="6" t="s">
        <v>26</v>
      </c>
      <c r="I718" s="8">
        <v>910000</v>
      </c>
      <c r="J718" s="8"/>
      <c r="K718" s="6" t="s">
        <v>4509</v>
      </c>
      <c r="L718" s="6" t="s">
        <v>9218</v>
      </c>
      <c r="M718" s="6" t="s">
        <v>4509</v>
      </c>
      <c r="N718" s="6" t="s">
        <v>4537</v>
      </c>
    </row>
    <row r="719" s="1" customFormat="1" ht="16.35" customHeight="1" spans="1:14">
      <c r="A719" s="5"/>
      <c r="B719" s="6" t="s">
        <v>4506</v>
      </c>
      <c r="C719" s="6">
        <v>2016</v>
      </c>
      <c r="D719" s="6">
        <v>3</v>
      </c>
      <c r="E719" s="7">
        <v>65</v>
      </c>
      <c r="F719" s="6" t="s">
        <v>9764</v>
      </c>
      <c r="G719" s="6" t="s">
        <v>9370</v>
      </c>
      <c r="H719" s="6" t="s">
        <v>26</v>
      </c>
      <c r="I719" s="8">
        <v>800000</v>
      </c>
      <c r="J719" s="8"/>
      <c r="K719" s="6" t="s">
        <v>4509</v>
      </c>
      <c r="L719" s="6" t="s">
        <v>9218</v>
      </c>
      <c r="M719" s="6" t="s">
        <v>4509</v>
      </c>
      <c r="N719" s="6" t="s">
        <v>4537</v>
      </c>
    </row>
    <row r="720" s="1" customFormat="1" ht="16.35" customHeight="1" spans="1:14">
      <c r="A720" s="5"/>
      <c r="B720" s="6" t="s">
        <v>4506</v>
      </c>
      <c r="C720" s="6">
        <v>2016</v>
      </c>
      <c r="D720" s="6">
        <v>3</v>
      </c>
      <c r="E720" s="7">
        <v>66</v>
      </c>
      <c r="F720" s="6" t="s">
        <v>9764</v>
      </c>
      <c r="G720" s="6" t="s">
        <v>9370</v>
      </c>
      <c r="H720" s="6" t="s">
        <v>26</v>
      </c>
      <c r="I720" s="8">
        <v>1470000</v>
      </c>
      <c r="J720" s="8"/>
      <c r="K720" s="6" t="s">
        <v>4509</v>
      </c>
      <c r="L720" s="6" t="s">
        <v>9218</v>
      </c>
      <c r="M720" s="6" t="s">
        <v>4509</v>
      </c>
      <c r="N720" s="6" t="s">
        <v>4537</v>
      </c>
    </row>
    <row r="721" s="1" customFormat="1" ht="16.35" customHeight="1" spans="1:14">
      <c r="A721" s="5"/>
      <c r="B721" s="6" t="s">
        <v>4506</v>
      </c>
      <c r="C721" s="6">
        <v>2016</v>
      </c>
      <c r="D721" s="6">
        <v>3</v>
      </c>
      <c r="E721" s="7">
        <v>73</v>
      </c>
      <c r="F721" s="6" t="s">
        <v>9768</v>
      </c>
      <c r="G721" s="6" t="s">
        <v>9370</v>
      </c>
      <c r="H721" s="6" t="s">
        <v>26</v>
      </c>
      <c r="I721" s="8"/>
      <c r="J721" s="8">
        <v>30000</v>
      </c>
      <c r="K721" s="6" t="s">
        <v>4509</v>
      </c>
      <c r="L721" s="6" t="s">
        <v>9218</v>
      </c>
      <c r="M721" s="6" t="s">
        <v>4509</v>
      </c>
      <c r="N721" s="6" t="s">
        <v>4537</v>
      </c>
    </row>
    <row r="722" s="1" customFormat="1" ht="16.35" customHeight="1" spans="1:14">
      <c r="A722" s="5"/>
      <c r="B722" s="6" t="s">
        <v>4506</v>
      </c>
      <c r="C722" s="6">
        <v>2016</v>
      </c>
      <c r="D722" s="6">
        <v>3</v>
      </c>
      <c r="E722" s="7">
        <v>74</v>
      </c>
      <c r="F722" s="6" t="s">
        <v>9769</v>
      </c>
      <c r="G722" s="6" t="s">
        <v>9370</v>
      </c>
      <c r="H722" s="6" t="s">
        <v>26</v>
      </c>
      <c r="I722" s="8"/>
      <c r="J722" s="8">
        <v>226000</v>
      </c>
      <c r="K722" s="6" t="s">
        <v>4514</v>
      </c>
      <c r="L722" s="6" t="s">
        <v>4511</v>
      </c>
      <c r="M722" s="6" t="s">
        <v>4509</v>
      </c>
      <c r="N722" s="6" t="s">
        <v>4537</v>
      </c>
    </row>
    <row r="723" s="1" customFormat="1" ht="16.35" customHeight="1" spans="1:14">
      <c r="A723" s="5"/>
      <c r="B723" s="6" t="s">
        <v>4506</v>
      </c>
      <c r="C723" s="6">
        <v>2016</v>
      </c>
      <c r="D723" s="6">
        <v>3</v>
      </c>
      <c r="E723" s="7">
        <v>77</v>
      </c>
      <c r="F723" s="6" t="s">
        <v>9770</v>
      </c>
      <c r="G723" s="6" t="s">
        <v>9370</v>
      </c>
      <c r="H723" s="6" t="s">
        <v>26</v>
      </c>
      <c r="I723" s="8"/>
      <c r="J723" s="8">
        <v>302.86</v>
      </c>
      <c r="K723" s="6" t="s">
        <v>4510</v>
      </c>
      <c r="L723" s="6" t="s">
        <v>9447</v>
      </c>
      <c r="M723" s="6" t="s">
        <v>4509</v>
      </c>
      <c r="N723" s="6" t="s">
        <v>4537</v>
      </c>
    </row>
    <row r="724" s="1" customFormat="1" ht="16.35" customHeight="1" spans="1:14">
      <c r="A724" s="5"/>
      <c r="B724" s="6" t="s">
        <v>4506</v>
      </c>
      <c r="C724" s="6">
        <v>2016</v>
      </c>
      <c r="D724" s="6">
        <v>3</v>
      </c>
      <c r="E724" s="7">
        <v>77</v>
      </c>
      <c r="F724" s="6" t="s">
        <v>9770</v>
      </c>
      <c r="G724" s="6" t="s">
        <v>9370</v>
      </c>
      <c r="H724" s="6" t="s">
        <v>26</v>
      </c>
      <c r="I724" s="8"/>
      <c r="J724" s="8">
        <v>198.32</v>
      </c>
      <c r="K724" s="6" t="s">
        <v>4516</v>
      </c>
      <c r="L724" s="6" t="s">
        <v>9449</v>
      </c>
      <c r="M724" s="6" t="s">
        <v>4509</v>
      </c>
      <c r="N724" s="6" t="s">
        <v>4537</v>
      </c>
    </row>
    <row r="725" s="1" customFormat="1" ht="16.35" customHeight="1" spans="1:14">
      <c r="A725" s="5"/>
      <c r="B725" s="6" t="s">
        <v>4506</v>
      </c>
      <c r="C725" s="6">
        <v>2016</v>
      </c>
      <c r="D725" s="6">
        <v>4</v>
      </c>
      <c r="E725" s="7">
        <v>1</v>
      </c>
      <c r="F725" s="6" t="s">
        <v>926</v>
      </c>
      <c r="G725" s="6" t="s">
        <v>9370</v>
      </c>
      <c r="H725" s="6" t="s">
        <v>26</v>
      </c>
      <c r="I725" s="8"/>
      <c r="J725" s="8">
        <v>5000</v>
      </c>
      <c r="K725" s="6" t="s">
        <v>4514</v>
      </c>
      <c r="L725" s="6" t="s">
        <v>4511</v>
      </c>
      <c r="M725" s="6" t="s">
        <v>4509</v>
      </c>
      <c r="N725" s="6" t="s">
        <v>4537</v>
      </c>
    </row>
    <row r="726" s="1" customFormat="1" ht="16.35" customHeight="1" spans="1:14">
      <c r="A726" s="5"/>
      <c r="B726" s="6" t="s">
        <v>4506</v>
      </c>
      <c r="C726" s="6">
        <v>2016</v>
      </c>
      <c r="D726" s="6">
        <v>4</v>
      </c>
      <c r="E726" s="7">
        <v>2</v>
      </c>
      <c r="F726" s="6" t="s">
        <v>541</v>
      </c>
      <c r="G726" s="6" t="s">
        <v>9370</v>
      </c>
      <c r="H726" s="6" t="s">
        <v>26</v>
      </c>
      <c r="I726" s="8"/>
      <c r="J726" s="8">
        <v>78018</v>
      </c>
      <c r="K726" s="6" t="s">
        <v>4514</v>
      </c>
      <c r="L726" s="6" t="s">
        <v>4511</v>
      </c>
      <c r="M726" s="6" t="s">
        <v>4509</v>
      </c>
      <c r="N726" s="6" t="s">
        <v>4537</v>
      </c>
    </row>
    <row r="727" s="1" customFormat="1" ht="16.35" customHeight="1" spans="1:14">
      <c r="A727" s="5"/>
      <c r="B727" s="6" t="s">
        <v>4506</v>
      </c>
      <c r="C727" s="6">
        <v>2016</v>
      </c>
      <c r="D727" s="6">
        <v>4</v>
      </c>
      <c r="E727" s="7">
        <v>3</v>
      </c>
      <c r="F727" s="6" t="s">
        <v>573</v>
      </c>
      <c r="G727" s="6" t="s">
        <v>9370</v>
      </c>
      <c r="H727" s="6" t="s">
        <v>26</v>
      </c>
      <c r="I727" s="8"/>
      <c r="J727" s="8">
        <v>73218</v>
      </c>
      <c r="K727" s="6" t="s">
        <v>4514</v>
      </c>
      <c r="L727" s="6" t="s">
        <v>4511</v>
      </c>
      <c r="M727" s="6" t="s">
        <v>4509</v>
      </c>
      <c r="N727" s="6" t="s">
        <v>4537</v>
      </c>
    </row>
    <row r="728" s="1" customFormat="1" ht="16.35" customHeight="1" spans="1:14">
      <c r="A728" s="5"/>
      <c r="B728" s="6" t="s">
        <v>4506</v>
      </c>
      <c r="C728" s="6">
        <v>2016</v>
      </c>
      <c r="D728" s="6">
        <v>4</v>
      </c>
      <c r="E728" s="7">
        <v>4</v>
      </c>
      <c r="F728" s="6" t="s">
        <v>386</v>
      </c>
      <c r="G728" s="6" t="s">
        <v>9370</v>
      </c>
      <c r="H728" s="6" t="s">
        <v>26</v>
      </c>
      <c r="I728" s="8"/>
      <c r="J728" s="8">
        <v>1775</v>
      </c>
      <c r="K728" s="6" t="s">
        <v>4514</v>
      </c>
      <c r="L728" s="6" t="s">
        <v>4511</v>
      </c>
      <c r="M728" s="6" t="s">
        <v>4509</v>
      </c>
      <c r="N728" s="6" t="s">
        <v>4537</v>
      </c>
    </row>
    <row r="729" s="1" customFormat="1" ht="16.35" customHeight="1" spans="1:14">
      <c r="A729" s="5"/>
      <c r="B729" s="6" t="s">
        <v>4506</v>
      </c>
      <c r="C729" s="6">
        <v>2016</v>
      </c>
      <c r="D729" s="6">
        <v>4</v>
      </c>
      <c r="E729" s="7">
        <v>5</v>
      </c>
      <c r="F729" s="6" t="s">
        <v>701</v>
      </c>
      <c r="G729" s="6" t="s">
        <v>9370</v>
      </c>
      <c r="H729" s="6" t="s">
        <v>26</v>
      </c>
      <c r="I729" s="8"/>
      <c r="J729" s="8">
        <v>5000</v>
      </c>
      <c r="K729" s="6" t="s">
        <v>4514</v>
      </c>
      <c r="L729" s="6" t="s">
        <v>4511</v>
      </c>
      <c r="M729" s="6" t="s">
        <v>4509</v>
      </c>
      <c r="N729" s="6" t="s">
        <v>4537</v>
      </c>
    </row>
    <row r="730" s="1" customFormat="1" ht="16.35" customHeight="1" spans="1:14">
      <c r="A730" s="5"/>
      <c r="B730" s="6" t="s">
        <v>4506</v>
      </c>
      <c r="C730" s="6">
        <v>2016</v>
      </c>
      <c r="D730" s="6">
        <v>4</v>
      </c>
      <c r="E730" s="7">
        <v>6</v>
      </c>
      <c r="F730" s="6" t="s">
        <v>689</v>
      </c>
      <c r="G730" s="6" t="s">
        <v>9370</v>
      </c>
      <c r="H730" s="6" t="s">
        <v>26</v>
      </c>
      <c r="I730" s="8"/>
      <c r="J730" s="8">
        <v>10000</v>
      </c>
      <c r="K730" s="6" t="s">
        <v>4514</v>
      </c>
      <c r="L730" s="6" t="s">
        <v>4511</v>
      </c>
      <c r="M730" s="6" t="s">
        <v>4509</v>
      </c>
      <c r="N730" s="6" t="s">
        <v>4537</v>
      </c>
    </row>
    <row r="731" s="1" customFormat="1" ht="16.35" customHeight="1" spans="1:14">
      <c r="A731" s="5"/>
      <c r="B731" s="6" t="s">
        <v>4506</v>
      </c>
      <c r="C731" s="6">
        <v>2016</v>
      </c>
      <c r="D731" s="6">
        <v>4</v>
      </c>
      <c r="E731" s="7">
        <v>7</v>
      </c>
      <c r="F731" s="6" t="s">
        <v>868</v>
      </c>
      <c r="G731" s="6" t="s">
        <v>9370</v>
      </c>
      <c r="H731" s="6" t="s">
        <v>26</v>
      </c>
      <c r="I731" s="8"/>
      <c r="J731" s="8">
        <v>10000</v>
      </c>
      <c r="K731" s="6" t="s">
        <v>4514</v>
      </c>
      <c r="L731" s="6" t="s">
        <v>4511</v>
      </c>
      <c r="M731" s="6" t="s">
        <v>4509</v>
      </c>
      <c r="N731" s="6" t="s">
        <v>4537</v>
      </c>
    </row>
    <row r="732" s="1" customFormat="1" ht="16.35" customHeight="1" spans="1:14">
      <c r="A732" s="5"/>
      <c r="B732" s="6" t="s">
        <v>4506</v>
      </c>
      <c r="C732" s="6">
        <v>2016</v>
      </c>
      <c r="D732" s="6">
        <v>4</v>
      </c>
      <c r="E732" s="7">
        <v>8</v>
      </c>
      <c r="F732" s="6" t="s">
        <v>897</v>
      </c>
      <c r="G732" s="6" t="s">
        <v>9370</v>
      </c>
      <c r="H732" s="6" t="s">
        <v>26</v>
      </c>
      <c r="I732" s="8"/>
      <c r="J732" s="8">
        <v>10000</v>
      </c>
      <c r="K732" s="6" t="s">
        <v>4514</v>
      </c>
      <c r="L732" s="6" t="s">
        <v>4511</v>
      </c>
      <c r="M732" s="6" t="s">
        <v>4509</v>
      </c>
      <c r="N732" s="6" t="s">
        <v>4537</v>
      </c>
    </row>
    <row r="733" s="1" customFormat="1" ht="16.35" customHeight="1" spans="1:14">
      <c r="A733" s="5"/>
      <c r="B733" s="6" t="s">
        <v>4506</v>
      </c>
      <c r="C733" s="6">
        <v>2016</v>
      </c>
      <c r="D733" s="6">
        <v>4</v>
      </c>
      <c r="E733" s="7">
        <v>9</v>
      </c>
      <c r="F733" s="6" t="s">
        <v>9771</v>
      </c>
      <c r="G733" s="6" t="s">
        <v>9370</v>
      </c>
      <c r="H733" s="6" t="s">
        <v>26</v>
      </c>
      <c r="I733" s="8">
        <v>251</v>
      </c>
      <c r="J733" s="8"/>
      <c r="K733" s="6" t="s">
        <v>4509</v>
      </c>
      <c r="L733" s="6" t="s">
        <v>9218</v>
      </c>
      <c r="M733" s="6" t="s">
        <v>4509</v>
      </c>
      <c r="N733" s="6" t="s">
        <v>4537</v>
      </c>
    </row>
    <row r="734" s="1" customFormat="1" ht="16.35" customHeight="1" spans="1:14">
      <c r="A734" s="5"/>
      <c r="B734" s="6" t="s">
        <v>4506</v>
      </c>
      <c r="C734" s="6">
        <v>2016</v>
      </c>
      <c r="D734" s="6">
        <v>4</v>
      </c>
      <c r="E734" s="7">
        <v>10</v>
      </c>
      <c r="F734" s="6" t="s">
        <v>854</v>
      </c>
      <c r="G734" s="6" t="s">
        <v>9370</v>
      </c>
      <c r="H734" s="6" t="s">
        <v>26</v>
      </c>
      <c r="I734" s="8"/>
      <c r="J734" s="8">
        <v>10000</v>
      </c>
      <c r="K734" s="6" t="s">
        <v>4514</v>
      </c>
      <c r="L734" s="6" t="s">
        <v>4511</v>
      </c>
      <c r="M734" s="6" t="s">
        <v>4509</v>
      </c>
      <c r="N734" s="6" t="s">
        <v>4537</v>
      </c>
    </row>
    <row r="735" s="1" customFormat="1" ht="16.35" customHeight="1" spans="1:14">
      <c r="A735" s="5"/>
      <c r="B735" s="6" t="s">
        <v>4506</v>
      </c>
      <c r="C735" s="6">
        <v>2016</v>
      </c>
      <c r="D735" s="6">
        <v>4</v>
      </c>
      <c r="E735" s="7">
        <v>11</v>
      </c>
      <c r="F735" s="6" t="s">
        <v>144</v>
      </c>
      <c r="G735" s="6" t="s">
        <v>9370</v>
      </c>
      <c r="H735" s="6" t="s">
        <v>26</v>
      </c>
      <c r="I735" s="8"/>
      <c r="J735" s="8">
        <v>10000</v>
      </c>
      <c r="K735" s="6" t="s">
        <v>4514</v>
      </c>
      <c r="L735" s="6" t="s">
        <v>4511</v>
      </c>
      <c r="M735" s="6" t="s">
        <v>4509</v>
      </c>
      <c r="N735" s="6" t="s">
        <v>4537</v>
      </c>
    </row>
    <row r="736" s="1" customFormat="1" ht="16.35" customHeight="1" spans="1:14">
      <c r="A736" s="5"/>
      <c r="B736" s="6" t="s">
        <v>4506</v>
      </c>
      <c r="C736" s="6">
        <v>2016</v>
      </c>
      <c r="D736" s="6">
        <v>4</v>
      </c>
      <c r="E736" s="7">
        <v>12</v>
      </c>
      <c r="F736" s="6" t="s">
        <v>142</v>
      </c>
      <c r="G736" s="6" t="s">
        <v>9370</v>
      </c>
      <c r="H736" s="6" t="s">
        <v>26</v>
      </c>
      <c r="I736" s="8"/>
      <c r="J736" s="8">
        <v>35000</v>
      </c>
      <c r="K736" s="6" t="s">
        <v>4514</v>
      </c>
      <c r="L736" s="6" t="s">
        <v>4511</v>
      </c>
      <c r="M736" s="6" t="s">
        <v>4509</v>
      </c>
      <c r="N736" s="6" t="s">
        <v>4537</v>
      </c>
    </row>
    <row r="737" s="1" customFormat="1" ht="16.35" customHeight="1" spans="1:14">
      <c r="A737" s="5"/>
      <c r="B737" s="6" t="s">
        <v>4506</v>
      </c>
      <c r="C737" s="6">
        <v>2016</v>
      </c>
      <c r="D737" s="6">
        <v>4</v>
      </c>
      <c r="E737" s="7">
        <v>13</v>
      </c>
      <c r="F737" s="6" t="s">
        <v>150</v>
      </c>
      <c r="G737" s="6" t="s">
        <v>9370</v>
      </c>
      <c r="H737" s="6" t="s">
        <v>26</v>
      </c>
      <c r="I737" s="8"/>
      <c r="J737" s="8">
        <v>2000</v>
      </c>
      <c r="K737" s="6" t="s">
        <v>4514</v>
      </c>
      <c r="L737" s="6" t="s">
        <v>4511</v>
      </c>
      <c r="M737" s="6" t="s">
        <v>4509</v>
      </c>
      <c r="N737" s="6" t="s">
        <v>4537</v>
      </c>
    </row>
    <row r="738" s="1" customFormat="1" ht="16.35" customHeight="1" spans="1:14">
      <c r="A738" s="5"/>
      <c r="B738" s="6" t="s">
        <v>4506</v>
      </c>
      <c r="C738" s="6">
        <v>2016</v>
      </c>
      <c r="D738" s="6">
        <v>4</v>
      </c>
      <c r="E738" s="7">
        <v>14</v>
      </c>
      <c r="F738" s="6" t="s">
        <v>150</v>
      </c>
      <c r="G738" s="6" t="s">
        <v>9370</v>
      </c>
      <c r="H738" s="6" t="s">
        <v>26</v>
      </c>
      <c r="I738" s="8"/>
      <c r="J738" s="8">
        <v>150000</v>
      </c>
      <c r="K738" s="6" t="s">
        <v>4514</v>
      </c>
      <c r="L738" s="6" t="s">
        <v>4511</v>
      </c>
      <c r="M738" s="6" t="s">
        <v>4509</v>
      </c>
      <c r="N738" s="6" t="s">
        <v>4537</v>
      </c>
    </row>
    <row r="739" s="1" customFormat="1" ht="16.35" customHeight="1" spans="1:14">
      <c r="A739" s="5"/>
      <c r="B739" s="6" t="s">
        <v>4506</v>
      </c>
      <c r="C739" s="6">
        <v>2016</v>
      </c>
      <c r="D739" s="6">
        <v>4</v>
      </c>
      <c r="E739" s="7">
        <v>15</v>
      </c>
      <c r="F739" s="6" t="s">
        <v>376</v>
      </c>
      <c r="G739" s="6" t="s">
        <v>9370</v>
      </c>
      <c r="H739" s="6" t="s">
        <v>26</v>
      </c>
      <c r="I739" s="8"/>
      <c r="J739" s="8">
        <v>316000</v>
      </c>
      <c r="K739" s="6" t="s">
        <v>4514</v>
      </c>
      <c r="L739" s="6" t="s">
        <v>4511</v>
      </c>
      <c r="M739" s="6" t="s">
        <v>4509</v>
      </c>
      <c r="N739" s="6" t="s">
        <v>4537</v>
      </c>
    </row>
    <row r="740" s="1" customFormat="1" ht="16.35" customHeight="1" spans="1:14">
      <c r="A740" s="5"/>
      <c r="B740" s="6" t="s">
        <v>4506</v>
      </c>
      <c r="C740" s="6">
        <v>2016</v>
      </c>
      <c r="D740" s="6">
        <v>4</v>
      </c>
      <c r="E740" s="7">
        <v>16</v>
      </c>
      <c r="F740" s="6" t="s">
        <v>404</v>
      </c>
      <c r="G740" s="6" t="s">
        <v>9370</v>
      </c>
      <c r="H740" s="6" t="s">
        <v>26</v>
      </c>
      <c r="I740" s="8"/>
      <c r="J740" s="8">
        <v>316000</v>
      </c>
      <c r="K740" s="6" t="s">
        <v>4514</v>
      </c>
      <c r="L740" s="6" t="s">
        <v>4511</v>
      </c>
      <c r="M740" s="6" t="s">
        <v>4509</v>
      </c>
      <c r="N740" s="6" t="s">
        <v>4537</v>
      </c>
    </row>
    <row r="741" s="1" customFormat="1" ht="16.35" customHeight="1" spans="1:14">
      <c r="A741" s="5"/>
      <c r="B741" s="6" t="s">
        <v>4506</v>
      </c>
      <c r="C741" s="6">
        <v>2016</v>
      </c>
      <c r="D741" s="6">
        <v>4</v>
      </c>
      <c r="E741" s="7">
        <v>17</v>
      </c>
      <c r="F741" s="6" t="s">
        <v>445</v>
      </c>
      <c r="G741" s="6" t="s">
        <v>9370</v>
      </c>
      <c r="H741" s="6" t="s">
        <v>26</v>
      </c>
      <c r="I741" s="8"/>
      <c r="J741" s="8">
        <v>130000</v>
      </c>
      <c r="K741" s="6" t="s">
        <v>4514</v>
      </c>
      <c r="L741" s="6" t="s">
        <v>4511</v>
      </c>
      <c r="M741" s="6" t="s">
        <v>4509</v>
      </c>
      <c r="N741" s="6" t="s">
        <v>4537</v>
      </c>
    </row>
    <row r="742" s="1" customFormat="1" ht="16.35" customHeight="1" spans="1:14">
      <c r="A742" s="5"/>
      <c r="B742" s="6" t="s">
        <v>4506</v>
      </c>
      <c r="C742" s="6">
        <v>2016</v>
      </c>
      <c r="D742" s="6">
        <v>4</v>
      </c>
      <c r="E742" s="7">
        <v>18</v>
      </c>
      <c r="F742" s="6" t="s">
        <v>455</v>
      </c>
      <c r="G742" s="6" t="s">
        <v>9370</v>
      </c>
      <c r="H742" s="6" t="s">
        <v>26</v>
      </c>
      <c r="I742" s="8"/>
      <c r="J742" s="8">
        <v>217000</v>
      </c>
      <c r="K742" s="6" t="s">
        <v>4514</v>
      </c>
      <c r="L742" s="6" t="s">
        <v>4511</v>
      </c>
      <c r="M742" s="6" t="s">
        <v>4509</v>
      </c>
      <c r="N742" s="6" t="s">
        <v>4537</v>
      </c>
    </row>
    <row r="743" s="1" customFormat="1" ht="16.35" customHeight="1" spans="1:14">
      <c r="A743" s="5"/>
      <c r="B743" s="6" t="s">
        <v>4506</v>
      </c>
      <c r="C743" s="6">
        <v>2016</v>
      </c>
      <c r="D743" s="6">
        <v>4</v>
      </c>
      <c r="E743" s="7">
        <v>19</v>
      </c>
      <c r="F743" s="6" t="s">
        <v>144</v>
      </c>
      <c r="G743" s="6" t="s">
        <v>9370</v>
      </c>
      <c r="H743" s="6" t="s">
        <v>26</v>
      </c>
      <c r="I743" s="8"/>
      <c r="J743" s="8">
        <v>50000</v>
      </c>
      <c r="K743" s="6" t="s">
        <v>4514</v>
      </c>
      <c r="L743" s="6" t="s">
        <v>4511</v>
      </c>
      <c r="M743" s="6" t="s">
        <v>4509</v>
      </c>
      <c r="N743" s="6" t="s">
        <v>4537</v>
      </c>
    </row>
    <row r="744" s="1" customFormat="1" ht="16.35" customHeight="1" spans="1:14">
      <c r="A744" s="5"/>
      <c r="B744" s="6" t="s">
        <v>4506</v>
      </c>
      <c r="C744" s="6">
        <v>2016</v>
      </c>
      <c r="D744" s="6">
        <v>4</v>
      </c>
      <c r="E744" s="7">
        <v>20</v>
      </c>
      <c r="F744" s="6" t="s">
        <v>148</v>
      </c>
      <c r="G744" s="6" t="s">
        <v>9370</v>
      </c>
      <c r="H744" s="6" t="s">
        <v>26</v>
      </c>
      <c r="I744" s="8"/>
      <c r="J744" s="8">
        <v>55286</v>
      </c>
      <c r="K744" s="6" t="s">
        <v>4514</v>
      </c>
      <c r="L744" s="6" t="s">
        <v>4511</v>
      </c>
      <c r="M744" s="6" t="s">
        <v>4509</v>
      </c>
      <c r="N744" s="6" t="s">
        <v>4537</v>
      </c>
    </row>
    <row r="745" s="1" customFormat="1" ht="16.35" customHeight="1" spans="1:14">
      <c r="A745" s="5"/>
      <c r="B745" s="6" t="s">
        <v>4506</v>
      </c>
      <c r="C745" s="6">
        <v>2016</v>
      </c>
      <c r="D745" s="6">
        <v>4</v>
      </c>
      <c r="E745" s="7">
        <v>21</v>
      </c>
      <c r="F745" s="6" t="s">
        <v>58</v>
      </c>
      <c r="G745" s="6" t="s">
        <v>9370</v>
      </c>
      <c r="H745" s="6" t="s">
        <v>26</v>
      </c>
      <c r="I745" s="8"/>
      <c r="J745" s="8">
        <v>10000</v>
      </c>
      <c r="K745" s="6" t="s">
        <v>4514</v>
      </c>
      <c r="L745" s="6" t="s">
        <v>4511</v>
      </c>
      <c r="M745" s="6" t="s">
        <v>4509</v>
      </c>
      <c r="N745" s="6" t="s">
        <v>4537</v>
      </c>
    </row>
    <row r="746" s="1" customFormat="1" ht="16.35" customHeight="1" spans="1:14">
      <c r="A746" s="5"/>
      <c r="B746" s="6" t="s">
        <v>4506</v>
      </c>
      <c r="C746" s="6">
        <v>2016</v>
      </c>
      <c r="D746" s="6">
        <v>4</v>
      </c>
      <c r="E746" s="7">
        <v>22</v>
      </c>
      <c r="F746" s="6" t="s">
        <v>611</v>
      </c>
      <c r="G746" s="6" t="s">
        <v>9370</v>
      </c>
      <c r="H746" s="6" t="s">
        <v>26</v>
      </c>
      <c r="I746" s="8"/>
      <c r="J746" s="8">
        <v>1134</v>
      </c>
      <c r="K746" s="6" t="s">
        <v>4514</v>
      </c>
      <c r="L746" s="6" t="s">
        <v>4511</v>
      </c>
      <c r="M746" s="6" t="s">
        <v>4509</v>
      </c>
      <c r="N746" s="6" t="s">
        <v>4537</v>
      </c>
    </row>
    <row r="747" s="1" customFormat="1" ht="16.35" customHeight="1" spans="1:14">
      <c r="A747" s="5"/>
      <c r="B747" s="6" t="s">
        <v>4506</v>
      </c>
      <c r="C747" s="6">
        <v>2016</v>
      </c>
      <c r="D747" s="6">
        <v>4</v>
      </c>
      <c r="E747" s="7">
        <v>23</v>
      </c>
      <c r="F747" s="6" t="s">
        <v>392</v>
      </c>
      <c r="G747" s="6" t="s">
        <v>9370</v>
      </c>
      <c r="H747" s="6" t="s">
        <v>26</v>
      </c>
      <c r="I747" s="8"/>
      <c r="J747" s="8">
        <v>10000</v>
      </c>
      <c r="K747" s="6" t="s">
        <v>4514</v>
      </c>
      <c r="L747" s="6" t="s">
        <v>4511</v>
      </c>
      <c r="M747" s="6" t="s">
        <v>4509</v>
      </c>
      <c r="N747" s="6" t="s">
        <v>4537</v>
      </c>
    </row>
    <row r="748" s="1" customFormat="1" ht="16.35" customHeight="1" spans="1:14">
      <c r="A748" s="5"/>
      <c r="B748" s="6" t="s">
        <v>4506</v>
      </c>
      <c r="C748" s="6">
        <v>2016</v>
      </c>
      <c r="D748" s="6">
        <v>4</v>
      </c>
      <c r="E748" s="7">
        <v>24</v>
      </c>
      <c r="F748" s="6" t="s">
        <v>58</v>
      </c>
      <c r="G748" s="6" t="s">
        <v>9370</v>
      </c>
      <c r="H748" s="6" t="s">
        <v>26</v>
      </c>
      <c r="I748" s="8"/>
      <c r="J748" s="8">
        <v>70000</v>
      </c>
      <c r="K748" s="6" t="s">
        <v>4514</v>
      </c>
      <c r="L748" s="6" t="s">
        <v>4511</v>
      </c>
      <c r="M748" s="6" t="s">
        <v>4509</v>
      </c>
      <c r="N748" s="6" t="s">
        <v>4537</v>
      </c>
    </row>
    <row r="749" s="1" customFormat="1" ht="16.35" customHeight="1" spans="1:14">
      <c r="A749" s="5"/>
      <c r="B749" s="6" t="s">
        <v>4506</v>
      </c>
      <c r="C749" s="6">
        <v>2016</v>
      </c>
      <c r="D749" s="6">
        <v>4</v>
      </c>
      <c r="E749" s="7">
        <v>25</v>
      </c>
      <c r="F749" s="6" t="s">
        <v>475</v>
      </c>
      <c r="G749" s="6" t="s">
        <v>9370</v>
      </c>
      <c r="H749" s="6" t="s">
        <v>26</v>
      </c>
      <c r="I749" s="8"/>
      <c r="J749" s="8">
        <v>200000</v>
      </c>
      <c r="K749" s="6" t="s">
        <v>4514</v>
      </c>
      <c r="L749" s="6" t="s">
        <v>4511</v>
      </c>
      <c r="M749" s="6" t="s">
        <v>4509</v>
      </c>
      <c r="N749" s="6" t="s">
        <v>4537</v>
      </c>
    </row>
    <row r="750" s="1" customFormat="1" ht="16.35" customHeight="1" spans="1:14">
      <c r="A750" s="5"/>
      <c r="B750" s="6" t="s">
        <v>4506</v>
      </c>
      <c r="C750" s="6">
        <v>2016</v>
      </c>
      <c r="D750" s="6">
        <v>4</v>
      </c>
      <c r="E750" s="7">
        <v>27</v>
      </c>
      <c r="F750" s="6" t="s">
        <v>9764</v>
      </c>
      <c r="G750" s="6" t="s">
        <v>9370</v>
      </c>
      <c r="H750" s="6" t="s">
        <v>26</v>
      </c>
      <c r="I750" s="8">
        <v>1100000</v>
      </c>
      <c r="J750" s="8"/>
      <c r="K750" s="6" t="s">
        <v>4509</v>
      </c>
      <c r="L750" s="6" t="s">
        <v>9218</v>
      </c>
      <c r="M750" s="6" t="s">
        <v>4509</v>
      </c>
      <c r="N750" s="6" t="s">
        <v>4537</v>
      </c>
    </row>
    <row r="751" s="1" customFormat="1" ht="16.35" customHeight="1" spans="1:14">
      <c r="A751" s="5"/>
      <c r="B751" s="6" t="s">
        <v>4506</v>
      </c>
      <c r="C751" s="6">
        <v>2016</v>
      </c>
      <c r="D751" s="6">
        <v>4</v>
      </c>
      <c r="E751" s="7">
        <v>28</v>
      </c>
      <c r="F751" s="6" t="s">
        <v>9764</v>
      </c>
      <c r="G751" s="6" t="s">
        <v>9370</v>
      </c>
      <c r="H751" s="6" t="s">
        <v>26</v>
      </c>
      <c r="I751" s="8">
        <v>910000</v>
      </c>
      <c r="J751" s="8"/>
      <c r="K751" s="6" t="s">
        <v>4509</v>
      </c>
      <c r="L751" s="6" t="s">
        <v>9218</v>
      </c>
      <c r="M751" s="6" t="s">
        <v>4509</v>
      </c>
      <c r="N751" s="6" t="s">
        <v>4537</v>
      </c>
    </row>
    <row r="752" s="1" customFormat="1" ht="16.35" customHeight="1" spans="1:14">
      <c r="A752" s="5"/>
      <c r="B752" s="6" t="s">
        <v>4506</v>
      </c>
      <c r="C752" s="6">
        <v>2016</v>
      </c>
      <c r="D752" s="6">
        <v>4</v>
      </c>
      <c r="E752" s="7">
        <v>36</v>
      </c>
      <c r="F752" s="6" t="s">
        <v>9772</v>
      </c>
      <c r="G752" s="6" t="s">
        <v>9370</v>
      </c>
      <c r="H752" s="6" t="s">
        <v>26</v>
      </c>
      <c r="I752" s="8"/>
      <c r="J752" s="8">
        <v>207000</v>
      </c>
      <c r="K752" s="6" t="s">
        <v>4514</v>
      </c>
      <c r="L752" s="6" t="s">
        <v>4511</v>
      </c>
      <c r="M752" s="6" t="s">
        <v>4509</v>
      </c>
      <c r="N752" s="6" t="s">
        <v>4537</v>
      </c>
    </row>
    <row r="753" s="1" customFormat="1" ht="16.35" customHeight="1" spans="1:14">
      <c r="A753" s="5"/>
      <c r="B753" s="6" t="s">
        <v>4506</v>
      </c>
      <c r="C753" s="6">
        <v>2016</v>
      </c>
      <c r="D753" s="6">
        <v>4</v>
      </c>
      <c r="E753" s="7">
        <v>37</v>
      </c>
      <c r="F753" s="6" t="s">
        <v>812</v>
      </c>
      <c r="G753" s="6" t="s">
        <v>9370</v>
      </c>
      <c r="H753" s="6" t="s">
        <v>26</v>
      </c>
      <c r="I753" s="8"/>
      <c r="J753" s="8">
        <v>10000</v>
      </c>
      <c r="K753" s="6" t="s">
        <v>4514</v>
      </c>
      <c r="L753" s="6" t="s">
        <v>4511</v>
      </c>
      <c r="M753" s="6" t="s">
        <v>4509</v>
      </c>
      <c r="N753" s="6" t="s">
        <v>4537</v>
      </c>
    </row>
    <row r="754" s="1" customFormat="1" ht="16.35" customHeight="1" spans="1:14">
      <c r="A754" s="5"/>
      <c r="B754" s="6" t="s">
        <v>4506</v>
      </c>
      <c r="C754" s="6">
        <v>2016</v>
      </c>
      <c r="D754" s="6">
        <v>4</v>
      </c>
      <c r="E754" s="7">
        <v>41</v>
      </c>
      <c r="F754" s="6" t="s">
        <v>9773</v>
      </c>
      <c r="G754" s="6" t="s">
        <v>9370</v>
      </c>
      <c r="H754" s="6" t="s">
        <v>26</v>
      </c>
      <c r="I754" s="8"/>
      <c r="J754" s="8">
        <v>200000</v>
      </c>
      <c r="K754" s="6" t="s">
        <v>4514</v>
      </c>
      <c r="L754" s="6" t="s">
        <v>4511</v>
      </c>
      <c r="M754" s="6" t="s">
        <v>4509</v>
      </c>
      <c r="N754" s="6" t="s">
        <v>4537</v>
      </c>
    </row>
    <row r="755" s="1" customFormat="1" ht="16.35" customHeight="1" spans="1:14">
      <c r="A755" s="5"/>
      <c r="B755" s="6" t="s">
        <v>4506</v>
      </c>
      <c r="C755" s="6">
        <v>2016</v>
      </c>
      <c r="D755" s="6">
        <v>4</v>
      </c>
      <c r="E755" s="7">
        <v>42</v>
      </c>
      <c r="F755" s="6" t="s">
        <v>9774</v>
      </c>
      <c r="G755" s="6" t="s">
        <v>9370</v>
      </c>
      <c r="H755" s="6" t="s">
        <v>26</v>
      </c>
      <c r="I755" s="8"/>
      <c r="J755" s="8">
        <v>210000</v>
      </c>
      <c r="K755" s="6" t="s">
        <v>4514</v>
      </c>
      <c r="L755" s="6" t="s">
        <v>4511</v>
      </c>
      <c r="M755" s="6" t="s">
        <v>4509</v>
      </c>
      <c r="N755" s="6" t="s">
        <v>4537</v>
      </c>
    </row>
    <row r="756" s="1" customFormat="1" ht="16.35" customHeight="1" spans="1:14">
      <c r="A756" s="5"/>
      <c r="B756" s="6" t="s">
        <v>4506</v>
      </c>
      <c r="C756" s="6">
        <v>2016</v>
      </c>
      <c r="D756" s="6">
        <v>4</v>
      </c>
      <c r="E756" s="7">
        <v>44</v>
      </c>
      <c r="F756" s="6" t="s">
        <v>9775</v>
      </c>
      <c r="G756" s="6" t="s">
        <v>9370</v>
      </c>
      <c r="H756" s="6" t="s">
        <v>26</v>
      </c>
      <c r="I756" s="8"/>
      <c r="J756" s="8">
        <v>180000</v>
      </c>
      <c r="K756" s="6" t="s">
        <v>4514</v>
      </c>
      <c r="L756" s="6" t="s">
        <v>4511</v>
      </c>
      <c r="M756" s="6" t="s">
        <v>4509</v>
      </c>
      <c r="N756" s="6" t="s">
        <v>4537</v>
      </c>
    </row>
    <row r="757" s="1" customFormat="1" ht="16.35" customHeight="1" spans="1:14">
      <c r="A757" s="5"/>
      <c r="B757" s="6" t="s">
        <v>4506</v>
      </c>
      <c r="C757" s="6">
        <v>2016</v>
      </c>
      <c r="D757" s="6">
        <v>4</v>
      </c>
      <c r="E757" s="7">
        <v>45</v>
      </c>
      <c r="F757" s="6" t="s">
        <v>9776</v>
      </c>
      <c r="G757" s="6" t="s">
        <v>9370</v>
      </c>
      <c r="H757" s="6" t="s">
        <v>26</v>
      </c>
      <c r="I757" s="8"/>
      <c r="J757" s="8">
        <v>100000</v>
      </c>
      <c r="K757" s="6" t="s">
        <v>4514</v>
      </c>
      <c r="L757" s="6" t="s">
        <v>4511</v>
      </c>
      <c r="M757" s="6" t="s">
        <v>4509</v>
      </c>
      <c r="N757" s="6" t="s">
        <v>4537</v>
      </c>
    </row>
    <row r="758" s="1" customFormat="1" ht="16.35" customHeight="1" spans="1:14">
      <c r="A758" s="5"/>
      <c r="B758" s="6" t="s">
        <v>4506</v>
      </c>
      <c r="C758" s="6">
        <v>2016</v>
      </c>
      <c r="D758" s="6">
        <v>4</v>
      </c>
      <c r="E758" s="7">
        <v>46</v>
      </c>
      <c r="F758" s="6" t="s">
        <v>9777</v>
      </c>
      <c r="G758" s="6" t="s">
        <v>9370</v>
      </c>
      <c r="H758" s="6" t="s">
        <v>26</v>
      </c>
      <c r="I758" s="8"/>
      <c r="J758" s="8">
        <v>181000</v>
      </c>
      <c r="K758" s="6" t="s">
        <v>4514</v>
      </c>
      <c r="L758" s="6" t="s">
        <v>4511</v>
      </c>
      <c r="M758" s="6" t="s">
        <v>4509</v>
      </c>
      <c r="N758" s="6" t="s">
        <v>4537</v>
      </c>
    </row>
    <row r="759" s="1" customFormat="1" ht="16.35" customHeight="1" spans="1:14">
      <c r="A759" s="5"/>
      <c r="B759" s="6" t="s">
        <v>4506</v>
      </c>
      <c r="C759" s="6">
        <v>2016</v>
      </c>
      <c r="D759" s="6">
        <v>4</v>
      </c>
      <c r="E759" s="7">
        <v>47</v>
      </c>
      <c r="F759" s="6" t="s">
        <v>9778</v>
      </c>
      <c r="G759" s="6" t="s">
        <v>9370</v>
      </c>
      <c r="H759" s="6" t="s">
        <v>26</v>
      </c>
      <c r="I759" s="8"/>
      <c r="J759" s="8">
        <v>137000</v>
      </c>
      <c r="K759" s="6" t="s">
        <v>4514</v>
      </c>
      <c r="L759" s="6" t="s">
        <v>4511</v>
      </c>
      <c r="M759" s="6" t="s">
        <v>4509</v>
      </c>
      <c r="N759" s="6" t="s">
        <v>4537</v>
      </c>
    </row>
    <row r="760" s="1" customFormat="1" ht="16.35" customHeight="1" spans="1:14">
      <c r="A760" s="5"/>
      <c r="B760" s="6" t="s">
        <v>4506</v>
      </c>
      <c r="C760" s="6">
        <v>2016</v>
      </c>
      <c r="D760" s="6">
        <v>4</v>
      </c>
      <c r="E760" s="7">
        <v>48</v>
      </c>
      <c r="F760" s="6" t="s">
        <v>9779</v>
      </c>
      <c r="G760" s="6" t="s">
        <v>9370</v>
      </c>
      <c r="H760" s="6" t="s">
        <v>26</v>
      </c>
      <c r="I760" s="8"/>
      <c r="J760" s="8">
        <v>150000</v>
      </c>
      <c r="K760" s="6" t="s">
        <v>4514</v>
      </c>
      <c r="L760" s="6" t="s">
        <v>4511</v>
      </c>
      <c r="M760" s="6" t="s">
        <v>4509</v>
      </c>
      <c r="N760" s="6" t="s">
        <v>4537</v>
      </c>
    </row>
    <row r="761" s="1" customFormat="1" ht="16.35" customHeight="1" spans="1:14">
      <c r="A761" s="5"/>
      <c r="B761" s="6" t="s">
        <v>4506</v>
      </c>
      <c r="C761" s="6">
        <v>2016</v>
      </c>
      <c r="D761" s="6">
        <v>4</v>
      </c>
      <c r="E761" s="7">
        <v>49</v>
      </c>
      <c r="F761" s="6" t="s">
        <v>9780</v>
      </c>
      <c r="G761" s="6" t="s">
        <v>9370</v>
      </c>
      <c r="H761" s="6" t="s">
        <v>26</v>
      </c>
      <c r="I761" s="8"/>
      <c r="J761" s="8">
        <v>80000</v>
      </c>
      <c r="K761" s="6" t="s">
        <v>4514</v>
      </c>
      <c r="L761" s="6" t="s">
        <v>4511</v>
      </c>
      <c r="M761" s="6" t="s">
        <v>4509</v>
      </c>
      <c r="N761" s="6" t="s">
        <v>4537</v>
      </c>
    </row>
    <row r="762" s="1" customFormat="1" ht="16.35" customHeight="1" spans="1:14">
      <c r="A762" s="5"/>
      <c r="B762" s="6" t="s">
        <v>4506</v>
      </c>
      <c r="C762" s="6">
        <v>2016</v>
      </c>
      <c r="D762" s="6">
        <v>4</v>
      </c>
      <c r="E762" s="7">
        <v>50</v>
      </c>
      <c r="F762" s="6" t="s">
        <v>9781</v>
      </c>
      <c r="G762" s="6" t="s">
        <v>9370</v>
      </c>
      <c r="H762" s="6" t="s">
        <v>26</v>
      </c>
      <c r="I762" s="8"/>
      <c r="J762" s="8">
        <v>99000</v>
      </c>
      <c r="K762" s="6" t="s">
        <v>4514</v>
      </c>
      <c r="L762" s="6" t="s">
        <v>4511</v>
      </c>
      <c r="M762" s="6" t="s">
        <v>4509</v>
      </c>
      <c r="N762" s="6" t="s">
        <v>4537</v>
      </c>
    </row>
    <row r="763" s="1" customFormat="1" ht="16.35" customHeight="1" spans="1:14">
      <c r="A763" s="5"/>
      <c r="B763" s="6" t="s">
        <v>4506</v>
      </c>
      <c r="C763" s="6">
        <v>2016</v>
      </c>
      <c r="D763" s="6">
        <v>4</v>
      </c>
      <c r="E763" s="7">
        <v>51</v>
      </c>
      <c r="F763" s="6" t="s">
        <v>9782</v>
      </c>
      <c r="G763" s="6" t="s">
        <v>9370</v>
      </c>
      <c r="H763" s="6" t="s">
        <v>26</v>
      </c>
      <c r="I763" s="8"/>
      <c r="J763" s="8">
        <v>137000</v>
      </c>
      <c r="K763" s="6" t="s">
        <v>4514</v>
      </c>
      <c r="L763" s="6" t="s">
        <v>4511</v>
      </c>
      <c r="M763" s="6" t="s">
        <v>4509</v>
      </c>
      <c r="N763" s="6" t="s">
        <v>4537</v>
      </c>
    </row>
    <row r="764" s="1" customFormat="1" ht="16.35" customHeight="1" spans="1:14">
      <c r="A764" s="5"/>
      <c r="B764" s="6" t="s">
        <v>4506</v>
      </c>
      <c r="C764" s="6">
        <v>2016</v>
      </c>
      <c r="D764" s="6">
        <v>4</v>
      </c>
      <c r="E764" s="7">
        <v>52</v>
      </c>
      <c r="F764" s="6" t="s">
        <v>9783</v>
      </c>
      <c r="G764" s="6" t="s">
        <v>9370</v>
      </c>
      <c r="H764" s="6" t="s">
        <v>26</v>
      </c>
      <c r="I764" s="8"/>
      <c r="J764" s="8">
        <v>200000</v>
      </c>
      <c r="K764" s="6" t="s">
        <v>4514</v>
      </c>
      <c r="L764" s="6" t="s">
        <v>4511</v>
      </c>
      <c r="M764" s="6" t="s">
        <v>4509</v>
      </c>
      <c r="N764" s="6" t="s">
        <v>4537</v>
      </c>
    </row>
    <row r="765" s="1" customFormat="1" ht="16.35" customHeight="1" spans="1:14">
      <c r="A765" s="5"/>
      <c r="B765" s="6" t="s">
        <v>4506</v>
      </c>
      <c r="C765" s="6">
        <v>2016</v>
      </c>
      <c r="D765" s="6">
        <v>4</v>
      </c>
      <c r="E765" s="7">
        <v>53</v>
      </c>
      <c r="F765" s="6" t="s">
        <v>4554</v>
      </c>
      <c r="G765" s="6" t="s">
        <v>9370</v>
      </c>
      <c r="H765" s="6" t="s">
        <v>26</v>
      </c>
      <c r="I765" s="8">
        <v>100000</v>
      </c>
      <c r="J765" s="8"/>
      <c r="K765" s="6" t="s">
        <v>4512</v>
      </c>
      <c r="L765" s="6" t="s">
        <v>2906</v>
      </c>
      <c r="M765" s="6" t="s">
        <v>4509</v>
      </c>
      <c r="N765" s="6" t="s">
        <v>4537</v>
      </c>
    </row>
    <row r="766" s="1" customFormat="1" ht="16.35" customHeight="1" spans="1:14">
      <c r="A766" s="5"/>
      <c r="B766" s="6" t="s">
        <v>4506</v>
      </c>
      <c r="C766" s="6">
        <v>2016</v>
      </c>
      <c r="D766" s="6">
        <v>4</v>
      </c>
      <c r="E766" s="7">
        <v>55</v>
      </c>
      <c r="F766" s="6" t="s">
        <v>9784</v>
      </c>
      <c r="G766" s="6" t="s">
        <v>9370</v>
      </c>
      <c r="H766" s="6" t="s">
        <v>26</v>
      </c>
      <c r="I766" s="8"/>
      <c r="J766" s="8">
        <v>44078.03</v>
      </c>
      <c r="K766" s="6" t="s">
        <v>4509</v>
      </c>
      <c r="L766" s="6" t="s">
        <v>9218</v>
      </c>
      <c r="M766" s="6" t="s">
        <v>4509</v>
      </c>
      <c r="N766" s="6" t="s">
        <v>4537</v>
      </c>
    </row>
    <row r="767" s="1" customFormat="1" ht="16.35" customHeight="1" spans="1:14">
      <c r="A767" s="5"/>
      <c r="B767" s="6" t="s">
        <v>4506</v>
      </c>
      <c r="C767" s="6">
        <v>2016</v>
      </c>
      <c r="D767" s="6">
        <v>4</v>
      </c>
      <c r="E767" s="7">
        <v>57</v>
      </c>
      <c r="F767" s="6" t="s">
        <v>9785</v>
      </c>
      <c r="G767" s="6" t="s">
        <v>9370</v>
      </c>
      <c r="H767" s="6" t="s">
        <v>26</v>
      </c>
      <c r="I767" s="8"/>
      <c r="J767" s="8">
        <v>302.86</v>
      </c>
      <c r="K767" s="6" t="s">
        <v>4510</v>
      </c>
      <c r="L767" s="6" t="s">
        <v>9447</v>
      </c>
      <c r="M767" s="6" t="s">
        <v>4509</v>
      </c>
      <c r="N767" s="6" t="s">
        <v>4537</v>
      </c>
    </row>
    <row r="768" s="1" customFormat="1" ht="16.35" customHeight="1" spans="1:14">
      <c r="A768" s="5"/>
      <c r="B768" s="6" t="s">
        <v>4506</v>
      </c>
      <c r="C768" s="6">
        <v>2016</v>
      </c>
      <c r="D768" s="6">
        <v>4</v>
      </c>
      <c r="E768" s="7">
        <v>57</v>
      </c>
      <c r="F768" s="6" t="s">
        <v>9785</v>
      </c>
      <c r="G768" s="6" t="s">
        <v>9370</v>
      </c>
      <c r="H768" s="6" t="s">
        <v>26</v>
      </c>
      <c r="I768" s="8"/>
      <c r="J768" s="8">
        <v>198.32</v>
      </c>
      <c r="K768" s="6" t="s">
        <v>4516</v>
      </c>
      <c r="L768" s="6" t="s">
        <v>9449</v>
      </c>
      <c r="M768" s="6" t="s">
        <v>4509</v>
      </c>
      <c r="N768" s="6" t="s">
        <v>4537</v>
      </c>
    </row>
    <row r="769" s="1" customFormat="1" ht="16.35" customHeight="1" spans="1:14">
      <c r="A769" s="5"/>
      <c r="B769" s="6" t="s">
        <v>4506</v>
      </c>
      <c r="C769" s="6">
        <v>2016</v>
      </c>
      <c r="D769" s="6">
        <v>4</v>
      </c>
      <c r="E769" s="7">
        <v>62</v>
      </c>
      <c r="F769" s="6" t="s">
        <v>2935</v>
      </c>
      <c r="G769" s="6" t="s">
        <v>9370</v>
      </c>
      <c r="H769" s="6" t="s">
        <v>26</v>
      </c>
      <c r="I769" s="8"/>
      <c r="J769" s="8">
        <v>-6491617.74</v>
      </c>
      <c r="K769" s="6" t="s">
        <v>4514</v>
      </c>
      <c r="L769" s="6" t="s">
        <v>4511</v>
      </c>
      <c r="M769" s="6" t="s">
        <v>4509</v>
      </c>
      <c r="N769" s="6" t="s">
        <v>4537</v>
      </c>
    </row>
    <row r="770" s="1" customFormat="1" ht="16.35" customHeight="1" spans="1:14">
      <c r="A770" s="5"/>
      <c r="B770" s="6" t="s">
        <v>4506</v>
      </c>
      <c r="C770" s="6">
        <v>2016</v>
      </c>
      <c r="D770" s="6">
        <v>5</v>
      </c>
      <c r="E770" s="7">
        <v>2</v>
      </c>
      <c r="F770" s="6" t="s">
        <v>9631</v>
      </c>
      <c r="G770" s="6" t="s">
        <v>9370</v>
      </c>
      <c r="H770" s="6" t="s">
        <v>26</v>
      </c>
      <c r="I770" s="8"/>
      <c r="J770" s="8">
        <v>6930</v>
      </c>
      <c r="K770" s="6" t="s">
        <v>4512</v>
      </c>
      <c r="L770" s="6" t="s">
        <v>2906</v>
      </c>
      <c r="M770" s="6" t="s">
        <v>4509</v>
      </c>
      <c r="N770" s="6" t="s">
        <v>4537</v>
      </c>
    </row>
    <row r="771" s="1" customFormat="1" ht="16.35" customHeight="1" spans="1:14">
      <c r="A771" s="5"/>
      <c r="B771" s="6" t="s">
        <v>4506</v>
      </c>
      <c r="C771" s="6">
        <v>2016</v>
      </c>
      <c r="D771" s="6">
        <v>5</v>
      </c>
      <c r="E771" s="7">
        <v>22</v>
      </c>
      <c r="F771" s="6" t="s">
        <v>9786</v>
      </c>
      <c r="G771" s="6" t="s">
        <v>9370</v>
      </c>
      <c r="H771" s="6" t="s">
        <v>26</v>
      </c>
      <c r="I771" s="8"/>
      <c r="J771" s="8">
        <v>257094</v>
      </c>
      <c r="K771" s="6" t="s">
        <v>4525</v>
      </c>
      <c r="L771" s="6" t="s">
        <v>9787</v>
      </c>
      <c r="M771" s="6" t="s">
        <v>4509</v>
      </c>
      <c r="N771" s="6" t="s">
        <v>4537</v>
      </c>
    </row>
    <row r="772" s="1" customFormat="1" ht="16.35" customHeight="1" spans="1:14">
      <c r="A772" s="5"/>
      <c r="B772" s="6" t="s">
        <v>4506</v>
      </c>
      <c r="C772" s="6">
        <v>2016</v>
      </c>
      <c r="D772" s="6">
        <v>5</v>
      </c>
      <c r="E772" s="7">
        <v>33</v>
      </c>
      <c r="F772" s="6" t="s">
        <v>4507</v>
      </c>
      <c r="G772" s="6" t="s">
        <v>9370</v>
      </c>
      <c r="H772" s="6" t="s">
        <v>26</v>
      </c>
      <c r="I772" s="8">
        <v>1000000</v>
      </c>
      <c r="J772" s="8"/>
      <c r="K772" s="6" t="s">
        <v>4509</v>
      </c>
      <c r="L772" s="6" t="s">
        <v>9218</v>
      </c>
      <c r="M772" s="6" t="s">
        <v>4509</v>
      </c>
      <c r="N772" s="6" t="s">
        <v>4537</v>
      </c>
    </row>
    <row r="773" s="1" customFormat="1" ht="16.35" customHeight="1" spans="1:14">
      <c r="A773" s="5"/>
      <c r="B773" s="6" t="s">
        <v>4506</v>
      </c>
      <c r="C773" s="6">
        <v>2016</v>
      </c>
      <c r="D773" s="6">
        <v>5</v>
      </c>
      <c r="E773" s="7">
        <v>35</v>
      </c>
      <c r="F773" s="6" t="s">
        <v>9788</v>
      </c>
      <c r="G773" s="6" t="s">
        <v>9370</v>
      </c>
      <c r="H773" s="6" t="s">
        <v>26</v>
      </c>
      <c r="I773" s="8"/>
      <c r="J773" s="8">
        <v>-62106</v>
      </c>
      <c r="K773" s="6" t="s">
        <v>4514</v>
      </c>
      <c r="L773" s="6" t="s">
        <v>4511</v>
      </c>
      <c r="M773" s="6" t="s">
        <v>4509</v>
      </c>
      <c r="N773" s="6" t="s">
        <v>4537</v>
      </c>
    </row>
    <row r="774" s="1" customFormat="1" ht="16.35" customHeight="1" spans="1:14">
      <c r="A774" s="5"/>
      <c r="B774" s="6" t="s">
        <v>4506</v>
      </c>
      <c r="C774" s="6">
        <v>2016</v>
      </c>
      <c r="D774" s="6">
        <v>5</v>
      </c>
      <c r="E774" s="7">
        <v>38</v>
      </c>
      <c r="F774" s="6" t="s">
        <v>4507</v>
      </c>
      <c r="G774" s="6" t="s">
        <v>9370</v>
      </c>
      <c r="H774" s="6" t="s">
        <v>26</v>
      </c>
      <c r="I774" s="8">
        <v>2400000</v>
      </c>
      <c r="J774" s="8"/>
      <c r="K774" s="6" t="s">
        <v>4509</v>
      </c>
      <c r="L774" s="6" t="s">
        <v>9218</v>
      </c>
      <c r="M774" s="6" t="s">
        <v>4509</v>
      </c>
      <c r="N774" s="6" t="s">
        <v>4537</v>
      </c>
    </row>
    <row r="775" s="1" customFormat="1" ht="16.35" customHeight="1" spans="1:14">
      <c r="A775" s="5"/>
      <c r="B775" s="6" t="s">
        <v>4506</v>
      </c>
      <c r="C775" s="6">
        <v>2016</v>
      </c>
      <c r="D775" s="6">
        <v>5</v>
      </c>
      <c r="E775" s="7">
        <v>49</v>
      </c>
      <c r="F775" s="6" t="s">
        <v>9789</v>
      </c>
      <c r="G775" s="6" t="s">
        <v>9370</v>
      </c>
      <c r="H775" s="6" t="s">
        <v>26</v>
      </c>
      <c r="I775" s="8"/>
      <c r="J775" s="8">
        <v>-210000</v>
      </c>
      <c r="K775" s="6" t="s">
        <v>4514</v>
      </c>
      <c r="L775" s="6" t="s">
        <v>4511</v>
      </c>
      <c r="M775" s="6" t="s">
        <v>4509</v>
      </c>
      <c r="N775" s="6" t="s">
        <v>4537</v>
      </c>
    </row>
    <row r="776" s="1" customFormat="1" ht="16.35" customHeight="1" spans="1:14">
      <c r="A776" s="5"/>
      <c r="B776" s="6" t="s">
        <v>4506</v>
      </c>
      <c r="C776" s="6">
        <v>2016</v>
      </c>
      <c r="D776" s="6">
        <v>5</v>
      </c>
      <c r="E776" s="7">
        <v>53</v>
      </c>
      <c r="F776" s="6" t="s">
        <v>9790</v>
      </c>
      <c r="G776" s="6" t="s">
        <v>9370</v>
      </c>
      <c r="H776" s="6" t="s">
        <v>26</v>
      </c>
      <c r="I776" s="8"/>
      <c r="J776" s="8">
        <v>-85945</v>
      </c>
      <c r="K776" s="6" t="s">
        <v>4514</v>
      </c>
      <c r="L776" s="6" t="s">
        <v>4511</v>
      </c>
      <c r="M776" s="6" t="s">
        <v>4509</v>
      </c>
      <c r="N776" s="6" t="s">
        <v>4537</v>
      </c>
    </row>
    <row r="777" s="1" customFormat="1" ht="16.35" customHeight="1" spans="1:14">
      <c r="A777" s="5"/>
      <c r="B777" s="6" t="s">
        <v>4506</v>
      </c>
      <c r="C777" s="6">
        <v>2016</v>
      </c>
      <c r="D777" s="6">
        <v>5</v>
      </c>
      <c r="E777" s="7">
        <v>60</v>
      </c>
      <c r="F777" s="6" t="s">
        <v>9791</v>
      </c>
      <c r="G777" s="6" t="s">
        <v>9370</v>
      </c>
      <c r="H777" s="6" t="s">
        <v>26</v>
      </c>
      <c r="I777" s="8"/>
      <c r="J777" s="8">
        <v>30000</v>
      </c>
      <c r="K777" s="6" t="s">
        <v>4526</v>
      </c>
      <c r="L777" s="6" t="s">
        <v>9792</v>
      </c>
      <c r="M777" s="6" t="s">
        <v>4509</v>
      </c>
      <c r="N777" s="6" t="s">
        <v>4537</v>
      </c>
    </row>
    <row r="778" s="1" customFormat="1" ht="16.35" customHeight="1" spans="1:14">
      <c r="A778" s="5"/>
      <c r="B778" s="6" t="s">
        <v>4506</v>
      </c>
      <c r="C778" s="6">
        <v>2016</v>
      </c>
      <c r="D778" s="6">
        <v>5</v>
      </c>
      <c r="E778" s="7">
        <v>63</v>
      </c>
      <c r="F778" s="6" t="s">
        <v>9793</v>
      </c>
      <c r="G778" s="6" t="s">
        <v>9370</v>
      </c>
      <c r="H778" s="6" t="s">
        <v>26</v>
      </c>
      <c r="I778" s="8"/>
      <c r="J778" s="8">
        <v>-200000</v>
      </c>
      <c r="K778" s="6" t="s">
        <v>4514</v>
      </c>
      <c r="L778" s="6" t="s">
        <v>4511</v>
      </c>
      <c r="M778" s="6" t="s">
        <v>4509</v>
      </c>
      <c r="N778" s="6" t="s">
        <v>4537</v>
      </c>
    </row>
    <row r="779" s="1" customFormat="1" ht="16.35" customHeight="1" spans="1:14">
      <c r="A779" s="5"/>
      <c r="B779" s="6" t="s">
        <v>4506</v>
      </c>
      <c r="C779" s="6">
        <v>2016</v>
      </c>
      <c r="D779" s="6">
        <v>5</v>
      </c>
      <c r="E779" s="7">
        <v>64</v>
      </c>
      <c r="F779" s="6" t="s">
        <v>9794</v>
      </c>
      <c r="G779" s="6" t="s">
        <v>9370</v>
      </c>
      <c r="H779" s="6" t="s">
        <v>26</v>
      </c>
      <c r="I779" s="8">
        <v>130</v>
      </c>
      <c r="J779" s="8"/>
      <c r="K779" s="6" t="s">
        <v>4509</v>
      </c>
      <c r="L779" s="6" t="s">
        <v>9218</v>
      </c>
      <c r="M779" s="6" t="s">
        <v>4509</v>
      </c>
      <c r="N779" s="6" t="s">
        <v>4537</v>
      </c>
    </row>
    <row r="780" s="1" customFormat="1" ht="16.35" customHeight="1" spans="1:14">
      <c r="A780" s="5"/>
      <c r="B780" s="6" t="s">
        <v>4506</v>
      </c>
      <c r="C780" s="6">
        <v>2016</v>
      </c>
      <c r="D780" s="6">
        <v>5</v>
      </c>
      <c r="E780" s="7">
        <v>85</v>
      </c>
      <c r="F780" s="6" t="s">
        <v>9795</v>
      </c>
      <c r="G780" s="6" t="s">
        <v>9370</v>
      </c>
      <c r="H780" s="6" t="s">
        <v>26</v>
      </c>
      <c r="I780" s="8">
        <v>30000</v>
      </c>
      <c r="J780" s="8"/>
      <c r="K780" s="6" t="s">
        <v>4509</v>
      </c>
      <c r="L780" s="6" t="s">
        <v>9218</v>
      </c>
      <c r="M780" s="6" t="s">
        <v>4509</v>
      </c>
      <c r="N780" s="6" t="s">
        <v>4537</v>
      </c>
    </row>
    <row r="781" s="1" customFormat="1" ht="16.35" customHeight="1" spans="1:14">
      <c r="A781" s="5"/>
      <c r="B781" s="6" t="s">
        <v>4506</v>
      </c>
      <c r="C781" s="6">
        <v>2016</v>
      </c>
      <c r="D781" s="6">
        <v>5</v>
      </c>
      <c r="E781" s="7">
        <v>86</v>
      </c>
      <c r="F781" s="6" t="s">
        <v>9796</v>
      </c>
      <c r="G781" s="6" t="s">
        <v>9370</v>
      </c>
      <c r="H781" s="6" t="s">
        <v>26</v>
      </c>
      <c r="I781" s="8">
        <v>50000</v>
      </c>
      <c r="J781" s="8"/>
      <c r="K781" s="6" t="s">
        <v>4514</v>
      </c>
      <c r="L781" s="6" t="s">
        <v>4511</v>
      </c>
      <c r="M781" s="6" t="s">
        <v>4509</v>
      </c>
      <c r="N781" s="6" t="s">
        <v>4537</v>
      </c>
    </row>
    <row r="782" s="1" customFormat="1" ht="16.35" customHeight="1" spans="1:14">
      <c r="A782" s="5"/>
      <c r="B782" s="6" t="s">
        <v>4506</v>
      </c>
      <c r="C782" s="6">
        <v>2016</v>
      </c>
      <c r="D782" s="6">
        <v>5</v>
      </c>
      <c r="E782" s="7">
        <v>86</v>
      </c>
      <c r="F782" s="6" t="s">
        <v>9796</v>
      </c>
      <c r="G782" s="6" t="s">
        <v>9370</v>
      </c>
      <c r="H782" s="6" t="s">
        <v>26</v>
      </c>
      <c r="I782" s="8"/>
      <c r="J782" s="8">
        <v>50000</v>
      </c>
      <c r="K782" s="6" t="s">
        <v>4509</v>
      </c>
      <c r="L782" s="6" t="s">
        <v>9218</v>
      </c>
      <c r="M782" s="6" t="s">
        <v>4509</v>
      </c>
      <c r="N782" s="6" t="s">
        <v>4537</v>
      </c>
    </row>
    <row r="783" s="1" customFormat="1" ht="16.35" customHeight="1" spans="1:14">
      <c r="A783" s="5"/>
      <c r="B783" s="6" t="s">
        <v>4506</v>
      </c>
      <c r="C783" s="6">
        <v>2016</v>
      </c>
      <c r="D783" s="6">
        <v>5</v>
      </c>
      <c r="E783" s="7">
        <v>87</v>
      </c>
      <c r="F783" s="6" t="s">
        <v>9435</v>
      </c>
      <c r="G783" s="6" t="s">
        <v>9370</v>
      </c>
      <c r="H783" s="6" t="s">
        <v>26</v>
      </c>
      <c r="I783" s="8"/>
      <c r="J783" s="8">
        <v>1000000</v>
      </c>
      <c r="K783" s="6" t="s">
        <v>4509</v>
      </c>
      <c r="L783" s="6" t="s">
        <v>9218</v>
      </c>
      <c r="M783" s="6" t="s">
        <v>4509</v>
      </c>
      <c r="N783" s="6" t="s">
        <v>4537</v>
      </c>
    </row>
    <row r="784" s="1" customFormat="1" ht="16.35" customHeight="1" spans="1:14">
      <c r="A784" s="5"/>
      <c r="B784" s="6" t="s">
        <v>4506</v>
      </c>
      <c r="C784" s="6">
        <v>2016</v>
      </c>
      <c r="D784" s="6">
        <v>5</v>
      </c>
      <c r="E784" s="7">
        <v>88</v>
      </c>
      <c r="F784" s="6" t="s">
        <v>9435</v>
      </c>
      <c r="G784" s="6" t="s">
        <v>9370</v>
      </c>
      <c r="H784" s="6" t="s">
        <v>26</v>
      </c>
      <c r="I784" s="8"/>
      <c r="J784" s="8">
        <v>1000000</v>
      </c>
      <c r="K784" s="6" t="s">
        <v>4509</v>
      </c>
      <c r="L784" s="6" t="s">
        <v>9218</v>
      </c>
      <c r="M784" s="6" t="s">
        <v>4509</v>
      </c>
      <c r="N784" s="6" t="s">
        <v>4537</v>
      </c>
    </row>
    <row r="785" s="1" customFormat="1" ht="16.35" customHeight="1" spans="1:14">
      <c r="A785" s="5"/>
      <c r="B785" s="6" t="s">
        <v>4506</v>
      </c>
      <c r="C785" s="6">
        <v>2016</v>
      </c>
      <c r="D785" s="6">
        <v>5</v>
      </c>
      <c r="E785" s="7">
        <v>89</v>
      </c>
      <c r="F785" s="6" t="s">
        <v>9797</v>
      </c>
      <c r="G785" s="6" t="s">
        <v>9370</v>
      </c>
      <c r="H785" s="6" t="s">
        <v>26</v>
      </c>
      <c r="I785" s="8"/>
      <c r="J785" s="8">
        <v>130275.7</v>
      </c>
      <c r="K785" s="6" t="s">
        <v>4509</v>
      </c>
      <c r="L785" s="6" t="s">
        <v>9218</v>
      </c>
      <c r="M785" s="6" t="s">
        <v>4509</v>
      </c>
      <c r="N785" s="6" t="s">
        <v>4537</v>
      </c>
    </row>
    <row r="786" s="1" customFormat="1" ht="16.35" customHeight="1" spans="1:14">
      <c r="A786" s="5"/>
      <c r="B786" s="6" t="s">
        <v>4506</v>
      </c>
      <c r="C786" s="6">
        <v>2016</v>
      </c>
      <c r="D786" s="6">
        <v>5</v>
      </c>
      <c r="E786" s="7">
        <v>90</v>
      </c>
      <c r="F786" s="6" t="s">
        <v>4552</v>
      </c>
      <c r="G786" s="6" t="s">
        <v>9370</v>
      </c>
      <c r="H786" s="6" t="s">
        <v>26</v>
      </c>
      <c r="I786" s="8"/>
      <c r="J786" s="8">
        <v>7443543.34</v>
      </c>
      <c r="K786" s="6" t="s">
        <v>4509</v>
      </c>
      <c r="L786" s="6" t="s">
        <v>9218</v>
      </c>
      <c r="M786" s="6" t="s">
        <v>4509</v>
      </c>
      <c r="N786" s="6" t="s">
        <v>4537</v>
      </c>
    </row>
    <row r="787" s="1" customFormat="1" ht="16.35" customHeight="1" spans="1:14">
      <c r="A787" s="5"/>
      <c r="B787" s="6" t="s">
        <v>4506</v>
      </c>
      <c r="C787" s="6">
        <v>2016</v>
      </c>
      <c r="D787" s="6">
        <v>5</v>
      </c>
      <c r="E787" s="7">
        <v>91</v>
      </c>
      <c r="F787" s="6" t="s">
        <v>9798</v>
      </c>
      <c r="G787" s="6" t="s">
        <v>9370</v>
      </c>
      <c r="H787" s="6" t="s">
        <v>26</v>
      </c>
      <c r="I787" s="8"/>
      <c r="J787" s="8">
        <v>302.86</v>
      </c>
      <c r="K787" s="6" t="s">
        <v>4510</v>
      </c>
      <c r="L787" s="6" t="s">
        <v>9447</v>
      </c>
      <c r="M787" s="6" t="s">
        <v>4509</v>
      </c>
      <c r="N787" s="6" t="s">
        <v>4537</v>
      </c>
    </row>
    <row r="788" s="1" customFormat="1" ht="16.35" customHeight="1" spans="1:14">
      <c r="A788" s="5"/>
      <c r="B788" s="6" t="s">
        <v>4506</v>
      </c>
      <c r="C788" s="6">
        <v>2016</v>
      </c>
      <c r="D788" s="6">
        <v>5</v>
      </c>
      <c r="E788" s="7">
        <v>91</v>
      </c>
      <c r="F788" s="6" t="s">
        <v>9798</v>
      </c>
      <c r="G788" s="6" t="s">
        <v>9370</v>
      </c>
      <c r="H788" s="6" t="s">
        <v>26</v>
      </c>
      <c r="I788" s="8"/>
      <c r="J788" s="8">
        <v>198.32</v>
      </c>
      <c r="K788" s="6" t="s">
        <v>4516</v>
      </c>
      <c r="L788" s="6" t="s">
        <v>9449</v>
      </c>
      <c r="M788" s="6" t="s">
        <v>4509</v>
      </c>
      <c r="N788" s="6" t="s">
        <v>4537</v>
      </c>
    </row>
    <row r="789" s="1" customFormat="1" ht="16.35" customHeight="1" spans="1:14">
      <c r="A789" s="5"/>
      <c r="B789" s="6" t="s">
        <v>4506</v>
      </c>
      <c r="C789" s="6">
        <v>2016</v>
      </c>
      <c r="D789" s="6">
        <v>5</v>
      </c>
      <c r="E789" s="7">
        <v>95</v>
      </c>
      <c r="F789" s="6" t="s">
        <v>2935</v>
      </c>
      <c r="G789" s="6" t="s">
        <v>9370</v>
      </c>
      <c r="H789" s="6" t="s">
        <v>26</v>
      </c>
      <c r="I789" s="8"/>
      <c r="J789" s="8">
        <v>-7752383.5</v>
      </c>
      <c r="K789" s="6" t="s">
        <v>4514</v>
      </c>
      <c r="L789" s="6" t="s">
        <v>4511</v>
      </c>
      <c r="M789" s="6" t="s">
        <v>4509</v>
      </c>
      <c r="N789" s="6" t="s">
        <v>4537</v>
      </c>
    </row>
    <row r="790" s="1" customFormat="1" ht="16.35" customHeight="1" spans="1:14">
      <c r="A790" s="5"/>
      <c r="B790" s="6" t="s">
        <v>4506</v>
      </c>
      <c r="C790" s="6">
        <v>2016</v>
      </c>
      <c r="D790" s="6">
        <v>6</v>
      </c>
      <c r="E790" s="7">
        <v>1</v>
      </c>
      <c r="F790" s="6" t="s">
        <v>9799</v>
      </c>
      <c r="G790" s="6" t="s">
        <v>9370</v>
      </c>
      <c r="H790" s="6" t="s">
        <v>26</v>
      </c>
      <c r="I790" s="8">
        <v>20000</v>
      </c>
      <c r="J790" s="8"/>
      <c r="K790" s="6" t="s">
        <v>4514</v>
      </c>
      <c r="L790" s="6" t="s">
        <v>4511</v>
      </c>
      <c r="M790" s="6" t="s">
        <v>4509</v>
      </c>
      <c r="N790" s="6" t="s">
        <v>4537</v>
      </c>
    </row>
    <row r="791" s="1" customFormat="1" ht="16.35" customHeight="1" spans="1:14">
      <c r="A791" s="5"/>
      <c r="B791" s="6" t="s">
        <v>4506</v>
      </c>
      <c r="C791" s="6">
        <v>2016</v>
      </c>
      <c r="D791" s="6">
        <v>6</v>
      </c>
      <c r="E791" s="7">
        <v>4</v>
      </c>
      <c r="F791" s="6" t="s">
        <v>9800</v>
      </c>
      <c r="G791" s="6" t="s">
        <v>9370</v>
      </c>
      <c r="H791" s="6" t="s">
        <v>26</v>
      </c>
      <c r="I791" s="8">
        <v>306551</v>
      </c>
      <c r="J791" s="8"/>
      <c r="K791" s="6" t="s">
        <v>4527</v>
      </c>
      <c r="L791" s="6" t="s">
        <v>9801</v>
      </c>
      <c r="M791" s="6" t="s">
        <v>4509</v>
      </c>
      <c r="N791" s="6" t="s">
        <v>4537</v>
      </c>
    </row>
    <row r="792" s="1" customFormat="1" ht="16.35" customHeight="1" spans="1:14">
      <c r="A792" s="5"/>
      <c r="B792" s="6" t="s">
        <v>4506</v>
      </c>
      <c r="C792" s="6">
        <v>2016</v>
      </c>
      <c r="D792" s="6">
        <v>6</v>
      </c>
      <c r="E792" s="7">
        <v>5</v>
      </c>
      <c r="F792" s="6" t="s">
        <v>9802</v>
      </c>
      <c r="G792" s="6" t="s">
        <v>9370</v>
      </c>
      <c r="H792" s="6" t="s">
        <v>26</v>
      </c>
      <c r="I792" s="8"/>
      <c r="J792" s="8">
        <v>5000</v>
      </c>
      <c r="K792" s="6" t="s">
        <v>4514</v>
      </c>
      <c r="L792" s="6" t="s">
        <v>4511</v>
      </c>
      <c r="M792" s="6" t="s">
        <v>4509</v>
      </c>
      <c r="N792" s="6" t="s">
        <v>4537</v>
      </c>
    </row>
    <row r="793" s="1" customFormat="1" ht="16.35" customHeight="1" spans="1:14">
      <c r="A793" s="5"/>
      <c r="B793" s="6" t="s">
        <v>4506</v>
      </c>
      <c r="C793" s="6">
        <v>2016</v>
      </c>
      <c r="D793" s="6">
        <v>6</v>
      </c>
      <c r="E793" s="7">
        <v>7</v>
      </c>
      <c r="F793" s="6" t="s">
        <v>61</v>
      </c>
      <c r="G793" s="6" t="s">
        <v>9370</v>
      </c>
      <c r="H793" s="6" t="s">
        <v>26</v>
      </c>
      <c r="I793" s="8"/>
      <c r="J793" s="8">
        <v>13570</v>
      </c>
      <c r="K793" s="6" t="s">
        <v>4514</v>
      </c>
      <c r="L793" s="6" t="s">
        <v>4511</v>
      </c>
      <c r="M793" s="6" t="s">
        <v>4509</v>
      </c>
      <c r="N793" s="6" t="s">
        <v>4537</v>
      </c>
    </row>
    <row r="794" s="1" customFormat="1" ht="16.35" customHeight="1" spans="1:14">
      <c r="A794" s="5"/>
      <c r="B794" s="6" t="s">
        <v>4506</v>
      </c>
      <c r="C794" s="6">
        <v>2016</v>
      </c>
      <c r="D794" s="6">
        <v>6</v>
      </c>
      <c r="E794" s="7">
        <v>9</v>
      </c>
      <c r="F794" s="6" t="s">
        <v>9803</v>
      </c>
      <c r="G794" s="6" t="s">
        <v>9370</v>
      </c>
      <c r="H794" s="6" t="s">
        <v>26</v>
      </c>
      <c r="I794" s="8">
        <v>11800</v>
      </c>
      <c r="J794" s="8"/>
      <c r="K794" s="6" t="s">
        <v>4512</v>
      </c>
      <c r="L794" s="6" t="s">
        <v>2906</v>
      </c>
      <c r="M794" s="6" t="s">
        <v>4509</v>
      </c>
      <c r="N794" s="6" t="s">
        <v>4537</v>
      </c>
    </row>
    <row r="795" s="1" customFormat="1" ht="16.35" customHeight="1" spans="1:14">
      <c r="A795" s="5"/>
      <c r="B795" s="6" t="s">
        <v>4506</v>
      </c>
      <c r="C795" s="6">
        <v>2016</v>
      </c>
      <c r="D795" s="6">
        <v>6</v>
      </c>
      <c r="E795" s="7">
        <v>20</v>
      </c>
      <c r="F795" s="6" t="s">
        <v>9804</v>
      </c>
      <c r="G795" s="6" t="s">
        <v>9370</v>
      </c>
      <c r="H795" s="6" t="s">
        <v>26</v>
      </c>
      <c r="I795" s="8">
        <v>1000000</v>
      </c>
      <c r="J795" s="8"/>
      <c r="K795" s="6" t="s">
        <v>4509</v>
      </c>
      <c r="L795" s="6" t="s">
        <v>9218</v>
      </c>
      <c r="M795" s="6" t="s">
        <v>4509</v>
      </c>
      <c r="N795" s="6" t="s">
        <v>4537</v>
      </c>
    </row>
    <row r="796" s="1" customFormat="1" ht="16.35" customHeight="1" spans="1:14">
      <c r="A796" s="5"/>
      <c r="B796" s="6" t="s">
        <v>4506</v>
      </c>
      <c r="C796" s="6">
        <v>2016</v>
      </c>
      <c r="D796" s="6">
        <v>6</v>
      </c>
      <c r="E796" s="7">
        <v>37</v>
      </c>
      <c r="F796" s="6" t="s">
        <v>9805</v>
      </c>
      <c r="G796" s="6" t="s">
        <v>9370</v>
      </c>
      <c r="H796" s="6" t="s">
        <v>26</v>
      </c>
      <c r="I796" s="8"/>
      <c r="J796" s="8">
        <v>310784</v>
      </c>
      <c r="K796" s="6" t="s">
        <v>2919</v>
      </c>
      <c r="L796" s="6" t="s">
        <v>9806</v>
      </c>
      <c r="M796" s="6" t="s">
        <v>4509</v>
      </c>
      <c r="N796" s="6" t="s">
        <v>4537</v>
      </c>
    </row>
    <row r="797" s="1" customFormat="1" ht="16.35" customHeight="1" spans="1:14">
      <c r="A797" s="5"/>
      <c r="B797" s="6" t="s">
        <v>4506</v>
      </c>
      <c r="C797" s="6">
        <v>2016</v>
      </c>
      <c r="D797" s="6">
        <v>6</v>
      </c>
      <c r="E797" s="7">
        <v>38</v>
      </c>
      <c r="F797" s="6" t="s">
        <v>9807</v>
      </c>
      <c r="G797" s="6" t="s">
        <v>9370</v>
      </c>
      <c r="H797" s="6" t="s">
        <v>26</v>
      </c>
      <c r="I797" s="8"/>
      <c r="J797" s="8">
        <v>-100000</v>
      </c>
      <c r="K797" s="6" t="s">
        <v>2916</v>
      </c>
      <c r="L797" s="6" t="s">
        <v>9808</v>
      </c>
      <c r="M797" s="6" t="s">
        <v>4509</v>
      </c>
      <c r="N797" s="6" t="s">
        <v>4537</v>
      </c>
    </row>
    <row r="798" s="1" customFormat="1" ht="16.35" customHeight="1" spans="1:14">
      <c r="A798" s="5"/>
      <c r="B798" s="6" t="s">
        <v>4506</v>
      </c>
      <c r="C798" s="6">
        <v>2016</v>
      </c>
      <c r="D798" s="6">
        <v>6</v>
      </c>
      <c r="E798" s="7">
        <v>39</v>
      </c>
      <c r="F798" s="6" t="s">
        <v>9809</v>
      </c>
      <c r="G798" s="6" t="s">
        <v>9370</v>
      </c>
      <c r="H798" s="6" t="s">
        <v>26</v>
      </c>
      <c r="I798" s="8"/>
      <c r="J798" s="8">
        <v>-100000</v>
      </c>
      <c r="K798" s="6" t="s">
        <v>2916</v>
      </c>
      <c r="L798" s="6" t="s">
        <v>9808</v>
      </c>
      <c r="M798" s="6" t="s">
        <v>4509</v>
      </c>
      <c r="N798" s="6" t="s">
        <v>4537</v>
      </c>
    </row>
    <row r="799" s="1" customFormat="1" ht="16.35" customHeight="1" spans="1:14">
      <c r="A799" s="5"/>
      <c r="B799" s="6" t="s">
        <v>4506</v>
      </c>
      <c r="C799" s="6">
        <v>2016</v>
      </c>
      <c r="D799" s="6">
        <v>6</v>
      </c>
      <c r="E799" s="7">
        <v>44</v>
      </c>
      <c r="F799" s="6" t="s">
        <v>9810</v>
      </c>
      <c r="G799" s="6" t="s">
        <v>9370</v>
      </c>
      <c r="H799" s="6" t="s">
        <v>26</v>
      </c>
      <c r="I799" s="8"/>
      <c r="J799" s="8">
        <v>20000</v>
      </c>
      <c r="K799" s="6" t="s">
        <v>4526</v>
      </c>
      <c r="L799" s="6" t="s">
        <v>9792</v>
      </c>
      <c r="M799" s="6" t="s">
        <v>4509</v>
      </c>
      <c r="N799" s="6" t="s">
        <v>4537</v>
      </c>
    </row>
    <row r="800" s="1" customFormat="1" ht="16.35" customHeight="1" spans="1:14">
      <c r="A800" s="5"/>
      <c r="B800" s="6" t="s">
        <v>4506</v>
      </c>
      <c r="C800" s="6">
        <v>2016</v>
      </c>
      <c r="D800" s="6">
        <v>6</v>
      </c>
      <c r="E800" s="7">
        <v>47</v>
      </c>
      <c r="F800" s="6" t="s">
        <v>9297</v>
      </c>
      <c r="G800" s="6" t="s">
        <v>9370</v>
      </c>
      <c r="H800" s="6" t="s">
        <v>26</v>
      </c>
      <c r="I800" s="8">
        <v>130</v>
      </c>
      <c r="J800" s="8"/>
      <c r="K800" s="6" t="s">
        <v>4509</v>
      </c>
      <c r="L800" s="6" t="s">
        <v>9218</v>
      </c>
      <c r="M800" s="6" t="s">
        <v>4509</v>
      </c>
      <c r="N800" s="6" t="s">
        <v>4537</v>
      </c>
    </row>
    <row r="801" s="1" customFormat="1" ht="16.35" customHeight="1" spans="1:14">
      <c r="A801" s="5"/>
      <c r="B801" s="6" t="s">
        <v>4506</v>
      </c>
      <c r="C801" s="6">
        <v>2016</v>
      </c>
      <c r="D801" s="6">
        <v>6</v>
      </c>
      <c r="E801" s="7">
        <v>48</v>
      </c>
      <c r="F801" s="6" t="s">
        <v>9811</v>
      </c>
      <c r="G801" s="6" t="s">
        <v>9370</v>
      </c>
      <c r="H801" s="6" t="s">
        <v>26</v>
      </c>
      <c r="I801" s="8">
        <v>204000</v>
      </c>
      <c r="J801" s="8"/>
      <c r="K801" s="6" t="s">
        <v>4529</v>
      </c>
      <c r="L801" s="6" t="s">
        <v>9812</v>
      </c>
      <c r="M801" s="6" t="s">
        <v>4509</v>
      </c>
      <c r="N801" s="6" t="s">
        <v>4537</v>
      </c>
    </row>
    <row r="802" s="1" customFormat="1" ht="16.35" customHeight="1" spans="1:14">
      <c r="A802" s="5"/>
      <c r="B802" s="6" t="s">
        <v>4506</v>
      </c>
      <c r="C802" s="6">
        <v>2016</v>
      </c>
      <c r="D802" s="6">
        <v>6</v>
      </c>
      <c r="E802" s="7">
        <v>53</v>
      </c>
      <c r="F802" s="6" t="s">
        <v>9813</v>
      </c>
      <c r="G802" s="6" t="s">
        <v>9370</v>
      </c>
      <c r="H802" s="6" t="s">
        <v>26</v>
      </c>
      <c r="I802" s="8">
        <v>500000</v>
      </c>
      <c r="J802" s="8"/>
      <c r="K802" s="6" t="s">
        <v>4509</v>
      </c>
      <c r="L802" s="6" t="s">
        <v>9218</v>
      </c>
      <c r="M802" s="6" t="s">
        <v>4509</v>
      </c>
      <c r="N802" s="6" t="s">
        <v>4537</v>
      </c>
    </row>
    <row r="803" s="1" customFormat="1" ht="16.35" customHeight="1" spans="1:14">
      <c r="A803" s="5"/>
      <c r="B803" s="6" t="s">
        <v>4506</v>
      </c>
      <c r="C803" s="6">
        <v>2016</v>
      </c>
      <c r="D803" s="6">
        <v>6</v>
      </c>
      <c r="E803" s="7">
        <v>54</v>
      </c>
      <c r="F803" s="6" t="s">
        <v>9814</v>
      </c>
      <c r="G803" s="6" t="s">
        <v>9370</v>
      </c>
      <c r="H803" s="6" t="s">
        <v>26</v>
      </c>
      <c r="I803" s="8"/>
      <c r="J803" s="8">
        <v>500000</v>
      </c>
      <c r="K803" s="6" t="s">
        <v>4512</v>
      </c>
      <c r="L803" s="6" t="s">
        <v>2906</v>
      </c>
      <c r="M803" s="6" t="s">
        <v>4509</v>
      </c>
      <c r="N803" s="6" t="s">
        <v>4537</v>
      </c>
    </row>
    <row r="804" s="1" customFormat="1" ht="16.35" customHeight="1" spans="1:14">
      <c r="A804" s="5"/>
      <c r="B804" s="6" t="s">
        <v>4506</v>
      </c>
      <c r="C804" s="6">
        <v>2016</v>
      </c>
      <c r="D804" s="6">
        <v>6</v>
      </c>
      <c r="E804" s="7">
        <v>56</v>
      </c>
      <c r="F804" s="6" t="s">
        <v>4507</v>
      </c>
      <c r="G804" s="6" t="s">
        <v>9370</v>
      </c>
      <c r="H804" s="6" t="s">
        <v>26</v>
      </c>
      <c r="I804" s="8">
        <v>2000000</v>
      </c>
      <c r="J804" s="8"/>
      <c r="K804" s="6" t="s">
        <v>4509</v>
      </c>
      <c r="L804" s="6" t="s">
        <v>9218</v>
      </c>
      <c r="M804" s="6" t="s">
        <v>4509</v>
      </c>
      <c r="N804" s="6" t="s">
        <v>4537</v>
      </c>
    </row>
    <row r="805" s="1" customFormat="1" ht="16.35" customHeight="1" spans="1:14">
      <c r="A805" s="5"/>
      <c r="B805" s="6" t="s">
        <v>4506</v>
      </c>
      <c r="C805" s="6">
        <v>2016</v>
      </c>
      <c r="D805" s="6">
        <v>6</v>
      </c>
      <c r="E805" s="7">
        <v>59</v>
      </c>
      <c r="F805" s="6" t="s">
        <v>9815</v>
      </c>
      <c r="G805" s="6" t="s">
        <v>9370</v>
      </c>
      <c r="H805" s="6" t="s">
        <v>26</v>
      </c>
      <c r="I805" s="8"/>
      <c r="J805" s="8">
        <v>72457</v>
      </c>
      <c r="K805" s="6" t="s">
        <v>4514</v>
      </c>
      <c r="L805" s="6" t="s">
        <v>4511</v>
      </c>
      <c r="M805" s="6" t="s">
        <v>4509</v>
      </c>
      <c r="N805" s="6" t="s">
        <v>4537</v>
      </c>
    </row>
    <row r="806" s="1" customFormat="1" ht="16.35" customHeight="1" spans="1:14">
      <c r="A806" s="5"/>
      <c r="B806" s="6" t="s">
        <v>4506</v>
      </c>
      <c r="C806" s="6">
        <v>2016</v>
      </c>
      <c r="D806" s="6">
        <v>6</v>
      </c>
      <c r="E806" s="7">
        <v>60</v>
      </c>
      <c r="F806" s="6" t="s">
        <v>9816</v>
      </c>
      <c r="G806" s="6" t="s">
        <v>9370</v>
      </c>
      <c r="H806" s="6" t="s">
        <v>26</v>
      </c>
      <c r="I806" s="8"/>
      <c r="J806" s="8">
        <v>10200</v>
      </c>
      <c r="K806" s="6" t="s">
        <v>2913</v>
      </c>
      <c r="L806" s="6" t="s">
        <v>9817</v>
      </c>
      <c r="M806" s="6" t="s">
        <v>4509</v>
      </c>
      <c r="N806" s="6" t="s">
        <v>4537</v>
      </c>
    </row>
    <row r="807" s="1" customFormat="1" ht="16.35" customHeight="1" spans="1:14">
      <c r="A807" s="5"/>
      <c r="B807" s="6" t="s">
        <v>4506</v>
      </c>
      <c r="C807" s="6">
        <v>2016</v>
      </c>
      <c r="D807" s="6">
        <v>6</v>
      </c>
      <c r="E807" s="7">
        <v>61</v>
      </c>
      <c r="F807" s="6" t="s">
        <v>9818</v>
      </c>
      <c r="G807" s="6" t="s">
        <v>9370</v>
      </c>
      <c r="H807" s="6" t="s">
        <v>26</v>
      </c>
      <c r="I807" s="8"/>
      <c r="J807" s="8">
        <v>58786</v>
      </c>
      <c r="K807" s="6" t="s">
        <v>4509</v>
      </c>
      <c r="L807" s="6" t="s">
        <v>9218</v>
      </c>
      <c r="M807" s="6" t="s">
        <v>4509</v>
      </c>
      <c r="N807" s="6" t="s">
        <v>4537</v>
      </c>
    </row>
    <row r="808" s="1" customFormat="1" ht="16.35" customHeight="1" spans="1:14">
      <c r="A808" s="5"/>
      <c r="B808" s="6" t="s">
        <v>4506</v>
      </c>
      <c r="C808" s="6">
        <v>2016</v>
      </c>
      <c r="D808" s="6">
        <v>6</v>
      </c>
      <c r="E808" s="7">
        <v>62</v>
      </c>
      <c r="F808" s="6" t="s">
        <v>9819</v>
      </c>
      <c r="G808" s="6" t="s">
        <v>9370</v>
      </c>
      <c r="H808" s="6" t="s">
        <v>26</v>
      </c>
      <c r="I808" s="8"/>
      <c r="J808" s="8">
        <v>11861</v>
      </c>
      <c r="K808" s="6" t="s">
        <v>4509</v>
      </c>
      <c r="L808" s="6" t="s">
        <v>9218</v>
      </c>
      <c r="M808" s="6" t="s">
        <v>4509</v>
      </c>
      <c r="N808" s="6" t="s">
        <v>4537</v>
      </c>
    </row>
    <row r="809" s="1" customFormat="1" ht="16.35" customHeight="1" spans="1:14">
      <c r="A809" s="5"/>
      <c r="B809" s="6" t="s">
        <v>4506</v>
      </c>
      <c r="C809" s="6">
        <v>2016</v>
      </c>
      <c r="D809" s="6">
        <v>6</v>
      </c>
      <c r="E809" s="7">
        <v>63</v>
      </c>
      <c r="F809" s="6" t="s">
        <v>9761</v>
      </c>
      <c r="G809" s="6" t="s">
        <v>9370</v>
      </c>
      <c r="H809" s="6" t="s">
        <v>26</v>
      </c>
      <c r="I809" s="8"/>
      <c r="J809" s="8">
        <v>19791.4</v>
      </c>
      <c r="K809" s="6" t="s">
        <v>4509</v>
      </c>
      <c r="L809" s="6" t="s">
        <v>9218</v>
      </c>
      <c r="M809" s="6" t="s">
        <v>4509</v>
      </c>
      <c r="N809" s="6" t="s">
        <v>4537</v>
      </c>
    </row>
    <row r="810" s="1" customFormat="1" ht="16.35" customHeight="1" spans="1:14">
      <c r="A810" s="5"/>
      <c r="B810" s="6" t="s">
        <v>4506</v>
      </c>
      <c r="C810" s="6">
        <v>2016</v>
      </c>
      <c r="D810" s="6">
        <v>6</v>
      </c>
      <c r="E810" s="7">
        <v>64</v>
      </c>
      <c r="F810" s="6" t="s">
        <v>9820</v>
      </c>
      <c r="G810" s="6" t="s">
        <v>9370</v>
      </c>
      <c r="H810" s="6" t="s">
        <v>26</v>
      </c>
      <c r="I810" s="8"/>
      <c r="J810" s="8">
        <v>400000</v>
      </c>
      <c r="K810" s="6" t="s">
        <v>4509</v>
      </c>
      <c r="L810" s="6" t="s">
        <v>9218</v>
      </c>
      <c r="M810" s="6" t="s">
        <v>4509</v>
      </c>
      <c r="N810" s="6" t="s">
        <v>4537</v>
      </c>
    </row>
    <row r="811" s="1" customFormat="1" ht="16.35" customHeight="1" spans="1:14">
      <c r="A811" s="5"/>
      <c r="B811" s="6" t="s">
        <v>4506</v>
      </c>
      <c r="C811" s="6">
        <v>2016</v>
      </c>
      <c r="D811" s="6">
        <v>6</v>
      </c>
      <c r="E811" s="7">
        <v>65</v>
      </c>
      <c r="F811" s="6" t="s">
        <v>9797</v>
      </c>
      <c r="G811" s="6" t="s">
        <v>9370</v>
      </c>
      <c r="H811" s="6" t="s">
        <v>26</v>
      </c>
      <c r="I811" s="8"/>
      <c r="J811" s="8">
        <v>91587.5</v>
      </c>
      <c r="K811" s="6" t="s">
        <v>4509</v>
      </c>
      <c r="L811" s="6" t="s">
        <v>9218</v>
      </c>
      <c r="M811" s="6" t="s">
        <v>4509</v>
      </c>
      <c r="N811" s="6" t="s">
        <v>4537</v>
      </c>
    </row>
    <row r="812" s="1" customFormat="1" ht="16.35" customHeight="1" spans="1:14">
      <c r="A812" s="5"/>
      <c r="B812" s="6" t="s">
        <v>4506</v>
      </c>
      <c r="C812" s="6">
        <v>2016</v>
      </c>
      <c r="D812" s="6">
        <v>6</v>
      </c>
      <c r="E812" s="7">
        <v>66</v>
      </c>
      <c r="F812" s="6" t="s">
        <v>4552</v>
      </c>
      <c r="G812" s="6" t="s">
        <v>9370</v>
      </c>
      <c r="H812" s="6" t="s">
        <v>26</v>
      </c>
      <c r="I812" s="8"/>
      <c r="J812" s="8">
        <v>633729.16</v>
      </c>
      <c r="K812" s="6" t="s">
        <v>4509</v>
      </c>
      <c r="L812" s="6" t="s">
        <v>9218</v>
      </c>
      <c r="M812" s="6" t="s">
        <v>4509</v>
      </c>
      <c r="N812" s="6" t="s">
        <v>4537</v>
      </c>
    </row>
    <row r="813" s="1" customFormat="1" ht="16.35" customHeight="1" spans="1:14">
      <c r="A813" s="5"/>
      <c r="B813" s="6" t="s">
        <v>4506</v>
      </c>
      <c r="C813" s="6">
        <v>2016</v>
      </c>
      <c r="D813" s="6">
        <v>6</v>
      </c>
      <c r="E813" s="7">
        <v>67</v>
      </c>
      <c r="F813" s="6" t="s">
        <v>4552</v>
      </c>
      <c r="G813" s="6" t="s">
        <v>9370</v>
      </c>
      <c r="H813" s="6" t="s">
        <v>26</v>
      </c>
      <c r="I813" s="8"/>
      <c r="J813" s="8">
        <v>278250</v>
      </c>
      <c r="K813" s="6" t="s">
        <v>4509</v>
      </c>
      <c r="L813" s="6" t="s">
        <v>9218</v>
      </c>
      <c r="M813" s="6" t="s">
        <v>4509</v>
      </c>
      <c r="N813" s="6" t="s">
        <v>4537</v>
      </c>
    </row>
    <row r="814" s="1" customFormat="1" ht="16.35" customHeight="1" spans="1:14">
      <c r="A814" s="5"/>
      <c r="B814" s="6" t="s">
        <v>4506</v>
      </c>
      <c r="C814" s="6">
        <v>2016</v>
      </c>
      <c r="D814" s="6">
        <v>6</v>
      </c>
      <c r="E814" s="7">
        <v>68</v>
      </c>
      <c r="F814" s="6" t="s">
        <v>4552</v>
      </c>
      <c r="G814" s="6" t="s">
        <v>9370</v>
      </c>
      <c r="H814" s="6" t="s">
        <v>26</v>
      </c>
      <c r="I814" s="8"/>
      <c r="J814" s="8">
        <v>1296008.33</v>
      </c>
      <c r="K814" s="6" t="s">
        <v>4509</v>
      </c>
      <c r="L814" s="6" t="s">
        <v>9218</v>
      </c>
      <c r="M814" s="6" t="s">
        <v>4509</v>
      </c>
      <c r="N814" s="6" t="s">
        <v>4537</v>
      </c>
    </row>
    <row r="815" s="1" customFormat="1" ht="16.35" customHeight="1" spans="1:14">
      <c r="A815" s="5"/>
      <c r="B815" s="6" t="s">
        <v>4506</v>
      </c>
      <c r="C815" s="6">
        <v>2016</v>
      </c>
      <c r="D815" s="6">
        <v>6</v>
      </c>
      <c r="E815" s="7">
        <v>69</v>
      </c>
      <c r="F815" s="6" t="s">
        <v>9821</v>
      </c>
      <c r="G815" s="6" t="s">
        <v>9370</v>
      </c>
      <c r="H815" s="6" t="s">
        <v>26</v>
      </c>
      <c r="I815" s="8"/>
      <c r="J815" s="8">
        <v>302.86</v>
      </c>
      <c r="K815" s="6" t="s">
        <v>4510</v>
      </c>
      <c r="L815" s="6" t="s">
        <v>9447</v>
      </c>
      <c r="M815" s="6" t="s">
        <v>4509</v>
      </c>
      <c r="N815" s="6" t="s">
        <v>4537</v>
      </c>
    </row>
    <row r="816" s="1" customFormat="1" ht="16.35" customHeight="1" spans="1:14">
      <c r="A816" s="5"/>
      <c r="B816" s="6" t="s">
        <v>4506</v>
      </c>
      <c r="C816" s="6">
        <v>2016</v>
      </c>
      <c r="D816" s="6">
        <v>6</v>
      </c>
      <c r="E816" s="7">
        <v>69</v>
      </c>
      <c r="F816" s="6" t="s">
        <v>9821</v>
      </c>
      <c r="G816" s="6" t="s">
        <v>9370</v>
      </c>
      <c r="H816" s="6" t="s">
        <v>26</v>
      </c>
      <c r="I816" s="8"/>
      <c r="J816" s="8">
        <v>198.32</v>
      </c>
      <c r="K816" s="6" t="s">
        <v>4516</v>
      </c>
      <c r="L816" s="6" t="s">
        <v>9449</v>
      </c>
      <c r="M816" s="6" t="s">
        <v>4509</v>
      </c>
      <c r="N816" s="6" t="s">
        <v>4537</v>
      </c>
    </row>
    <row r="817" s="1" customFormat="1" ht="16.35" customHeight="1" spans="1:14">
      <c r="A817" s="5"/>
      <c r="B817" s="6" t="s">
        <v>4506</v>
      </c>
      <c r="C817" s="6">
        <v>2016</v>
      </c>
      <c r="D817" s="6">
        <v>6</v>
      </c>
      <c r="E817" s="7">
        <v>71</v>
      </c>
      <c r="F817" s="6" t="s">
        <v>9822</v>
      </c>
      <c r="G817" s="6" t="s">
        <v>9370</v>
      </c>
      <c r="H817" s="6" t="s">
        <v>26</v>
      </c>
      <c r="I817" s="8"/>
      <c r="J817" s="8">
        <v>13116.22</v>
      </c>
      <c r="K817" s="6" t="s">
        <v>4512</v>
      </c>
      <c r="L817" s="6" t="s">
        <v>2906</v>
      </c>
      <c r="M817" s="6" t="s">
        <v>4509</v>
      </c>
      <c r="N817" s="6" t="s">
        <v>4537</v>
      </c>
    </row>
    <row r="818" s="1" customFormat="1" ht="16.35" customHeight="1" spans="1:14">
      <c r="A818" s="5"/>
      <c r="B818" s="6" t="s">
        <v>4506</v>
      </c>
      <c r="C818" s="6">
        <v>2016</v>
      </c>
      <c r="D818" s="6">
        <v>6</v>
      </c>
      <c r="E818" s="7">
        <v>72</v>
      </c>
      <c r="F818" s="6" t="s">
        <v>9823</v>
      </c>
      <c r="G818" s="6" t="s">
        <v>9370</v>
      </c>
      <c r="H818" s="6" t="s">
        <v>26</v>
      </c>
      <c r="I818" s="8"/>
      <c r="J818" s="8">
        <v>61526</v>
      </c>
      <c r="K818" s="6" t="s">
        <v>4509</v>
      </c>
      <c r="L818" s="6" t="s">
        <v>9218</v>
      </c>
      <c r="M818" s="6" t="s">
        <v>4509</v>
      </c>
      <c r="N818" s="6" t="s">
        <v>4537</v>
      </c>
    </row>
    <row r="819" s="1" customFormat="1" ht="16.35" customHeight="1" spans="1:14">
      <c r="A819" s="5"/>
      <c r="B819" s="6" t="s">
        <v>4506</v>
      </c>
      <c r="C819" s="6">
        <v>2016</v>
      </c>
      <c r="D819" s="6">
        <v>6</v>
      </c>
      <c r="E819" s="7">
        <v>73</v>
      </c>
      <c r="F819" s="6" t="s">
        <v>9435</v>
      </c>
      <c r="G819" s="6" t="s">
        <v>9370</v>
      </c>
      <c r="H819" s="6" t="s">
        <v>26</v>
      </c>
      <c r="I819" s="8"/>
      <c r="J819" s="8">
        <v>500000</v>
      </c>
      <c r="K819" s="6" t="s">
        <v>4509</v>
      </c>
      <c r="L819" s="6" t="s">
        <v>9218</v>
      </c>
      <c r="M819" s="6" t="s">
        <v>4509</v>
      </c>
      <c r="N819" s="6" t="s">
        <v>4537</v>
      </c>
    </row>
    <row r="820" s="1" customFormat="1" ht="16.35" customHeight="1" spans="1:14">
      <c r="A820" s="5"/>
      <c r="B820" s="6" t="s">
        <v>4506</v>
      </c>
      <c r="C820" s="6">
        <v>2016</v>
      </c>
      <c r="D820" s="6">
        <v>7</v>
      </c>
      <c r="E820" s="7">
        <v>18</v>
      </c>
      <c r="F820" s="6" t="s">
        <v>9824</v>
      </c>
      <c r="G820" s="6" t="s">
        <v>9370</v>
      </c>
      <c r="H820" s="6" t="s">
        <v>26</v>
      </c>
      <c r="I820" s="8"/>
      <c r="J820" s="8">
        <v>-20000</v>
      </c>
      <c r="K820" s="6" t="s">
        <v>4514</v>
      </c>
      <c r="L820" s="6" t="s">
        <v>4511</v>
      </c>
      <c r="M820" s="6" t="s">
        <v>4509</v>
      </c>
      <c r="N820" s="6" t="s">
        <v>4537</v>
      </c>
    </row>
    <row r="821" s="1" customFormat="1" ht="16.35" customHeight="1" spans="1:14">
      <c r="A821" s="5"/>
      <c r="B821" s="6" t="s">
        <v>4506</v>
      </c>
      <c r="C821" s="6">
        <v>2016</v>
      </c>
      <c r="D821" s="6">
        <v>7</v>
      </c>
      <c r="E821" s="7">
        <v>28</v>
      </c>
      <c r="F821" s="6" t="s">
        <v>9825</v>
      </c>
      <c r="G821" s="6" t="s">
        <v>9370</v>
      </c>
      <c r="H821" s="6" t="s">
        <v>26</v>
      </c>
      <c r="I821" s="8">
        <v>2000000</v>
      </c>
      <c r="J821" s="8"/>
      <c r="K821" s="6" t="s">
        <v>4509</v>
      </c>
      <c r="L821" s="6" t="s">
        <v>9218</v>
      </c>
      <c r="M821" s="6" t="s">
        <v>4509</v>
      </c>
      <c r="N821" s="6" t="s">
        <v>4537</v>
      </c>
    </row>
    <row r="822" s="1" customFormat="1" ht="16.35" customHeight="1" spans="1:14">
      <c r="A822" s="5"/>
      <c r="B822" s="6" t="s">
        <v>4506</v>
      </c>
      <c r="C822" s="6">
        <v>2016</v>
      </c>
      <c r="D822" s="6">
        <v>7</v>
      </c>
      <c r="E822" s="7">
        <v>32</v>
      </c>
      <c r="F822" s="6" t="s">
        <v>9810</v>
      </c>
      <c r="G822" s="6" t="s">
        <v>9370</v>
      </c>
      <c r="H822" s="6" t="s">
        <v>26</v>
      </c>
      <c r="I822" s="8"/>
      <c r="J822" s="8">
        <v>12684</v>
      </c>
      <c r="K822" s="6" t="s">
        <v>4526</v>
      </c>
      <c r="L822" s="6" t="s">
        <v>9792</v>
      </c>
      <c r="M822" s="6" t="s">
        <v>4509</v>
      </c>
      <c r="N822" s="6" t="s">
        <v>4537</v>
      </c>
    </row>
    <row r="823" s="1" customFormat="1" ht="16.35" customHeight="1" spans="1:14">
      <c r="A823" s="5"/>
      <c r="B823" s="6" t="s">
        <v>4506</v>
      </c>
      <c r="C823" s="6">
        <v>2016</v>
      </c>
      <c r="D823" s="6">
        <v>7</v>
      </c>
      <c r="E823" s="7">
        <v>37</v>
      </c>
      <c r="F823" s="6" t="s">
        <v>9405</v>
      </c>
      <c r="G823" s="6" t="s">
        <v>9370</v>
      </c>
      <c r="H823" s="6" t="s">
        <v>26</v>
      </c>
      <c r="I823" s="8">
        <v>400000</v>
      </c>
      <c r="J823" s="8"/>
      <c r="K823" s="6" t="s">
        <v>4509</v>
      </c>
      <c r="L823" s="6" t="s">
        <v>9218</v>
      </c>
      <c r="M823" s="6" t="s">
        <v>4509</v>
      </c>
      <c r="N823" s="6" t="s">
        <v>4537</v>
      </c>
    </row>
    <row r="824" s="1" customFormat="1" ht="16.35" customHeight="1" spans="1:14">
      <c r="A824" s="5"/>
      <c r="B824" s="6" t="s">
        <v>4506</v>
      </c>
      <c r="C824" s="6">
        <v>2016</v>
      </c>
      <c r="D824" s="6">
        <v>7</v>
      </c>
      <c r="E824" s="7">
        <v>40</v>
      </c>
      <c r="F824" s="6" t="s">
        <v>9826</v>
      </c>
      <c r="G824" s="6" t="s">
        <v>9370</v>
      </c>
      <c r="H824" s="6" t="s">
        <v>26</v>
      </c>
      <c r="I824" s="8"/>
      <c r="J824" s="8">
        <v>38165.4</v>
      </c>
      <c r="K824" s="6" t="s">
        <v>4509</v>
      </c>
      <c r="L824" s="6" t="s">
        <v>9218</v>
      </c>
      <c r="M824" s="6" t="s">
        <v>4509</v>
      </c>
      <c r="N824" s="6" t="s">
        <v>4537</v>
      </c>
    </row>
    <row r="825" s="1" customFormat="1" ht="16.35" customHeight="1" spans="1:14">
      <c r="A825" s="5"/>
      <c r="B825" s="6" t="s">
        <v>4506</v>
      </c>
      <c r="C825" s="6">
        <v>2016</v>
      </c>
      <c r="D825" s="6">
        <v>7</v>
      </c>
      <c r="E825" s="7">
        <v>41</v>
      </c>
      <c r="F825" s="6" t="s">
        <v>9761</v>
      </c>
      <c r="G825" s="6" t="s">
        <v>9370</v>
      </c>
      <c r="H825" s="6" t="s">
        <v>26</v>
      </c>
      <c r="I825" s="8"/>
      <c r="J825" s="8">
        <v>363836.41</v>
      </c>
      <c r="K825" s="6" t="s">
        <v>4509</v>
      </c>
      <c r="L825" s="6" t="s">
        <v>9218</v>
      </c>
      <c r="M825" s="6" t="s">
        <v>4509</v>
      </c>
      <c r="N825" s="6" t="s">
        <v>4537</v>
      </c>
    </row>
    <row r="826" s="1" customFormat="1" ht="16.35" customHeight="1" spans="1:14">
      <c r="A826" s="5"/>
      <c r="B826" s="6" t="s">
        <v>4506</v>
      </c>
      <c r="C826" s="6">
        <v>2016</v>
      </c>
      <c r="D826" s="6">
        <v>7</v>
      </c>
      <c r="E826" s="7">
        <v>42</v>
      </c>
      <c r="F826" s="6" t="s">
        <v>4552</v>
      </c>
      <c r="G826" s="6" t="s">
        <v>9370</v>
      </c>
      <c r="H826" s="6" t="s">
        <v>26</v>
      </c>
      <c r="I826" s="8"/>
      <c r="J826" s="8">
        <v>410000</v>
      </c>
      <c r="K826" s="6" t="s">
        <v>4509</v>
      </c>
      <c r="L826" s="6" t="s">
        <v>9218</v>
      </c>
      <c r="M826" s="6" t="s">
        <v>4509</v>
      </c>
      <c r="N826" s="6" t="s">
        <v>4537</v>
      </c>
    </row>
    <row r="827" s="1" customFormat="1" ht="16.35" customHeight="1" spans="1:14">
      <c r="A827" s="5"/>
      <c r="B827" s="6" t="s">
        <v>4506</v>
      </c>
      <c r="C827" s="6">
        <v>2016</v>
      </c>
      <c r="D827" s="6">
        <v>7</v>
      </c>
      <c r="E827" s="7">
        <v>43</v>
      </c>
      <c r="F827" s="6" t="s">
        <v>9729</v>
      </c>
      <c r="G827" s="6" t="s">
        <v>9370</v>
      </c>
      <c r="H827" s="6" t="s">
        <v>26</v>
      </c>
      <c r="I827" s="8"/>
      <c r="J827" s="8">
        <v>862.78</v>
      </c>
      <c r="K827" s="6" t="s">
        <v>4510</v>
      </c>
      <c r="L827" s="6" t="s">
        <v>9447</v>
      </c>
      <c r="M827" s="6" t="s">
        <v>4509</v>
      </c>
      <c r="N827" s="6" t="s">
        <v>4537</v>
      </c>
    </row>
    <row r="828" s="1" customFormat="1" ht="16.35" customHeight="1" spans="1:14">
      <c r="A828" s="5"/>
      <c r="B828" s="6" t="s">
        <v>4506</v>
      </c>
      <c r="C828" s="6">
        <v>2016</v>
      </c>
      <c r="D828" s="6">
        <v>7</v>
      </c>
      <c r="E828" s="7">
        <v>43</v>
      </c>
      <c r="F828" s="6" t="s">
        <v>9729</v>
      </c>
      <c r="G828" s="6" t="s">
        <v>9370</v>
      </c>
      <c r="H828" s="6" t="s">
        <v>26</v>
      </c>
      <c r="I828" s="8"/>
      <c r="J828" s="8">
        <v>492.4</v>
      </c>
      <c r="K828" s="6" t="s">
        <v>4516</v>
      </c>
      <c r="L828" s="6" t="s">
        <v>9449</v>
      </c>
      <c r="M828" s="6" t="s">
        <v>4509</v>
      </c>
      <c r="N828" s="6" t="s">
        <v>4537</v>
      </c>
    </row>
    <row r="829" s="1" customFormat="1" ht="16.35" customHeight="1" spans="1:14">
      <c r="A829" s="5"/>
      <c r="B829" s="6" t="s">
        <v>4506</v>
      </c>
      <c r="C829" s="6">
        <v>2016</v>
      </c>
      <c r="D829" s="6">
        <v>8</v>
      </c>
      <c r="E829" s="7">
        <v>1</v>
      </c>
      <c r="F829" s="6" t="s">
        <v>9385</v>
      </c>
      <c r="G829" s="6" t="s">
        <v>9370</v>
      </c>
      <c r="H829" s="6" t="s">
        <v>26</v>
      </c>
      <c r="I829" s="8"/>
      <c r="J829" s="8">
        <v>546700</v>
      </c>
      <c r="K829" s="6" t="s">
        <v>4512</v>
      </c>
      <c r="L829" s="6" t="s">
        <v>2906</v>
      </c>
      <c r="M829" s="6" t="s">
        <v>4509</v>
      </c>
      <c r="N829" s="6" t="s">
        <v>4537</v>
      </c>
    </row>
    <row r="830" s="1" customFormat="1" ht="16.35" customHeight="1" spans="1:14">
      <c r="A830" s="5"/>
      <c r="B830" s="6" t="s">
        <v>4506</v>
      </c>
      <c r="C830" s="6">
        <v>2016</v>
      </c>
      <c r="D830" s="6">
        <v>8</v>
      </c>
      <c r="E830" s="7">
        <v>6</v>
      </c>
      <c r="F830" s="6" t="s">
        <v>9405</v>
      </c>
      <c r="G830" s="6" t="s">
        <v>9370</v>
      </c>
      <c r="H830" s="6" t="s">
        <v>26</v>
      </c>
      <c r="I830" s="8">
        <v>300000</v>
      </c>
      <c r="J830" s="8"/>
      <c r="K830" s="6" t="s">
        <v>4509</v>
      </c>
      <c r="L830" s="6" t="s">
        <v>9218</v>
      </c>
      <c r="M830" s="6" t="s">
        <v>4509</v>
      </c>
      <c r="N830" s="6" t="s">
        <v>4537</v>
      </c>
    </row>
    <row r="831" s="1" customFormat="1" ht="16.35" customHeight="1" spans="1:14">
      <c r="A831" s="5"/>
      <c r="B831" s="6" t="s">
        <v>4506</v>
      </c>
      <c r="C831" s="6">
        <v>2016</v>
      </c>
      <c r="D831" s="6">
        <v>8</v>
      </c>
      <c r="E831" s="7">
        <v>10</v>
      </c>
      <c r="F831" s="6" t="s">
        <v>4660</v>
      </c>
      <c r="G831" s="6" t="s">
        <v>9370</v>
      </c>
      <c r="H831" s="6" t="s">
        <v>26</v>
      </c>
      <c r="I831" s="8"/>
      <c r="J831" s="8">
        <v>-60000</v>
      </c>
      <c r="K831" s="6" t="s">
        <v>4514</v>
      </c>
      <c r="L831" s="6" t="s">
        <v>4511</v>
      </c>
      <c r="M831" s="6" t="s">
        <v>4509</v>
      </c>
      <c r="N831" s="6" t="s">
        <v>4537</v>
      </c>
    </row>
    <row r="832" s="1" customFormat="1" ht="16.35" customHeight="1" spans="1:14">
      <c r="A832" s="5"/>
      <c r="B832" s="6" t="s">
        <v>4506</v>
      </c>
      <c r="C832" s="6">
        <v>2016</v>
      </c>
      <c r="D832" s="6">
        <v>8</v>
      </c>
      <c r="E832" s="7">
        <v>12</v>
      </c>
      <c r="F832" s="6" t="s">
        <v>9827</v>
      </c>
      <c r="G832" s="6" t="s">
        <v>9370</v>
      </c>
      <c r="H832" s="6" t="s">
        <v>26</v>
      </c>
      <c r="I832" s="8"/>
      <c r="J832" s="8">
        <v>-30000</v>
      </c>
      <c r="K832" s="6" t="s">
        <v>4514</v>
      </c>
      <c r="L832" s="6" t="s">
        <v>4511</v>
      </c>
      <c r="M832" s="6" t="s">
        <v>4509</v>
      </c>
      <c r="N832" s="6" t="s">
        <v>4537</v>
      </c>
    </row>
    <row r="833" s="1" customFormat="1" ht="16.35" customHeight="1" spans="1:14">
      <c r="A833" s="5"/>
      <c r="B833" s="6" t="s">
        <v>4506</v>
      </c>
      <c r="C833" s="6">
        <v>2016</v>
      </c>
      <c r="D833" s="6">
        <v>8</v>
      </c>
      <c r="E833" s="7">
        <v>14</v>
      </c>
      <c r="F833" s="6" t="s">
        <v>9385</v>
      </c>
      <c r="G833" s="6" t="s">
        <v>9370</v>
      </c>
      <c r="H833" s="6" t="s">
        <v>26</v>
      </c>
      <c r="I833" s="8"/>
      <c r="J833" s="8">
        <v>2145000</v>
      </c>
      <c r="K833" s="6" t="s">
        <v>4512</v>
      </c>
      <c r="L833" s="6" t="s">
        <v>2906</v>
      </c>
      <c r="M833" s="6" t="s">
        <v>4509</v>
      </c>
      <c r="N833" s="6" t="s">
        <v>4537</v>
      </c>
    </row>
    <row r="834" s="1" customFormat="1" ht="16.35" customHeight="1" spans="1:14">
      <c r="A834" s="5"/>
      <c r="B834" s="6" t="s">
        <v>4506</v>
      </c>
      <c r="C834" s="6">
        <v>2016</v>
      </c>
      <c r="D834" s="6">
        <v>8</v>
      </c>
      <c r="E834" s="7">
        <v>23</v>
      </c>
      <c r="F834" s="6" t="s">
        <v>9810</v>
      </c>
      <c r="G834" s="6" t="s">
        <v>9370</v>
      </c>
      <c r="H834" s="6" t="s">
        <v>26</v>
      </c>
      <c r="I834" s="8"/>
      <c r="J834" s="8">
        <v>23288.23</v>
      </c>
      <c r="K834" s="6" t="s">
        <v>4526</v>
      </c>
      <c r="L834" s="6" t="s">
        <v>9792</v>
      </c>
      <c r="M834" s="6" t="s">
        <v>4509</v>
      </c>
      <c r="N834" s="6" t="s">
        <v>4537</v>
      </c>
    </row>
    <row r="835" s="1" customFormat="1" ht="16.35" customHeight="1" spans="1:14">
      <c r="A835" s="5"/>
      <c r="B835" s="6" t="s">
        <v>4506</v>
      </c>
      <c r="C835" s="6">
        <v>2016</v>
      </c>
      <c r="D835" s="6">
        <v>8</v>
      </c>
      <c r="E835" s="7">
        <v>26</v>
      </c>
      <c r="F835" s="6" t="s">
        <v>9828</v>
      </c>
      <c r="G835" s="6" t="s">
        <v>9370</v>
      </c>
      <c r="H835" s="6" t="s">
        <v>26</v>
      </c>
      <c r="I835" s="8"/>
      <c r="J835" s="8">
        <v>10000</v>
      </c>
      <c r="K835" s="6" t="s">
        <v>4514</v>
      </c>
      <c r="L835" s="6" t="s">
        <v>4511</v>
      </c>
      <c r="M835" s="6" t="s">
        <v>4509</v>
      </c>
      <c r="N835" s="6" t="s">
        <v>4537</v>
      </c>
    </row>
    <row r="836" s="1" customFormat="1" ht="16.35" customHeight="1" spans="1:14">
      <c r="A836" s="5"/>
      <c r="B836" s="6" t="s">
        <v>4506</v>
      </c>
      <c r="C836" s="6">
        <v>2016</v>
      </c>
      <c r="D836" s="6">
        <v>8</v>
      </c>
      <c r="E836" s="7">
        <v>31</v>
      </c>
      <c r="F836" s="6" t="s">
        <v>9829</v>
      </c>
      <c r="G836" s="6" t="s">
        <v>9370</v>
      </c>
      <c r="H836" s="6" t="s">
        <v>26</v>
      </c>
      <c r="I836" s="8">
        <v>600000</v>
      </c>
      <c r="J836" s="8"/>
      <c r="K836" s="6" t="s">
        <v>4509</v>
      </c>
      <c r="L836" s="6" t="s">
        <v>9218</v>
      </c>
      <c r="M836" s="6" t="s">
        <v>4509</v>
      </c>
      <c r="N836" s="6" t="s">
        <v>4537</v>
      </c>
    </row>
    <row r="837" s="1" customFormat="1" ht="16.35" customHeight="1" spans="1:14">
      <c r="A837" s="5"/>
      <c r="B837" s="6" t="s">
        <v>4506</v>
      </c>
      <c r="C837" s="6">
        <v>2016</v>
      </c>
      <c r="D837" s="6">
        <v>8</v>
      </c>
      <c r="E837" s="7">
        <v>33</v>
      </c>
      <c r="F837" s="6" t="s">
        <v>9830</v>
      </c>
      <c r="G837" s="6" t="s">
        <v>9370</v>
      </c>
      <c r="H837" s="6" t="s">
        <v>26</v>
      </c>
      <c r="I837" s="8"/>
      <c r="J837" s="8">
        <v>-196400</v>
      </c>
      <c r="K837" s="6" t="s">
        <v>4512</v>
      </c>
      <c r="L837" s="6" t="s">
        <v>2906</v>
      </c>
      <c r="M837" s="6" t="s">
        <v>4509</v>
      </c>
      <c r="N837" s="6" t="s">
        <v>4537</v>
      </c>
    </row>
    <row r="838" s="1" customFormat="1" ht="16.35" customHeight="1" spans="1:14">
      <c r="A838" s="5"/>
      <c r="B838" s="6" t="s">
        <v>4506</v>
      </c>
      <c r="C838" s="6">
        <v>2016</v>
      </c>
      <c r="D838" s="6">
        <v>8</v>
      </c>
      <c r="E838" s="7">
        <v>41</v>
      </c>
      <c r="F838" s="6" t="s">
        <v>9829</v>
      </c>
      <c r="G838" s="6" t="s">
        <v>9370</v>
      </c>
      <c r="H838" s="6" t="s">
        <v>26</v>
      </c>
      <c r="I838" s="8"/>
      <c r="J838" s="8">
        <v>450000</v>
      </c>
      <c r="K838" s="6" t="s">
        <v>4509</v>
      </c>
      <c r="L838" s="6" t="s">
        <v>9218</v>
      </c>
      <c r="M838" s="6" t="s">
        <v>4509</v>
      </c>
      <c r="N838" s="6" t="s">
        <v>4537</v>
      </c>
    </row>
    <row r="839" s="1" customFormat="1" ht="16.35" customHeight="1" spans="1:14">
      <c r="A839" s="5"/>
      <c r="B839" s="6" t="s">
        <v>4506</v>
      </c>
      <c r="C839" s="6">
        <v>2016</v>
      </c>
      <c r="D839" s="6">
        <v>8</v>
      </c>
      <c r="E839" s="7">
        <v>43</v>
      </c>
      <c r="F839" s="6" t="s">
        <v>9828</v>
      </c>
      <c r="G839" s="6" t="s">
        <v>9370</v>
      </c>
      <c r="H839" s="6" t="s">
        <v>26</v>
      </c>
      <c r="I839" s="8"/>
      <c r="J839" s="8">
        <v>76635</v>
      </c>
      <c r="K839" s="6" t="s">
        <v>4514</v>
      </c>
      <c r="L839" s="6" t="s">
        <v>4511</v>
      </c>
      <c r="M839" s="6" t="s">
        <v>4509</v>
      </c>
      <c r="N839" s="6" t="s">
        <v>4537</v>
      </c>
    </row>
    <row r="840" s="1" customFormat="1" ht="16.35" customHeight="1" spans="1:14">
      <c r="A840" s="5"/>
      <c r="B840" s="6" t="s">
        <v>4506</v>
      </c>
      <c r="C840" s="6">
        <v>2016</v>
      </c>
      <c r="D840" s="6">
        <v>8</v>
      </c>
      <c r="E840" s="7">
        <v>45</v>
      </c>
      <c r="F840" s="6" t="s">
        <v>9829</v>
      </c>
      <c r="G840" s="6" t="s">
        <v>9370</v>
      </c>
      <c r="H840" s="6" t="s">
        <v>26</v>
      </c>
      <c r="I840" s="8">
        <v>1200000</v>
      </c>
      <c r="J840" s="8"/>
      <c r="K840" s="6" t="s">
        <v>4509</v>
      </c>
      <c r="L840" s="6" t="s">
        <v>9218</v>
      </c>
      <c r="M840" s="6" t="s">
        <v>4509</v>
      </c>
      <c r="N840" s="6" t="s">
        <v>4537</v>
      </c>
    </row>
    <row r="841" s="1" customFormat="1" ht="16.35" customHeight="1" spans="1:14">
      <c r="A841" s="5"/>
      <c r="B841" s="6" t="s">
        <v>4506</v>
      </c>
      <c r="C841" s="6">
        <v>2016</v>
      </c>
      <c r="D841" s="6">
        <v>8</v>
      </c>
      <c r="E841" s="7">
        <v>46</v>
      </c>
      <c r="F841" s="6" t="s">
        <v>9810</v>
      </c>
      <c r="G841" s="6" t="s">
        <v>9370</v>
      </c>
      <c r="H841" s="6" t="s">
        <v>26</v>
      </c>
      <c r="I841" s="8"/>
      <c r="J841" s="8">
        <v>12590</v>
      </c>
      <c r="K841" s="6" t="s">
        <v>4526</v>
      </c>
      <c r="L841" s="6" t="s">
        <v>9792</v>
      </c>
      <c r="M841" s="6" t="s">
        <v>4509</v>
      </c>
      <c r="N841" s="6" t="s">
        <v>4537</v>
      </c>
    </row>
    <row r="842" s="1" customFormat="1" ht="16.35" customHeight="1" spans="1:14">
      <c r="A842" s="5"/>
      <c r="B842" s="6" t="s">
        <v>4506</v>
      </c>
      <c r="C842" s="6">
        <v>2016</v>
      </c>
      <c r="D842" s="6">
        <v>8</v>
      </c>
      <c r="E842" s="7">
        <v>48</v>
      </c>
      <c r="F842" s="6" t="s">
        <v>9828</v>
      </c>
      <c r="G842" s="6" t="s">
        <v>9370</v>
      </c>
      <c r="H842" s="6" t="s">
        <v>26</v>
      </c>
      <c r="I842" s="8"/>
      <c r="J842" s="8">
        <v>5000</v>
      </c>
      <c r="K842" s="6" t="s">
        <v>4514</v>
      </c>
      <c r="L842" s="6" t="s">
        <v>4511</v>
      </c>
      <c r="M842" s="6" t="s">
        <v>4509</v>
      </c>
      <c r="N842" s="6" t="s">
        <v>4537</v>
      </c>
    </row>
    <row r="843" s="1" customFormat="1" ht="16.35" customHeight="1" spans="1:14">
      <c r="A843" s="5"/>
      <c r="B843" s="6" t="s">
        <v>4506</v>
      </c>
      <c r="C843" s="6">
        <v>2016</v>
      </c>
      <c r="D843" s="6">
        <v>8</v>
      </c>
      <c r="E843" s="7">
        <v>53</v>
      </c>
      <c r="F843" s="6" t="s">
        <v>4675</v>
      </c>
      <c r="G843" s="6" t="s">
        <v>9370</v>
      </c>
      <c r="H843" s="6" t="s">
        <v>26</v>
      </c>
      <c r="I843" s="8">
        <v>305928</v>
      </c>
      <c r="J843" s="8"/>
      <c r="K843" s="6" t="s">
        <v>2919</v>
      </c>
      <c r="L843" s="6" t="s">
        <v>9806</v>
      </c>
      <c r="M843" s="6" t="s">
        <v>4509</v>
      </c>
      <c r="N843" s="6" t="s">
        <v>4537</v>
      </c>
    </row>
    <row r="844" s="1" customFormat="1" ht="16.35" customHeight="1" spans="1:14">
      <c r="A844" s="5"/>
      <c r="B844" s="6" t="s">
        <v>4506</v>
      </c>
      <c r="C844" s="6">
        <v>2016</v>
      </c>
      <c r="D844" s="6">
        <v>8</v>
      </c>
      <c r="E844" s="7">
        <v>54</v>
      </c>
      <c r="F844" s="6" t="s">
        <v>9831</v>
      </c>
      <c r="G844" s="6" t="s">
        <v>9370</v>
      </c>
      <c r="H844" s="6" t="s">
        <v>26</v>
      </c>
      <c r="I844" s="8"/>
      <c r="J844" s="8">
        <v>5843.2</v>
      </c>
      <c r="K844" s="6" t="s">
        <v>4509</v>
      </c>
      <c r="L844" s="6" t="s">
        <v>9218</v>
      </c>
      <c r="M844" s="6" t="s">
        <v>4509</v>
      </c>
      <c r="N844" s="6" t="s">
        <v>4537</v>
      </c>
    </row>
    <row r="845" s="1" customFormat="1" ht="16.35" customHeight="1" spans="1:14">
      <c r="A845" s="5"/>
      <c r="B845" s="6" t="s">
        <v>4506</v>
      </c>
      <c r="C845" s="6">
        <v>2016</v>
      </c>
      <c r="D845" s="6">
        <v>8</v>
      </c>
      <c r="E845" s="7">
        <v>55</v>
      </c>
      <c r="F845" s="6" t="s">
        <v>9832</v>
      </c>
      <c r="G845" s="6" t="s">
        <v>9370</v>
      </c>
      <c r="H845" s="6" t="s">
        <v>26</v>
      </c>
      <c r="I845" s="8"/>
      <c r="J845" s="8">
        <v>134784</v>
      </c>
      <c r="K845" s="6" t="s">
        <v>4509</v>
      </c>
      <c r="L845" s="6" t="s">
        <v>9218</v>
      </c>
      <c r="M845" s="6" t="s">
        <v>4509</v>
      </c>
      <c r="N845" s="6" t="s">
        <v>4537</v>
      </c>
    </row>
    <row r="846" s="1" customFormat="1" ht="16.35" customHeight="1" spans="1:14">
      <c r="A846" s="5"/>
      <c r="B846" s="6" t="s">
        <v>4506</v>
      </c>
      <c r="C846" s="6">
        <v>2016</v>
      </c>
      <c r="D846" s="6">
        <v>8</v>
      </c>
      <c r="E846" s="7">
        <v>56</v>
      </c>
      <c r="F846" s="6" t="s">
        <v>9819</v>
      </c>
      <c r="G846" s="6" t="s">
        <v>9370</v>
      </c>
      <c r="H846" s="6" t="s">
        <v>26</v>
      </c>
      <c r="I846" s="8"/>
      <c r="J846" s="8">
        <v>7500</v>
      </c>
      <c r="K846" s="6" t="s">
        <v>4509</v>
      </c>
      <c r="L846" s="6" t="s">
        <v>9218</v>
      </c>
      <c r="M846" s="6" t="s">
        <v>4509</v>
      </c>
      <c r="N846" s="6" t="s">
        <v>4537</v>
      </c>
    </row>
    <row r="847" s="1" customFormat="1" ht="16.35" customHeight="1" spans="1:14">
      <c r="A847" s="5"/>
      <c r="B847" s="6" t="s">
        <v>4506</v>
      </c>
      <c r="C847" s="6">
        <v>2016</v>
      </c>
      <c r="D847" s="6">
        <v>8</v>
      </c>
      <c r="E847" s="7">
        <v>57</v>
      </c>
      <c r="F847" s="6" t="s">
        <v>9736</v>
      </c>
      <c r="G847" s="6" t="s">
        <v>9370</v>
      </c>
      <c r="H847" s="6" t="s">
        <v>26</v>
      </c>
      <c r="I847" s="8"/>
      <c r="J847" s="8">
        <v>741.19</v>
      </c>
      <c r="K847" s="6" t="s">
        <v>4510</v>
      </c>
      <c r="L847" s="6" t="s">
        <v>9447</v>
      </c>
      <c r="M847" s="6" t="s">
        <v>4509</v>
      </c>
      <c r="N847" s="6" t="s">
        <v>4537</v>
      </c>
    </row>
    <row r="848" s="1" customFormat="1" ht="16.35" customHeight="1" spans="1:14">
      <c r="A848" s="5"/>
      <c r="B848" s="6" t="s">
        <v>4506</v>
      </c>
      <c r="C848" s="6">
        <v>2016</v>
      </c>
      <c r="D848" s="6">
        <v>8</v>
      </c>
      <c r="E848" s="7">
        <v>57</v>
      </c>
      <c r="F848" s="6" t="s">
        <v>9736</v>
      </c>
      <c r="G848" s="6" t="s">
        <v>9370</v>
      </c>
      <c r="H848" s="6" t="s">
        <v>26</v>
      </c>
      <c r="I848" s="8"/>
      <c r="J848" s="8">
        <v>624.8</v>
      </c>
      <c r="K848" s="6" t="s">
        <v>4516</v>
      </c>
      <c r="L848" s="6" t="s">
        <v>9449</v>
      </c>
      <c r="M848" s="6" t="s">
        <v>4509</v>
      </c>
      <c r="N848" s="6" t="s">
        <v>4537</v>
      </c>
    </row>
    <row r="849" s="1" customFormat="1" ht="16.35" customHeight="1" spans="1:14">
      <c r="A849" s="5"/>
      <c r="B849" s="6" t="s">
        <v>4506</v>
      </c>
      <c r="C849" s="6">
        <v>2016</v>
      </c>
      <c r="D849" s="6">
        <v>9</v>
      </c>
      <c r="E849" s="7">
        <v>17</v>
      </c>
      <c r="F849" s="6" t="s">
        <v>4681</v>
      </c>
      <c r="G849" s="6" t="s">
        <v>9370</v>
      </c>
      <c r="H849" s="6" t="s">
        <v>26</v>
      </c>
      <c r="I849" s="8"/>
      <c r="J849" s="8">
        <v>-10000</v>
      </c>
      <c r="K849" s="6" t="s">
        <v>4514</v>
      </c>
      <c r="L849" s="6" t="s">
        <v>4511</v>
      </c>
      <c r="M849" s="6" t="s">
        <v>4509</v>
      </c>
      <c r="N849" s="6" t="s">
        <v>4537</v>
      </c>
    </row>
    <row r="850" s="1" customFormat="1" ht="16.35" customHeight="1" spans="1:14">
      <c r="A850" s="5"/>
      <c r="B850" s="6" t="s">
        <v>4506</v>
      </c>
      <c r="C850" s="6">
        <v>2016</v>
      </c>
      <c r="D850" s="6">
        <v>9</v>
      </c>
      <c r="E850" s="7">
        <v>23</v>
      </c>
      <c r="F850" s="6" t="s">
        <v>9833</v>
      </c>
      <c r="G850" s="6" t="s">
        <v>9370</v>
      </c>
      <c r="H850" s="6" t="s">
        <v>26</v>
      </c>
      <c r="I850" s="8"/>
      <c r="J850" s="8">
        <v>-10000</v>
      </c>
      <c r="K850" s="6" t="s">
        <v>4514</v>
      </c>
      <c r="L850" s="6" t="s">
        <v>4511</v>
      </c>
      <c r="M850" s="6" t="s">
        <v>4509</v>
      </c>
      <c r="N850" s="6" t="s">
        <v>4537</v>
      </c>
    </row>
    <row r="851" s="1" customFormat="1" ht="16.35" customHeight="1" spans="1:14">
      <c r="A851" s="5"/>
      <c r="B851" s="6" t="s">
        <v>4506</v>
      </c>
      <c r="C851" s="6">
        <v>2016</v>
      </c>
      <c r="D851" s="6">
        <v>9</v>
      </c>
      <c r="E851" s="7">
        <v>26</v>
      </c>
      <c r="F851" s="6" t="s">
        <v>9834</v>
      </c>
      <c r="G851" s="6" t="s">
        <v>9370</v>
      </c>
      <c r="H851" s="6" t="s">
        <v>26</v>
      </c>
      <c r="I851" s="8"/>
      <c r="J851" s="8">
        <v>80613</v>
      </c>
      <c r="K851" s="6" t="s">
        <v>4514</v>
      </c>
      <c r="L851" s="6" t="s">
        <v>4511</v>
      </c>
      <c r="M851" s="6" t="s">
        <v>4509</v>
      </c>
      <c r="N851" s="6" t="s">
        <v>4537</v>
      </c>
    </row>
    <row r="852" s="1" customFormat="1" ht="16.35" customHeight="1" spans="1:14">
      <c r="A852" s="5"/>
      <c r="B852" s="6" t="s">
        <v>4506</v>
      </c>
      <c r="C852" s="6">
        <v>2016</v>
      </c>
      <c r="D852" s="6">
        <v>9</v>
      </c>
      <c r="E852" s="7">
        <v>38</v>
      </c>
      <c r="F852" s="6" t="s">
        <v>9835</v>
      </c>
      <c r="G852" s="6" t="s">
        <v>9370</v>
      </c>
      <c r="H852" s="6" t="s">
        <v>26</v>
      </c>
      <c r="I852" s="8">
        <v>390</v>
      </c>
      <c r="J852" s="8"/>
      <c r="K852" s="6" t="s">
        <v>4509</v>
      </c>
      <c r="L852" s="6" t="s">
        <v>9218</v>
      </c>
      <c r="M852" s="6" t="s">
        <v>4509</v>
      </c>
      <c r="N852" s="6" t="s">
        <v>4537</v>
      </c>
    </row>
    <row r="853" s="1" customFormat="1" ht="16.35" customHeight="1" spans="1:14">
      <c r="A853" s="5"/>
      <c r="B853" s="6" t="s">
        <v>4506</v>
      </c>
      <c r="C853" s="6">
        <v>2016</v>
      </c>
      <c r="D853" s="6">
        <v>9</v>
      </c>
      <c r="E853" s="7">
        <v>44</v>
      </c>
      <c r="F853" s="6" t="s">
        <v>9836</v>
      </c>
      <c r="G853" s="6" t="s">
        <v>9370</v>
      </c>
      <c r="H853" s="6" t="s">
        <v>26</v>
      </c>
      <c r="I853" s="8">
        <v>590000</v>
      </c>
      <c r="J853" s="8"/>
      <c r="K853" s="6" t="s">
        <v>4509</v>
      </c>
      <c r="L853" s="6" t="s">
        <v>9218</v>
      </c>
      <c r="M853" s="6" t="s">
        <v>4509</v>
      </c>
      <c r="N853" s="6" t="s">
        <v>4537</v>
      </c>
    </row>
    <row r="854" s="1" customFormat="1" ht="16.35" customHeight="1" spans="1:14">
      <c r="A854" s="5"/>
      <c r="B854" s="6" t="s">
        <v>4506</v>
      </c>
      <c r="C854" s="6">
        <v>2016</v>
      </c>
      <c r="D854" s="6">
        <v>9</v>
      </c>
      <c r="E854" s="7">
        <v>53</v>
      </c>
      <c r="F854" s="6" t="s">
        <v>9837</v>
      </c>
      <c r="G854" s="6" t="s">
        <v>9370</v>
      </c>
      <c r="H854" s="6" t="s">
        <v>26</v>
      </c>
      <c r="I854" s="8">
        <v>10000</v>
      </c>
      <c r="J854" s="8"/>
      <c r="K854" s="6" t="s">
        <v>4512</v>
      </c>
      <c r="L854" s="6" t="s">
        <v>2906</v>
      </c>
      <c r="M854" s="6" t="s">
        <v>4509</v>
      </c>
      <c r="N854" s="6" t="s">
        <v>4537</v>
      </c>
    </row>
    <row r="855" s="1" customFormat="1" ht="16.35" customHeight="1" spans="1:14">
      <c r="A855" s="5"/>
      <c r="B855" s="6" t="s">
        <v>4506</v>
      </c>
      <c r="C855" s="6">
        <v>2016</v>
      </c>
      <c r="D855" s="6">
        <v>9</v>
      </c>
      <c r="E855" s="7">
        <v>71</v>
      </c>
      <c r="F855" s="6" t="s">
        <v>9838</v>
      </c>
      <c r="G855" s="6" t="s">
        <v>9370</v>
      </c>
      <c r="H855" s="6" t="s">
        <v>26</v>
      </c>
      <c r="I855" s="8"/>
      <c r="J855" s="8">
        <v>26071.6</v>
      </c>
      <c r="K855" s="6" t="s">
        <v>4509</v>
      </c>
      <c r="L855" s="6" t="s">
        <v>9218</v>
      </c>
      <c r="M855" s="6" t="s">
        <v>4509</v>
      </c>
      <c r="N855" s="6" t="s">
        <v>4537</v>
      </c>
    </row>
    <row r="856" s="1" customFormat="1" ht="16.35" customHeight="1" spans="1:14">
      <c r="A856" s="5"/>
      <c r="B856" s="6" t="s">
        <v>4506</v>
      </c>
      <c r="C856" s="6">
        <v>2016</v>
      </c>
      <c r="D856" s="6">
        <v>9</v>
      </c>
      <c r="E856" s="7">
        <v>72</v>
      </c>
      <c r="F856" s="6" t="s">
        <v>9839</v>
      </c>
      <c r="G856" s="6" t="s">
        <v>9370</v>
      </c>
      <c r="H856" s="6" t="s">
        <v>26</v>
      </c>
      <c r="I856" s="8"/>
      <c r="J856" s="8">
        <v>397.19</v>
      </c>
      <c r="K856" s="6" t="s">
        <v>4510</v>
      </c>
      <c r="L856" s="6" t="s">
        <v>9447</v>
      </c>
      <c r="M856" s="6" t="s">
        <v>4509</v>
      </c>
      <c r="N856" s="6" t="s">
        <v>4537</v>
      </c>
    </row>
    <row r="857" s="1" customFormat="1" ht="16.35" customHeight="1" spans="1:14">
      <c r="A857" s="5"/>
      <c r="B857" s="6" t="s">
        <v>4506</v>
      </c>
      <c r="C857" s="6">
        <v>2016</v>
      </c>
      <c r="D857" s="6">
        <v>9</v>
      </c>
      <c r="E857" s="7">
        <v>72</v>
      </c>
      <c r="F857" s="6" t="s">
        <v>9839</v>
      </c>
      <c r="G857" s="6" t="s">
        <v>9370</v>
      </c>
      <c r="H857" s="6" t="s">
        <v>26</v>
      </c>
      <c r="I857" s="8"/>
      <c r="J857" s="8">
        <v>280.8</v>
      </c>
      <c r="K857" s="6" t="s">
        <v>4516</v>
      </c>
      <c r="L857" s="6" t="s">
        <v>9449</v>
      </c>
      <c r="M857" s="6" t="s">
        <v>4509</v>
      </c>
      <c r="N857" s="6" t="s">
        <v>4537</v>
      </c>
    </row>
    <row r="858" s="1" customFormat="1" ht="16.35" customHeight="1" spans="1:14">
      <c r="A858" s="5"/>
      <c r="B858" s="6" t="s">
        <v>4506</v>
      </c>
      <c r="C858" s="6">
        <v>2016</v>
      </c>
      <c r="D858" s="6">
        <v>10</v>
      </c>
      <c r="E858" s="7">
        <v>41</v>
      </c>
      <c r="F858" s="6" t="s">
        <v>9405</v>
      </c>
      <c r="G858" s="6" t="s">
        <v>9370</v>
      </c>
      <c r="H858" s="6" t="s">
        <v>26</v>
      </c>
      <c r="I858" s="8">
        <v>1000000</v>
      </c>
      <c r="J858" s="8"/>
      <c r="K858" s="6" t="s">
        <v>4509</v>
      </c>
      <c r="L858" s="6" t="s">
        <v>9218</v>
      </c>
      <c r="M858" s="6" t="s">
        <v>4509</v>
      </c>
      <c r="N858" s="6" t="s">
        <v>4537</v>
      </c>
    </row>
    <row r="859" s="1" customFormat="1" ht="16.35" customHeight="1" spans="1:14">
      <c r="A859" s="5"/>
      <c r="B859" s="6" t="s">
        <v>4506</v>
      </c>
      <c r="C859" s="6">
        <v>2016</v>
      </c>
      <c r="D859" s="6">
        <v>10</v>
      </c>
      <c r="E859" s="7">
        <v>57</v>
      </c>
      <c r="F859" s="6" t="s">
        <v>9840</v>
      </c>
      <c r="G859" s="6" t="s">
        <v>9370</v>
      </c>
      <c r="H859" s="6" t="s">
        <v>26</v>
      </c>
      <c r="I859" s="8">
        <v>790648.77</v>
      </c>
      <c r="J859" s="8"/>
      <c r="K859" s="6" t="s">
        <v>4512</v>
      </c>
      <c r="L859" s="6" t="s">
        <v>2906</v>
      </c>
      <c r="M859" s="6" t="s">
        <v>4509</v>
      </c>
      <c r="N859" s="6" t="s">
        <v>4537</v>
      </c>
    </row>
    <row r="860" s="1" customFormat="1" ht="16.35" customHeight="1" spans="1:14">
      <c r="A860" s="5"/>
      <c r="B860" s="6" t="s">
        <v>4506</v>
      </c>
      <c r="C860" s="6">
        <v>2016</v>
      </c>
      <c r="D860" s="6">
        <v>10</v>
      </c>
      <c r="E860" s="7">
        <v>59</v>
      </c>
      <c r="F860" s="6" t="s">
        <v>9837</v>
      </c>
      <c r="G860" s="6" t="s">
        <v>9370</v>
      </c>
      <c r="H860" s="6" t="s">
        <v>26</v>
      </c>
      <c r="I860" s="8">
        <v>521941.76</v>
      </c>
      <c r="J860" s="8"/>
      <c r="K860" s="6" t="s">
        <v>4512</v>
      </c>
      <c r="L860" s="6" t="s">
        <v>2906</v>
      </c>
      <c r="M860" s="6" t="s">
        <v>4509</v>
      </c>
      <c r="N860" s="6" t="s">
        <v>4537</v>
      </c>
    </row>
    <row r="861" s="1" customFormat="1" ht="16.35" customHeight="1" spans="1:14">
      <c r="A861" s="5"/>
      <c r="B861" s="6" t="s">
        <v>4506</v>
      </c>
      <c r="C861" s="6">
        <v>2016</v>
      </c>
      <c r="D861" s="6">
        <v>10</v>
      </c>
      <c r="E861" s="7">
        <v>60</v>
      </c>
      <c r="F861" s="6" t="s">
        <v>9841</v>
      </c>
      <c r="G861" s="6" t="s">
        <v>9370</v>
      </c>
      <c r="H861" s="6" t="s">
        <v>26</v>
      </c>
      <c r="I861" s="8"/>
      <c r="J861" s="8">
        <v>0.01</v>
      </c>
      <c r="K861" s="6" t="s">
        <v>4512</v>
      </c>
      <c r="L861" s="6" t="s">
        <v>2906</v>
      </c>
      <c r="M861" s="6" t="s">
        <v>4509</v>
      </c>
      <c r="N861" s="6" t="s">
        <v>4537</v>
      </c>
    </row>
    <row r="862" s="1" customFormat="1" ht="16.35" customHeight="1" spans="1:14">
      <c r="A862" s="5"/>
      <c r="B862" s="6" t="s">
        <v>4506</v>
      </c>
      <c r="C862" s="6">
        <v>2016</v>
      </c>
      <c r="D862" s="6">
        <v>10</v>
      </c>
      <c r="E862" s="7">
        <v>81</v>
      </c>
      <c r="F862" s="6" t="s">
        <v>9842</v>
      </c>
      <c r="G862" s="6" t="s">
        <v>9370</v>
      </c>
      <c r="H862" s="6" t="s">
        <v>26</v>
      </c>
      <c r="I862" s="8"/>
      <c r="J862" s="8">
        <v>397.19</v>
      </c>
      <c r="K862" s="6" t="s">
        <v>4510</v>
      </c>
      <c r="L862" s="6" t="s">
        <v>9447</v>
      </c>
      <c r="M862" s="6" t="s">
        <v>4509</v>
      </c>
      <c r="N862" s="6" t="s">
        <v>4537</v>
      </c>
    </row>
    <row r="863" s="1" customFormat="1" ht="16.35" customHeight="1" spans="1:14">
      <c r="A863" s="5"/>
      <c r="B863" s="6" t="s">
        <v>4506</v>
      </c>
      <c r="C863" s="6">
        <v>2016</v>
      </c>
      <c r="D863" s="6">
        <v>10</v>
      </c>
      <c r="E863" s="7">
        <v>81</v>
      </c>
      <c r="F863" s="6" t="s">
        <v>9842</v>
      </c>
      <c r="G863" s="6" t="s">
        <v>9370</v>
      </c>
      <c r="H863" s="6" t="s">
        <v>26</v>
      </c>
      <c r="I863" s="8"/>
      <c r="J863" s="8">
        <v>280.8</v>
      </c>
      <c r="K863" s="6" t="s">
        <v>4516</v>
      </c>
      <c r="L863" s="6" t="s">
        <v>9449</v>
      </c>
      <c r="M863" s="6" t="s">
        <v>4509</v>
      </c>
      <c r="N863" s="6" t="s">
        <v>4537</v>
      </c>
    </row>
    <row r="864" s="1" customFormat="1" ht="16.35" customHeight="1" spans="1:14">
      <c r="A864" s="5"/>
      <c r="B864" s="6" t="s">
        <v>4506</v>
      </c>
      <c r="C864" s="6">
        <v>2016</v>
      </c>
      <c r="D864" s="6">
        <v>11</v>
      </c>
      <c r="E864" s="7">
        <v>9</v>
      </c>
      <c r="F864" s="6" t="s">
        <v>9405</v>
      </c>
      <c r="G864" s="6" t="s">
        <v>9370</v>
      </c>
      <c r="H864" s="6" t="s">
        <v>26</v>
      </c>
      <c r="I864" s="8">
        <v>1900000</v>
      </c>
      <c r="J864" s="8"/>
      <c r="K864" s="6" t="s">
        <v>4509</v>
      </c>
      <c r="L864" s="6" t="s">
        <v>9218</v>
      </c>
      <c r="M864" s="6" t="s">
        <v>4509</v>
      </c>
      <c r="N864" s="6" t="s">
        <v>4537</v>
      </c>
    </row>
    <row r="865" s="1" customFormat="1" ht="16.35" customHeight="1" spans="1:14">
      <c r="A865" s="5"/>
      <c r="B865" s="6" t="s">
        <v>4506</v>
      </c>
      <c r="C865" s="6">
        <v>2016</v>
      </c>
      <c r="D865" s="6">
        <v>11</v>
      </c>
      <c r="E865" s="7">
        <v>15</v>
      </c>
      <c r="F865" s="6" t="s">
        <v>9405</v>
      </c>
      <c r="G865" s="6" t="s">
        <v>9370</v>
      </c>
      <c r="H865" s="6" t="s">
        <v>26</v>
      </c>
      <c r="I865" s="8">
        <v>500000</v>
      </c>
      <c r="J865" s="8"/>
      <c r="K865" s="6" t="s">
        <v>4509</v>
      </c>
      <c r="L865" s="6" t="s">
        <v>9218</v>
      </c>
      <c r="M865" s="6" t="s">
        <v>4509</v>
      </c>
      <c r="N865" s="6" t="s">
        <v>4537</v>
      </c>
    </row>
    <row r="866" s="1" customFormat="1" ht="16.35" customHeight="1" spans="1:14">
      <c r="A866" s="5"/>
      <c r="B866" s="6" t="s">
        <v>4506</v>
      </c>
      <c r="C866" s="6">
        <v>2016</v>
      </c>
      <c r="D866" s="6">
        <v>11</v>
      </c>
      <c r="E866" s="7">
        <v>16</v>
      </c>
      <c r="F866" s="6" t="s">
        <v>9405</v>
      </c>
      <c r="G866" s="6" t="s">
        <v>9370</v>
      </c>
      <c r="H866" s="6" t="s">
        <v>26</v>
      </c>
      <c r="I866" s="8">
        <v>1500000</v>
      </c>
      <c r="J866" s="8"/>
      <c r="K866" s="6" t="s">
        <v>4509</v>
      </c>
      <c r="L866" s="6" t="s">
        <v>9218</v>
      </c>
      <c r="M866" s="6" t="s">
        <v>4509</v>
      </c>
      <c r="N866" s="6" t="s">
        <v>4537</v>
      </c>
    </row>
    <row r="867" s="1" customFormat="1" ht="16.35" customHeight="1" spans="1:14">
      <c r="A867" s="5"/>
      <c r="B867" s="6" t="s">
        <v>4506</v>
      </c>
      <c r="C867" s="6">
        <v>2016</v>
      </c>
      <c r="D867" s="6">
        <v>11</v>
      </c>
      <c r="E867" s="7">
        <v>52</v>
      </c>
      <c r="F867" s="6" t="s">
        <v>9405</v>
      </c>
      <c r="G867" s="6" t="s">
        <v>9370</v>
      </c>
      <c r="H867" s="6" t="s">
        <v>26</v>
      </c>
      <c r="I867" s="8">
        <v>1000000</v>
      </c>
      <c r="J867" s="8"/>
      <c r="K867" s="6" t="s">
        <v>4509</v>
      </c>
      <c r="L867" s="6" t="s">
        <v>9218</v>
      </c>
      <c r="M867" s="6" t="s">
        <v>4509</v>
      </c>
      <c r="N867" s="6" t="s">
        <v>4537</v>
      </c>
    </row>
    <row r="868" s="1" customFormat="1" ht="16.35" customHeight="1" spans="1:14">
      <c r="A868" s="5"/>
      <c r="B868" s="6" t="s">
        <v>4506</v>
      </c>
      <c r="C868" s="6">
        <v>2016</v>
      </c>
      <c r="D868" s="6">
        <v>11</v>
      </c>
      <c r="E868" s="7">
        <v>91</v>
      </c>
      <c r="F868" s="6" t="s">
        <v>9843</v>
      </c>
      <c r="G868" s="6" t="s">
        <v>9370</v>
      </c>
      <c r="H868" s="6" t="s">
        <v>26</v>
      </c>
      <c r="I868" s="8">
        <v>10000</v>
      </c>
      <c r="J868" s="8"/>
      <c r="K868" s="6" t="s">
        <v>4512</v>
      </c>
      <c r="L868" s="6" t="s">
        <v>2906</v>
      </c>
      <c r="M868" s="6" t="s">
        <v>4509</v>
      </c>
      <c r="N868" s="6" t="s">
        <v>4537</v>
      </c>
    </row>
    <row r="869" s="1" customFormat="1" ht="16.35" customHeight="1" spans="1:14">
      <c r="A869" s="5"/>
      <c r="B869" s="6" t="s">
        <v>4506</v>
      </c>
      <c r="C869" s="6">
        <v>2016</v>
      </c>
      <c r="D869" s="6">
        <v>11</v>
      </c>
      <c r="E869" s="7">
        <v>93</v>
      </c>
      <c r="F869" s="6" t="s">
        <v>9844</v>
      </c>
      <c r="G869" s="6" t="s">
        <v>9370</v>
      </c>
      <c r="H869" s="6" t="s">
        <v>26</v>
      </c>
      <c r="I869" s="8"/>
      <c r="J869" s="8">
        <v>23560.49</v>
      </c>
      <c r="K869" s="6" t="s">
        <v>4526</v>
      </c>
      <c r="L869" s="6" t="s">
        <v>9792</v>
      </c>
      <c r="M869" s="6" t="s">
        <v>4509</v>
      </c>
      <c r="N869" s="6" t="s">
        <v>4537</v>
      </c>
    </row>
    <row r="870" s="1" customFormat="1" ht="16.35" customHeight="1" spans="1:14">
      <c r="A870" s="5"/>
      <c r="B870" s="6" t="s">
        <v>4506</v>
      </c>
      <c r="C870" s="6">
        <v>2016</v>
      </c>
      <c r="D870" s="6">
        <v>11</v>
      </c>
      <c r="E870" s="7">
        <v>105</v>
      </c>
      <c r="F870" s="6" t="s">
        <v>9405</v>
      </c>
      <c r="G870" s="6" t="s">
        <v>9370</v>
      </c>
      <c r="H870" s="6" t="s">
        <v>26</v>
      </c>
      <c r="I870" s="8">
        <v>122923</v>
      </c>
      <c r="J870" s="8"/>
      <c r="K870" s="6" t="s">
        <v>4509</v>
      </c>
      <c r="L870" s="6" t="s">
        <v>9218</v>
      </c>
      <c r="M870" s="6" t="s">
        <v>4509</v>
      </c>
      <c r="N870" s="6" t="s">
        <v>4537</v>
      </c>
    </row>
    <row r="871" s="1" customFormat="1" ht="16.35" customHeight="1" spans="1:14">
      <c r="A871" s="5"/>
      <c r="B871" s="6" t="s">
        <v>4506</v>
      </c>
      <c r="C871" s="6">
        <v>2016</v>
      </c>
      <c r="D871" s="6">
        <v>11</v>
      </c>
      <c r="E871" s="7">
        <v>108</v>
      </c>
      <c r="F871" s="6" t="s">
        <v>9845</v>
      </c>
      <c r="G871" s="6" t="s">
        <v>9370</v>
      </c>
      <c r="H871" s="6" t="s">
        <v>26</v>
      </c>
      <c r="I871" s="8"/>
      <c r="J871" s="8">
        <v>16774.8</v>
      </c>
      <c r="K871" s="6" t="s">
        <v>4509</v>
      </c>
      <c r="L871" s="6" t="s">
        <v>9218</v>
      </c>
      <c r="M871" s="6" t="s">
        <v>4509</v>
      </c>
      <c r="N871" s="6" t="s">
        <v>4537</v>
      </c>
    </row>
    <row r="872" s="1" customFormat="1" ht="16.35" customHeight="1" spans="1:14">
      <c r="A872" s="5"/>
      <c r="B872" s="6" t="s">
        <v>4506</v>
      </c>
      <c r="C872" s="6">
        <v>2016</v>
      </c>
      <c r="D872" s="6">
        <v>11</v>
      </c>
      <c r="E872" s="7">
        <v>109</v>
      </c>
      <c r="F872" s="6" t="s">
        <v>9845</v>
      </c>
      <c r="G872" s="6" t="s">
        <v>9370</v>
      </c>
      <c r="H872" s="6" t="s">
        <v>26</v>
      </c>
      <c r="I872" s="8"/>
      <c r="J872" s="8">
        <v>95457.4</v>
      </c>
      <c r="K872" s="6" t="s">
        <v>4509</v>
      </c>
      <c r="L872" s="6" t="s">
        <v>9218</v>
      </c>
      <c r="M872" s="6" t="s">
        <v>4509</v>
      </c>
      <c r="N872" s="6" t="s">
        <v>4537</v>
      </c>
    </row>
    <row r="873" s="1" customFormat="1" ht="16.35" customHeight="1" spans="1:14">
      <c r="A873" s="5"/>
      <c r="B873" s="6" t="s">
        <v>4506</v>
      </c>
      <c r="C873" s="6">
        <v>2016</v>
      </c>
      <c r="D873" s="6">
        <v>11</v>
      </c>
      <c r="E873" s="7">
        <v>110</v>
      </c>
      <c r="F873" s="6" t="s">
        <v>9845</v>
      </c>
      <c r="G873" s="6" t="s">
        <v>9370</v>
      </c>
      <c r="H873" s="6" t="s">
        <v>26</v>
      </c>
      <c r="I873" s="8"/>
      <c r="J873" s="8">
        <v>58593.9</v>
      </c>
      <c r="K873" s="6" t="s">
        <v>4509</v>
      </c>
      <c r="L873" s="6" t="s">
        <v>9218</v>
      </c>
      <c r="M873" s="6" t="s">
        <v>4509</v>
      </c>
      <c r="N873" s="6" t="s">
        <v>4537</v>
      </c>
    </row>
    <row r="874" s="1" customFormat="1" ht="16.35" customHeight="1" spans="1:14">
      <c r="A874" s="5"/>
      <c r="B874" s="6" t="s">
        <v>4506</v>
      </c>
      <c r="C874" s="6">
        <v>2016</v>
      </c>
      <c r="D874" s="6">
        <v>11</v>
      </c>
      <c r="E874" s="7">
        <v>111</v>
      </c>
      <c r="F874" s="6" t="s">
        <v>9846</v>
      </c>
      <c r="G874" s="6" t="s">
        <v>9370</v>
      </c>
      <c r="H874" s="6" t="s">
        <v>26</v>
      </c>
      <c r="I874" s="8"/>
      <c r="J874" s="8">
        <v>397.19</v>
      </c>
      <c r="K874" s="6" t="s">
        <v>4510</v>
      </c>
      <c r="L874" s="6" t="s">
        <v>9447</v>
      </c>
      <c r="M874" s="6" t="s">
        <v>4509</v>
      </c>
      <c r="N874" s="6" t="s">
        <v>4537</v>
      </c>
    </row>
    <row r="875" s="1" customFormat="1" ht="16.35" customHeight="1" spans="1:14">
      <c r="A875" s="5"/>
      <c r="B875" s="6" t="s">
        <v>4506</v>
      </c>
      <c r="C875" s="6">
        <v>2016</v>
      </c>
      <c r="D875" s="6">
        <v>11</v>
      </c>
      <c r="E875" s="7">
        <v>111</v>
      </c>
      <c r="F875" s="6" t="s">
        <v>9846</v>
      </c>
      <c r="G875" s="6" t="s">
        <v>9370</v>
      </c>
      <c r="H875" s="6" t="s">
        <v>26</v>
      </c>
      <c r="I875" s="8"/>
      <c r="J875" s="8">
        <v>280.8</v>
      </c>
      <c r="K875" s="6" t="s">
        <v>4516</v>
      </c>
      <c r="L875" s="6" t="s">
        <v>9449</v>
      </c>
      <c r="M875" s="6" t="s">
        <v>4509</v>
      </c>
      <c r="N875" s="6" t="s">
        <v>4537</v>
      </c>
    </row>
    <row r="876" s="1" customFormat="1" ht="16.35" customHeight="1" spans="1:14">
      <c r="A876" s="5"/>
      <c r="B876" s="6" t="s">
        <v>4506</v>
      </c>
      <c r="C876" s="6">
        <v>2016</v>
      </c>
      <c r="D876" s="6">
        <v>12</v>
      </c>
      <c r="E876" s="7">
        <v>4</v>
      </c>
      <c r="F876" s="6" t="s">
        <v>9847</v>
      </c>
      <c r="G876" s="6" t="s">
        <v>9370</v>
      </c>
      <c r="H876" s="6" t="s">
        <v>26</v>
      </c>
      <c r="I876" s="8">
        <v>96088</v>
      </c>
      <c r="J876" s="8"/>
      <c r="K876" s="6" t="s">
        <v>4509</v>
      </c>
      <c r="L876" s="6" t="s">
        <v>9218</v>
      </c>
      <c r="M876" s="6" t="s">
        <v>4509</v>
      </c>
      <c r="N876" s="6" t="s">
        <v>4537</v>
      </c>
    </row>
    <row r="877" s="1" customFormat="1" ht="16.35" customHeight="1" spans="1:14">
      <c r="A877" s="5"/>
      <c r="B877" s="6" t="s">
        <v>4506</v>
      </c>
      <c r="C877" s="6">
        <v>2016</v>
      </c>
      <c r="D877" s="6">
        <v>12</v>
      </c>
      <c r="E877" s="7">
        <v>12</v>
      </c>
      <c r="F877" s="6" t="s">
        <v>9405</v>
      </c>
      <c r="G877" s="6" t="s">
        <v>9370</v>
      </c>
      <c r="H877" s="6" t="s">
        <v>26</v>
      </c>
      <c r="I877" s="8">
        <v>1550000</v>
      </c>
      <c r="J877" s="8"/>
      <c r="K877" s="6" t="s">
        <v>4509</v>
      </c>
      <c r="L877" s="6" t="s">
        <v>9218</v>
      </c>
      <c r="M877" s="6" t="s">
        <v>4509</v>
      </c>
      <c r="N877" s="6" t="s">
        <v>4537</v>
      </c>
    </row>
    <row r="878" s="1" customFormat="1" ht="16.35" customHeight="1" spans="1:14">
      <c r="A878" s="5"/>
      <c r="B878" s="6" t="s">
        <v>4506</v>
      </c>
      <c r="C878" s="6">
        <v>2016</v>
      </c>
      <c r="D878" s="6">
        <v>12</v>
      </c>
      <c r="E878" s="7">
        <v>13</v>
      </c>
      <c r="F878" s="6" t="s">
        <v>9848</v>
      </c>
      <c r="G878" s="6" t="s">
        <v>9370</v>
      </c>
      <c r="H878" s="6" t="s">
        <v>26</v>
      </c>
      <c r="I878" s="8"/>
      <c r="J878" s="8">
        <v>400000</v>
      </c>
      <c r="K878" s="6" t="s">
        <v>4512</v>
      </c>
      <c r="L878" s="6" t="s">
        <v>2906</v>
      </c>
      <c r="M878" s="6" t="s">
        <v>4509</v>
      </c>
      <c r="N878" s="6" t="s">
        <v>4537</v>
      </c>
    </row>
    <row r="879" s="1" customFormat="1" ht="16.35" customHeight="1" spans="1:14">
      <c r="A879" s="5"/>
      <c r="B879" s="6" t="s">
        <v>4506</v>
      </c>
      <c r="C879" s="6">
        <v>2016</v>
      </c>
      <c r="D879" s="6">
        <v>12</v>
      </c>
      <c r="E879" s="7">
        <v>23</v>
      </c>
      <c r="F879" s="6" t="s">
        <v>4781</v>
      </c>
      <c r="G879" s="6" t="s">
        <v>9370</v>
      </c>
      <c r="H879" s="6" t="s">
        <v>26</v>
      </c>
      <c r="I879" s="8"/>
      <c r="J879" s="8">
        <v>158715</v>
      </c>
      <c r="K879" s="6" t="s">
        <v>4509</v>
      </c>
      <c r="L879" s="6" t="s">
        <v>9218</v>
      </c>
      <c r="M879" s="6" t="s">
        <v>4509</v>
      </c>
      <c r="N879" s="6" t="s">
        <v>4537</v>
      </c>
    </row>
    <row r="880" s="1" customFormat="1" ht="16.35" customHeight="1" spans="1:14">
      <c r="A880" s="5"/>
      <c r="B880" s="6" t="s">
        <v>4506</v>
      </c>
      <c r="C880" s="6">
        <v>2016</v>
      </c>
      <c r="D880" s="6">
        <v>12</v>
      </c>
      <c r="E880" s="7">
        <v>23</v>
      </c>
      <c r="F880" s="6" t="s">
        <v>4781</v>
      </c>
      <c r="G880" s="6" t="s">
        <v>9370</v>
      </c>
      <c r="H880" s="6" t="s">
        <v>26</v>
      </c>
      <c r="I880" s="8"/>
      <c r="J880" s="8">
        <v>1285</v>
      </c>
      <c r="K880" s="6" t="s">
        <v>4523</v>
      </c>
      <c r="L880" s="6" t="s">
        <v>9632</v>
      </c>
      <c r="M880" s="6" t="s">
        <v>4509</v>
      </c>
      <c r="N880" s="6" t="s">
        <v>4537</v>
      </c>
    </row>
    <row r="881" s="1" customFormat="1" ht="16.35" customHeight="1" spans="1:14">
      <c r="A881" s="5"/>
      <c r="B881" s="6" t="s">
        <v>4506</v>
      </c>
      <c r="C881" s="6">
        <v>2016</v>
      </c>
      <c r="D881" s="6">
        <v>12</v>
      </c>
      <c r="E881" s="7">
        <v>24</v>
      </c>
      <c r="F881" s="6" t="s">
        <v>9849</v>
      </c>
      <c r="G881" s="6" t="s">
        <v>9370</v>
      </c>
      <c r="H881" s="6" t="s">
        <v>26</v>
      </c>
      <c r="I881" s="8"/>
      <c r="J881" s="8">
        <v>40000</v>
      </c>
      <c r="K881" s="6" t="s">
        <v>4509</v>
      </c>
      <c r="L881" s="6" t="s">
        <v>9218</v>
      </c>
      <c r="M881" s="6" t="s">
        <v>4509</v>
      </c>
      <c r="N881" s="6" t="s">
        <v>4537</v>
      </c>
    </row>
    <row r="882" s="1" customFormat="1" ht="16.35" customHeight="1" spans="1:14">
      <c r="A882" s="5"/>
      <c r="B882" s="6" t="s">
        <v>4506</v>
      </c>
      <c r="C882" s="6">
        <v>2016</v>
      </c>
      <c r="D882" s="6">
        <v>12</v>
      </c>
      <c r="E882" s="7">
        <v>24</v>
      </c>
      <c r="F882" s="6" t="s">
        <v>9849</v>
      </c>
      <c r="G882" s="6" t="s">
        <v>9370</v>
      </c>
      <c r="H882" s="6" t="s">
        <v>26</v>
      </c>
      <c r="I882" s="8"/>
      <c r="J882" s="8">
        <v>5000</v>
      </c>
      <c r="K882" s="6" t="s">
        <v>2922</v>
      </c>
      <c r="L882" s="6" t="s">
        <v>9850</v>
      </c>
      <c r="M882" s="6" t="s">
        <v>4510</v>
      </c>
      <c r="N882" s="6" t="s">
        <v>4511</v>
      </c>
    </row>
    <row r="883" s="1" customFormat="1" ht="16.35" customHeight="1" spans="1:14">
      <c r="A883" s="5"/>
      <c r="B883" s="6" t="s">
        <v>4506</v>
      </c>
      <c r="C883" s="6">
        <v>2016</v>
      </c>
      <c r="D883" s="6">
        <v>12</v>
      </c>
      <c r="E883" s="7">
        <v>27</v>
      </c>
      <c r="F883" s="6" t="s">
        <v>9851</v>
      </c>
      <c r="G883" s="6" t="s">
        <v>9370</v>
      </c>
      <c r="H883" s="6" t="s">
        <v>26</v>
      </c>
      <c r="I883" s="8"/>
      <c r="J883" s="8">
        <v>131979.2</v>
      </c>
      <c r="K883" s="6" t="s">
        <v>4509</v>
      </c>
      <c r="L883" s="6" t="s">
        <v>9218</v>
      </c>
      <c r="M883" s="6" t="s">
        <v>4509</v>
      </c>
      <c r="N883" s="6" t="s">
        <v>4537</v>
      </c>
    </row>
    <row r="884" s="1" customFormat="1" ht="16.35" customHeight="1" spans="1:14">
      <c r="A884" s="5"/>
      <c r="B884" s="6" t="s">
        <v>4506</v>
      </c>
      <c r="C884" s="6">
        <v>2016</v>
      </c>
      <c r="D884" s="6">
        <v>12</v>
      </c>
      <c r="E884" s="7">
        <v>28</v>
      </c>
      <c r="F884" s="6" t="s">
        <v>9852</v>
      </c>
      <c r="G884" s="6" t="s">
        <v>9370</v>
      </c>
      <c r="H884" s="6" t="s">
        <v>26</v>
      </c>
      <c r="I884" s="8">
        <v>20561</v>
      </c>
      <c r="J884" s="8"/>
      <c r="K884" s="6" t="s">
        <v>4509</v>
      </c>
      <c r="L884" s="6" t="s">
        <v>9218</v>
      </c>
      <c r="M884" s="6" t="s">
        <v>4509</v>
      </c>
      <c r="N884" s="6" t="s">
        <v>4537</v>
      </c>
    </row>
    <row r="885" s="1" customFormat="1" ht="16.35" customHeight="1" spans="1:14">
      <c r="A885" s="5"/>
      <c r="B885" s="6" t="s">
        <v>4506</v>
      </c>
      <c r="C885" s="6">
        <v>2016</v>
      </c>
      <c r="D885" s="6">
        <v>12</v>
      </c>
      <c r="E885" s="7">
        <v>39</v>
      </c>
      <c r="F885" s="6" t="s">
        <v>9405</v>
      </c>
      <c r="G885" s="6" t="s">
        <v>9370</v>
      </c>
      <c r="H885" s="6" t="s">
        <v>26</v>
      </c>
      <c r="I885" s="8">
        <v>1500000</v>
      </c>
      <c r="J885" s="8"/>
      <c r="K885" s="6" t="s">
        <v>4509</v>
      </c>
      <c r="L885" s="6" t="s">
        <v>9218</v>
      </c>
      <c r="M885" s="6" t="s">
        <v>4509</v>
      </c>
      <c r="N885" s="6" t="s">
        <v>4537</v>
      </c>
    </row>
    <row r="886" s="1" customFormat="1" ht="16.35" customHeight="1" spans="1:14">
      <c r="A886" s="5"/>
      <c r="B886" s="6" t="s">
        <v>4506</v>
      </c>
      <c r="C886" s="6">
        <v>2016</v>
      </c>
      <c r="D886" s="6">
        <v>12</v>
      </c>
      <c r="E886" s="7">
        <v>42</v>
      </c>
      <c r="F886" s="6" t="s">
        <v>9810</v>
      </c>
      <c r="G886" s="6" t="s">
        <v>9370</v>
      </c>
      <c r="H886" s="6" t="s">
        <v>26</v>
      </c>
      <c r="I886" s="8"/>
      <c r="J886" s="8">
        <v>13308</v>
      </c>
      <c r="K886" s="6" t="s">
        <v>4526</v>
      </c>
      <c r="L886" s="6" t="s">
        <v>9792</v>
      </c>
      <c r="M886" s="6" t="s">
        <v>4509</v>
      </c>
      <c r="N886" s="6" t="s">
        <v>4537</v>
      </c>
    </row>
    <row r="887" s="1" customFormat="1" ht="16.35" customHeight="1" spans="1:14">
      <c r="A887" s="5"/>
      <c r="B887" s="6" t="s">
        <v>4506</v>
      </c>
      <c r="C887" s="6">
        <v>2016</v>
      </c>
      <c r="D887" s="6">
        <v>12</v>
      </c>
      <c r="E887" s="7">
        <v>54</v>
      </c>
      <c r="F887" s="6" t="s">
        <v>9853</v>
      </c>
      <c r="G887" s="6" t="s">
        <v>9370</v>
      </c>
      <c r="H887" s="6" t="s">
        <v>26</v>
      </c>
      <c r="I887" s="8"/>
      <c r="J887" s="8">
        <v>6000</v>
      </c>
      <c r="K887" s="6" t="s">
        <v>4512</v>
      </c>
      <c r="L887" s="6" t="s">
        <v>2906</v>
      </c>
      <c r="M887" s="6" t="s">
        <v>4509</v>
      </c>
      <c r="N887" s="6" t="s">
        <v>4537</v>
      </c>
    </row>
    <row r="888" s="1" customFormat="1" ht="16.35" customHeight="1" spans="1:14">
      <c r="A888" s="5"/>
      <c r="B888" s="6" t="s">
        <v>4506</v>
      </c>
      <c r="C888" s="6">
        <v>2016</v>
      </c>
      <c r="D888" s="6">
        <v>12</v>
      </c>
      <c r="E888" s="7">
        <v>55</v>
      </c>
      <c r="F888" s="6" t="s">
        <v>9854</v>
      </c>
      <c r="G888" s="6" t="s">
        <v>9370</v>
      </c>
      <c r="H888" s="6" t="s">
        <v>26</v>
      </c>
      <c r="I888" s="8"/>
      <c r="J888" s="8">
        <v>36850</v>
      </c>
      <c r="K888" s="6" t="s">
        <v>4509</v>
      </c>
      <c r="L888" s="6" t="s">
        <v>9218</v>
      </c>
      <c r="M888" s="6" t="s">
        <v>4509</v>
      </c>
      <c r="N888" s="6" t="s">
        <v>4537</v>
      </c>
    </row>
    <row r="889" s="1" customFormat="1" ht="16.35" customHeight="1" spans="1:14">
      <c r="A889" s="5"/>
      <c r="B889" s="6" t="s">
        <v>4506</v>
      </c>
      <c r="C889" s="6">
        <v>2016</v>
      </c>
      <c r="D889" s="6">
        <v>12</v>
      </c>
      <c r="E889" s="7">
        <v>57</v>
      </c>
      <c r="F889" s="6" t="s">
        <v>9855</v>
      </c>
      <c r="G889" s="6" t="s">
        <v>9370</v>
      </c>
      <c r="H889" s="6" t="s">
        <v>26</v>
      </c>
      <c r="I889" s="8">
        <v>14322</v>
      </c>
      <c r="J889" s="8"/>
      <c r="K889" s="6" t="s">
        <v>4509</v>
      </c>
      <c r="L889" s="6" t="s">
        <v>9218</v>
      </c>
      <c r="M889" s="6" t="s">
        <v>4509</v>
      </c>
      <c r="N889" s="6" t="s">
        <v>4537</v>
      </c>
    </row>
    <row r="890" s="1" customFormat="1" ht="16.35" customHeight="1" spans="1:14">
      <c r="A890" s="5"/>
      <c r="B890" s="6" t="s">
        <v>4506</v>
      </c>
      <c r="C890" s="6">
        <v>2016</v>
      </c>
      <c r="D890" s="6">
        <v>12</v>
      </c>
      <c r="E890" s="7">
        <v>58</v>
      </c>
      <c r="F890" s="6" t="s">
        <v>9856</v>
      </c>
      <c r="G890" s="6" t="s">
        <v>9370</v>
      </c>
      <c r="H890" s="6" t="s">
        <v>26</v>
      </c>
      <c r="I890" s="8"/>
      <c r="J890" s="8">
        <v>14322</v>
      </c>
      <c r="K890" s="6" t="s">
        <v>4509</v>
      </c>
      <c r="L890" s="6" t="s">
        <v>9218</v>
      </c>
      <c r="M890" s="6" t="s">
        <v>4509</v>
      </c>
      <c r="N890" s="6" t="s">
        <v>4537</v>
      </c>
    </row>
    <row r="891" s="1" customFormat="1" ht="16.35" customHeight="1" spans="1:14">
      <c r="A891" s="5"/>
      <c r="B891" s="6" t="s">
        <v>4506</v>
      </c>
      <c r="C891" s="6">
        <v>2016</v>
      </c>
      <c r="D891" s="6">
        <v>12</v>
      </c>
      <c r="E891" s="7">
        <v>59</v>
      </c>
      <c r="F891" s="6" t="s">
        <v>9856</v>
      </c>
      <c r="G891" s="6" t="s">
        <v>9370</v>
      </c>
      <c r="H891" s="6" t="s">
        <v>26</v>
      </c>
      <c r="I891" s="8"/>
      <c r="J891" s="8">
        <v>239572</v>
      </c>
      <c r="K891" s="6" t="s">
        <v>4509</v>
      </c>
      <c r="L891" s="6" t="s">
        <v>9218</v>
      </c>
      <c r="M891" s="6" t="s">
        <v>4509</v>
      </c>
      <c r="N891" s="6" t="s">
        <v>4537</v>
      </c>
    </row>
    <row r="892" s="1" customFormat="1" ht="16.35" customHeight="1" spans="1:14">
      <c r="A892" s="5"/>
      <c r="B892" s="6" t="s">
        <v>4506</v>
      </c>
      <c r="C892" s="6">
        <v>2016</v>
      </c>
      <c r="D892" s="6">
        <v>12</v>
      </c>
      <c r="E892" s="7">
        <v>70</v>
      </c>
      <c r="F892" s="6" t="s">
        <v>9857</v>
      </c>
      <c r="G892" s="6" t="s">
        <v>9370</v>
      </c>
      <c r="H892" s="6" t="s">
        <v>26</v>
      </c>
      <c r="I892" s="8"/>
      <c r="J892" s="8">
        <v>748901.65</v>
      </c>
      <c r="K892" s="6" t="s">
        <v>4509</v>
      </c>
      <c r="L892" s="6" t="s">
        <v>9218</v>
      </c>
      <c r="M892" s="6" t="s">
        <v>4509</v>
      </c>
      <c r="N892" s="6" t="s">
        <v>4537</v>
      </c>
    </row>
    <row r="893" s="1" customFormat="1" ht="16.35" customHeight="1" spans="1:14">
      <c r="A893" s="5"/>
      <c r="B893" s="6" t="s">
        <v>4506</v>
      </c>
      <c r="C893" s="6">
        <v>2016</v>
      </c>
      <c r="D893" s="6">
        <v>12</v>
      </c>
      <c r="E893" s="7">
        <v>71</v>
      </c>
      <c r="F893" s="6" t="s">
        <v>4788</v>
      </c>
      <c r="G893" s="6" t="s">
        <v>9370</v>
      </c>
      <c r="H893" s="6" t="s">
        <v>26</v>
      </c>
      <c r="I893" s="8"/>
      <c r="J893" s="8">
        <v>100000</v>
      </c>
      <c r="K893" s="6" t="s">
        <v>2916</v>
      </c>
      <c r="L893" s="6" t="s">
        <v>9808</v>
      </c>
      <c r="M893" s="6" t="s">
        <v>4509</v>
      </c>
      <c r="N893" s="6" t="s">
        <v>4537</v>
      </c>
    </row>
    <row r="894" s="1" customFormat="1" ht="16.35" customHeight="1" spans="1:14">
      <c r="A894" s="5"/>
      <c r="B894" s="6" t="s">
        <v>4506</v>
      </c>
      <c r="C894" s="6">
        <v>2016</v>
      </c>
      <c r="D894" s="6">
        <v>12</v>
      </c>
      <c r="E894" s="7">
        <v>72</v>
      </c>
      <c r="F894" s="6" t="s">
        <v>4789</v>
      </c>
      <c r="G894" s="6" t="s">
        <v>9370</v>
      </c>
      <c r="H894" s="6" t="s">
        <v>26</v>
      </c>
      <c r="I894" s="8"/>
      <c r="J894" s="8">
        <v>100000</v>
      </c>
      <c r="K894" s="6" t="s">
        <v>2916</v>
      </c>
      <c r="L894" s="6" t="s">
        <v>9808</v>
      </c>
      <c r="M894" s="6" t="s">
        <v>4509</v>
      </c>
      <c r="N894" s="6" t="s">
        <v>4537</v>
      </c>
    </row>
    <row r="895" s="1" customFormat="1" ht="16.35" customHeight="1" spans="1:14">
      <c r="A895" s="5"/>
      <c r="B895" s="6" t="s">
        <v>4506</v>
      </c>
      <c r="C895" s="6">
        <v>2016</v>
      </c>
      <c r="D895" s="6">
        <v>12</v>
      </c>
      <c r="E895" s="7">
        <v>73</v>
      </c>
      <c r="F895" s="6" t="s">
        <v>4790</v>
      </c>
      <c r="G895" s="6" t="s">
        <v>9370</v>
      </c>
      <c r="H895" s="6" t="s">
        <v>26</v>
      </c>
      <c r="I895" s="8"/>
      <c r="J895" s="8">
        <v>204000</v>
      </c>
      <c r="K895" s="6" t="s">
        <v>4529</v>
      </c>
      <c r="L895" s="6" t="s">
        <v>9812</v>
      </c>
      <c r="M895" s="6" t="s">
        <v>4509</v>
      </c>
      <c r="N895" s="6" t="s">
        <v>4537</v>
      </c>
    </row>
    <row r="896" s="1" customFormat="1" ht="16.35" customHeight="1" spans="1:14">
      <c r="A896" s="5"/>
      <c r="B896" s="6" t="s">
        <v>4506</v>
      </c>
      <c r="C896" s="6">
        <v>2016</v>
      </c>
      <c r="D896" s="6">
        <v>12</v>
      </c>
      <c r="E896" s="7">
        <v>74</v>
      </c>
      <c r="F896" s="6" t="s">
        <v>4791</v>
      </c>
      <c r="G896" s="6" t="s">
        <v>9370</v>
      </c>
      <c r="H896" s="6" t="s">
        <v>26</v>
      </c>
      <c r="I896" s="8"/>
      <c r="J896" s="8">
        <v>306551</v>
      </c>
      <c r="K896" s="6" t="s">
        <v>4527</v>
      </c>
      <c r="L896" s="6" t="s">
        <v>9801</v>
      </c>
      <c r="M896" s="6" t="s">
        <v>4509</v>
      </c>
      <c r="N896" s="6" t="s">
        <v>4537</v>
      </c>
    </row>
    <row r="897" s="1" customFormat="1" ht="16.35" customHeight="1" spans="1:14">
      <c r="A897" s="5"/>
      <c r="B897" s="6" t="s">
        <v>4506</v>
      </c>
      <c r="C897" s="6">
        <v>2016</v>
      </c>
      <c r="D897" s="6">
        <v>12</v>
      </c>
      <c r="E897" s="7">
        <v>74</v>
      </c>
      <c r="F897" s="6" t="s">
        <v>4791</v>
      </c>
      <c r="G897" s="6" t="s">
        <v>9370</v>
      </c>
      <c r="H897" s="6" t="s">
        <v>26</v>
      </c>
      <c r="I897" s="8"/>
      <c r="J897" s="8">
        <v>-86551</v>
      </c>
      <c r="K897" s="6" t="s">
        <v>4514</v>
      </c>
      <c r="L897" s="6" t="s">
        <v>4511</v>
      </c>
      <c r="M897" s="6" t="s">
        <v>4509</v>
      </c>
      <c r="N897" s="6" t="s">
        <v>4537</v>
      </c>
    </row>
    <row r="898" s="1" customFormat="1" ht="16.35" customHeight="1" spans="1:14">
      <c r="A898" s="5"/>
      <c r="B898" s="6" t="s">
        <v>4506</v>
      </c>
      <c r="C898" s="6">
        <v>2016</v>
      </c>
      <c r="D898" s="6">
        <v>12</v>
      </c>
      <c r="E898" s="7">
        <v>75</v>
      </c>
      <c r="F898" s="6" t="s">
        <v>4792</v>
      </c>
      <c r="G898" s="6" t="s">
        <v>9370</v>
      </c>
      <c r="H898" s="6" t="s">
        <v>26</v>
      </c>
      <c r="I898" s="8"/>
      <c r="J898" s="8">
        <v>6025</v>
      </c>
      <c r="K898" s="6" t="s">
        <v>4514</v>
      </c>
      <c r="L898" s="6" t="s">
        <v>4511</v>
      </c>
      <c r="M898" s="6" t="s">
        <v>4509</v>
      </c>
      <c r="N898" s="6" t="s">
        <v>4537</v>
      </c>
    </row>
    <row r="899" s="1" customFormat="1" ht="16.35" customHeight="1" spans="1:14">
      <c r="A899" s="5"/>
      <c r="B899" s="6" t="s">
        <v>4506</v>
      </c>
      <c r="C899" s="6">
        <v>2016</v>
      </c>
      <c r="D899" s="6">
        <v>12</v>
      </c>
      <c r="E899" s="7">
        <v>76</v>
      </c>
      <c r="F899" s="6" t="s">
        <v>4793</v>
      </c>
      <c r="G899" s="6" t="s">
        <v>9370</v>
      </c>
      <c r="H899" s="6" t="s">
        <v>26</v>
      </c>
      <c r="I899" s="8"/>
      <c r="J899" s="8">
        <v>11362.5</v>
      </c>
      <c r="K899" s="6" t="s">
        <v>4509</v>
      </c>
      <c r="L899" s="6" t="s">
        <v>9218</v>
      </c>
      <c r="M899" s="6" t="s">
        <v>4509</v>
      </c>
      <c r="N899" s="6" t="s">
        <v>4537</v>
      </c>
    </row>
    <row r="900" s="1" customFormat="1" ht="16.35" customHeight="1" spans="1:14">
      <c r="A900" s="5"/>
      <c r="B900" s="6" t="s">
        <v>4506</v>
      </c>
      <c r="C900" s="6">
        <v>2016</v>
      </c>
      <c r="D900" s="6">
        <v>12</v>
      </c>
      <c r="E900" s="7">
        <v>77</v>
      </c>
      <c r="F900" s="6" t="s">
        <v>4794</v>
      </c>
      <c r="G900" s="6" t="s">
        <v>9370</v>
      </c>
      <c r="H900" s="6" t="s">
        <v>26</v>
      </c>
      <c r="I900" s="8">
        <v>257094</v>
      </c>
      <c r="J900" s="8"/>
      <c r="K900" s="6" t="s">
        <v>4525</v>
      </c>
      <c r="L900" s="6" t="s">
        <v>9787</v>
      </c>
      <c r="M900" s="6" t="s">
        <v>4509</v>
      </c>
      <c r="N900" s="6" t="s">
        <v>4537</v>
      </c>
    </row>
    <row r="901" s="1" customFormat="1" ht="16.35" customHeight="1" spans="1:14">
      <c r="A901" s="5"/>
      <c r="B901" s="6" t="s">
        <v>4506</v>
      </c>
      <c r="C901" s="6">
        <v>2016</v>
      </c>
      <c r="D901" s="6">
        <v>12</v>
      </c>
      <c r="E901" s="7">
        <v>78</v>
      </c>
      <c r="F901" s="6" t="s">
        <v>4795</v>
      </c>
      <c r="G901" s="6" t="s">
        <v>9370</v>
      </c>
      <c r="H901" s="6" t="s">
        <v>26</v>
      </c>
      <c r="I901" s="8"/>
      <c r="J901" s="8">
        <v>3714.52</v>
      </c>
      <c r="K901" s="6" t="s">
        <v>4509</v>
      </c>
      <c r="L901" s="6" t="s">
        <v>9218</v>
      </c>
      <c r="M901" s="6" t="s">
        <v>4509</v>
      </c>
      <c r="N901" s="6" t="s">
        <v>4537</v>
      </c>
    </row>
    <row r="902" s="1" customFormat="1" ht="16.35" customHeight="1" spans="1:14">
      <c r="A902" s="5"/>
      <c r="B902" s="6" t="s">
        <v>4506</v>
      </c>
      <c r="C902" s="6">
        <v>2016</v>
      </c>
      <c r="D902" s="6">
        <v>12</v>
      </c>
      <c r="E902" s="7">
        <v>79</v>
      </c>
      <c r="F902" s="6" t="s">
        <v>4796</v>
      </c>
      <c r="G902" s="6" t="s">
        <v>9370</v>
      </c>
      <c r="H902" s="6" t="s">
        <v>26</v>
      </c>
      <c r="I902" s="8"/>
      <c r="J902" s="8">
        <v>6805.28</v>
      </c>
      <c r="K902" s="6" t="s">
        <v>4509</v>
      </c>
      <c r="L902" s="6" t="s">
        <v>9218</v>
      </c>
      <c r="M902" s="6" t="s">
        <v>4509</v>
      </c>
      <c r="N902" s="6" t="s">
        <v>4537</v>
      </c>
    </row>
    <row r="903" s="1" customFormat="1" ht="16.35" customHeight="1" spans="1:14">
      <c r="A903" s="5"/>
      <c r="B903" s="6" t="s">
        <v>4506</v>
      </c>
      <c r="C903" s="6">
        <v>2016</v>
      </c>
      <c r="D903" s="6">
        <v>12</v>
      </c>
      <c r="E903" s="7">
        <v>80</v>
      </c>
      <c r="F903" s="6" t="s">
        <v>4797</v>
      </c>
      <c r="G903" s="6" t="s">
        <v>9370</v>
      </c>
      <c r="H903" s="6" t="s">
        <v>26</v>
      </c>
      <c r="I903" s="8"/>
      <c r="J903" s="8">
        <v>34120.88</v>
      </c>
      <c r="K903" s="6" t="s">
        <v>4509</v>
      </c>
      <c r="L903" s="6" t="s">
        <v>9218</v>
      </c>
      <c r="M903" s="6" t="s">
        <v>4509</v>
      </c>
      <c r="N903" s="6" t="s">
        <v>4537</v>
      </c>
    </row>
    <row r="904" s="1" customFormat="1" ht="16.35" customHeight="1" spans="1:14">
      <c r="A904" s="5"/>
      <c r="B904" s="6" t="s">
        <v>4506</v>
      </c>
      <c r="C904" s="6">
        <v>2016</v>
      </c>
      <c r="D904" s="6">
        <v>12</v>
      </c>
      <c r="E904" s="7">
        <v>83</v>
      </c>
      <c r="F904" s="6" t="s">
        <v>4800</v>
      </c>
      <c r="G904" s="6" t="s">
        <v>9370</v>
      </c>
      <c r="H904" s="6" t="s">
        <v>26</v>
      </c>
      <c r="I904" s="8"/>
      <c r="J904" s="8">
        <v>2213</v>
      </c>
      <c r="K904" s="6" t="s">
        <v>4509</v>
      </c>
      <c r="L904" s="6" t="s">
        <v>9218</v>
      </c>
      <c r="M904" s="6" t="s">
        <v>4509</v>
      </c>
      <c r="N904" s="6" t="s">
        <v>4537</v>
      </c>
    </row>
    <row r="905" s="1" customFormat="1" ht="16.35" customHeight="1" spans="1:14">
      <c r="A905" s="5"/>
      <c r="B905" s="6" t="s">
        <v>4506</v>
      </c>
      <c r="C905" s="6">
        <v>2016</v>
      </c>
      <c r="D905" s="6">
        <v>12</v>
      </c>
      <c r="E905" s="7">
        <v>84</v>
      </c>
      <c r="F905" s="6" t="s">
        <v>4801</v>
      </c>
      <c r="G905" s="6" t="s">
        <v>9370</v>
      </c>
      <c r="H905" s="6" t="s">
        <v>26</v>
      </c>
      <c r="I905" s="8"/>
      <c r="J905" s="8">
        <v>-10000</v>
      </c>
      <c r="K905" s="6" t="s">
        <v>4514</v>
      </c>
      <c r="L905" s="6" t="s">
        <v>4511</v>
      </c>
      <c r="M905" s="6" t="s">
        <v>4509</v>
      </c>
      <c r="N905" s="6" t="s">
        <v>4537</v>
      </c>
    </row>
    <row r="906" s="1" customFormat="1" ht="16.35" customHeight="1" spans="1:14">
      <c r="A906" s="5"/>
      <c r="B906" s="6" t="s">
        <v>4506</v>
      </c>
      <c r="C906" s="6">
        <v>2016</v>
      </c>
      <c r="D906" s="6">
        <v>12</v>
      </c>
      <c r="E906" s="7">
        <v>84</v>
      </c>
      <c r="F906" s="6" t="s">
        <v>4801</v>
      </c>
      <c r="G906" s="6" t="s">
        <v>9370</v>
      </c>
      <c r="H906" s="6" t="s">
        <v>26</v>
      </c>
      <c r="I906" s="8"/>
      <c r="J906" s="8">
        <v>1054</v>
      </c>
      <c r="K906" s="6" t="s">
        <v>4509</v>
      </c>
      <c r="L906" s="6" t="s">
        <v>9218</v>
      </c>
      <c r="M906" s="6" t="s">
        <v>4509</v>
      </c>
      <c r="N906" s="6" t="s">
        <v>4537</v>
      </c>
    </row>
    <row r="907" s="1" customFormat="1" ht="16.35" customHeight="1" spans="1:14">
      <c r="A907" s="5"/>
      <c r="B907" s="6" t="s">
        <v>4506</v>
      </c>
      <c r="C907" s="6">
        <v>2016</v>
      </c>
      <c r="D907" s="6">
        <v>12</v>
      </c>
      <c r="E907" s="7">
        <v>85</v>
      </c>
      <c r="F907" s="6" t="s">
        <v>4802</v>
      </c>
      <c r="G907" s="6" t="s">
        <v>9370</v>
      </c>
      <c r="H907" s="6" t="s">
        <v>26</v>
      </c>
      <c r="I907" s="8"/>
      <c r="J907" s="8">
        <v>10849.88</v>
      </c>
      <c r="K907" s="6" t="s">
        <v>4509</v>
      </c>
      <c r="L907" s="6" t="s">
        <v>9218</v>
      </c>
      <c r="M907" s="6" t="s">
        <v>4509</v>
      </c>
      <c r="N907" s="6" t="s">
        <v>4537</v>
      </c>
    </row>
    <row r="908" s="1" customFormat="1" ht="16.35" customHeight="1" spans="1:14">
      <c r="A908" s="5"/>
      <c r="B908" s="6" t="s">
        <v>4506</v>
      </c>
      <c r="C908" s="6">
        <v>2016</v>
      </c>
      <c r="D908" s="6">
        <v>12</v>
      </c>
      <c r="E908" s="7">
        <v>88</v>
      </c>
      <c r="F908" s="6" t="s">
        <v>4805</v>
      </c>
      <c r="G908" s="6" t="s">
        <v>9370</v>
      </c>
      <c r="H908" s="6" t="s">
        <v>26</v>
      </c>
      <c r="I908" s="8"/>
      <c r="J908" s="8">
        <v>6427</v>
      </c>
      <c r="K908" s="6" t="s">
        <v>4509</v>
      </c>
      <c r="L908" s="6" t="s">
        <v>9218</v>
      </c>
      <c r="M908" s="6" t="s">
        <v>4509</v>
      </c>
      <c r="N908" s="6" t="s">
        <v>4537</v>
      </c>
    </row>
    <row r="909" s="1" customFormat="1" ht="16.35" customHeight="1" spans="1:14">
      <c r="A909" s="5"/>
      <c r="B909" s="6" t="s">
        <v>4506</v>
      </c>
      <c r="C909" s="6">
        <v>2016</v>
      </c>
      <c r="D909" s="6">
        <v>12</v>
      </c>
      <c r="E909" s="7">
        <v>93</v>
      </c>
      <c r="F909" s="6" t="s">
        <v>4807</v>
      </c>
      <c r="G909" s="6" t="s">
        <v>9370</v>
      </c>
      <c r="H909" s="6" t="s">
        <v>26</v>
      </c>
      <c r="I909" s="8"/>
      <c r="J909" s="8">
        <v>45633</v>
      </c>
      <c r="K909" s="6" t="s">
        <v>4509</v>
      </c>
      <c r="L909" s="6" t="s">
        <v>9218</v>
      </c>
      <c r="M909" s="6" t="s">
        <v>4509</v>
      </c>
      <c r="N909" s="6" t="s">
        <v>4537</v>
      </c>
    </row>
    <row r="910" s="1" customFormat="1" ht="16.35" customHeight="1" spans="1:14">
      <c r="A910" s="5"/>
      <c r="B910" s="6" t="s">
        <v>4506</v>
      </c>
      <c r="C910" s="6">
        <v>2016</v>
      </c>
      <c r="D910" s="6">
        <v>12</v>
      </c>
      <c r="E910" s="7">
        <v>95</v>
      </c>
      <c r="F910" s="6" t="s">
        <v>4807</v>
      </c>
      <c r="G910" s="6" t="s">
        <v>9370</v>
      </c>
      <c r="H910" s="6" t="s">
        <v>26</v>
      </c>
      <c r="I910" s="8"/>
      <c r="J910" s="8">
        <v>4872</v>
      </c>
      <c r="K910" s="6" t="s">
        <v>4509</v>
      </c>
      <c r="L910" s="6" t="s">
        <v>9218</v>
      </c>
      <c r="M910" s="6" t="s">
        <v>4509</v>
      </c>
      <c r="N910" s="6" t="s">
        <v>4537</v>
      </c>
    </row>
    <row r="911" s="1" customFormat="1" ht="16.35" customHeight="1" spans="1:14">
      <c r="A911" s="5"/>
      <c r="B911" s="6" t="s">
        <v>4506</v>
      </c>
      <c r="C911" s="6">
        <v>2016</v>
      </c>
      <c r="D911" s="6">
        <v>12</v>
      </c>
      <c r="E911" s="7">
        <v>96</v>
      </c>
      <c r="F911" s="6" t="s">
        <v>4797</v>
      </c>
      <c r="G911" s="6" t="s">
        <v>9370</v>
      </c>
      <c r="H911" s="6" t="s">
        <v>26</v>
      </c>
      <c r="I911" s="8"/>
      <c r="J911" s="8">
        <v>15876.16</v>
      </c>
      <c r="K911" s="6" t="s">
        <v>4509</v>
      </c>
      <c r="L911" s="6" t="s">
        <v>9218</v>
      </c>
      <c r="M911" s="6" t="s">
        <v>4509</v>
      </c>
      <c r="N911" s="6" t="s">
        <v>4537</v>
      </c>
    </row>
    <row r="912" s="1" customFormat="1" ht="16.35" customHeight="1" spans="1:14">
      <c r="A912" s="5"/>
      <c r="B912" s="6" t="s">
        <v>4506</v>
      </c>
      <c r="C912" s="6">
        <v>2016</v>
      </c>
      <c r="D912" s="6">
        <v>12</v>
      </c>
      <c r="E912" s="7">
        <v>97</v>
      </c>
      <c r="F912" s="6" t="s">
        <v>4804</v>
      </c>
      <c r="G912" s="6" t="s">
        <v>9370</v>
      </c>
      <c r="H912" s="6" t="s">
        <v>26</v>
      </c>
      <c r="I912" s="8"/>
      <c r="J912" s="8">
        <v>22258.5</v>
      </c>
      <c r="K912" s="6" t="s">
        <v>4509</v>
      </c>
      <c r="L912" s="6" t="s">
        <v>9218</v>
      </c>
      <c r="M912" s="6" t="s">
        <v>4509</v>
      </c>
      <c r="N912" s="6" t="s">
        <v>4537</v>
      </c>
    </row>
    <row r="913" s="1" customFormat="1" ht="16.35" customHeight="1" spans="1:14">
      <c r="A913" s="5"/>
      <c r="B913" s="6" t="s">
        <v>4506</v>
      </c>
      <c r="C913" s="6">
        <v>2016</v>
      </c>
      <c r="D913" s="6">
        <v>12</v>
      </c>
      <c r="E913" s="7">
        <v>98</v>
      </c>
      <c r="F913" s="6" t="s">
        <v>4808</v>
      </c>
      <c r="G913" s="6" t="s">
        <v>9370</v>
      </c>
      <c r="H913" s="6" t="s">
        <v>26</v>
      </c>
      <c r="I913" s="8"/>
      <c r="J913" s="8">
        <v>42738.94</v>
      </c>
      <c r="K913" s="6" t="s">
        <v>4509</v>
      </c>
      <c r="L913" s="6" t="s">
        <v>9218</v>
      </c>
      <c r="M913" s="6" t="s">
        <v>4509</v>
      </c>
      <c r="N913" s="6" t="s">
        <v>4537</v>
      </c>
    </row>
    <row r="914" s="1" customFormat="1" ht="16.35" customHeight="1" spans="1:14">
      <c r="A914" s="5"/>
      <c r="B914" s="6" t="s">
        <v>4506</v>
      </c>
      <c r="C914" s="6">
        <v>2016</v>
      </c>
      <c r="D914" s="6">
        <v>12</v>
      </c>
      <c r="E914" s="7">
        <v>99</v>
      </c>
      <c r="F914" s="6" t="s">
        <v>4809</v>
      </c>
      <c r="G914" s="6" t="s">
        <v>9370</v>
      </c>
      <c r="H914" s="6" t="s">
        <v>26</v>
      </c>
      <c r="I914" s="8"/>
      <c r="J914" s="8">
        <v>15134.2</v>
      </c>
      <c r="K914" s="6" t="s">
        <v>4509</v>
      </c>
      <c r="L914" s="6" t="s">
        <v>9218</v>
      </c>
      <c r="M914" s="6" t="s">
        <v>4509</v>
      </c>
      <c r="N914" s="6" t="s">
        <v>4537</v>
      </c>
    </row>
    <row r="915" s="1" customFormat="1" ht="16.35" customHeight="1" spans="1:14">
      <c r="A915" s="5"/>
      <c r="B915" s="6" t="s">
        <v>4506</v>
      </c>
      <c r="C915" s="6">
        <v>2016</v>
      </c>
      <c r="D915" s="6">
        <v>12</v>
      </c>
      <c r="E915" s="7">
        <v>101</v>
      </c>
      <c r="F915" s="6" t="s">
        <v>4807</v>
      </c>
      <c r="G915" s="6" t="s">
        <v>9370</v>
      </c>
      <c r="H915" s="6" t="s">
        <v>26</v>
      </c>
      <c r="I915" s="8"/>
      <c r="J915" s="8">
        <v>5004</v>
      </c>
      <c r="K915" s="6" t="s">
        <v>4509</v>
      </c>
      <c r="L915" s="6" t="s">
        <v>9218</v>
      </c>
      <c r="M915" s="6" t="s">
        <v>4509</v>
      </c>
      <c r="N915" s="6" t="s">
        <v>4537</v>
      </c>
    </row>
    <row r="916" s="1" customFormat="1" ht="16.35" customHeight="1" spans="1:14">
      <c r="A916" s="5"/>
      <c r="B916" s="6" t="s">
        <v>4506</v>
      </c>
      <c r="C916" s="6">
        <v>2016</v>
      </c>
      <c r="D916" s="6">
        <v>12</v>
      </c>
      <c r="E916" s="7">
        <v>102</v>
      </c>
      <c r="F916" s="6" t="s">
        <v>4805</v>
      </c>
      <c r="G916" s="6" t="s">
        <v>9370</v>
      </c>
      <c r="H916" s="6" t="s">
        <v>26</v>
      </c>
      <c r="I916" s="8"/>
      <c r="J916" s="8">
        <v>6605.28</v>
      </c>
      <c r="K916" s="6" t="s">
        <v>4509</v>
      </c>
      <c r="L916" s="6" t="s">
        <v>9218</v>
      </c>
      <c r="M916" s="6" t="s">
        <v>4509</v>
      </c>
      <c r="N916" s="6" t="s">
        <v>4537</v>
      </c>
    </row>
    <row r="917" s="1" customFormat="1" ht="16.35" customHeight="1" spans="1:14">
      <c r="A917" s="5"/>
      <c r="B917" s="6" t="s">
        <v>4506</v>
      </c>
      <c r="C917" s="6">
        <v>2016</v>
      </c>
      <c r="D917" s="6">
        <v>12</v>
      </c>
      <c r="E917" s="7">
        <v>103</v>
      </c>
      <c r="F917" s="6" t="s">
        <v>4811</v>
      </c>
      <c r="G917" s="6" t="s">
        <v>9370</v>
      </c>
      <c r="H917" s="6" t="s">
        <v>26</v>
      </c>
      <c r="I917" s="8"/>
      <c r="J917" s="8">
        <v>6.94</v>
      </c>
      <c r="K917" s="6" t="s">
        <v>4509</v>
      </c>
      <c r="L917" s="6" t="s">
        <v>9218</v>
      </c>
      <c r="M917" s="6" t="s">
        <v>4509</v>
      </c>
      <c r="N917" s="6" t="s">
        <v>4537</v>
      </c>
    </row>
    <row r="918" s="1" customFormat="1" ht="16.35" customHeight="1" spans="1:14">
      <c r="A918" s="5"/>
      <c r="B918" s="6" t="s">
        <v>4506</v>
      </c>
      <c r="C918" s="6">
        <v>2016</v>
      </c>
      <c r="D918" s="6">
        <v>12</v>
      </c>
      <c r="E918" s="7">
        <v>104</v>
      </c>
      <c r="F918" s="6" t="s">
        <v>4812</v>
      </c>
      <c r="G918" s="6" t="s">
        <v>9370</v>
      </c>
      <c r="H918" s="6" t="s">
        <v>26</v>
      </c>
      <c r="I918" s="8"/>
      <c r="J918" s="8">
        <v>6605.28</v>
      </c>
      <c r="K918" s="6" t="s">
        <v>4509</v>
      </c>
      <c r="L918" s="6" t="s">
        <v>9218</v>
      </c>
      <c r="M918" s="6" t="s">
        <v>4509</v>
      </c>
      <c r="N918" s="6" t="s">
        <v>4537</v>
      </c>
    </row>
    <row r="919" s="1" customFormat="1" ht="16.35" customHeight="1" spans="1:14">
      <c r="A919" s="5"/>
      <c r="B919" s="6" t="s">
        <v>4506</v>
      </c>
      <c r="C919" s="6">
        <v>2016</v>
      </c>
      <c r="D919" s="6">
        <v>12</v>
      </c>
      <c r="E919" s="7">
        <v>104</v>
      </c>
      <c r="F919" s="6" t="s">
        <v>4812</v>
      </c>
      <c r="G919" s="6" t="s">
        <v>9370</v>
      </c>
      <c r="H919" s="6" t="s">
        <v>26</v>
      </c>
      <c r="I919" s="8"/>
      <c r="J919" s="8">
        <v>170000</v>
      </c>
      <c r="K919" s="6" t="s">
        <v>4509</v>
      </c>
      <c r="L919" s="6" t="s">
        <v>9218</v>
      </c>
      <c r="M919" s="6" t="s">
        <v>4509</v>
      </c>
      <c r="N919" s="6" t="s">
        <v>4537</v>
      </c>
    </row>
    <row r="920" s="1" customFormat="1" ht="16.35" customHeight="1" spans="1:14">
      <c r="A920" s="5"/>
      <c r="B920" s="6" t="s">
        <v>4506</v>
      </c>
      <c r="C920" s="6">
        <v>2016</v>
      </c>
      <c r="D920" s="6">
        <v>12</v>
      </c>
      <c r="E920" s="7">
        <v>106</v>
      </c>
      <c r="F920" s="6" t="s">
        <v>9858</v>
      </c>
      <c r="G920" s="6" t="s">
        <v>9370</v>
      </c>
      <c r="H920" s="6" t="s">
        <v>26</v>
      </c>
      <c r="I920" s="8"/>
      <c r="J920" s="8">
        <v>190000</v>
      </c>
      <c r="K920" s="6" t="s">
        <v>4509</v>
      </c>
      <c r="L920" s="6" t="s">
        <v>9218</v>
      </c>
      <c r="M920" s="6" t="s">
        <v>4509</v>
      </c>
      <c r="N920" s="6" t="s">
        <v>4537</v>
      </c>
    </row>
    <row r="921" s="1" customFormat="1" ht="16.35" customHeight="1" spans="1:14">
      <c r="A921" s="5"/>
      <c r="B921" s="6" t="s">
        <v>4506</v>
      </c>
      <c r="C921" s="6">
        <v>2016</v>
      </c>
      <c r="D921" s="6">
        <v>12</v>
      </c>
      <c r="E921" s="7">
        <v>106</v>
      </c>
      <c r="F921" s="6" t="s">
        <v>9858</v>
      </c>
      <c r="G921" s="6" t="s">
        <v>9370</v>
      </c>
      <c r="H921" s="6" t="s">
        <v>26</v>
      </c>
      <c r="I921" s="8"/>
      <c r="J921" s="8">
        <v>310000</v>
      </c>
      <c r="K921" s="6" t="s">
        <v>4512</v>
      </c>
      <c r="L921" s="6" t="s">
        <v>2906</v>
      </c>
      <c r="M921" s="6" t="s">
        <v>4509</v>
      </c>
      <c r="N921" s="6" t="s">
        <v>4537</v>
      </c>
    </row>
    <row r="922" s="1" customFormat="1" ht="16.35" customHeight="1" spans="1:14">
      <c r="A922" s="5"/>
      <c r="B922" s="6" t="s">
        <v>4506</v>
      </c>
      <c r="C922" s="6">
        <v>2016</v>
      </c>
      <c r="D922" s="6">
        <v>12</v>
      </c>
      <c r="E922" s="7">
        <v>107</v>
      </c>
      <c r="F922" s="6" t="s">
        <v>4814</v>
      </c>
      <c r="G922" s="6" t="s">
        <v>9370</v>
      </c>
      <c r="H922" s="6" t="s">
        <v>26</v>
      </c>
      <c r="I922" s="8"/>
      <c r="J922" s="8">
        <v>188120</v>
      </c>
      <c r="K922" s="6" t="s">
        <v>4509</v>
      </c>
      <c r="L922" s="6" t="s">
        <v>9218</v>
      </c>
      <c r="M922" s="6" t="s">
        <v>4509</v>
      </c>
      <c r="N922" s="6" t="s">
        <v>4537</v>
      </c>
    </row>
    <row r="923" s="1" customFormat="1" ht="16.35" customHeight="1" spans="1:14">
      <c r="A923" s="5"/>
      <c r="B923" s="6" t="s">
        <v>4506</v>
      </c>
      <c r="C923" s="6">
        <v>2016</v>
      </c>
      <c r="D923" s="6">
        <v>12</v>
      </c>
      <c r="E923" s="7">
        <v>108</v>
      </c>
      <c r="F923" s="6" t="s">
        <v>9635</v>
      </c>
      <c r="G923" s="6" t="s">
        <v>9370</v>
      </c>
      <c r="H923" s="6" t="s">
        <v>26</v>
      </c>
      <c r="I923" s="8"/>
      <c r="J923" s="8">
        <v>397.19</v>
      </c>
      <c r="K923" s="6" t="s">
        <v>4510</v>
      </c>
      <c r="L923" s="6" t="s">
        <v>9447</v>
      </c>
      <c r="M923" s="6" t="s">
        <v>4509</v>
      </c>
      <c r="N923" s="6" t="s">
        <v>4537</v>
      </c>
    </row>
    <row r="924" s="1" customFormat="1" ht="16.35" customHeight="1" spans="1:14">
      <c r="A924" s="5"/>
      <c r="B924" s="6" t="s">
        <v>4506</v>
      </c>
      <c r="C924" s="6">
        <v>2016</v>
      </c>
      <c r="D924" s="6">
        <v>12</v>
      </c>
      <c r="E924" s="7">
        <v>108</v>
      </c>
      <c r="F924" s="6" t="s">
        <v>9635</v>
      </c>
      <c r="G924" s="6" t="s">
        <v>9370</v>
      </c>
      <c r="H924" s="6" t="s">
        <v>26</v>
      </c>
      <c r="I924" s="8"/>
      <c r="J924" s="8">
        <v>280.8</v>
      </c>
      <c r="K924" s="6" t="s">
        <v>4516</v>
      </c>
      <c r="L924" s="6" t="s">
        <v>9449</v>
      </c>
      <c r="M924" s="6" t="s">
        <v>4509</v>
      </c>
      <c r="N924" s="6" t="s">
        <v>4537</v>
      </c>
    </row>
    <row r="925" s="1" customFormat="1" ht="16.35" customHeight="1" spans="1:14">
      <c r="A925" s="5"/>
      <c r="B925" s="6" t="s">
        <v>4506</v>
      </c>
      <c r="C925" s="6">
        <v>2016</v>
      </c>
      <c r="D925" s="6">
        <v>12</v>
      </c>
      <c r="E925" s="7">
        <v>110</v>
      </c>
      <c r="F925" s="6" t="s">
        <v>9859</v>
      </c>
      <c r="G925" s="6" t="s">
        <v>9370</v>
      </c>
      <c r="H925" s="6" t="s">
        <v>26</v>
      </c>
      <c r="I925" s="8">
        <v>4712.03</v>
      </c>
      <c r="J925" s="8"/>
      <c r="K925" s="6" t="s">
        <v>4510</v>
      </c>
      <c r="L925" s="6" t="s">
        <v>9447</v>
      </c>
      <c r="M925" s="6" t="s">
        <v>4509</v>
      </c>
      <c r="N925" s="6" t="s">
        <v>4537</v>
      </c>
    </row>
    <row r="926" s="1" customFormat="1" ht="16.35" customHeight="1" spans="1:14">
      <c r="A926" s="5"/>
      <c r="B926" s="6" t="s">
        <v>4506</v>
      </c>
      <c r="C926" s="6">
        <v>2016</v>
      </c>
      <c r="D926" s="6">
        <v>12</v>
      </c>
      <c r="E926" s="7">
        <v>110</v>
      </c>
      <c r="F926" s="6" t="s">
        <v>9859</v>
      </c>
      <c r="G926" s="6" t="s">
        <v>9370</v>
      </c>
      <c r="H926" s="6" t="s">
        <v>26</v>
      </c>
      <c r="I926" s="8">
        <v>3232</v>
      </c>
      <c r="J926" s="8"/>
      <c r="K926" s="6" t="s">
        <v>4516</v>
      </c>
      <c r="L926" s="6" t="s">
        <v>9449</v>
      </c>
      <c r="M926" s="6" t="s">
        <v>4509</v>
      </c>
      <c r="N926" s="6" t="s">
        <v>4537</v>
      </c>
    </row>
    <row r="927" s="1" customFormat="1" ht="16.35" customHeight="1" spans="1:14">
      <c r="A927" s="5"/>
      <c r="B927" s="6" t="s">
        <v>4506</v>
      </c>
      <c r="C927" s="6">
        <v>2016</v>
      </c>
      <c r="D927" s="6">
        <v>12</v>
      </c>
      <c r="E927" s="7">
        <v>110</v>
      </c>
      <c r="F927" s="6" t="s">
        <v>9859</v>
      </c>
      <c r="G927" s="6" t="s">
        <v>9370</v>
      </c>
      <c r="H927" s="6" t="s">
        <v>26</v>
      </c>
      <c r="I927" s="8"/>
      <c r="J927" s="8">
        <v>7944.03</v>
      </c>
      <c r="K927" s="6" t="s">
        <v>4509</v>
      </c>
      <c r="L927" s="6" t="s">
        <v>9218</v>
      </c>
      <c r="M927" s="6" t="s">
        <v>4509</v>
      </c>
      <c r="N927" s="6" t="s">
        <v>4537</v>
      </c>
    </row>
    <row r="928" s="1" customFormat="1" ht="16.35" customHeight="1" spans="1:14">
      <c r="A928" s="5"/>
      <c r="B928" s="6" t="s">
        <v>4506</v>
      </c>
      <c r="C928" s="6">
        <v>2017</v>
      </c>
      <c r="D928" s="6">
        <v>1</v>
      </c>
      <c r="E928" s="7">
        <v>1</v>
      </c>
      <c r="F928" s="6" t="s">
        <v>4815</v>
      </c>
      <c r="G928" s="6" t="s">
        <v>9370</v>
      </c>
      <c r="H928" s="6" t="s">
        <v>26</v>
      </c>
      <c r="I928" s="8"/>
      <c r="J928" s="8">
        <v>515910</v>
      </c>
      <c r="K928" s="6" t="s">
        <v>2976</v>
      </c>
      <c r="L928" s="6" t="s">
        <v>9860</v>
      </c>
      <c r="M928" s="6" t="s">
        <v>4509</v>
      </c>
      <c r="N928" s="6" t="s">
        <v>4537</v>
      </c>
    </row>
    <row r="929" s="1" customFormat="1" ht="16.35" customHeight="1" spans="1:14">
      <c r="A929" s="5"/>
      <c r="B929" s="6" t="s">
        <v>4506</v>
      </c>
      <c r="C929" s="6">
        <v>2017</v>
      </c>
      <c r="D929" s="6">
        <v>1</v>
      </c>
      <c r="E929" s="7">
        <v>13</v>
      </c>
      <c r="F929" s="6" t="s">
        <v>4823</v>
      </c>
      <c r="G929" s="6" t="s">
        <v>9370</v>
      </c>
      <c r="H929" s="6" t="s">
        <v>26</v>
      </c>
      <c r="I929" s="8"/>
      <c r="J929" s="8">
        <v>30000</v>
      </c>
      <c r="K929" s="6" t="s">
        <v>2978</v>
      </c>
      <c r="L929" s="6" t="s">
        <v>860</v>
      </c>
      <c r="M929" s="6" t="s">
        <v>4509</v>
      </c>
      <c r="N929" s="6" t="s">
        <v>4537</v>
      </c>
    </row>
    <row r="930" s="1" customFormat="1" ht="16.35" customHeight="1" spans="1:14">
      <c r="A930" s="5"/>
      <c r="B930" s="6" t="s">
        <v>4506</v>
      </c>
      <c r="C930" s="6">
        <v>2017</v>
      </c>
      <c r="D930" s="6">
        <v>1</v>
      </c>
      <c r="E930" s="7">
        <v>28</v>
      </c>
      <c r="F930" s="6" t="s">
        <v>9861</v>
      </c>
      <c r="G930" s="6" t="s">
        <v>9370</v>
      </c>
      <c r="H930" s="6" t="s">
        <v>26</v>
      </c>
      <c r="I930" s="8"/>
      <c r="J930" s="8">
        <v>1500000</v>
      </c>
      <c r="K930" s="6" t="s">
        <v>4509</v>
      </c>
      <c r="L930" s="6" t="s">
        <v>9218</v>
      </c>
      <c r="M930" s="6" t="s">
        <v>4509</v>
      </c>
      <c r="N930" s="6" t="s">
        <v>4537</v>
      </c>
    </row>
    <row r="931" s="1" customFormat="1" ht="16.35" customHeight="1" spans="1:14">
      <c r="A931" s="5"/>
      <c r="B931" s="6" t="s">
        <v>4506</v>
      </c>
      <c r="C931" s="6">
        <v>2017</v>
      </c>
      <c r="D931" s="6">
        <v>1</v>
      </c>
      <c r="E931" s="7">
        <v>29</v>
      </c>
      <c r="F931" s="6" t="s">
        <v>9862</v>
      </c>
      <c r="G931" s="6" t="s">
        <v>9370</v>
      </c>
      <c r="H931" s="6" t="s">
        <v>26</v>
      </c>
      <c r="I931" s="8"/>
      <c r="J931" s="8">
        <v>126530.93</v>
      </c>
      <c r="K931" s="6" t="s">
        <v>4509</v>
      </c>
      <c r="L931" s="6" t="s">
        <v>9218</v>
      </c>
      <c r="M931" s="6" t="s">
        <v>4509</v>
      </c>
      <c r="N931" s="6" t="s">
        <v>4537</v>
      </c>
    </row>
    <row r="932" s="1" customFormat="1" ht="16.35" customHeight="1" spans="1:14">
      <c r="A932" s="5"/>
      <c r="B932" s="6" t="s">
        <v>4506</v>
      </c>
      <c r="C932" s="6">
        <v>2017</v>
      </c>
      <c r="D932" s="6">
        <v>1</v>
      </c>
      <c r="E932" s="7">
        <v>30</v>
      </c>
      <c r="F932" s="6" t="s">
        <v>9754</v>
      </c>
      <c r="G932" s="6" t="s">
        <v>9370</v>
      </c>
      <c r="H932" s="6" t="s">
        <v>26</v>
      </c>
      <c r="I932" s="8"/>
      <c r="J932" s="8">
        <v>99.33</v>
      </c>
      <c r="K932" s="6" t="s">
        <v>4510</v>
      </c>
      <c r="L932" s="6" t="s">
        <v>9447</v>
      </c>
      <c r="M932" s="6" t="s">
        <v>4509</v>
      </c>
      <c r="N932" s="6" t="s">
        <v>4537</v>
      </c>
    </row>
    <row r="933" s="1" customFormat="1" ht="16.35" customHeight="1" spans="1:14">
      <c r="A933" s="5"/>
      <c r="B933" s="6" t="s">
        <v>4506</v>
      </c>
      <c r="C933" s="6">
        <v>2017</v>
      </c>
      <c r="D933" s="6">
        <v>1</v>
      </c>
      <c r="E933" s="7">
        <v>30</v>
      </c>
      <c r="F933" s="6" t="s">
        <v>9754</v>
      </c>
      <c r="G933" s="6" t="s">
        <v>9370</v>
      </c>
      <c r="H933" s="6" t="s">
        <v>26</v>
      </c>
      <c r="I933" s="8"/>
      <c r="J933" s="8">
        <v>82.48</v>
      </c>
      <c r="K933" s="6" t="s">
        <v>4516</v>
      </c>
      <c r="L933" s="6" t="s">
        <v>9449</v>
      </c>
      <c r="M933" s="6" t="s">
        <v>4509</v>
      </c>
      <c r="N933" s="6" t="s">
        <v>4537</v>
      </c>
    </row>
    <row r="934" s="1" customFormat="1" ht="16.35" customHeight="1" spans="1:14">
      <c r="A934" s="5"/>
      <c r="B934" s="6" t="s">
        <v>4506</v>
      </c>
      <c r="C934" s="6">
        <v>2017</v>
      </c>
      <c r="D934" s="6">
        <v>1</v>
      </c>
      <c r="E934" s="7">
        <v>32</v>
      </c>
      <c r="F934" s="6" t="s">
        <v>4826</v>
      </c>
      <c r="G934" s="6" t="s">
        <v>9370</v>
      </c>
      <c r="H934" s="6" t="s">
        <v>26</v>
      </c>
      <c r="I934" s="8"/>
      <c r="J934" s="8">
        <v>16005</v>
      </c>
      <c r="K934" s="6" t="s">
        <v>2976</v>
      </c>
      <c r="L934" s="6" t="s">
        <v>9860</v>
      </c>
      <c r="M934" s="6" t="s">
        <v>4509</v>
      </c>
      <c r="N934" s="6" t="s">
        <v>4537</v>
      </c>
    </row>
    <row r="935" s="1" customFormat="1" ht="25" customHeight="1" spans="1:14">
      <c r="A935" s="5"/>
      <c r="B935" s="6" t="s">
        <v>4506</v>
      </c>
      <c r="C935" s="6">
        <v>2017</v>
      </c>
      <c r="D935" s="6">
        <v>1</v>
      </c>
      <c r="E935" s="7">
        <v>33</v>
      </c>
      <c r="F935" s="6" t="s">
        <v>4827</v>
      </c>
      <c r="G935" s="6" t="s">
        <v>9370</v>
      </c>
      <c r="H935" s="6" t="s">
        <v>26</v>
      </c>
      <c r="I935" s="8"/>
      <c r="J935" s="8">
        <v>-171640</v>
      </c>
      <c r="K935" s="6" t="s">
        <v>4514</v>
      </c>
      <c r="L935" s="6" t="s">
        <v>4511</v>
      </c>
      <c r="M935" s="6" t="s">
        <v>4509</v>
      </c>
      <c r="N935" s="6" t="s">
        <v>4537</v>
      </c>
    </row>
    <row r="936" s="1" customFormat="1" ht="25" customHeight="1" spans="1:14">
      <c r="A936" s="5"/>
      <c r="B936" s="6" t="s">
        <v>4506</v>
      </c>
      <c r="C936" s="6">
        <v>2017</v>
      </c>
      <c r="D936" s="6">
        <v>1</v>
      </c>
      <c r="E936" s="7">
        <v>33</v>
      </c>
      <c r="F936" s="6" t="s">
        <v>4827</v>
      </c>
      <c r="G936" s="6" t="s">
        <v>9370</v>
      </c>
      <c r="H936" s="6" t="s">
        <v>26</v>
      </c>
      <c r="I936" s="8"/>
      <c r="J936" s="8">
        <v>231640</v>
      </c>
      <c r="K936" s="6" t="s">
        <v>2976</v>
      </c>
      <c r="L936" s="6" t="s">
        <v>9860</v>
      </c>
      <c r="M936" s="6" t="s">
        <v>4509</v>
      </c>
      <c r="N936" s="6" t="s">
        <v>4537</v>
      </c>
    </row>
    <row r="937" s="1" customFormat="1" ht="16.35" customHeight="1" spans="1:14">
      <c r="A937" s="5"/>
      <c r="B937" s="6" t="s">
        <v>4506</v>
      </c>
      <c r="C937" s="6">
        <v>2017</v>
      </c>
      <c r="D937" s="6">
        <v>1</v>
      </c>
      <c r="E937" s="7">
        <v>34</v>
      </c>
      <c r="F937" s="6" t="s">
        <v>4828</v>
      </c>
      <c r="G937" s="6" t="s">
        <v>9370</v>
      </c>
      <c r="H937" s="6" t="s">
        <v>26</v>
      </c>
      <c r="I937" s="8"/>
      <c r="J937" s="8">
        <v>-5959303</v>
      </c>
      <c r="K937" s="6" t="s">
        <v>4514</v>
      </c>
      <c r="L937" s="6" t="s">
        <v>4511</v>
      </c>
      <c r="M937" s="6" t="s">
        <v>4509</v>
      </c>
      <c r="N937" s="6" t="s">
        <v>4537</v>
      </c>
    </row>
    <row r="938" s="1" customFormat="1" ht="16.35" customHeight="1" spans="1:14">
      <c r="A938" s="5"/>
      <c r="B938" s="6" t="s">
        <v>4506</v>
      </c>
      <c r="C938" s="6">
        <v>2017</v>
      </c>
      <c r="D938" s="6">
        <v>1</v>
      </c>
      <c r="E938" s="7">
        <v>35</v>
      </c>
      <c r="F938" s="6" t="s">
        <v>9863</v>
      </c>
      <c r="G938" s="6" t="s">
        <v>9370</v>
      </c>
      <c r="H938" s="6" t="s">
        <v>26</v>
      </c>
      <c r="I938" s="8"/>
      <c r="J938" s="8">
        <v>100601.56</v>
      </c>
      <c r="K938" s="6" t="s">
        <v>4512</v>
      </c>
      <c r="L938" s="6" t="s">
        <v>2906</v>
      </c>
      <c r="M938" s="6" t="s">
        <v>4509</v>
      </c>
      <c r="N938" s="6" t="s">
        <v>4537</v>
      </c>
    </row>
    <row r="939" s="1" customFormat="1" ht="16.35" customHeight="1" spans="1:14">
      <c r="A939" s="5"/>
      <c r="B939" s="6" t="s">
        <v>4506</v>
      </c>
      <c r="C939" s="6">
        <v>2017</v>
      </c>
      <c r="D939" s="6">
        <v>2</v>
      </c>
      <c r="E939" s="7">
        <v>13</v>
      </c>
      <c r="F939" s="6" t="s">
        <v>9864</v>
      </c>
      <c r="G939" s="6" t="s">
        <v>9370</v>
      </c>
      <c r="H939" s="6" t="s">
        <v>26</v>
      </c>
      <c r="I939" s="8"/>
      <c r="J939" s="8">
        <v>1000000</v>
      </c>
      <c r="K939" s="6" t="s">
        <v>4512</v>
      </c>
      <c r="L939" s="6" t="s">
        <v>2906</v>
      </c>
      <c r="M939" s="6" t="s">
        <v>4509</v>
      </c>
      <c r="N939" s="6" t="s">
        <v>4537</v>
      </c>
    </row>
    <row r="940" s="1" customFormat="1" ht="16.35" customHeight="1" spans="1:14">
      <c r="A940" s="5"/>
      <c r="B940" s="6" t="s">
        <v>4506</v>
      </c>
      <c r="C940" s="6">
        <v>2017</v>
      </c>
      <c r="D940" s="6">
        <v>2</v>
      </c>
      <c r="E940" s="7">
        <v>25</v>
      </c>
      <c r="F940" s="6" t="s">
        <v>9865</v>
      </c>
      <c r="G940" s="6" t="s">
        <v>9370</v>
      </c>
      <c r="H940" s="6" t="s">
        <v>26</v>
      </c>
      <c r="I940" s="8"/>
      <c r="J940" s="8">
        <v>397.69</v>
      </c>
      <c r="K940" s="6" t="s">
        <v>4510</v>
      </c>
      <c r="L940" s="6" t="s">
        <v>9447</v>
      </c>
      <c r="M940" s="6" t="s">
        <v>4509</v>
      </c>
      <c r="N940" s="6" t="s">
        <v>4537</v>
      </c>
    </row>
    <row r="941" s="1" customFormat="1" ht="16.35" customHeight="1" spans="1:14">
      <c r="A941" s="5"/>
      <c r="B941" s="6" t="s">
        <v>4506</v>
      </c>
      <c r="C941" s="6">
        <v>2017</v>
      </c>
      <c r="D941" s="6">
        <v>2</v>
      </c>
      <c r="E941" s="7">
        <v>25</v>
      </c>
      <c r="F941" s="6" t="s">
        <v>9865</v>
      </c>
      <c r="G941" s="6" t="s">
        <v>9370</v>
      </c>
      <c r="H941" s="6" t="s">
        <v>26</v>
      </c>
      <c r="I941" s="8"/>
      <c r="J941" s="8">
        <v>212</v>
      </c>
      <c r="K941" s="6" t="s">
        <v>4516</v>
      </c>
      <c r="L941" s="6" t="s">
        <v>9449</v>
      </c>
      <c r="M941" s="6" t="s">
        <v>4509</v>
      </c>
      <c r="N941" s="6" t="s">
        <v>4537</v>
      </c>
    </row>
    <row r="942" s="1" customFormat="1" ht="16.35" customHeight="1" spans="1:14">
      <c r="A942" s="5"/>
      <c r="B942" s="6" t="s">
        <v>4506</v>
      </c>
      <c r="C942" s="6">
        <v>2017</v>
      </c>
      <c r="D942" s="6">
        <v>3</v>
      </c>
      <c r="E942" s="7">
        <v>1</v>
      </c>
      <c r="F942" s="6" t="s">
        <v>9841</v>
      </c>
      <c r="G942" s="6" t="s">
        <v>9370</v>
      </c>
      <c r="H942" s="6" t="s">
        <v>26</v>
      </c>
      <c r="I942" s="8">
        <v>7500</v>
      </c>
      <c r="J942" s="8"/>
      <c r="K942" s="6" t="s">
        <v>4512</v>
      </c>
      <c r="L942" s="6" t="s">
        <v>2906</v>
      </c>
      <c r="M942" s="6" t="s">
        <v>4509</v>
      </c>
      <c r="N942" s="6" t="s">
        <v>4537</v>
      </c>
    </row>
    <row r="943" s="1" customFormat="1" ht="16.35" customHeight="1" spans="1:14">
      <c r="A943" s="5"/>
      <c r="B943" s="6" t="s">
        <v>4506</v>
      </c>
      <c r="C943" s="6">
        <v>2017</v>
      </c>
      <c r="D943" s="6">
        <v>3</v>
      </c>
      <c r="E943" s="7">
        <v>16</v>
      </c>
      <c r="F943" s="6" t="s">
        <v>4852</v>
      </c>
      <c r="G943" s="6" t="s">
        <v>9370</v>
      </c>
      <c r="H943" s="6" t="s">
        <v>26</v>
      </c>
      <c r="I943" s="8"/>
      <c r="J943" s="8">
        <v>-5000</v>
      </c>
      <c r="K943" s="6" t="s">
        <v>4514</v>
      </c>
      <c r="L943" s="6" t="s">
        <v>4511</v>
      </c>
      <c r="M943" s="6" t="s">
        <v>4509</v>
      </c>
      <c r="N943" s="6" t="s">
        <v>4537</v>
      </c>
    </row>
    <row r="944" s="1" customFormat="1" ht="16.35" customHeight="1" spans="1:14">
      <c r="A944" s="5"/>
      <c r="B944" s="6" t="s">
        <v>4506</v>
      </c>
      <c r="C944" s="6">
        <v>2017</v>
      </c>
      <c r="D944" s="6">
        <v>3</v>
      </c>
      <c r="E944" s="7">
        <v>16</v>
      </c>
      <c r="F944" s="6" t="s">
        <v>4852</v>
      </c>
      <c r="G944" s="6" t="s">
        <v>9370</v>
      </c>
      <c r="H944" s="6" t="s">
        <v>26</v>
      </c>
      <c r="I944" s="8"/>
      <c r="J944" s="8">
        <v>-76635</v>
      </c>
      <c r="K944" s="6" t="s">
        <v>4514</v>
      </c>
      <c r="L944" s="6" t="s">
        <v>4511</v>
      </c>
      <c r="M944" s="6" t="s">
        <v>4509</v>
      </c>
      <c r="N944" s="6" t="s">
        <v>4537</v>
      </c>
    </row>
    <row r="945" s="1" customFormat="1" ht="16.35" customHeight="1" spans="1:14">
      <c r="A945" s="5"/>
      <c r="B945" s="6" t="s">
        <v>4506</v>
      </c>
      <c r="C945" s="6">
        <v>2017</v>
      </c>
      <c r="D945" s="6">
        <v>3</v>
      </c>
      <c r="E945" s="7">
        <v>21</v>
      </c>
      <c r="F945" s="6" t="s">
        <v>9866</v>
      </c>
      <c r="G945" s="6" t="s">
        <v>9370</v>
      </c>
      <c r="H945" s="6" t="s">
        <v>26</v>
      </c>
      <c r="I945" s="8">
        <v>1000000</v>
      </c>
      <c r="J945" s="8"/>
      <c r="K945" s="6" t="s">
        <v>4509</v>
      </c>
      <c r="L945" s="6" t="s">
        <v>9218</v>
      </c>
      <c r="M945" s="6" t="s">
        <v>4509</v>
      </c>
      <c r="N945" s="6" t="s">
        <v>4537</v>
      </c>
    </row>
    <row r="946" s="1" customFormat="1" ht="16.35" customHeight="1" spans="1:14">
      <c r="A946" s="5"/>
      <c r="B946" s="6" t="s">
        <v>4506</v>
      </c>
      <c r="C946" s="6">
        <v>2017</v>
      </c>
      <c r="D946" s="6">
        <v>3</v>
      </c>
      <c r="E946" s="7">
        <v>31</v>
      </c>
      <c r="F946" s="6" t="s">
        <v>4855</v>
      </c>
      <c r="G946" s="6" t="s">
        <v>9370</v>
      </c>
      <c r="H946" s="6" t="s">
        <v>26</v>
      </c>
      <c r="I946" s="8"/>
      <c r="J946" s="8">
        <v>9640</v>
      </c>
      <c r="K946" s="6" t="s">
        <v>4509</v>
      </c>
      <c r="L946" s="6" t="s">
        <v>9218</v>
      </c>
      <c r="M946" s="6" t="s">
        <v>4509</v>
      </c>
      <c r="N946" s="6" t="s">
        <v>4537</v>
      </c>
    </row>
    <row r="947" s="1" customFormat="1" ht="16.35" customHeight="1" spans="1:14">
      <c r="A947" s="5"/>
      <c r="B947" s="6" t="s">
        <v>4506</v>
      </c>
      <c r="C947" s="6">
        <v>2017</v>
      </c>
      <c r="D947" s="6">
        <v>3</v>
      </c>
      <c r="E947" s="7">
        <v>31</v>
      </c>
      <c r="F947" s="6" t="s">
        <v>4855</v>
      </c>
      <c r="G947" s="6" t="s">
        <v>9370</v>
      </c>
      <c r="H947" s="6" t="s">
        <v>26</v>
      </c>
      <c r="I947" s="8"/>
      <c r="J947" s="8">
        <v>57170</v>
      </c>
      <c r="K947" s="6" t="s">
        <v>2974</v>
      </c>
      <c r="L947" s="6" t="s">
        <v>9867</v>
      </c>
      <c r="M947" s="6" t="s">
        <v>4509</v>
      </c>
      <c r="N947" s="6" t="s">
        <v>4537</v>
      </c>
    </row>
    <row r="948" s="1" customFormat="1" ht="16.35" customHeight="1" spans="1:14">
      <c r="A948" s="5"/>
      <c r="B948" s="6" t="s">
        <v>4506</v>
      </c>
      <c r="C948" s="6">
        <v>2017</v>
      </c>
      <c r="D948" s="6">
        <v>3</v>
      </c>
      <c r="E948" s="7">
        <v>44</v>
      </c>
      <c r="F948" s="6" t="s">
        <v>4877</v>
      </c>
      <c r="G948" s="6" t="s">
        <v>9370</v>
      </c>
      <c r="H948" s="6" t="s">
        <v>26</v>
      </c>
      <c r="I948" s="8"/>
      <c r="J948" s="8">
        <v>-692</v>
      </c>
      <c r="K948" s="6" t="s">
        <v>4514</v>
      </c>
      <c r="L948" s="6" t="s">
        <v>4511</v>
      </c>
      <c r="M948" s="6" t="s">
        <v>4509</v>
      </c>
      <c r="N948" s="6" t="s">
        <v>4537</v>
      </c>
    </row>
    <row r="949" s="1" customFormat="1" ht="16.35" customHeight="1" spans="1:14">
      <c r="A949" s="5"/>
      <c r="B949" s="6" t="s">
        <v>4506</v>
      </c>
      <c r="C949" s="6">
        <v>2017</v>
      </c>
      <c r="D949" s="6">
        <v>3</v>
      </c>
      <c r="E949" s="7">
        <v>50</v>
      </c>
      <c r="F949" s="6" t="s">
        <v>4887</v>
      </c>
      <c r="G949" s="6" t="s">
        <v>9370</v>
      </c>
      <c r="H949" s="6" t="s">
        <v>26</v>
      </c>
      <c r="I949" s="8"/>
      <c r="J949" s="8">
        <v>-532</v>
      </c>
      <c r="K949" s="6" t="s">
        <v>4514</v>
      </c>
      <c r="L949" s="6" t="s">
        <v>4511</v>
      </c>
      <c r="M949" s="6" t="s">
        <v>4509</v>
      </c>
      <c r="N949" s="6" t="s">
        <v>4537</v>
      </c>
    </row>
    <row r="950" s="1" customFormat="1" ht="16.35" customHeight="1" spans="1:14">
      <c r="A950" s="5"/>
      <c r="B950" s="6" t="s">
        <v>4506</v>
      </c>
      <c r="C950" s="6">
        <v>2017</v>
      </c>
      <c r="D950" s="6">
        <v>3</v>
      </c>
      <c r="E950" s="7">
        <v>52</v>
      </c>
      <c r="F950" s="6" t="s">
        <v>9868</v>
      </c>
      <c r="G950" s="6" t="s">
        <v>9370</v>
      </c>
      <c r="H950" s="6" t="s">
        <v>26</v>
      </c>
      <c r="I950" s="8">
        <v>11716</v>
      </c>
      <c r="J950" s="8"/>
      <c r="K950" s="6" t="s">
        <v>4523</v>
      </c>
      <c r="L950" s="6" t="s">
        <v>9632</v>
      </c>
      <c r="M950" s="6" t="s">
        <v>4509</v>
      </c>
      <c r="N950" s="6" t="s">
        <v>4537</v>
      </c>
    </row>
    <row r="951" s="1" customFormat="1" ht="16.35" customHeight="1" spans="1:14">
      <c r="A951" s="5"/>
      <c r="B951" s="6" t="s">
        <v>4506</v>
      </c>
      <c r="C951" s="6">
        <v>2017</v>
      </c>
      <c r="D951" s="6">
        <v>3</v>
      </c>
      <c r="E951" s="7">
        <v>53</v>
      </c>
      <c r="F951" s="6" t="s">
        <v>9797</v>
      </c>
      <c r="G951" s="6" t="s">
        <v>9370</v>
      </c>
      <c r="H951" s="6" t="s">
        <v>26</v>
      </c>
      <c r="I951" s="8"/>
      <c r="J951" s="8">
        <v>56376.55</v>
      </c>
      <c r="K951" s="6" t="s">
        <v>4509</v>
      </c>
      <c r="L951" s="6" t="s">
        <v>9218</v>
      </c>
      <c r="M951" s="6" t="s">
        <v>4509</v>
      </c>
      <c r="N951" s="6" t="s">
        <v>4537</v>
      </c>
    </row>
    <row r="952" s="1" customFormat="1" ht="16.35" customHeight="1" spans="1:14">
      <c r="A952" s="5"/>
      <c r="B952" s="6" t="s">
        <v>4506</v>
      </c>
      <c r="C952" s="6">
        <v>2017</v>
      </c>
      <c r="D952" s="6">
        <v>3</v>
      </c>
      <c r="E952" s="7">
        <v>54</v>
      </c>
      <c r="F952" s="6" t="s">
        <v>9435</v>
      </c>
      <c r="G952" s="6" t="s">
        <v>9370</v>
      </c>
      <c r="H952" s="6" t="s">
        <v>26</v>
      </c>
      <c r="I952" s="8"/>
      <c r="J952" s="8">
        <v>7987</v>
      </c>
      <c r="K952" s="6" t="s">
        <v>4509</v>
      </c>
      <c r="L952" s="6" t="s">
        <v>9218</v>
      </c>
      <c r="M952" s="6" t="s">
        <v>4509</v>
      </c>
      <c r="N952" s="6" t="s">
        <v>4537</v>
      </c>
    </row>
    <row r="953" s="1" customFormat="1" ht="16.35" customHeight="1" spans="1:14">
      <c r="A953" s="5"/>
      <c r="B953" s="6" t="s">
        <v>4506</v>
      </c>
      <c r="C953" s="6">
        <v>2017</v>
      </c>
      <c r="D953" s="6">
        <v>3</v>
      </c>
      <c r="E953" s="7">
        <v>55</v>
      </c>
      <c r="F953" s="6" t="s">
        <v>9869</v>
      </c>
      <c r="G953" s="6" t="s">
        <v>9370</v>
      </c>
      <c r="H953" s="6" t="s">
        <v>26</v>
      </c>
      <c r="I953" s="8"/>
      <c r="J953" s="8">
        <v>397.69</v>
      </c>
      <c r="K953" s="6" t="s">
        <v>4510</v>
      </c>
      <c r="L953" s="6" t="s">
        <v>9447</v>
      </c>
      <c r="M953" s="6" t="s">
        <v>4509</v>
      </c>
      <c r="N953" s="6" t="s">
        <v>4537</v>
      </c>
    </row>
    <row r="954" s="1" customFormat="1" ht="16.35" customHeight="1" spans="1:14">
      <c r="A954" s="5"/>
      <c r="B954" s="6" t="s">
        <v>4506</v>
      </c>
      <c r="C954" s="6">
        <v>2017</v>
      </c>
      <c r="D954" s="6">
        <v>3</v>
      </c>
      <c r="E954" s="7">
        <v>55</v>
      </c>
      <c r="F954" s="6" t="s">
        <v>9869</v>
      </c>
      <c r="G954" s="6" t="s">
        <v>9370</v>
      </c>
      <c r="H954" s="6" t="s">
        <v>26</v>
      </c>
      <c r="I954" s="8"/>
      <c r="J954" s="8">
        <v>280.8</v>
      </c>
      <c r="K954" s="6" t="s">
        <v>4516</v>
      </c>
      <c r="L954" s="6" t="s">
        <v>9449</v>
      </c>
      <c r="M954" s="6" t="s">
        <v>4509</v>
      </c>
      <c r="N954" s="6" t="s">
        <v>4537</v>
      </c>
    </row>
    <row r="955" s="1" customFormat="1" ht="16.35" customHeight="1" spans="1:14">
      <c r="A955" s="5"/>
      <c r="B955" s="6" t="s">
        <v>4506</v>
      </c>
      <c r="C955" s="6">
        <v>2017</v>
      </c>
      <c r="D955" s="6">
        <v>4</v>
      </c>
      <c r="E955" s="7">
        <v>2</v>
      </c>
      <c r="F955" s="6" t="s">
        <v>9870</v>
      </c>
      <c r="G955" s="6" t="s">
        <v>9370</v>
      </c>
      <c r="H955" s="6" t="s">
        <v>26</v>
      </c>
      <c r="I955" s="8"/>
      <c r="J955" s="8">
        <v>1300000</v>
      </c>
      <c r="K955" s="6" t="s">
        <v>4512</v>
      </c>
      <c r="L955" s="6" t="s">
        <v>2906</v>
      </c>
      <c r="M955" s="6" t="s">
        <v>4509</v>
      </c>
      <c r="N955" s="6" t="s">
        <v>4537</v>
      </c>
    </row>
    <row r="956" s="1" customFormat="1" ht="16.35" customHeight="1" spans="1:14">
      <c r="A956" s="5"/>
      <c r="B956" s="6" t="s">
        <v>4506</v>
      </c>
      <c r="C956" s="6">
        <v>2017</v>
      </c>
      <c r="D956" s="6">
        <v>4</v>
      </c>
      <c r="E956" s="7">
        <v>5</v>
      </c>
      <c r="F956" s="6" t="s">
        <v>9871</v>
      </c>
      <c r="G956" s="6" t="s">
        <v>9370</v>
      </c>
      <c r="H956" s="6" t="s">
        <v>26</v>
      </c>
      <c r="I956" s="8"/>
      <c r="J956" s="8">
        <v>188623.8</v>
      </c>
      <c r="K956" s="6" t="s">
        <v>4512</v>
      </c>
      <c r="L956" s="6" t="s">
        <v>2906</v>
      </c>
      <c r="M956" s="6" t="s">
        <v>4509</v>
      </c>
      <c r="N956" s="6" t="s">
        <v>4537</v>
      </c>
    </row>
    <row r="957" s="1" customFormat="1" ht="16.35" customHeight="1" spans="1:14">
      <c r="A957" s="5"/>
      <c r="B957" s="6" t="s">
        <v>4506</v>
      </c>
      <c r="C957" s="6">
        <v>2017</v>
      </c>
      <c r="D957" s="6">
        <v>4</v>
      </c>
      <c r="E957" s="7">
        <v>6</v>
      </c>
      <c r="F957" s="6" t="s">
        <v>4892</v>
      </c>
      <c r="G957" s="6" t="s">
        <v>9370</v>
      </c>
      <c r="H957" s="6" t="s">
        <v>26</v>
      </c>
      <c r="I957" s="8"/>
      <c r="J957" s="8">
        <v>4001</v>
      </c>
      <c r="K957" s="6" t="s">
        <v>4523</v>
      </c>
      <c r="L957" s="6" t="s">
        <v>9632</v>
      </c>
      <c r="M957" s="6" t="s">
        <v>4509</v>
      </c>
      <c r="N957" s="6" t="s">
        <v>4537</v>
      </c>
    </row>
    <row r="958" s="1" customFormat="1" ht="16.35" customHeight="1" spans="1:14">
      <c r="A958" s="5"/>
      <c r="B958" s="6" t="s">
        <v>4506</v>
      </c>
      <c r="C958" s="6">
        <v>2017</v>
      </c>
      <c r="D958" s="6">
        <v>4</v>
      </c>
      <c r="E958" s="7">
        <v>6</v>
      </c>
      <c r="F958" s="6" t="s">
        <v>9872</v>
      </c>
      <c r="G958" s="6" t="s">
        <v>9370</v>
      </c>
      <c r="H958" s="6" t="s">
        <v>26</v>
      </c>
      <c r="I958" s="8"/>
      <c r="J958" s="8">
        <v>-192</v>
      </c>
      <c r="K958" s="6" t="s">
        <v>4514</v>
      </c>
      <c r="L958" s="6" t="s">
        <v>4511</v>
      </c>
      <c r="M958" s="6" t="s">
        <v>4509</v>
      </c>
      <c r="N958" s="6" t="s">
        <v>4537</v>
      </c>
    </row>
    <row r="959" s="1" customFormat="1" ht="16.35" customHeight="1" spans="1:14">
      <c r="A959" s="5"/>
      <c r="B959" s="6" t="s">
        <v>4506</v>
      </c>
      <c r="C959" s="6">
        <v>2017</v>
      </c>
      <c r="D959" s="6">
        <v>4</v>
      </c>
      <c r="E959" s="7">
        <v>7</v>
      </c>
      <c r="F959" s="6" t="s">
        <v>4899</v>
      </c>
      <c r="G959" s="6" t="s">
        <v>9370</v>
      </c>
      <c r="H959" s="6" t="s">
        <v>26</v>
      </c>
      <c r="I959" s="8"/>
      <c r="J959" s="8">
        <v>2605</v>
      </c>
      <c r="K959" s="6" t="s">
        <v>4523</v>
      </c>
      <c r="L959" s="6" t="s">
        <v>9632</v>
      </c>
      <c r="M959" s="6" t="s">
        <v>4509</v>
      </c>
      <c r="N959" s="6" t="s">
        <v>4537</v>
      </c>
    </row>
    <row r="960" s="1" customFormat="1" ht="16.35" customHeight="1" spans="1:14">
      <c r="A960" s="5"/>
      <c r="B960" s="6" t="s">
        <v>4506</v>
      </c>
      <c r="C960" s="6">
        <v>2017</v>
      </c>
      <c r="D960" s="6">
        <v>4</v>
      </c>
      <c r="E960" s="7">
        <v>13</v>
      </c>
      <c r="F960" s="6" t="s">
        <v>9873</v>
      </c>
      <c r="G960" s="6" t="s">
        <v>9370</v>
      </c>
      <c r="H960" s="6" t="s">
        <v>26</v>
      </c>
      <c r="I960" s="8">
        <v>2000000</v>
      </c>
      <c r="J960" s="8"/>
      <c r="K960" s="6" t="s">
        <v>4509</v>
      </c>
      <c r="L960" s="6" t="s">
        <v>9218</v>
      </c>
      <c r="M960" s="6" t="s">
        <v>4509</v>
      </c>
      <c r="N960" s="6" t="s">
        <v>4537</v>
      </c>
    </row>
    <row r="961" s="1" customFormat="1" ht="16.35" customHeight="1" spans="1:14">
      <c r="A961" s="5"/>
      <c r="B961" s="6" t="s">
        <v>4506</v>
      </c>
      <c r="C961" s="6">
        <v>2017</v>
      </c>
      <c r="D961" s="6">
        <v>4</v>
      </c>
      <c r="E961" s="7">
        <v>23</v>
      </c>
      <c r="F961" s="6" t="s">
        <v>9874</v>
      </c>
      <c r="G961" s="6" t="s">
        <v>9370</v>
      </c>
      <c r="H961" s="6" t="s">
        <v>26</v>
      </c>
      <c r="I961" s="8"/>
      <c r="J961" s="8">
        <v>387506.12</v>
      </c>
      <c r="K961" s="6" t="s">
        <v>4509</v>
      </c>
      <c r="L961" s="6" t="s">
        <v>9218</v>
      </c>
      <c r="M961" s="6" t="s">
        <v>4509</v>
      </c>
      <c r="N961" s="6" t="s">
        <v>4537</v>
      </c>
    </row>
    <row r="962" s="1" customFormat="1" ht="16.35" customHeight="1" spans="1:14">
      <c r="A962" s="5"/>
      <c r="B962" s="6" t="s">
        <v>4506</v>
      </c>
      <c r="C962" s="6">
        <v>2017</v>
      </c>
      <c r="D962" s="6">
        <v>4</v>
      </c>
      <c r="E962" s="7">
        <v>24</v>
      </c>
      <c r="F962" s="6" t="s">
        <v>9875</v>
      </c>
      <c r="G962" s="6" t="s">
        <v>9370</v>
      </c>
      <c r="H962" s="6" t="s">
        <v>26</v>
      </c>
      <c r="I962" s="8"/>
      <c r="J962" s="8">
        <v>187348.6</v>
      </c>
      <c r="K962" s="6" t="s">
        <v>2956</v>
      </c>
      <c r="L962" s="6" t="s">
        <v>9876</v>
      </c>
      <c r="M962" s="6" t="s">
        <v>4509</v>
      </c>
      <c r="N962" s="6" t="s">
        <v>4537</v>
      </c>
    </row>
    <row r="963" s="1" customFormat="1" ht="16.35" customHeight="1" spans="1:14">
      <c r="A963" s="5"/>
      <c r="B963" s="6" t="s">
        <v>4506</v>
      </c>
      <c r="C963" s="6">
        <v>2017</v>
      </c>
      <c r="D963" s="6">
        <v>4</v>
      </c>
      <c r="E963" s="7">
        <v>25</v>
      </c>
      <c r="F963" s="6" t="s">
        <v>9877</v>
      </c>
      <c r="G963" s="6" t="s">
        <v>9370</v>
      </c>
      <c r="H963" s="6" t="s">
        <v>26</v>
      </c>
      <c r="I963" s="8"/>
      <c r="J963" s="8">
        <v>195894.96</v>
      </c>
      <c r="K963" s="6" t="s">
        <v>4530</v>
      </c>
      <c r="L963" s="6" t="s">
        <v>635</v>
      </c>
      <c r="M963" s="6" t="s">
        <v>4509</v>
      </c>
      <c r="N963" s="6" t="s">
        <v>4537</v>
      </c>
    </row>
    <row r="964" s="1" customFormat="1" ht="16.35" customHeight="1" spans="1:14">
      <c r="A964" s="5"/>
      <c r="B964" s="6" t="s">
        <v>4506</v>
      </c>
      <c r="C964" s="6">
        <v>2017</v>
      </c>
      <c r="D964" s="6">
        <v>4</v>
      </c>
      <c r="E964" s="7">
        <v>30</v>
      </c>
      <c r="F964" s="6" t="s">
        <v>9878</v>
      </c>
      <c r="G964" s="6" t="s">
        <v>9370</v>
      </c>
      <c r="H964" s="6" t="s">
        <v>26</v>
      </c>
      <c r="I964" s="8"/>
      <c r="J964" s="8">
        <v>960</v>
      </c>
      <c r="K964" s="6" t="s">
        <v>4509</v>
      </c>
      <c r="L964" s="6" t="s">
        <v>9218</v>
      </c>
      <c r="M964" s="6" t="s">
        <v>4509</v>
      </c>
      <c r="N964" s="6" t="s">
        <v>4537</v>
      </c>
    </row>
    <row r="965" s="1" customFormat="1" ht="16.35" customHeight="1" spans="1:14">
      <c r="A965" s="5"/>
      <c r="B965" s="6" t="s">
        <v>4506</v>
      </c>
      <c r="C965" s="6">
        <v>2017</v>
      </c>
      <c r="D965" s="6">
        <v>4</v>
      </c>
      <c r="E965" s="7">
        <v>31</v>
      </c>
      <c r="F965" s="6" t="s">
        <v>9435</v>
      </c>
      <c r="G965" s="6" t="s">
        <v>9370</v>
      </c>
      <c r="H965" s="6" t="s">
        <v>26</v>
      </c>
      <c r="I965" s="8"/>
      <c r="J965" s="8">
        <v>69000</v>
      </c>
      <c r="K965" s="6" t="s">
        <v>4509</v>
      </c>
      <c r="L965" s="6" t="s">
        <v>9218</v>
      </c>
      <c r="M965" s="6" t="s">
        <v>4509</v>
      </c>
      <c r="N965" s="6" t="s">
        <v>4537</v>
      </c>
    </row>
    <row r="966" s="1" customFormat="1" ht="16.35" customHeight="1" spans="1:14">
      <c r="A966" s="5"/>
      <c r="B966" s="6" t="s">
        <v>4506</v>
      </c>
      <c r="C966" s="6">
        <v>2017</v>
      </c>
      <c r="D966" s="6">
        <v>4</v>
      </c>
      <c r="E966" s="7">
        <v>32</v>
      </c>
      <c r="F966" s="6" t="s">
        <v>9879</v>
      </c>
      <c r="G966" s="6" t="s">
        <v>9370</v>
      </c>
      <c r="H966" s="6" t="s">
        <v>26</v>
      </c>
      <c r="I966" s="8"/>
      <c r="J966" s="8">
        <v>397.69</v>
      </c>
      <c r="K966" s="6" t="s">
        <v>4510</v>
      </c>
      <c r="L966" s="6" t="s">
        <v>9447</v>
      </c>
      <c r="M966" s="6" t="s">
        <v>4509</v>
      </c>
      <c r="N966" s="6" t="s">
        <v>4537</v>
      </c>
    </row>
    <row r="967" s="1" customFormat="1" ht="16.35" customHeight="1" spans="1:14">
      <c r="A967" s="5"/>
      <c r="B967" s="6" t="s">
        <v>4506</v>
      </c>
      <c r="C967" s="6">
        <v>2017</v>
      </c>
      <c r="D967" s="6">
        <v>4</v>
      </c>
      <c r="E967" s="7">
        <v>32</v>
      </c>
      <c r="F967" s="6" t="s">
        <v>9879</v>
      </c>
      <c r="G967" s="6" t="s">
        <v>9370</v>
      </c>
      <c r="H967" s="6" t="s">
        <v>26</v>
      </c>
      <c r="I967" s="8"/>
      <c r="J967" s="8">
        <v>280.8</v>
      </c>
      <c r="K967" s="6" t="s">
        <v>4516</v>
      </c>
      <c r="L967" s="6" t="s">
        <v>9449</v>
      </c>
      <c r="M967" s="6" t="s">
        <v>4509</v>
      </c>
      <c r="N967" s="6" t="s">
        <v>4537</v>
      </c>
    </row>
    <row r="968" s="1" customFormat="1" ht="16.35" customHeight="1" spans="1:14">
      <c r="A968" s="5"/>
      <c r="B968" s="6" t="s">
        <v>4506</v>
      </c>
      <c r="C968" s="6">
        <v>2017</v>
      </c>
      <c r="D968" s="6">
        <v>4</v>
      </c>
      <c r="E968" s="7">
        <v>33</v>
      </c>
      <c r="F968" s="6" t="s">
        <v>4828</v>
      </c>
      <c r="G968" s="6" t="s">
        <v>9370</v>
      </c>
      <c r="H968" s="6" t="s">
        <v>26</v>
      </c>
      <c r="I968" s="8"/>
      <c r="J968" s="8">
        <v>-4416091.06</v>
      </c>
      <c r="K968" s="6" t="s">
        <v>4514</v>
      </c>
      <c r="L968" s="6" t="s">
        <v>4511</v>
      </c>
      <c r="M968" s="6" t="s">
        <v>4509</v>
      </c>
      <c r="N968" s="6" t="s">
        <v>4537</v>
      </c>
    </row>
    <row r="969" s="1" customFormat="1" ht="16.35" customHeight="1" spans="1:14">
      <c r="A969" s="5"/>
      <c r="B969" s="6" t="s">
        <v>4506</v>
      </c>
      <c r="C969" s="6">
        <v>2017</v>
      </c>
      <c r="D969" s="6">
        <v>4</v>
      </c>
      <c r="E969" s="7">
        <v>33</v>
      </c>
      <c r="F969" s="6" t="s">
        <v>4828</v>
      </c>
      <c r="G969" s="6" t="s">
        <v>9370</v>
      </c>
      <c r="H969" s="6" t="s">
        <v>26</v>
      </c>
      <c r="I969" s="8"/>
      <c r="J969" s="8">
        <v>660473.2</v>
      </c>
      <c r="K969" s="6" t="s">
        <v>2976</v>
      </c>
      <c r="L969" s="6" t="s">
        <v>9860</v>
      </c>
      <c r="M969" s="6" t="s">
        <v>4509</v>
      </c>
      <c r="N969" s="6" t="s">
        <v>4537</v>
      </c>
    </row>
    <row r="970" s="1" customFormat="1" ht="16.35" customHeight="1" spans="1:14">
      <c r="A970" s="5"/>
      <c r="B970" s="6" t="s">
        <v>4506</v>
      </c>
      <c r="C970" s="6">
        <v>2017</v>
      </c>
      <c r="D970" s="6">
        <v>4</v>
      </c>
      <c r="E970" s="7">
        <v>33</v>
      </c>
      <c r="F970" s="6" t="s">
        <v>4828</v>
      </c>
      <c r="G970" s="6" t="s">
        <v>9370</v>
      </c>
      <c r="H970" s="6" t="s">
        <v>26</v>
      </c>
      <c r="I970" s="8"/>
      <c r="J970" s="8">
        <v>-30000</v>
      </c>
      <c r="K970" s="6" t="s">
        <v>4514</v>
      </c>
      <c r="L970" s="6" t="s">
        <v>4511</v>
      </c>
      <c r="M970" s="6" t="s">
        <v>4509</v>
      </c>
      <c r="N970" s="6" t="s">
        <v>4537</v>
      </c>
    </row>
    <row r="971" s="1" customFormat="1" ht="16.35" customHeight="1" spans="1:14">
      <c r="A971" s="5"/>
      <c r="B971" s="6" t="s">
        <v>4506</v>
      </c>
      <c r="C971" s="6">
        <v>2017</v>
      </c>
      <c r="D971" s="6">
        <v>5</v>
      </c>
      <c r="E971" s="7">
        <v>1</v>
      </c>
      <c r="F971" s="6" t="s">
        <v>9880</v>
      </c>
      <c r="G971" s="6" t="s">
        <v>9370</v>
      </c>
      <c r="H971" s="6" t="s">
        <v>26</v>
      </c>
      <c r="I971" s="8"/>
      <c r="J971" s="8">
        <v>2300000</v>
      </c>
      <c r="K971" s="6" t="s">
        <v>4512</v>
      </c>
      <c r="L971" s="6" t="s">
        <v>2906</v>
      </c>
      <c r="M971" s="6" t="s">
        <v>4509</v>
      </c>
      <c r="N971" s="6" t="s">
        <v>4537</v>
      </c>
    </row>
    <row r="972" s="1" customFormat="1" ht="16.35" customHeight="1" spans="1:14">
      <c r="A972" s="5"/>
      <c r="B972" s="6" t="s">
        <v>4506</v>
      </c>
      <c r="C972" s="6">
        <v>2017</v>
      </c>
      <c r="D972" s="6">
        <v>5</v>
      </c>
      <c r="E972" s="7">
        <v>4</v>
      </c>
      <c r="F972" s="6" t="s">
        <v>9881</v>
      </c>
      <c r="G972" s="6" t="s">
        <v>9370</v>
      </c>
      <c r="H972" s="6" t="s">
        <v>26</v>
      </c>
      <c r="I972" s="8"/>
      <c r="J972" s="8">
        <v>1011.84</v>
      </c>
      <c r="K972" s="6" t="s">
        <v>4524</v>
      </c>
      <c r="L972" s="6" t="s">
        <v>9746</v>
      </c>
      <c r="M972" s="6" t="s">
        <v>4509</v>
      </c>
      <c r="N972" s="6" t="s">
        <v>4537</v>
      </c>
    </row>
    <row r="973" s="1" customFormat="1" ht="16.35" customHeight="1" spans="1:14">
      <c r="A973" s="5"/>
      <c r="B973" s="6" t="s">
        <v>4506</v>
      </c>
      <c r="C973" s="6">
        <v>2017</v>
      </c>
      <c r="D973" s="6">
        <v>5</v>
      </c>
      <c r="E973" s="7">
        <v>15</v>
      </c>
      <c r="F973" s="6" t="s">
        <v>9882</v>
      </c>
      <c r="G973" s="6" t="s">
        <v>9370</v>
      </c>
      <c r="H973" s="6" t="s">
        <v>26</v>
      </c>
      <c r="I973" s="8"/>
      <c r="J973" s="8">
        <v>1814</v>
      </c>
      <c r="K973" s="6" t="s">
        <v>4523</v>
      </c>
      <c r="L973" s="6" t="s">
        <v>9632</v>
      </c>
      <c r="M973" s="6" t="s">
        <v>4509</v>
      </c>
      <c r="N973" s="6" t="s">
        <v>4537</v>
      </c>
    </row>
    <row r="974" s="1" customFormat="1" ht="16.35" customHeight="1" spans="1:14">
      <c r="A974" s="5"/>
      <c r="B974" s="6" t="s">
        <v>4506</v>
      </c>
      <c r="C974" s="6">
        <v>2017</v>
      </c>
      <c r="D974" s="6">
        <v>5</v>
      </c>
      <c r="E974" s="7">
        <v>18</v>
      </c>
      <c r="F974" s="6" t="s">
        <v>9883</v>
      </c>
      <c r="G974" s="6" t="s">
        <v>9370</v>
      </c>
      <c r="H974" s="6" t="s">
        <v>26</v>
      </c>
      <c r="I974" s="8">
        <v>130</v>
      </c>
      <c r="J974" s="8"/>
      <c r="K974" s="6" t="s">
        <v>4509</v>
      </c>
      <c r="L974" s="6" t="s">
        <v>9218</v>
      </c>
      <c r="M974" s="6" t="s">
        <v>4509</v>
      </c>
      <c r="N974" s="6" t="s">
        <v>4537</v>
      </c>
    </row>
    <row r="975" s="1" customFormat="1" ht="16.35" customHeight="1" spans="1:14">
      <c r="A975" s="5"/>
      <c r="B975" s="6" t="s">
        <v>4506</v>
      </c>
      <c r="C975" s="6">
        <v>2017</v>
      </c>
      <c r="D975" s="6">
        <v>5</v>
      </c>
      <c r="E975" s="7">
        <v>23</v>
      </c>
      <c r="F975" s="6" t="s">
        <v>9884</v>
      </c>
      <c r="G975" s="6" t="s">
        <v>9370</v>
      </c>
      <c r="H975" s="6" t="s">
        <v>26</v>
      </c>
      <c r="I975" s="8"/>
      <c r="J975" s="8">
        <v>1400000</v>
      </c>
      <c r="K975" s="6" t="s">
        <v>4512</v>
      </c>
      <c r="L975" s="6" t="s">
        <v>2906</v>
      </c>
      <c r="M975" s="6" t="s">
        <v>4509</v>
      </c>
      <c r="N975" s="6" t="s">
        <v>4537</v>
      </c>
    </row>
    <row r="976" s="1" customFormat="1" ht="16.35" customHeight="1" spans="1:14">
      <c r="A976" s="5"/>
      <c r="B976" s="6" t="s">
        <v>4506</v>
      </c>
      <c r="C976" s="6">
        <v>2017</v>
      </c>
      <c r="D976" s="6">
        <v>5</v>
      </c>
      <c r="E976" s="7">
        <v>28</v>
      </c>
      <c r="F976" s="6" t="s">
        <v>4915</v>
      </c>
      <c r="G976" s="6" t="s">
        <v>9370</v>
      </c>
      <c r="H976" s="6" t="s">
        <v>26</v>
      </c>
      <c r="I976" s="8">
        <v>13</v>
      </c>
      <c r="J976" s="8"/>
      <c r="K976" s="6" t="s">
        <v>4512</v>
      </c>
      <c r="L976" s="6" t="s">
        <v>2906</v>
      </c>
      <c r="M976" s="6" t="s">
        <v>4509</v>
      </c>
      <c r="N976" s="6" t="s">
        <v>4537</v>
      </c>
    </row>
    <row r="977" s="1" customFormat="1" ht="16.35" customHeight="1" spans="1:14">
      <c r="A977" s="5"/>
      <c r="B977" s="6" t="s">
        <v>4506</v>
      </c>
      <c r="C977" s="6">
        <v>2017</v>
      </c>
      <c r="D977" s="6">
        <v>5</v>
      </c>
      <c r="E977" s="7">
        <v>36</v>
      </c>
      <c r="F977" s="6" t="s">
        <v>9885</v>
      </c>
      <c r="G977" s="6" t="s">
        <v>9370</v>
      </c>
      <c r="H977" s="6" t="s">
        <v>26</v>
      </c>
      <c r="I977" s="8">
        <v>2000000</v>
      </c>
      <c r="J977" s="8"/>
      <c r="K977" s="6" t="s">
        <v>4509</v>
      </c>
      <c r="L977" s="6" t="s">
        <v>9218</v>
      </c>
      <c r="M977" s="6" t="s">
        <v>4509</v>
      </c>
      <c r="N977" s="6" t="s">
        <v>4537</v>
      </c>
    </row>
    <row r="978" s="1" customFormat="1" ht="16.35" customHeight="1" spans="1:14">
      <c r="A978" s="5"/>
      <c r="B978" s="6" t="s">
        <v>4506</v>
      </c>
      <c r="C978" s="6">
        <v>2017</v>
      </c>
      <c r="D978" s="6">
        <v>5</v>
      </c>
      <c r="E978" s="7">
        <v>37</v>
      </c>
      <c r="F978" s="6" t="s">
        <v>9886</v>
      </c>
      <c r="G978" s="6" t="s">
        <v>9370</v>
      </c>
      <c r="H978" s="6" t="s">
        <v>26</v>
      </c>
      <c r="I978" s="8"/>
      <c r="J978" s="8">
        <v>569</v>
      </c>
      <c r="K978" s="6" t="s">
        <v>2958</v>
      </c>
      <c r="L978" s="6" t="s">
        <v>9887</v>
      </c>
      <c r="M978" s="6" t="s">
        <v>4509</v>
      </c>
      <c r="N978" s="6" t="s">
        <v>4537</v>
      </c>
    </row>
    <row r="979" s="1" customFormat="1" ht="16.35" customHeight="1" spans="1:14">
      <c r="A979" s="5"/>
      <c r="B979" s="6" t="s">
        <v>4506</v>
      </c>
      <c r="C979" s="6">
        <v>2017</v>
      </c>
      <c r="D979" s="6">
        <v>5</v>
      </c>
      <c r="E979" s="7">
        <v>39</v>
      </c>
      <c r="F979" s="6" t="s">
        <v>9435</v>
      </c>
      <c r="G979" s="6" t="s">
        <v>9370</v>
      </c>
      <c r="H979" s="6" t="s">
        <v>26</v>
      </c>
      <c r="I979" s="8"/>
      <c r="J979" s="8">
        <v>1014000</v>
      </c>
      <c r="K979" s="6" t="s">
        <v>4509</v>
      </c>
      <c r="L979" s="6" t="s">
        <v>9218</v>
      </c>
      <c r="M979" s="6" t="s">
        <v>4509</v>
      </c>
      <c r="N979" s="6" t="s">
        <v>4537</v>
      </c>
    </row>
    <row r="980" s="1" customFormat="1" ht="16.35" customHeight="1" spans="1:14">
      <c r="A980" s="5"/>
      <c r="B980" s="6" t="s">
        <v>4506</v>
      </c>
      <c r="C980" s="6">
        <v>2017</v>
      </c>
      <c r="D980" s="6">
        <v>5</v>
      </c>
      <c r="E980" s="7">
        <v>40</v>
      </c>
      <c r="F980" s="6" t="s">
        <v>9435</v>
      </c>
      <c r="G980" s="6" t="s">
        <v>9370</v>
      </c>
      <c r="H980" s="6" t="s">
        <v>26</v>
      </c>
      <c r="I980" s="8"/>
      <c r="J980" s="8">
        <v>8376</v>
      </c>
      <c r="K980" s="6" t="s">
        <v>4509</v>
      </c>
      <c r="L980" s="6" t="s">
        <v>9218</v>
      </c>
      <c r="M980" s="6" t="s">
        <v>4509</v>
      </c>
      <c r="N980" s="6" t="s">
        <v>4537</v>
      </c>
    </row>
    <row r="981" s="1" customFormat="1" ht="16.35" customHeight="1" spans="1:14">
      <c r="A981" s="5"/>
      <c r="B981" s="6" t="s">
        <v>4506</v>
      </c>
      <c r="C981" s="6">
        <v>2017</v>
      </c>
      <c r="D981" s="6">
        <v>5</v>
      </c>
      <c r="E981" s="7">
        <v>41</v>
      </c>
      <c r="F981" s="6" t="s">
        <v>9888</v>
      </c>
      <c r="G981" s="6" t="s">
        <v>9370</v>
      </c>
      <c r="H981" s="6" t="s">
        <v>26</v>
      </c>
      <c r="I981" s="8"/>
      <c r="J981" s="8">
        <v>397.69</v>
      </c>
      <c r="K981" s="6" t="s">
        <v>4510</v>
      </c>
      <c r="L981" s="6" t="s">
        <v>9447</v>
      </c>
      <c r="M981" s="6" t="s">
        <v>4509</v>
      </c>
      <c r="N981" s="6" t="s">
        <v>4537</v>
      </c>
    </row>
    <row r="982" s="1" customFormat="1" ht="16.35" customHeight="1" spans="1:14">
      <c r="A982" s="5"/>
      <c r="B982" s="6" t="s">
        <v>4506</v>
      </c>
      <c r="C982" s="6">
        <v>2017</v>
      </c>
      <c r="D982" s="6">
        <v>6</v>
      </c>
      <c r="E982" s="7">
        <v>8</v>
      </c>
      <c r="F982" s="6" t="s">
        <v>9889</v>
      </c>
      <c r="G982" s="6" t="s">
        <v>9370</v>
      </c>
      <c r="H982" s="6" t="s">
        <v>26</v>
      </c>
      <c r="I982" s="8">
        <v>25000</v>
      </c>
      <c r="J982" s="8"/>
      <c r="K982" s="6" t="s">
        <v>4509</v>
      </c>
      <c r="L982" s="6" t="s">
        <v>9218</v>
      </c>
      <c r="M982" s="6" t="s">
        <v>4509</v>
      </c>
      <c r="N982" s="6" t="s">
        <v>4537</v>
      </c>
    </row>
    <row r="983" s="1" customFormat="1" ht="16.35" customHeight="1" spans="1:14">
      <c r="A983" s="5"/>
      <c r="B983" s="6" t="s">
        <v>4506</v>
      </c>
      <c r="C983" s="6">
        <v>2017</v>
      </c>
      <c r="D983" s="6">
        <v>6</v>
      </c>
      <c r="E983" s="7">
        <v>10</v>
      </c>
      <c r="F983" s="6" t="s">
        <v>9890</v>
      </c>
      <c r="G983" s="6" t="s">
        <v>9370</v>
      </c>
      <c r="H983" s="6" t="s">
        <v>26</v>
      </c>
      <c r="I983" s="8">
        <v>1550000</v>
      </c>
      <c r="J983" s="8"/>
      <c r="K983" s="6" t="s">
        <v>4509</v>
      </c>
      <c r="L983" s="6" t="s">
        <v>9218</v>
      </c>
      <c r="M983" s="6" t="s">
        <v>4509</v>
      </c>
      <c r="N983" s="6" t="s">
        <v>4537</v>
      </c>
    </row>
    <row r="984" s="1" customFormat="1" ht="16.35" customHeight="1" spans="1:14">
      <c r="A984" s="5"/>
      <c r="B984" s="6" t="s">
        <v>4506</v>
      </c>
      <c r="C984" s="6">
        <v>2017</v>
      </c>
      <c r="D984" s="6">
        <v>6</v>
      </c>
      <c r="E984" s="7">
        <v>11</v>
      </c>
      <c r="F984" s="6" t="s">
        <v>9890</v>
      </c>
      <c r="G984" s="6" t="s">
        <v>9370</v>
      </c>
      <c r="H984" s="6" t="s">
        <v>26</v>
      </c>
      <c r="I984" s="8">
        <v>2000000</v>
      </c>
      <c r="J984" s="8"/>
      <c r="K984" s="6" t="s">
        <v>4509</v>
      </c>
      <c r="L984" s="6" t="s">
        <v>9218</v>
      </c>
      <c r="M984" s="6" t="s">
        <v>4509</v>
      </c>
      <c r="N984" s="6" t="s">
        <v>4537</v>
      </c>
    </row>
    <row r="985" s="1" customFormat="1" ht="16.35" customHeight="1" spans="1:14">
      <c r="A985" s="5"/>
      <c r="B985" s="6" t="s">
        <v>4506</v>
      </c>
      <c r="C985" s="6">
        <v>2017</v>
      </c>
      <c r="D985" s="6">
        <v>6</v>
      </c>
      <c r="E985" s="7">
        <v>17</v>
      </c>
      <c r="F985" s="6" t="s">
        <v>9891</v>
      </c>
      <c r="G985" s="6" t="s">
        <v>9370</v>
      </c>
      <c r="H985" s="6" t="s">
        <v>26</v>
      </c>
      <c r="I985" s="8">
        <v>600</v>
      </c>
      <c r="J985" s="8"/>
      <c r="K985" s="6" t="s">
        <v>4509</v>
      </c>
      <c r="L985" s="6" t="s">
        <v>9218</v>
      </c>
      <c r="M985" s="6" t="s">
        <v>4509</v>
      </c>
      <c r="N985" s="6" t="s">
        <v>4537</v>
      </c>
    </row>
    <row r="986" s="1" customFormat="1" ht="16.35" customHeight="1" spans="1:14">
      <c r="A986" s="5"/>
      <c r="B986" s="6" t="s">
        <v>4506</v>
      </c>
      <c r="C986" s="6">
        <v>2017</v>
      </c>
      <c r="D986" s="6">
        <v>6</v>
      </c>
      <c r="E986" s="7">
        <v>20</v>
      </c>
      <c r="F986" s="6" t="s">
        <v>9892</v>
      </c>
      <c r="G986" s="6" t="s">
        <v>9370</v>
      </c>
      <c r="H986" s="6" t="s">
        <v>26</v>
      </c>
      <c r="I986" s="8"/>
      <c r="J986" s="8">
        <v>25000</v>
      </c>
      <c r="K986" s="6" t="s">
        <v>4509</v>
      </c>
      <c r="L986" s="6" t="s">
        <v>9218</v>
      </c>
      <c r="M986" s="6" t="s">
        <v>4509</v>
      </c>
      <c r="N986" s="6" t="s">
        <v>4537</v>
      </c>
    </row>
    <row r="987" s="1" customFormat="1" ht="16.35" customHeight="1" spans="1:14">
      <c r="A987" s="5"/>
      <c r="B987" s="6" t="s">
        <v>4506</v>
      </c>
      <c r="C987" s="6">
        <v>2017</v>
      </c>
      <c r="D987" s="6">
        <v>6</v>
      </c>
      <c r="E987" s="7">
        <v>21</v>
      </c>
      <c r="F987" s="6" t="s">
        <v>9263</v>
      </c>
      <c r="G987" s="6" t="s">
        <v>9370</v>
      </c>
      <c r="H987" s="6" t="s">
        <v>26</v>
      </c>
      <c r="I987" s="8"/>
      <c r="J987" s="8">
        <v>397.69</v>
      </c>
      <c r="K987" s="6" t="s">
        <v>4510</v>
      </c>
      <c r="L987" s="6" t="s">
        <v>9447</v>
      </c>
      <c r="M987" s="6" t="s">
        <v>4509</v>
      </c>
      <c r="N987" s="6" t="s">
        <v>4537</v>
      </c>
    </row>
    <row r="988" s="1" customFormat="1" ht="16.35" customHeight="1" spans="1:14">
      <c r="A988" s="5"/>
      <c r="B988" s="6" t="s">
        <v>4506</v>
      </c>
      <c r="C988" s="6">
        <v>2017</v>
      </c>
      <c r="D988" s="6">
        <v>6</v>
      </c>
      <c r="E988" s="7">
        <v>22</v>
      </c>
      <c r="F988" s="6" t="s">
        <v>9885</v>
      </c>
      <c r="G988" s="6" t="s">
        <v>9370</v>
      </c>
      <c r="H988" s="6" t="s">
        <v>26</v>
      </c>
      <c r="I988" s="8">
        <v>500000</v>
      </c>
      <c r="J988" s="8"/>
      <c r="K988" s="6" t="s">
        <v>4509</v>
      </c>
      <c r="L988" s="6" t="s">
        <v>9218</v>
      </c>
      <c r="M988" s="6" t="s">
        <v>4509</v>
      </c>
      <c r="N988" s="6" t="s">
        <v>4537</v>
      </c>
    </row>
    <row r="989" s="1" customFormat="1" ht="16.35" customHeight="1" spans="1:14">
      <c r="A989" s="5"/>
      <c r="B989" s="6" t="s">
        <v>4506</v>
      </c>
      <c r="C989" s="6">
        <v>2017</v>
      </c>
      <c r="D989" s="6">
        <v>6</v>
      </c>
      <c r="E989" s="7">
        <v>23</v>
      </c>
      <c r="F989" s="6" t="s">
        <v>4920</v>
      </c>
      <c r="G989" s="6" t="s">
        <v>9370</v>
      </c>
      <c r="H989" s="6" t="s">
        <v>26</v>
      </c>
      <c r="I989" s="8"/>
      <c r="J989" s="8">
        <v>433</v>
      </c>
      <c r="K989" s="6" t="s">
        <v>4523</v>
      </c>
      <c r="L989" s="6" t="s">
        <v>9632</v>
      </c>
      <c r="M989" s="6" t="s">
        <v>4509</v>
      </c>
      <c r="N989" s="6" t="s">
        <v>4537</v>
      </c>
    </row>
    <row r="990" s="1" customFormat="1" ht="16.35" customHeight="1" spans="1:14">
      <c r="A990" s="5"/>
      <c r="B990" s="6" t="s">
        <v>4506</v>
      </c>
      <c r="C990" s="6">
        <v>2017</v>
      </c>
      <c r="D990" s="6">
        <v>6</v>
      </c>
      <c r="E990" s="7">
        <v>42</v>
      </c>
      <c r="F990" s="6" t="s">
        <v>9862</v>
      </c>
      <c r="G990" s="6" t="s">
        <v>9370</v>
      </c>
      <c r="H990" s="6" t="s">
        <v>26</v>
      </c>
      <c r="I990" s="8"/>
      <c r="J990" s="8">
        <v>85370.1</v>
      </c>
      <c r="K990" s="6" t="s">
        <v>4509</v>
      </c>
      <c r="L990" s="6" t="s">
        <v>9218</v>
      </c>
      <c r="M990" s="6" t="s">
        <v>4509</v>
      </c>
      <c r="N990" s="6" t="s">
        <v>4537</v>
      </c>
    </row>
    <row r="991" s="1" customFormat="1" ht="16.35" customHeight="1" spans="1:14">
      <c r="A991" s="5"/>
      <c r="B991" s="6" t="s">
        <v>4506</v>
      </c>
      <c r="C991" s="6">
        <v>2017</v>
      </c>
      <c r="D991" s="6">
        <v>7</v>
      </c>
      <c r="E991" s="7">
        <v>11</v>
      </c>
      <c r="F991" s="6" t="s">
        <v>9385</v>
      </c>
      <c r="G991" s="6" t="s">
        <v>9370</v>
      </c>
      <c r="H991" s="6" t="s">
        <v>26</v>
      </c>
      <c r="I991" s="8">
        <v>569</v>
      </c>
      <c r="J991" s="8"/>
      <c r="K991" s="6" t="s">
        <v>2958</v>
      </c>
      <c r="L991" s="6" t="s">
        <v>9887</v>
      </c>
      <c r="M991" s="6" t="s">
        <v>4509</v>
      </c>
      <c r="N991" s="6" t="s">
        <v>4537</v>
      </c>
    </row>
    <row r="992" s="1" customFormat="1" ht="16.35" customHeight="1" spans="1:14">
      <c r="A992" s="5"/>
      <c r="B992" s="6" t="s">
        <v>4506</v>
      </c>
      <c r="C992" s="6">
        <v>2017</v>
      </c>
      <c r="D992" s="6">
        <v>7</v>
      </c>
      <c r="E992" s="7">
        <v>14</v>
      </c>
      <c r="F992" s="6" t="s">
        <v>9893</v>
      </c>
      <c r="G992" s="6" t="s">
        <v>9370</v>
      </c>
      <c r="H992" s="6" t="s">
        <v>26</v>
      </c>
      <c r="I992" s="8"/>
      <c r="J992" s="8">
        <v>2000000</v>
      </c>
      <c r="K992" s="6" t="s">
        <v>4512</v>
      </c>
      <c r="L992" s="6" t="s">
        <v>2906</v>
      </c>
      <c r="M992" s="6" t="s">
        <v>4509</v>
      </c>
      <c r="N992" s="6" t="s">
        <v>4537</v>
      </c>
    </row>
    <row r="993" s="1" customFormat="1" ht="16.35" customHeight="1" spans="1:14">
      <c r="A993" s="5"/>
      <c r="B993" s="6" t="s">
        <v>4506</v>
      </c>
      <c r="C993" s="6">
        <v>2017</v>
      </c>
      <c r="D993" s="6">
        <v>7</v>
      </c>
      <c r="E993" s="7">
        <v>19</v>
      </c>
      <c r="F993" s="6" t="s">
        <v>9894</v>
      </c>
      <c r="G993" s="6" t="s">
        <v>9370</v>
      </c>
      <c r="H993" s="6" t="s">
        <v>26</v>
      </c>
      <c r="I993" s="8">
        <v>3000000</v>
      </c>
      <c r="J993" s="8"/>
      <c r="K993" s="6" t="s">
        <v>4509</v>
      </c>
      <c r="L993" s="6" t="s">
        <v>9218</v>
      </c>
      <c r="M993" s="6" t="s">
        <v>4509</v>
      </c>
      <c r="N993" s="6" t="s">
        <v>4537</v>
      </c>
    </row>
    <row r="994" s="1" customFormat="1" ht="16.35" customHeight="1" spans="1:14">
      <c r="A994" s="5"/>
      <c r="B994" s="6" t="s">
        <v>4506</v>
      </c>
      <c r="C994" s="6">
        <v>2017</v>
      </c>
      <c r="D994" s="6">
        <v>7</v>
      </c>
      <c r="E994" s="7">
        <v>25</v>
      </c>
      <c r="F994" s="6" t="s">
        <v>9895</v>
      </c>
      <c r="G994" s="6" t="s">
        <v>9370</v>
      </c>
      <c r="H994" s="6" t="s">
        <v>26</v>
      </c>
      <c r="I994" s="8"/>
      <c r="J994" s="8">
        <v>32000</v>
      </c>
      <c r="K994" s="6" t="s">
        <v>4512</v>
      </c>
      <c r="L994" s="6" t="s">
        <v>2906</v>
      </c>
      <c r="M994" s="6" t="s">
        <v>4509</v>
      </c>
      <c r="N994" s="6" t="s">
        <v>4537</v>
      </c>
    </row>
    <row r="995" s="1" customFormat="1" ht="16.35" customHeight="1" spans="1:14">
      <c r="A995" s="5"/>
      <c r="B995" s="6" t="s">
        <v>4506</v>
      </c>
      <c r="C995" s="6">
        <v>2017</v>
      </c>
      <c r="D995" s="6">
        <v>7</v>
      </c>
      <c r="E995" s="7">
        <v>42</v>
      </c>
      <c r="F995" s="6" t="s">
        <v>9896</v>
      </c>
      <c r="G995" s="6" t="s">
        <v>9370</v>
      </c>
      <c r="H995" s="6" t="s">
        <v>26</v>
      </c>
      <c r="I995" s="8"/>
      <c r="J995" s="8">
        <v>15720</v>
      </c>
      <c r="K995" s="6" t="s">
        <v>4509</v>
      </c>
      <c r="L995" s="6" t="s">
        <v>9218</v>
      </c>
      <c r="M995" s="6" t="s">
        <v>4509</v>
      </c>
      <c r="N995" s="6" t="s">
        <v>4537</v>
      </c>
    </row>
    <row r="996" s="1" customFormat="1" ht="16.35" customHeight="1" spans="1:14">
      <c r="A996" s="5"/>
      <c r="B996" s="6" t="s">
        <v>4506</v>
      </c>
      <c r="C996" s="6">
        <v>2017</v>
      </c>
      <c r="D996" s="6">
        <v>7</v>
      </c>
      <c r="E996" s="7">
        <v>43</v>
      </c>
      <c r="F996" s="6" t="s">
        <v>9897</v>
      </c>
      <c r="G996" s="6" t="s">
        <v>9370</v>
      </c>
      <c r="H996" s="6" t="s">
        <v>26</v>
      </c>
      <c r="I996" s="8"/>
      <c r="J996" s="8">
        <v>397.69</v>
      </c>
      <c r="K996" s="6" t="s">
        <v>4510</v>
      </c>
      <c r="L996" s="6" t="s">
        <v>9447</v>
      </c>
      <c r="M996" s="6" t="s">
        <v>4509</v>
      </c>
      <c r="N996" s="6" t="s">
        <v>4537</v>
      </c>
    </row>
    <row r="997" s="1" customFormat="1" ht="16.35" customHeight="1" spans="1:14">
      <c r="A997" s="5"/>
      <c r="B997" s="6" t="s">
        <v>4506</v>
      </c>
      <c r="C997" s="6">
        <v>2017</v>
      </c>
      <c r="D997" s="6">
        <v>8</v>
      </c>
      <c r="E997" s="7">
        <v>5</v>
      </c>
      <c r="F997" s="6" t="s">
        <v>9898</v>
      </c>
      <c r="G997" s="6" t="s">
        <v>9370</v>
      </c>
      <c r="H997" s="6" t="s">
        <v>26</v>
      </c>
      <c r="I997" s="8"/>
      <c r="J997" s="8">
        <v>3000000</v>
      </c>
      <c r="K997" s="6" t="s">
        <v>4512</v>
      </c>
      <c r="L997" s="6" t="s">
        <v>2906</v>
      </c>
      <c r="M997" s="6" t="s">
        <v>4509</v>
      </c>
      <c r="N997" s="6" t="s">
        <v>4537</v>
      </c>
    </row>
    <row r="998" s="1" customFormat="1" ht="16.35" customHeight="1" spans="1:14">
      <c r="A998" s="5"/>
      <c r="B998" s="6" t="s">
        <v>4506</v>
      </c>
      <c r="C998" s="6">
        <v>2017</v>
      </c>
      <c r="D998" s="6">
        <v>8</v>
      </c>
      <c r="E998" s="7">
        <v>9</v>
      </c>
      <c r="F998" s="6" t="s">
        <v>9899</v>
      </c>
      <c r="G998" s="6" t="s">
        <v>9370</v>
      </c>
      <c r="H998" s="6" t="s">
        <v>26</v>
      </c>
      <c r="I998" s="8">
        <v>300000</v>
      </c>
      <c r="J998" s="8"/>
      <c r="K998" s="6" t="s">
        <v>4512</v>
      </c>
      <c r="L998" s="6" t="s">
        <v>2906</v>
      </c>
      <c r="M998" s="6" t="s">
        <v>4509</v>
      </c>
      <c r="N998" s="6" t="s">
        <v>4537</v>
      </c>
    </row>
    <row r="999" s="1" customFormat="1" ht="16.35" customHeight="1" spans="1:14">
      <c r="A999" s="5"/>
      <c r="B999" s="6" t="s">
        <v>4506</v>
      </c>
      <c r="C999" s="6">
        <v>2017</v>
      </c>
      <c r="D999" s="6">
        <v>8</v>
      </c>
      <c r="E999" s="7">
        <v>13</v>
      </c>
      <c r="F999" s="6" t="s">
        <v>9385</v>
      </c>
      <c r="G999" s="6" t="s">
        <v>9370</v>
      </c>
      <c r="H999" s="6" t="s">
        <v>26</v>
      </c>
      <c r="I999" s="8"/>
      <c r="J999" s="8">
        <v>300000</v>
      </c>
      <c r="K999" s="6" t="s">
        <v>4512</v>
      </c>
      <c r="L999" s="6" t="s">
        <v>2906</v>
      </c>
      <c r="M999" s="6" t="s">
        <v>4509</v>
      </c>
      <c r="N999" s="6" t="s">
        <v>4537</v>
      </c>
    </row>
    <row r="1000" s="1" customFormat="1" ht="16.35" customHeight="1" spans="1:14">
      <c r="A1000" s="5"/>
      <c r="B1000" s="6" t="s">
        <v>4506</v>
      </c>
      <c r="C1000" s="6">
        <v>2017</v>
      </c>
      <c r="D1000" s="6">
        <v>8</v>
      </c>
      <c r="E1000" s="7">
        <v>27</v>
      </c>
      <c r="F1000" s="6" t="s">
        <v>9385</v>
      </c>
      <c r="G1000" s="6" t="s">
        <v>9370</v>
      </c>
      <c r="H1000" s="6" t="s">
        <v>26</v>
      </c>
      <c r="I1000" s="8"/>
      <c r="J1000" s="8">
        <v>200000</v>
      </c>
      <c r="K1000" s="6" t="s">
        <v>4512</v>
      </c>
      <c r="L1000" s="6" t="s">
        <v>2906</v>
      </c>
      <c r="M1000" s="6" t="s">
        <v>4509</v>
      </c>
      <c r="N1000" s="6" t="s">
        <v>4537</v>
      </c>
    </row>
    <row r="1001" s="1" customFormat="1" ht="16.35" customHeight="1" spans="1:14">
      <c r="A1001" s="5"/>
      <c r="B1001" s="6" t="s">
        <v>4506</v>
      </c>
      <c r="C1001" s="6">
        <v>2017</v>
      </c>
      <c r="D1001" s="6">
        <v>8</v>
      </c>
      <c r="E1001" s="7">
        <v>33</v>
      </c>
      <c r="F1001" s="6" t="s">
        <v>9900</v>
      </c>
      <c r="G1001" s="6" t="s">
        <v>9370</v>
      </c>
      <c r="H1001" s="6" t="s">
        <v>26</v>
      </c>
      <c r="I1001" s="8"/>
      <c r="J1001" s="8">
        <v>1600</v>
      </c>
      <c r="K1001" s="6" t="s">
        <v>2962</v>
      </c>
      <c r="L1001" s="6" t="s">
        <v>9901</v>
      </c>
      <c r="M1001" s="6" t="s">
        <v>4509</v>
      </c>
      <c r="N1001" s="6" t="s">
        <v>4537</v>
      </c>
    </row>
    <row r="1002" s="1" customFormat="1" ht="16.35" customHeight="1" spans="1:14">
      <c r="A1002" s="5"/>
      <c r="B1002" s="6" t="s">
        <v>4506</v>
      </c>
      <c r="C1002" s="6">
        <v>2017</v>
      </c>
      <c r="D1002" s="6">
        <v>8</v>
      </c>
      <c r="E1002" s="7">
        <v>36</v>
      </c>
      <c r="F1002" s="6" t="s">
        <v>9902</v>
      </c>
      <c r="G1002" s="6" t="s">
        <v>9370</v>
      </c>
      <c r="H1002" s="6" t="s">
        <v>26</v>
      </c>
      <c r="I1002" s="8"/>
      <c r="J1002" s="8">
        <v>140000</v>
      </c>
      <c r="K1002" s="6" t="s">
        <v>4512</v>
      </c>
      <c r="L1002" s="6" t="s">
        <v>2906</v>
      </c>
      <c r="M1002" s="6" t="s">
        <v>4509</v>
      </c>
      <c r="N1002" s="6" t="s">
        <v>4537</v>
      </c>
    </row>
    <row r="1003" s="1" customFormat="1" ht="16.35" customHeight="1" spans="1:14">
      <c r="A1003" s="5"/>
      <c r="B1003" s="6" t="s">
        <v>4506</v>
      </c>
      <c r="C1003" s="6">
        <v>2017</v>
      </c>
      <c r="D1003" s="6">
        <v>8</v>
      </c>
      <c r="E1003" s="7">
        <v>41</v>
      </c>
      <c r="F1003" s="6" t="s">
        <v>9903</v>
      </c>
      <c r="G1003" s="6" t="s">
        <v>9370</v>
      </c>
      <c r="H1003" s="6" t="s">
        <v>26</v>
      </c>
      <c r="I1003" s="8"/>
      <c r="J1003" s="8">
        <v>449.8</v>
      </c>
      <c r="K1003" s="6" t="s">
        <v>4510</v>
      </c>
      <c r="L1003" s="6" t="s">
        <v>9447</v>
      </c>
      <c r="M1003" s="6" t="s">
        <v>4509</v>
      </c>
      <c r="N1003" s="6" t="s">
        <v>4537</v>
      </c>
    </row>
    <row r="1004" s="1" customFormat="1" ht="16.35" customHeight="1" spans="1:14">
      <c r="A1004" s="5"/>
      <c r="B1004" s="6" t="s">
        <v>4506</v>
      </c>
      <c r="C1004" s="6">
        <v>2017</v>
      </c>
      <c r="D1004" s="6">
        <v>9</v>
      </c>
      <c r="E1004" s="7">
        <v>3</v>
      </c>
      <c r="F1004" s="6" t="s">
        <v>9904</v>
      </c>
      <c r="G1004" s="6" t="s">
        <v>9370</v>
      </c>
      <c r="H1004" s="6" t="s">
        <v>26</v>
      </c>
      <c r="I1004" s="8"/>
      <c r="J1004" s="8">
        <v>129000</v>
      </c>
      <c r="K1004" s="6" t="s">
        <v>4512</v>
      </c>
      <c r="L1004" s="6" t="s">
        <v>2906</v>
      </c>
      <c r="M1004" s="6" t="s">
        <v>4509</v>
      </c>
      <c r="N1004" s="6" t="s">
        <v>4537</v>
      </c>
    </row>
    <row r="1005" s="1" customFormat="1" ht="16.35" customHeight="1" spans="1:14">
      <c r="A1005" s="5"/>
      <c r="B1005" s="6" t="s">
        <v>4506</v>
      </c>
      <c r="C1005" s="6">
        <v>2017</v>
      </c>
      <c r="D1005" s="6">
        <v>9</v>
      </c>
      <c r="E1005" s="7">
        <v>19</v>
      </c>
      <c r="F1005" s="6" t="s">
        <v>9905</v>
      </c>
      <c r="G1005" s="6" t="s">
        <v>9370</v>
      </c>
      <c r="H1005" s="6" t="s">
        <v>26</v>
      </c>
      <c r="I1005" s="8"/>
      <c r="J1005" s="8">
        <v>66279</v>
      </c>
      <c r="K1005" s="6" t="s">
        <v>2976</v>
      </c>
      <c r="L1005" s="6" t="s">
        <v>9860</v>
      </c>
      <c r="M1005" s="6" t="s">
        <v>4509</v>
      </c>
      <c r="N1005" s="6" t="s">
        <v>4537</v>
      </c>
    </row>
    <row r="1006" s="1" customFormat="1" ht="16.35" customHeight="1" spans="1:14">
      <c r="A1006" s="5"/>
      <c r="B1006" s="6" t="s">
        <v>4506</v>
      </c>
      <c r="C1006" s="6">
        <v>2017</v>
      </c>
      <c r="D1006" s="6">
        <v>9</v>
      </c>
      <c r="E1006" s="7">
        <v>23</v>
      </c>
      <c r="F1006" s="6" t="s">
        <v>9906</v>
      </c>
      <c r="G1006" s="6" t="s">
        <v>9370</v>
      </c>
      <c r="H1006" s="6" t="s">
        <v>26</v>
      </c>
      <c r="I1006" s="8">
        <v>2000000</v>
      </c>
      <c r="J1006" s="8"/>
      <c r="K1006" s="6" t="s">
        <v>4509</v>
      </c>
      <c r="L1006" s="6" t="s">
        <v>9218</v>
      </c>
      <c r="M1006" s="6" t="s">
        <v>4509</v>
      </c>
      <c r="N1006" s="6" t="s">
        <v>4537</v>
      </c>
    </row>
    <row r="1007" s="1" customFormat="1" ht="16.35" customHeight="1" spans="1:14">
      <c r="A1007" s="5"/>
      <c r="B1007" s="6" t="s">
        <v>4506</v>
      </c>
      <c r="C1007" s="6">
        <v>2017</v>
      </c>
      <c r="D1007" s="6">
        <v>9</v>
      </c>
      <c r="E1007" s="7">
        <v>30</v>
      </c>
      <c r="F1007" s="6" t="s">
        <v>9907</v>
      </c>
      <c r="G1007" s="6" t="s">
        <v>9370</v>
      </c>
      <c r="H1007" s="6" t="s">
        <v>26</v>
      </c>
      <c r="I1007" s="8"/>
      <c r="J1007" s="8">
        <v>441544</v>
      </c>
      <c r="K1007" s="6" t="s">
        <v>4509</v>
      </c>
      <c r="L1007" s="6" t="s">
        <v>9218</v>
      </c>
      <c r="M1007" s="6" t="s">
        <v>4509</v>
      </c>
      <c r="N1007" s="6" t="s">
        <v>4537</v>
      </c>
    </row>
    <row r="1008" s="1" customFormat="1" ht="16.35" customHeight="1" spans="1:14">
      <c r="A1008" s="5"/>
      <c r="B1008" s="6" t="s">
        <v>4506</v>
      </c>
      <c r="C1008" s="6">
        <v>2017</v>
      </c>
      <c r="D1008" s="6">
        <v>9</v>
      </c>
      <c r="E1008" s="7">
        <v>32</v>
      </c>
      <c r="F1008" s="6" t="s">
        <v>9908</v>
      </c>
      <c r="G1008" s="6" t="s">
        <v>9370</v>
      </c>
      <c r="H1008" s="6" t="s">
        <v>26</v>
      </c>
      <c r="I1008" s="8">
        <v>5000</v>
      </c>
      <c r="J1008" s="8"/>
      <c r="K1008" s="6" t="s">
        <v>2922</v>
      </c>
      <c r="L1008" s="6" t="s">
        <v>9850</v>
      </c>
      <c r="M1008" s="6" t="s">
        <v>4509</v>
      </c>
      <c r="N1008" s="6" t="s">
        <v>4537</v>
      </c>
    </row>
    <row r="1009" s="1" customFormat="1" ht="16.35" customHeight="1" spans="1:14">
      <c r="A1009" s="5"/>
      <c r="B1009" s="6" t="s">
        <v>4506</v>
      </c>
      <c r="C1009" s="6">
        <v>2017</v>
      </c>
      <c r="D1009" s="6">
        <v>9</v>
      </c>
      <c r="E1009" s="7">
        <v>32</v>
      </c>
      <c r="F1009" s="6" t="s">
        <v>9908</v>
      </c>
      <c r="G1009" s="6" t="s">
        <v>9370</v>
      </c>
      <c r="H1009" s="6" t="s">
        <v>26</v>
      </c>
      <c r="I1009" s="8"/>
      <c r="J1009" s="8">
        <v>5000</v>
      </c>
      <c r="K1009" s="6" t="s">
        <v>4509</v>
      </c>
      <c r="L1009" s="6" t="s">
        <v>9218</v>
      </c>
      <c r="M1009" s="6" t="s">
        <v>4509</v>
      </c>
      <c r="N1009" s="6" t="s">
        <v>4537</v>
      </c>
    </row>
    <row r="1010" s="1" customFormat="1" ht="16.35" customHeight="1" spans="1:14">
      <c r="A1010" s="5"/>
      <c r="B1010" s="6" t="s">
        <v>4506</v>
      </c>
      <c r="C1010" s="6">
        <v>2017</v>
      </c>
      <c r="D1010" s="6">
        <v>9</v>
      </c>
      <c r="E1010" s="7">
        <v>33</v>
      </c>
      <c r="F1010" s="6" t="s">
        <v>9909</v>
      </c>
      <c r="G1010" s="6" t="s">
        <v>9370</v>
      </c>
      <c r="H1010" s="6" t="s">
        <v>26</v>
      </c>
      <c r="I1010" s="8">
        <v>176700</v>
      </c>
      <c r="J1010" s="8"/>
      <c r="K1010" s="6" t="s">
        <v>2956</v>
      </c>
      <c r="L1010" s="6" t="s">
        <v>9876</v>
      </c>
      <c r="M1010" s="6" t="s">
        <v>4509</v>
      </c>
      <c r="N1010" s="6" t="s">
        <v>4537</v>
      </c>
    </row>
    <row r="1011" s="1" customFormat="1" ht="16.35" customHeight="1" spans="1:14">
      <c r="A1011" s="5"/>
      <c r="B1011" s="6" t="s">
        <v>4506</v>
      </c>
      <c r="C1011" s="6">
        <v>2017</v>
      </c>
      <c r="D1011" s="6">
        <v>9</v>
      </c>
      <c r="E1011" s="7">
        <v>33</v>
      </c>
      <c r="F1011" s="6" t="s">
        <v>9909</v>
      </c>
      <c r="G1011" s="6" t="s">
        <v>9370</v>
      </c>
      <c r="H1011" s="6" t="s">
        <v>26</v>
      </c>
      <c r="I1011" s="8"/>
      <c r="J1011" s="8">
        <v>176700</v>
      </c>
      <c r="K1011" s="6" t="s">
        <v>4512</v>
      </c>
      <c r="L1011" s="6" t="s">
        <v>2906</v>
      </c>
      <c r="M1011" s="6" t="s">
        <v>4509</v>
      </c>
      <c r="N1011" s="6" t="s">
        <v>4537</v>
      </c>
    </row>
    <row r="1012" s="1" customFormat="1" ht="16.35" customHeight="1" spans="1:14">
      <c r="A1012" s="5"/>
      <c r="B1012" s="6" t="s">
        <v>4506</v>
      </c>
      <c r="C1012" s="6">
        <v>2017</v>
      </c>
      <c r="D1012" s="6">
        <v>9</v>
      </c>
      <c r="E1012" s="7">
        <v>34</v>
      </c>
      <c r="F1012" s="6" t="s">
        <v>9910</v>
      </c>
      <c r="G1012" s="6" t="s">
        <v>9370</v>
      </c>
      <c r="H1012" s="6" t="s">
        <v>26</v>
      </c>
      <c r="I1012" s="8"/>
      <c r="J1012" s="8">
        <v>449.8</v>
      </c>
      <c r="K1012" s="6" t="s">
        <v>4510</v>
      </c>
      <c r="L1012" s="6" t="s">
        <v>9447</v>
      </c>
      <c r="M1012" s="6" t="s">
        <v>4509</v>
      </c>
      <c r="N1012" s="6" t="s">
        <v>4537</v>
      </c>
    </row>
    <row r="1013" s="1" customFormat="1" ht="16.35" customHeight="1" spans="1:14">
      <c r="A1013" s="5"/>
      <c r="B1013" s="6" t="s">
        <v>4506</v>
      </c>
      <c r="C1013" s="6">
        <v>2017</v>
      </c>
      <c r="D1013" s="6">
        <v>10</v>
      </c>
      <c r="E1013" s="7">
        <v>13</v>
      </c>
      <c r="F1013" s="6" t="s">
        <v>9911</v>
      </c>
      <c r="G1013" s="6" t="s">
        <v>9370</v>
      </c>
      <c r="H1013" s="6" t="s">
        <v>26</v>
      </c>
      <c r="I1013" s="8"/>
      <c r="J1013" s="8">
        <v>2000</v>
      </c>
      <c r="K1013" s="6" t="s">
        <v>2980</v>
      </c>
      <c r="L1013" s="6" t="s">
        <v>9912</v>
      </c>
      <c r="M1013" s="6" t="s">
        <v>4509</v>
      </c>
      <c r="N1013" s="6" t="s">
        <v>4537</v>
      </c>
    </row>
    <row r="1014" s="1" customFormat="1" ht="16.35" customHeight="1" spans="1:14">
      <c r="A1014" s="5"/>
      <c r="B1014" s="6" t="s">
        <v>4506</v>
      </c>
      <c r="C1014" s="6">
        <v>2017</v>
      </c>
      <c r="D1014" s="6">
        <v>10</v>
      </c>
      <c r="E1014" s="7">
        <v>14</v>
      </c>
      <c r="F1014" s="6" t="s">
        <v>9913</v>
      </c>
      <c r="G1014" s="6" t="s">
        <v>9370</v>
      </c>
      <c r="H1014" s="6" t="s">
        <v>26</v>
      </c>
      <c r="I1014" s="8"/>
      <c r="J1014" s="8">
        <v>1000</v>
      </c>
      <c r="K1014" s="6" t="s">
        <v>2980</v>
      </c>
      <c r="L1014" s="6" t="s">
        <v>9912</v>
      </c>
      <c r="M1014" s="6" t="s">
        <v>4509</v>
      </c>
      <c r="N1014" s="6" t="s">
        <v>4537</v>
      </c>
    </row>
    <row r="1015" s="1" customFormat="1" ht="16.35" customHeight="1" spans="1:14">
      <c r="A1015" s="5"/>
      <c r="B1015" s="6" t="s">
        <v>4506</v>
      </c>
      <c r="C1015" s="6">
        <v>2017</v>
      </c>
      <c r="D1015" s="6">
        <v>10</v>
      </c>
      <c r="E1015" s="7">
        <v>15</v>
      </c>
      <c r="F1015" s="6" t="s">
        <v>9914</v>
      </c>
      <c r="G1015" s="6" t="s">
        <v>9370</v>
      </c>
      <c r="H1015" s="6" t="s">
        <v>26</v>
      </c>
      <c r="I1015" s="8"/>
      <c r="J1015" s="8">
        <v>300</v>
      </c>
      <c r="K1015" s="6" t="s">
        <v>2980</v>
      </c>
      <c r="L1015" s="6" t="s">
        <v>9912</v>
      </c>
      <c r="M1015" s="6" t="s">
        <v>4509</v>
      </c>
      <c r="N1015" s="6" t="s">
        <v>4537</v>
      </c>
    </row>
    <row r="1016" s="1" customFormat="1" ht="16.35" customHeight="1" spans="1:14">
      <c r="A1016" s="5"/>
      <c r="B1016" s="6" t="s">
        <v>4506</v>
      </c>
      <c r="C1016" s="6">
        <v>2017</v>
      </c>
      <c r="D1016" s="6">
        <v>10</v>
      </c>
      <c r="E1016" s="7">
        <v>21</v>
      </c>
      <c r="F1016" s="6" t="s">
        <v>9898</v>
      </c>
      <c r="G1016" s="6" t="s">
        <v>9370</v>
      </c>
      <c r="H1016" s="6" t="s">
        <v>26</v>
      </c>
      <c r="I1016" s="8">
        <v>4000000</v>
      </c>
      <c r="J1016" s="8"/>
      <c r="K1016" s="6" t="s">
        <v>4509</v>
      </c>
      <c r="L1016" s="6" t="s">
        <v>9218</v>
      </c>
      <c r="M1016" s="6" t="s">
        <v>4509</v>
      </c>
      <c r="N1016" s="6" t="s">
        <v>4537</v>
      </c>
    </row>
    <row r="1017" s="1" customFormat="1" ht="16.35" customHeight="1" spans="1:14">
      <c r="A1017" s="5"/>
      <c r="B1017" s="6" t="s">
        <v>4506</v>
      </c>
      <c r="C1017" s="6">
        <v>2017</v>
      </c>
      <c r="D1017" s="6">
        <v>10</v>
      </c>
      <c r="E1017" s="7">
        <v>23</v>
      </c>
      <c r="F1017" s="6" t="s">
        <v>9915</v>
      </c>
      <c r="G1017" s="6" t="s">
        <v>9370</v>
      </c>
      <c r="H1017" s="6" t="s">
        <v>26</v>
      </c>
      <c r="I1017" s="8">
        <v>441544</v>
      </c>
      <c r="J1017" s="8"/>
      <c r="K1017" s="6" t="s">
        <v>4509</v>
      </c>
      <c r="L1017" s="6" t="s">
        <v>9218</v>
      </c>
      <c r="M1017" s="6" t="s">
        <v>4509</v>
      </c>
      <c r="N1017" s="6" t="s">
        <v>4537</v>
      </c>
    </row>
    <row r="1018" s="1" customFormat="1" ht="16.35" customHeight="1" spans="1:14">
      <c r="A1018" s="5"/>
      <c r="B1018" s="6" t="s">
        <v>4506</v>
      </c>
      <c r="C1018" s="6">
        <v>2017</v>
      </c>
      <c r="D1018" s="6">
        <v>10</v>
      </c>
      <c r="E1018" s="7">
        <v>30</v>
      </c>
      <c r="F1018" s="6" t="s">
        <v>9916</v>
      </c>
      <c r="G1018" s="6" t="s">
        <v>9370</v>
      </c>
      <c r="H1018" s="6" t="s">
        <v>26</v>
      </c>
      <c r="I1018" s="8"/>
      <c r="J1018" s="8">
        <v>75000</v>
      </c>
      <c r="K1018" s="6" t="s">
        <v>2980</v>
      </c>
      <c r="L1018" s="6" t="s">
        <v>9912</v>
      </c>
      <c r="M1018" s="6" t="s">
        <v>4509</v>
      </c>
      <c r="N1018" s="6" t="s">
        <v>4537</v>
      </c>
    </row>
    <row r="1019" s="1" customFormat="1" ht="16.35" customHeight="1" spans="1:14">
      <c r="A1019" s="5"/>
      <c r="B1019" s="6" t="s">
        <v>4506</v>
      </c>
      <c r="C1019" s="6">
        <v>2017</v>
      </c>
      <c r="D1019" s="6">
        <v>10</v>
      </c>
      <c r="E1019" s="7">
        <v>31</v>
      </c>
      <c r="F1019" s="6" t="s">
        <v>9917</v>
      </c>
      <c r="G1019" s="6" t="s">
        <v>9370</v>
      </c>
      <c r="H1019" s="6" t="s">
        <v>26</v>
      </c>
      <c r="I1019" s="8"/>
      <c r="J1019" s="8">
        <v>11000</v>
      </c>
      <c r="K1019" s="6" t="s">
        <v>2980</v>
      </c>
      <c r="L1019" s="6" t="s">
        <v>9912</v>
      </c>
      <c r="M1019" s="6" t="s">
        <v>4509</v>
      </c>
      <c r="N1019" s="6" t="s">
        <v>4537</v>
      </c>
    </row>
    <row r="1020" s="1" customFormat="1" ht="16.35" customHeight="1" spans="1:14">
      <c r="A1020" s="5"/>
      <c r="B1020" s="6" t="s">
        <v>4506</v>
      </c>
      <c r="C1020" s="6">
        <v>2017</v>
      </c>
      <c r="D1020" s="6">
        <v>10</v>
      </c>
      <c r="E1020" s="7">
        <v>32</v>
      </c>
      <c r="F1020" s="6" t="s">
        <v>9918</v>
      </c>
      <c r="G1020" s="6" t="s">
        <v>9370</v>
      </c>
      <c r="H1020" s="6" t="s">
        <v>26</v>
      </c>
      <c r="I1020" s="8"/>
      <c r="J1020" s="8">
        <v>27500</v>
      </c>
      <c r="K1020" s="6" t="s">
        <v>2980</v>
      </c>
      <c r="L1020" s="6" t="s">
        <v>9912</v>
      </c>
      <c r="M1020" s="6" t="s">
        <v>4509</v>
      </c>
      <c r="N1020" s="6" t="s">
        <v>4537</v>
      </c>
    </row>
    <row r="1021" s="1" customFormat="1" ht="16.35" customHeight="1" spans="1:14">
      <c r="A1021" s="5"/>
      <c r="B1021" s="6" t="s">
        <v>4506</v>
      </c>
      <c r="C1021" s="6">
        <v>2017</v>
      </c>
      <c r="D1021" s="6">
        <v>10</v>
      </c>
      <c r="E1021" s="7">
        <v>33</v>
      </c>
      <c r="F1021" s="6" t="s">
        <v>9918</v>
      </c>
      <c r="G1021" s="6" t="s">
        <v>9370</v>
      </c>
      <c r="H1021" s="6" t="s">
        <v>26</v>
      </c>
      <c r="I1021" s="8"/>
      <c r="J1021" s="8">
        <v>5000</v>
      </c>
      <c r="K1021" s="6" t="s">
        <v>2980</v>
      </c>
      <c r="L1021" s="6" t="s">
        <v>9912</v>
      </c>
      <c r="M1021" s="6" t="s">
        <v>4509</v>
      </c>
      <c r="N1021" s="6" t="s">
        <v>4537</v>
      </c>
    </row>
    <row r="1022" s="1" customFormat="1" ht="16.35" customHeight="1" spans="1:14">
      <c r="A1022" s="5"/>
      <c r="B1022" s="6" t="s">
        <v>4506</v>
      </c>
      <c r="C1022" s="6">
        <v>2017</v>
      </c>
      <c r="D1022" s="6">
        <v>10</v>
      </c>
      <c r="E1022" s="7">
        <v>36</v>
      </c>
      <c r="F1022" s="6" t="s">
        <v>9919</v>
      </c>
      <c r="G1022" s="6" t="s">
        <v>9370</v>
      </c>
      <c r="H1022" s="6" t="s">
        <v>26</v>
      </c>
      <c r="I1022" s="8"/>
      <c r="J1022" s="8">
        <v>133647.72</v>
      </c>
      <c r="K1022" s="6" t="s">
        <v>2960</v>
      </c>
      <c r="L1022" s="6" t="s">
        <v>915</v>
      </c>
      <c r="M1022" s="6" t="s">
        <v>4509</v>
      </c>
      <c r="N1022" s="6" t="s">
        <v>4537</v>
      </c>
    </row>
    <row r="1023" s="1" customFormat="1" ht="16.35" customHeight="1" spans="1:14">
      <c r="A1023" s="5"/>
      <c r="B1023" s="6" t="s">
        <v>4506</v>
      </c>
      <c r="C1023" s="6">
        <v>2017</v>
      </c>
      <c r="D1023" s="6">
        <v>10</v>
      </c>
      <c r="E1023" s="7">
        <v>37</v>
      </c>
      <c r="F1023" s="6" t="s">
        <v>9920</v>
      </c>
      <c r="G1023" s="6" t="s">
        <v>9370</v>
      </c>
      <c r="H1023" s="6" t="s">
        <v>26</v>
      </c>
      <c r="I1023" s="8"/>
      <c r="J1023" s="8">
        <v>180954.18</v>
      </c>
      <c r="K1023" s="6" t="s">
        <v>2960</v>
      </c>
      <c r="L1023" s="6" t="s">
        <v>915</v>
      </c>
      <c r="M1023" s="6" t="s">
        <v>4509</v>
      </c>
      <c r="N1023" s="6" t="s">
        <v>4537</v>
      </c>
    </row>
    <row r="1024" s="1" customFormat="1" ht="16.35" customHeight="1" spans="1:14">
      <c r="A1024" s="5"/>
      <c r="B1024" s="6" t="s">
        <v>4506</v>
      </c>
      <c r="C1024" s="6">
        <v>2017</v>
      </c>
      <c r="D1024" s="6">
        <v>10</v>
      </c>
      <c r="E1024" s="7">
        <v>38</v>
      </c>
      <c r="F1024" s="6" t="s">
        <v>9740</v>
      </c>
      <c r="G1024" s="6" t="s">
        <v>9370</v>
      </c>
      <c r="H1024" s="6" t="s">
        <v>26</v>
      </c>
      <c r="I1024" s="8"/>
      <c r="J1024" s="8">
        <v>449.8</v>
      </c>
      <c r="K1024" s="6" t="s">
        <v>4510</v>
      </c>
      <c r="L1024" s="6" t="s">
        <v>9447</v>
      </c>
      <c r="M1024" s="6" t="s">
        <v>4509</v>
      </c>
      <c r="N1024" s="6" t="s">
        <v>4537</v>
      </c>
    </row>
    <row r="1025" s="1" customFormat="1" ht="16.35" customHeight="1" spans="1:14">
      <c r="A1025" s="5"/>
      <c r="B1025" s="6" t="s">
        <v>4506</v>
      </c>
      <c r="C1025" s="6">
        <v>2017</v>
      </c>
      <c r="D1025" s="6">
        <v>11</v>
      </c>
      <c r="E1025" s="7">
        <v>3</v>
      </c>
      <c r="F1025" s="6" t="s">
        <v>9898</v>
      </c>
      <c r="G1025" s="6" t="s">
        <v>9370</v>
      </c>
      <c r="H1025" s="6" t="s">
        <v>26</v>
      </c>
      <c r="I1025" s="8">
        <v>200000</v>
      </c>
      <c r="J1025" s="8"/>
      <c r="K1025" s="6" t="s">
        <v>4509</v>
      </c>
      <c r="L1025" s="6" t="s">
        <v>9218</v>
      </c>
      <c r="M1025" s="6" t="s">
        <v>4509</v>
      </c>
      <c r="N1025" s="6" t="s">
        <v>4537</v>
      </c>
    </row>
    <row r="1026" s="1" customFormat="1" ht="16.35" customHeight="1" spans="1:14">
      <c r="A1026" s="5"/>
      <c r="B1026" s="6" t="s">
        <v>4506</v>
      </c>
      <c r="C1026" s="6">
        <v>2017</v>
      </c>
      <c r="D1026" s="6">
        <v>11</v>
      </c>
      <c r="E1026" s="7">
        <v>4</v>
      </c>
      <c r="F1026" s="6" t="s">
        <v>9893</v>
      </c>
      <c r="G1026" s="6" t="s">
        <v>9370</v>
      </c>
      <c r="H1026" s="6" t="s">
        <v>26</v>
      </c>
      <c r="I1026" s="8">
        <v>200000</v>
      </c>
      <c r="J1026" s="8"/>
      <c r="K1026" s="6" t="s">
        <v>4509</v>
      </c>
      <c r="L1026" s="6" t="s">
        <v>9218</v>
      </c>
      <c r="M1026" s="6" t="s">
        <v>4509</v>
      </c>
      <c r="N1026" s="6" t="s">
        <v>4537</v>
      </c>
    </row>
    <row r="1027" s="1" customFormat="1" ht="16.35" customHeight="1" spans="1:14">
      <c r="A1027" s="5"/>
      <c r="B1027" s="6" t="s">
        <v>4506</v>
      </c>
      <c r="C1027" s="6">
        <v>2017</v>
      </c>
      <c r="D1027" s="6">
        <v>11</v>
      </c>
      <c r="E1027" s="7">
        <v>6</v>
      </c>
      <c r="F1027" s="6" t="s">
        <v>9893</v>
      </c>
      <c r="G1027" s="6" t="s">
        <v>9370</v>
      </c>
      <c r="H1027" s="6" t="s">
        <v>26</v>
      </c>
      <c r="I1027" s="8"/>
      <c r="J1027" s="8">
        <v>200000</v>
      </c>
      <c r="K1027" s="6" t="s">
        <v>4509</v>
      </c>
      <c r="L1027" s="6" t="s">
        <v>9218</v>
      </c>
      <c r="M1027" s="6" t="s">
        <v>4509</v>
      </c>
      <c r="N1027" s="6" t="s">
        <v>4537</v>
      </c>
    </row>
    <row r="1028" s="1" customFormat="1" ht="16.35" customHeight="1" spans="1:14">
      <c r="A1028" s="5"/>
      <c r="B1028" s="6" t="s">
        <v>4506</v>
      </c>
      <c r="C1028" s="6">
        <v>2017</v>
      </c>
      <c r="D1028" s="6">
        <v>11</v>
      </c>
      <c r="E1028" s="7">
        <v>7</v>
      </c>
      <c r="F1028" s="6" t="s">
        <v>9893</v>
      </c>
      <c r="G1028" s="6" t="s">
        <v>9370</v>
      </c>
      <c r="H1028" s="6" t="s">
        <v>26</v>
      </c>
      <c r="I1028" s="8"/>
      <c r="J1028" s="8">
        <v>1500000</v>
      </c>
      <c r="K1028" s="6" t="s">
        <v>4512</v>
      </c>
      <c r="L1028" s="6" t="s">
        <v>2906</v>
      </c>
      <c r="M1028" s="6" t="s">
        <v>4509</v>
      </c>
      <c r="N1028" s="6" t="s">
        <v>4537</v>
      </c>
    </row>
    <row r="1029" s="1" customFormat="1" ht="16.35" customHeight="1" spans="1:14">
      <c r="A1029" s="5"/>
      <c r="B1029" s="6" t="s">
        <v>4506</v>
      </c>
      <c r="C1029" s="6">
        <v>2017</v>
      </c>
      <c r="D1029" s="6">
        <v>11</v>
      </c>
      <c r="E1029" s="7">
        <v>8</v>
      </c>
      <c r="F1029" s="6" t="s">
        <v>9893</v>
      </c>
      <c r="G1029" s="6" t="s">
        <v>9370</v>
      </c>
      <c r="H1029" s="6" t="s">
        <v>26</v>
      </c>
      <c r="I1029" s="8"/>
      <c r="J1029" s="8">
        <v>200000</v>
      </c>
      <c r="K1029" s="6" t="s">
        <v>4509</v>
      </c>
      <c r="L1029" s="6" t="s">
        <v>9218</v>
      </c>
      <c r="M1029" s="6" t="s">
        <v>4509</v>
      </c>
      <c r="N1029" s="6" t="s">
        <v>4537</v>
      </c>
    </row>
    <row r="1030" s="1" customFormat="1" ht="16.35" customHeight="1" spans="1:14">
      <c r="A1030" s="5"/>
      <c r="B1030" s="6" t="s">
        <v>4506</v>
      </c>
      <c r="C1030" s="6">
        <v>2017</v>
      </c>
      <c r="D1030" s="6">
        <v>11</v>
      </c>
      <c r="E1030" s="7">
        <v>9</v>
      </c>
      <c r="F1030" s="6" t="s">
        <v>9921</v>
      </c>
      <c r="G1030" s="6" t="s">
        <v>9370</v>
      </c>
      <c r="H1030" s="6" t="s">
        <v>26</v>
      </c>
      <c r="I1030" s="8"/>
      <c r="J1030" s="8">
        <v>10700</v>
      </c>
      <c r="K1030" s="6" t="s">
        <v>2980</v>
      </c>
      <c r="L1030" s="6" t="s">
        <v>9912</v>
      </c>
      <c r="M1030" s="6" t="s">
        <v>4509</v>
      </c>
      <c r="N1030" s="6" t="s">
        <v>4537</v>
      </c>
    </row>
    <row r="1031" s="1" customFormat="1" ht="16.35" customHeight="1" spans="1:14">
      <c r="A1031" s="5"/>
      <c r="B1031" s="6" t="s">
        <v>4506</v>
      </c>
      <c r="C1031" s="6">
        <v>2017</v>
      </c>
      <c r="D1031" s="6">
        <v>11</v>
      </c>
      <c r="E1031" s="7">
        <v>12</v>
      </c>
      <c r="F1031" s="6" t="s">
        <v>9922</v>
      </c>
      <c r="G1031" s="6" t="s">
        <v>9370</v>
      </c>
      <c r="H1031" s="6" t="s">
        <v>26</v>
      </c>
      <c r="I1031" s="8"/>
      <c r="J1031" s="8">
        <v>3600</v>
      </c>
      <c r="K1031" s="6" t="s">
        <v>2980</v>
      </c>
      <c r="L1031" s="6" t="s">
        <v>9912</v>
      </c>
      <c r="M1031" s="6" t="s">
        <v>4509</v>
      </c>
      <c r="N1031" s="6" t="s">
        <v>4537</v>
      </c>
    </row>
    <row r="1032" s="1" customFormat="1" ht="16.35" customHeight="1" spans="1:14">
      <c r="A1032" s="5"/>
      <c r="B1032" s="6" t="s">
        <v>4506</v>
      </c>
      <c r="C1032" s="6">
        <v>2017</v>
      </c>
      <c r="D1032" s="6">
        <v>11</v>
      </c>
      <c r="E1032" s="7">
        <v>13</v>
      </c>
      <c r="F1032" s="6" t="s">
        <v>9923</v>
      </c>
      <c r="G1032" s="6" t="s">
        <v>9370</v>
      </c>
      <c r="H1032" s="6" t="s">
        <v>26</v>
      </c>
      <c r="I1032" s="8"/>
      <c r="J1032" s="8">
        <v>9000</v>
      </c>
      <c r="K1032" s="6" t="s">
        <v>2980</v>
      </c>
      <c r="L1032" s="6" t="s">
        <v>9912</v>
      </c>
      <c r="M1032" s="6" t="s">
        <v>4509</v>
      </c>
      <c r="N1032" s="6" t="s">
        <v>4537</v>
      </c>
    </row>
    <row r="1033" s="1" customFormat="1" ht="16.35" customHeight="1" spans="1:14">
      <c r="A1033" s="5"/>
      <c r="B1033" s="6" t="s">
        <v>4506</v>
      </c>
      <c r="C1033" s="6">
        <v>2017</v>
      </c>
      <c r="D1033" s="6">
        <v>11</v>
      </c>
      <c r="E1033" s="7">
        <v>21</v>
      </c>
      <c r="F1033" s="6" t="s">
        <v>9924</v>
      </c>
      <c r="G1033" s="6" t="s">
        <v>9370</v>
      </c>
      <c r="H1033" s="6" t="s">
        <v>26</v>
      </c>
      <c r="I1033" s="8"/>
      <c r="J1033" s="8">
        <v>770000</v>
      </c>
      <c r="K1033" s="6" t="s">
        <v>4509</v>
      </c>
      <c r="L1033" s="6" t="s">
        <v>9218</v>
      </c>
      <c r="M1033" s="6" t="s">
        <v>4509</v>
      </c>
      <c r="N1033" s="6" t="s">
        <v>4537</v>
      </c>
    </row>
    <row r="1034" s="1" customFormat="1" ht="16.35" customHeight="1" spans="1:14">
      <c r="A1034" s="5"/>
      <c r="B1034" s="6" t="s">
        <v>4506</v>
      </c>
      <c r="C1034" s="6">
        <v>2017</v>
      </c>
      <c r="D1034" s="6">
        <v>11</v>
      </c>
      <c r="E1034" s="7">
        <v>24</v>
      </c>
      <c r="F1034" s="6" t="s">
        <v>9898</v>
      </c>
      <c r="G1034" s="6" t="s">
        <v>9370</v>
      </c>
      <c r="H1034" s="6" t="s">
        <v>26</v>
      </c>
      <c r="I1034" s="8"/>
      <c r="J1034" s="8">
        <v>1800000</v>
      </c>
      <c r="K1034" s="6" t="s">
        <v>4512</v>
      </c>
      <c r="L1034" s="6" t="s">
        <v>2906</v>
      </c>
      <c r="M1034" s="6" t="s">
        <v>4509</v>
      </c>
      <c r="N1034" s="6" t="s">
        <v>4537</v>
      </c>
    </row>
    <row r="1035" s="1" customFormat="1" ht="16.35" customHeight="1" spans="1:14">
      <c r="A1035" s="5"/>
      <c r="B1035" s="6" t="s">
        <v>4506</v>
      </c>
      <c r="C1035" s="6">
        <v>2017</v>
      </c>
      <c r="D1035" s="6">
        <v>11</v>
      </c>
      <c r="E1035" s="7">
        <v>25</v>
      </c>
      <c r="F1035" s="6" t="s">
        <v>9925</v>
      </c>
      <c r="G1035" s="6" t="s">
        <v>9370</v>
      </c>
      <c r="H1035" s="6" t="s">
        <v>26</v>
      </c>
      <c r="I1035" s="8"/>
      <c r="J1035" s="8">
        <v>5000</v>
      </c>
      <c r="K1035" s="6" t="s">
        <v>2980</v>
      </c>
      <c r="L1035" s="6" t="s">
        <v>9912</v>
      </c>
      <c r="M1035" s="6" t="s">
        <v>4509</v>
      </c>
      <c r="N1035" s="6" t="s">
        <v>4537</v>
      </c>
    </row>
    <row r="1036" s="1" customFormat="1" ht="16.35" customHeight="1" spans="1:14">
      <c r="A1036" s="5"/>
      <c r="B1036" s="6" t="s">
        <v>4506</v>
      </c>
      <c r="C1036" s="6">
        <v>2017</v>
      </c>
      <c r="D1036" s="6">
        <v>11</v>
      </c>
      <c r="E1036" s="7">
        <v>26</v>
      </c>
      <c r="F1036" s="6" t="s">
        <v>9926</v>
      </c>
      <c r="G1036" s="6" t="s">
        <v>9370</v>
      </c>
      <c r="H1036" s="6" t="s">
        <v>26</v>
      </c>
      <c r="I1036" s="8"/>
      <c r="J1036" s="8">
        <v>3000</v>
      </c>
      <c r="K1036" s="6" t="s">
        <v>2980</v>
      </c>
      <c r="L1036" s="6" t="s">
        <v>9912</v>
      </c>
      <c r="M1036" s="6" t="s">
        <v>4509</v>
      </c>
      <c r="N1036" s="6" t="s">
        <v>4537</v>
      </c>
    </row>
    <row r="1037" s="1" customFormat="1" ht="16.35" customHeight="1" spans="1:14">
      <c r="A1037" s="5"/>
      <c r="B1037" s="6" t="s">
        <v>4506</v>
      </c>
      <c r="C1037" s="6">
        <v>2017</v>
      </c>
      <c r="D1037" s="6">
        <v>11</v>
      </c>
      <c r="E1037" s="7">
        <v>27</v>
      </c>
      <c r="F1037" s="6" t="s">
        <v>9927</v>
      </c>
      <c r="G1037" s="6" t="s">
        <v>9370</v>
      </c>
      <c r="H1037" s="6" t="s">
        <v>26</v>
      </c>
      <c r="I1037" s="8"/>
      <c r="J1037" s="8">
        <v>5000</v>
      </c>
      <c r="K1037" s="6" t="s">
        <v>2980</v>
      </c>
      <c r="L1037" s="6" t="s">
        <v>9912</v>
      </c>
      <c r="M1037" s="6" t="s">
        <v>4509</v>
      </c>
      <c r="N1037" s="6" t="s">
        <v>4537</v>
      </c>
    </row>
    <row r="1038" s="1" customFormat="1" ht="16.35" customHeight="1" spans="1:14">
      <c r="A1038" s="5"/>
      <c r="B1038" s="6" t="s">
        <v>4506</v>
      </c>
      <c r="C1038" s="6">
        <v>2017</v>
      </c>
      <c r="D1038" s="6">
        <v>11</v>
      </c>
      <c r="E1038" s="7">
        <v>28</v>
      </c>
      <c r="F1038" s="6" t="s">
        <v>9928</v>
      </c>
      <c r="G1038" s="6" t="s">
        <v>9370</v>
      </c>
      <c r="H1038" s="6" t="s">
        <v>26</v>
      </c>
      <c r="I1038" s="8"/>
      <c r="J1038" s="8">
        <v>2000</v>
      </c>
      <c r="K1038" s="6" t="s">
        <v>2980</v>
      </c>
      <c r="L1038" s="6" t="s">
        <v>9912</v>
      </c>
      <c r="M1038" s="6" t="s">
        <v>4509</v>
      </c>
      <c r="N1038" s="6" t="s">
        <v>4537</v>
      </c>
    </row>
    <row r="1039" s="1" customFormat="1" ht="16.35" customHeight="1" spans="1:14">
      <c r="A1039" s="5"/>
      <c r="B1039" s="6" t="s">
        <v>4506</v>
      </c>
      <c r="C1039" s="6">
        <v>2017</v>
      </c>
      <c r="D1039" s="6">
        <v>11</v>
      </c>
      <c r="E1039" s="7">
        <v>35</v>
      </c>
      <c r="F1039" s="6" t="s">
        <v>9929</v>
      </c>
      <c r="G1039" s="6" t="s">
        <v>9370</v>
      </c>
      <c r="H1039" s="6" t="s">
        <v>26</v>
      </c>
      <c r="I1039" s="8">
        <v>2000000</v>
      </c>
      <c r="J1039" s="8"/>
      <c r="K1039" s="6" t="s">
        <v>4509</v>
      </c>
      <c r="L1039" s="6" t="s">
        <v>9218</v>
      </c>
      <c r="M1039" s="6" t="s">
        <v>4509</v>
      </c>
      <c r="N1039" s="6" t="s">
        <v>4537</v>
      </c>
    </row>
    <row r="1040" s="1" customFormat="1" ht="16.35" customHeight="1" spans="1:14">
      <c r="A1040" s="5"/>
      <c r="B1040" s="6" t="s">
        <v>4506</v>
      </c>
      <c r="C1040" s="6">
        <v>2017</v>
      </c>
      <c r="D1040" s="6">
        <v>11</v>
      </c>
      <c r="E1040" s="7">
        <v>35</v>
      </c>
      <c r="F1040" s="6" t="s">
        <v>9929</v>
      </c>
      <c r="G1040" s="6" t="s">
        <v>9370</v>
      </c>
      <c r="H1040" s="6" t="s">
        <v>26</v>
      </c>
      <c r="I1040" s="8">
        <v>2500000</v>
      </c>
      <c r="J1040" s="8"/>
      <c r="K1040" s="6" t="s">
        <v>4509</v>
      </c>
      <c r="L1040" s="6" t="s">
        <v>9218</v>
      </c>
      <c r="M1040" s="6" t="s">
        <v>4509</v>
      </c>
      <c r="N1040" s="6" t="s">
        <v>4537</v>
      </c>
    </row>
    <row r="1041" s="1" customFormat="1" ht="16.35" customHeight="1" spans="1:14">
      <c r="A1041" s="5"/>
      <c r="B1041" s="6" t="s">
        <v>4506</v>
      </c>
      <c r="C1041" s="6">
        <v>2017</v>
      </c>
      <c r="D1041" s="6">
        <v>11</v>
      </c>
      <c r="E1041" s="7">
        <v>39</v>
      </c>
      <c r="F1041" s="6" t="s">
        <v>9435</v>
      </c>
      <c r="G1041" s="6" t="s">
        <v>9370</v>
      </c>
      <c r="H1041" s="6" t="s">
        <v>26</v>
      </c>
      <c r="I1041" s="8"/>
      <c r="J1041" s="8">
        <v>577234.19</v>
      </c>
      <c r="K1041" s="6" t="s">
        <v>4509</v>
      </c>
      <c r="L1041" s="6" t="s">
        <v>9218</v>
      </c>
      <c r="M1041" s="6" t="s">
        <v>4509</v>
      </c>
      <c r="N1041" s="6" t="s">
        <v>4537</v>
      </c>
    </row>
    <row r="1042" s="1" customFormat="1" ht="16.35" customHeight="1" spans="1:14">
      <c r="A1042" s="5"/>
      <c r="B1042" s="6" t="s">
        <v>4506</v>
      </c>
      <c r="C1042" s="6">
        <v>2017</v>
      </c>
      <c r="D1042" s="6">
        <v>11</v>
      </c>
      <c r="E1042" s="7">
        <v>40</v>
      </c>
      <c r="F1042" s="6" t="s">
        <v>9464</v>
      </c>
      <c r="G1042" s="6" t="s">
        <v>9370</v>
      </c>
      <c r="H1042" s="6" t="s">
        <v>26</v>
      </c>
      <c r="I1042" s="8"/>
      <c r="J1042" s="8">
        <v>1120</v>
      </c>
      <c r="K1042" s="6" t="s">
        <v>4509</v>
      </c>
      <c r="L1042" s="6" t="s">
        <v>9218</v>
      </c>
      <c r="M1042" s="6" t="s">
        <v>4509</v>
      </c>
      <c r="N1042" s="6" t="s">
        <v>4537</v>
      </c>
    </row>
    <row r="1043" s="1" customFormat="1" ht="16.35" customHeight="1" spans="1:14">
      <c r="A1043" s="5"/>
      <c r="B1043" s="6" t="s">
        <v>4506</v>
      </c>
      <c r="C1043" s="6">
        <v>2017</v>
      </c>
      <c r="D1043" s="6">
        <v>11</v>
      </c>
      <c r="E1043" s="7">
        <v>41</v>
      </c>
      <c r="F1043" s="6" t="s">
        <v>9930</v>
      </c>
      <c r="G1043" s="6" t="s">
        <v>9370</v>
      </c>
      <c r="H1043" s="6" t="s">
        <v>26</v>
      </c>
      <c r="I1043" s="8"/>
      <c r="J1043" s="8">
        <v>410190</v>
      </c>
      <c r="K1043" s="6" t="s">
        <v>4509</v>
      </c>
      <c r="L1043" s="6" t="s">
        <v>9218</v>
      </c>
      <c r="M1043" s="6" t="s">
        <v>4509</v>
      </c>
      <c r="N1043" s="6" t="s">
        <v>4537</v>
      </c>
    </row>
    <row r="1044" s="1" customFormat="1" ht="16.35" customHeight="1" spans="1:14">
      <c r="A1044" s="5"/>
      <c r="B1044" s="6" t="s">
        <v>4506</v>
      </c>
      <c r="C1044" s="6">
        <v>2017</v>
      </c>
      <c r="D1044" s="6">
        <v>11</v>
      </c>
      <c r="E1044" s="7">
        <v>42</v>
      </c>
      <c r="F1044" s="6" t="s">
        <v>9742</v>
      </c>
      <c r="G1044" s="6" t="s">
        <v>9370</v>
      </c>
      <c r="H1044" s="6" t="s">
        <v>26</v>
      </c>
      <c r="I1044" s="8"/>
      <c r="J1044" s="8">
        <v>449.8</v>
      </c>
      <c r="K1044" s="6" t="s">
        <v>4510</v>
      </c>
      <c r="L1044" s="6" t="s">
        <v>9447</v>
      </c>
      <c r="M1044" s="6" t="s">
        <v>4509</v>
      </c>
      <c r="N1044" s="6" t="s">
        <v>4537</v>
      </c>
    </row>
    <row r="1045" s="1" customFormat="1" ht="16.35" customHeight="1" spans="1:14">
      <c r="A1045" s="5"/>
      <c r="B1045" s="6" t="s">
        <v>4506</v>
      </c>
      <c r="C1045" s="6">
        <v>2017</v>
      </c>
      <c r="D1045" s="6">
        <v>12</v>
      </c>
      <c r="E1045" s="7">
        <v>1</v>
      </c>
      <c r="F1045" s="6" t="s">
        <v>4507</v>
      </c>
      <c r="G1045" s="6" t="s">
        <v>9370</v>
      </c>
      <c r="H1045" s="6" t="s">
        <v>26</v>
      </c>
      <c r="I1045" s="8">
        <v>1000000</v>
      </c>
      <c r="J1045" s="8"/>
      <c r="K1045" s="6" t="s">
        <v>4509</v>
      </c>
      <c r="L1045" s="6" t="s">
        <v>9218</v>
      </c>
      <c r="M1045" s="6" t="s">
        <v>4509</v>
      </c>
      <c r="N1045" s="6" t="s">
        <v>4537</v>
      </c>
    </row>
    <row r="1046" s="1" customFormat="1" ht="16.35" customHeight="1" spans="1:14">
      <c r="A1046" s="5"/>
      <c r="B1046" s="6" t="s">
        <v>4506</v>
      </c>
      <c r="C1046" s="6">
        <v>2017</v>
      </c>
      <c r="D1046" s="6">
        <v>12</v>
      </c>
      <c r="E1046" s="7">
        <v>2</v>
      </c>
      <c r="F1046" s="6" t="s">
        <v>4507</v>
      </c>
      <c r="G1046" s="6" t="s">
        <v>9370</v>
      </c>
      <c r="H1046" s="6" t="s">
        <v>26</v>
      </c>
      <c r="I1046" s="8">
        <v>2000000</v>
      </c>
      <c r="J1046" s="8"/>
      <c r="K1046" s="6" t="s">
        <v>4509</v>
      </c>
      <c r="L1046" s="6" t="s">
        <v>9218</v>
      </c>
      <c r="M1046" s="6" t="s">
        <v>4509</v>
      </c>
      <c r="N1046" s="6" t="s">
        <v>4537</v>
      </c>
    </row>
    <row r="1047" s="1" customFormat="1" ht="16.35" customHeight="1" spans="1:14">
      <c r="A1047" s="5"/>
      <c r="B1047" s="6" t="s">
        <v>4506</v>
      </c>
      <c r="C1047" s="6">
        <v>2017</v>
      </c>
      <c r="D1047" s="6">
        <v>12</v>
      </c>
      <c r="E1047" s="7">
        <v>3</v>
      </c>
      <c r="F1047" s="6" t="s">
        <v>9730</v>
      </c>
      <c r="G1047" s="6" t="s">
        <v>9370</v>
      </c>
      <c r="H1047" s="6" t="s">
        <v>26</v>
      </c>
      <c r="I1047" s="8"/>
      <c r="J1047" s="8">
        <v>2400000</v>
      </c>
      <c r="K1047" s="6" t="s">
        <v>4512</v>
      </c>
      <c r="L1047" s="6" t="s">
        <v>2906</v>
      </c>
      <c r="M1047" s="6" t="s">
        <v>4509</v>
      </c>
      <c r="N1047" s="6" t="s">
        <v>4537</v>
      </c>
    </row>
    <row r="1048" s="1" customFormat="1" ht="16.35" customHeight="1" spans="1:14">
      <c r="A1048" s="5"/>
      <c r="B1048" s="6" t="s">
        <v>4506</v>
      </c>
      <c r="C1048" s="6">
        <v>2017</v>
      </c>
      <c r="D1048" s="6">
        <v>12</v>
      </c>
      <c r="E1048" s="7">
        <v>4</v>
      </c>
      <c r="F1048" s="6" t="s">
        <v>9931</v>
      </c>
      <c r="G1048" s="6" t="s">
        <v>9370</v>
      </c>
      <c r="H1048" s="6" t="s">
        <v>26</v>
      </c>
      <c r="I1048" s="8"/>
      <c r="J1048" s="8">
        <v>30524</v>
      </c>
      <c r="K1048" s="6" t="s">
        <v>2976</v>
      </c>
      <c r="L1048" s="6" t="s">
        <v>9860</v>
      </c>
      <c r="M1048" s="6" t="s">
        <v>4509</v>
      </c>
      <c r="N1048" s="6" t="s">
        <v>4537</v>
      </c>
    </row>
    <row r="1049" s="1" customFormat="1" ht="16.35" customHeight="1" spans="1:14">
      <c r="A1049" s="5"/>
      <c r="B1049" s="6" t="s">
        <v>4506</v>
      </c>
      <c r="C1049" s="6">
        <v>2017</v>
      </c>
      <c r="D1049" s="6">
        <v>12</v>
      </c>
      <c r="E1049" s="7">
        <v>9</v>
      </c>
      <c r="F1049" s="6" t="s">
        <v>9932</v>
      </c>
      <c r="G1049" s="6" t="s">
        <v>9370</v>
      </c>
      <c r="H1049" s="6" t="s">
        <v>26</v>
      </c>
      <c r="I1049" s="8"/>
      <c r="J1049" s="8">
        <v>11875</v>
      </c>
      <c r="K1049" s="6" t="s">
        <v>2968</v>
      </c>
      <c r="L1049" s="6" t="s">
        <v>139</v>
      </c>
      <c r="M1049" s="6" t="s">
        <v>4516</v>
      </c>
      <c r="N1049" s="6" t="s">
        <v>5082</v>
      </c>
    </row>
    <row r="1050" s="1" customFormat="1" ht="16.35" customHeight="1" spans="1:14">
      <c r="A1050" s="5"/>
      <c r="B1050" s="6" t="s">
        <v>4506</v>
      </c>
      <c r="C1050" s="6">
        <v>2017</v>
      </c>
      <c r="D1050" s="6">
        <v>12</v>
      </c>
      <c r="E1050" s="7">
        <v>25</v>
      </c>
      <c r="F1050" s="6" t="s">
        <v>9933</v>
      </c>
      <c r="G1050" s="6" t="s">
        <v>9370</v>
      </c>
      <c r="H1050" s="6" t="s">
        <v>26</v>
      </c>
      <c r="I1050" s="8"/>
      <c r="J1050" s="8">
        <v>2000</v>
      </c>
      <c r="K1050" s="6" t="s">
        <v>2980</v>
      </c>
      <c r="L1050" s="6" t="s">
        <v>9912</v>
      </c>
      <c r="M1050" s="6" t="s">
        <v>4509</v>
      </c>
      <c r="N1050" s="6" t="s">
        <v>4537</v>
      </c>
    </row>
    <row r="1051" s="1" customFormat="1" ht="16.35" customHeight="1" spans="1:14">
      <c r="A1051" s="5"/>
      <c r="B1051" s="6" t="s">
        <v>4506</v>
      </c>
      <c r="C1051" s="6">
        <v>2017</v>
      </c>
      <c r="D1051" s="6">
        <v>12</v>
      </c>
      <c r="E1051" s="7">
        <v>27</v>
      </c>
      <c r="F1051" s="6" t="s">
        <v>9934</v>
      </c>
      <c r="G1051" s="6" t="s">
        <v>9370</v>
      </c>
      <c r="H1051" s="6" t="s">
        <v>26</v>
      </c>
      <c r="I1051" s="8"/>
      <c r="J1051" s="8">
        <v>13000</v>
      </c>
      <c r="K1051" s="6" t="s">
        <v>2980</v>
      </c>
      <c r="L1051" s="6" t="s">
        <v>9912</v>
      </c>
      <c r="M1051" s="6" t="s">
        <v>4509</v>
      </c>
      <c r="N1051" s="6" t="s">
        <v>4537</v>
      </c>
    </row>
    <row r="1052" s="1" customFormat="1" ht="16.35" customHeight="1" spans="1:14">
      <c r="A1052" s="5"/>
      <c r="B1052" s="6" t="s">
        <v>4506</v>
      </c>
      <c r="C1052" s="6">
        <v>2017</v>
      </c>
      <c r="D1052" s="6">
        <v>12</v>
      </c>
      <c r="E1052" s="7">
        <v>28</v>
      </c>
      <c r="F1052" s="6" t="s">
        <v>9935</v>
      </c>
      <c r="G1052" s="6" t="s">
        <v>9370</v>
      </c>
      <c r="H1052" s="6" t="s">
        <v>26</v>
      </c>
      <c r="I1052" s="8"/>
      <c r="J1052" s="8">
        <v>963</v>
      </c>
      <c r="K1052" s="6" t="s">
        <v>2971</v>
      </c>
      <c r="L1052" s="6" t="s">
        <v>909</v>
      </c>
      <c r="M1052" s="6" t="s">
        <v>4509</v>
      </c>
      <c r="N1052" s="6" t="s">
        <v>4537</v>
      </c>
    </row>
    <row r="1053" s="1" customFormat="1" ht="16.35" customHeight="1" spans="1:14">
      <c r="A1053" s="5"/>
      <c r="B1053" s="6" t="s">
        <v>4506</v>
      </c>
      <c r="C1053" s="6">
        <v>2017</v>
      </c>
      <c r="D1053" s="6">
        <v>12</v>
      </c>
      <c r="E1053" s="7">
        <v>30</v>
      </c>
      <c r="F1053" s="6" t="s">
        <v>9936</v>
      </c>
      <c r="G1053" s="6" t="s">
        <v>9370</v>
      </c>
      <c r="H1053" s="6" t="s">
        <v>26</v>
      </c>
      <c r="I1053" s="8"/>
      <c r="J1053" s="8">
        <v>5000</v>
      </c>
      <c r="K1053" s="6" t="s">
        <v>2980</v>
      </c>
      <c r="L1053" s="6" t="s">
        <v>9912</v>
      </c>
      <c r="M1053" s="6" t="s">
        <v>4509</v>
      </c>
      <c r="N1053" s="6" t="s">
        <v>4537</v>
      </c>
    </row>
    <row r="1054" s="1" customFormat="1" ht="16.35" customHeight="1" spans="1:14">
      <c r="A1054" s="5"/>
      <c r="B1054" s="6" t="s">
        <v>4506</v>
      </c>
      <c r="C1054" s="6">
        <v>2017</v>
      </c>
      <c r="D1054" s="6">
        <v>12</v>
      </c>
      <c r="E1054" s="7">
        <v>32</v>
      </c>
      <c r="F1054" s="6" t="s">
        <v>9937</v>
      </c>
      <c r="G1054" s="6" t="s">
        <v>9370</v>
      </c>
      <c r="H1054" s="6" t="s">
        <v>26</v>
      </c>
      <c r="I1054" s="8"/>
      <c r="J1054" s="8">
        <v>1680</v>
      </c>
      <c r="K1054" s="6" t="s">
        <v>2971</v>
      </c>
      <c r="L1054" s="6" t="s">
        <v>909</v>
      </c>
      <c r="M1054" s="6" t="s">
        <v>4509</v>
      </c>
      <c r="N1054" s="6" t="s">
        <v>4537</v>
      </c>
    </row>
    <row r="1055" s="1" customFormat="1" ht="16.35" customHeight="1" spans="1:14">
      <c r="A1055" s="5"/>
      <c r="B1055" s="6" t="s">
        <v>4506</v>
      </c>
      <c r="C1055" s="6">
        <v>2017</v>
      </c>
      <c r="D1055" s="6">
        <v>12</v>
      </c>
      <c r="E1055" s="7">
        <v>32</v>
      </c>
      <c r="F1055" s="6" t="s">
        <v>9254</v>
      </c>
      <c r="G1055" s="6" t="s">
        <v>9370</v>
      </c>
      <c r="H1055" s="6" t="s">
        <v>26</v>
      </c>
      <c r="I1055" s="8"/>
      <c r="J1055" s="8">
        <v>796</v>
      </c>
      <c r="K1055" s="6" t="s">
        <v>2971</v>
      </c>
      <c r="L1055" s="6" t="s">
        <v>909</v>
      </c>
      <c r="M1055" s="6" t="s">
        <v>4509</v>
      </c>
      <c r="N1055" s="6" t="s">
        <v>4537</v>
      </c>
    </row>
    <row r="1056" s="1" customFormat="1" ht="16.35" customHeight="1" spans="1:14">
      <c r="A1056" s="5"/>
      <c r="B1056" s="6" t="s">
        <v>4506</v>
      </c>
      <c r="C1056" s="6">
        <v>2017</v>
      </c>
      <c r="D1056" s="6">
        <v>12</v>
      </c>
      <c r="E1056" s="7">
        <v>39</v>
      </c>
      <c r="F1056" s="6" t="s">
        <v>9938</v>
      </c>
      <c r="G1056" s="6" t="s">
        <v>9370</v>
      </c>
      <c r="H1056" s="6" t="s">
        <v>26</v>
      </c>
      <c r="I1056" s="8"/>
      <c r="J1056" s="8">
        <v>3000000</v>
      </c>
      <c r="K1056" s="6" t="s">
        <v>4512</v>
      </c>
      <c r="L1056" s="6" t="s">
        <v>2906</v>
      </c>
      <c r="M1056" s="6" t="s">
        <v>4509</v>
      </c>
      <c r="N1056" s="6" t="s">
        <v>4537</v>
      </c>
    </row>
    <row r="1057" s="1" customFormat="1" ht="16.35" customHeight="1" spans="1:14">
      <c r="A1057" s="5"/>
      <c r="B1057" s="6" t="s">
        <v>4506</v>
      </c>
      <c r="C1057" s="6">
        <v>2017</v>
      </c>
      <c r="D1057" s="6">
        <v>12</v>
      </c>
      <c r="E1057" s="7">
        <v>41</v>
      </c>
      <c r="F1057" s="6" t="s">
        <v>9939</v>
      </c>
      <c r="G1057" s="6" t="s">
        <v>9370</v>
      </c>
      <c r="H1057" s="6" t="s">
        <v>26</v>
      </c>
      <c r="I1057" s="8"/>
      <c r="J1057" s="8">
        <v>2000</v>
      </c>
      <c r="K1057" s="6" t="s">
        <v>2976</v>
      </c>
      <c r="L1057" s="6" t="s">
        <v>9860</v>
      </c>
      <c r="M1057" s="6" t="s">
        <v>4509</v>
      </c>
      <c r="N1057" s="6" t="s">
        <v>4537</v>
      </c>
    </row>
    <row r="1058" s="1" customFormat="1" ht="16.35" customHeight="1" spans="1:14">
      <c r="A1058" s="5"/>
      <c r="B1058" s="6" t="s">
        <v>4506</v>
      </c>
      <c r="C1058" s="6">
        <v>2017</v>
      </c>
      <c r="D1058" s="6">
        <v>12</v>
      </c>
      <c r="E1058" s="7">
        <v>47</v>
      </c>
      <c r="F1058" s="6" t="s">
        <v>9937</v>
      </c>
      <c r="G1058" s="6" t="s">
        <v>9370</v>
      </c>
      <c r="H1058" s="6" t="s">
        <v>26</v>
      </c>
      <c r="I1058" s="8"/>
      <c r="J1058" s="8">
        <v>623</v>
      </c>
      <c r="K1058" s="6" t="s">
        <v>2958</v>
      </c>
      <c r="L1058" s="6" t="s">
        <v>9887</v>
      </c>
      <c r="M1058" s="6" t="s">
        <v>4509</v>
      </c>
      <c r="N1058" s="6" t="s">
        <v>4537</v>
      </c>
    </row>
    <row r="1059" s="1" customFormat="1" ht="16.35" customHeight="1" spans="1:14">
      <c r="A1059" s="5"/>
      <c r="B1059" s="6" t="s">
        <v>4506</v>
      </c>
      <c r="C1059" s="6">
        <v>2017</v>
      </c>
      <c r="D1059" s="6">
        <v>12</v>
      </c>
      <c r="E1059" s="7">
        <v>48</v>
      </c>
      <c r="F1059" s="6" t="s">
        <v>9940</v>
      </c>
      <c r="G1059" s="6" t="s">
        <v>9370</v>
      </c>
      <c r="H1059" s="6" t="s">
        <v>26</v>
      </c>
      <c r="I1059" s="8"/>
      <c r="J1059" s="8">
        <v>561708</v>
      </c>
      <c r="K1059" s="6" t="s">
        <v>4512</v>
      </c>
      <c r="L1059" s="6" t="s">
        <v>2906</v>
      </c>
      <c r="M1059" s="6" t="s">
        <v>4509</v>
      </c>
      <c r="N1059" s="6" t="s">
        <v>4537</v>
      </c>
    </row>
    <row r="1060" s="1" customFormat="1" ht="16.35" customHeight="1" spans="1:14">
      <c r="A1060" s="5"/>
      <c r="B1060" s="6" t="s">
        <v>4506</v>
      </c>
      <c r="C1060" s="6">
        <v>2017</v>
      </c>
      <c r="D1060" s="6">
        <v>12</v>
      </c>
      <c r="E1060" s="7">
        <v>52</v>
      </c>
      <c r="F1060" s="6" t="s">
        <v>9941</v>
      </c>
      <c r="G1060" s="6" t="s">
        <v>9370</v>
      </c>
      <c r="H1060" s="6" t="s">
        <v>26</v>
      </c>
      <c r="I1060" s="8"/>
      <c r="J1060" s="8">
        <v>835.42</v>
      </c>
      <c r="K1060" s="6" t="s">
        <v>4510</v>
      </c>
      <c r="L1060" s="6" t="s">
        <v>9447</v>
      </c>
      <c r="M1060" s="6" t="s">
        <v>4509</v>
      </c>
      <c r="N1060" s="6" t="s">
        <v>4537</v>
      </c>
    </row>
    <row r="1061" s="1" customFormat="1" ht="16.35" customHeight="1" spans="1:14">
      <c r="A1061" s="5"/>
      <c r="B1061" s="6" t="s">
        <v>4506</v>
      </c>
      <c r="C1061" s="6">
        <v>2018</v>
      </c>
      <c r="D1061" s="6">
        <v>1</v>
      </c>
      <c r="E1061" s="7">
        <v>3</v>
      </c>
      <c r="F1061" s="6" t="s">
        <v>9898</v>
      </c>
      <c r="G1061" s="6" t="s">
        <v>9370</v>
      </c>
      <c r="H1061" s="6" t="s">
        <v>26</v>
      </c>
      <c r="I1061" s="8"/>
      <c r="J1061" s="8">
        <v>1000000</v>
      </c>
      <c r="K1061" s="6" t="s">
        <v>4512</v>
      </c>
      <c r="L1061" s="6" t="s">
        <v>2906</v>
      </c>
      <c r="M1061" s="6" t="s">
        <v>4509</v>
      </c>
      <c r="N1061" s="6" t="s">
        <v>4537</v>
      </c>
    </row>
    <row r="1062" s="1" customFormat="1" ht="16.35" customHeight="1" spans="1:14">
      <c r="A1062" s="5"/>
      <c r="B1062" s="6" t="s">
        <v>4506</v>
      </c>
      <c r="C1062" s="6">
        <v>2018</v>
      </c>
      <c r="D1062" s="6">
        <v>1</v>
      </c>
      <c r="E1062" s="7">
        <v>8</v>
      </c>
      <c r="F1062" s="6" t="s">
        <v>9385</v>
      </c>
      <c r="G1062" s="6" t="s">
        <v>9370</v>
      </c>
      <c r="H1062" s="6" t="s">
        <v>26</v>
      </c>
      <c r="I1062" s="8"/>
      <c r="J1062" s="8">
        <v>17000</v>
      </c>
      <c r="K1062" s="6" t="s">
        <v>4512</v>
      </c>
      <c r="L1062" s="6" t="s">
        <v>2906</v>
      </c>
      <c r="M1062" s="6" t="s">
        <v>4509</v>
      </c>
      <c r="N1062" s="6" t="s">
        <v>4537</v>
      </c>
    </row>
    <row r="1063" s="1" customFormat="1" ht="16.35" customHeight="1" spans="1:14">
      <c r="A1063" s="5"/>
      <c r="B1063" s="6" t="s">
        <v>4506</v>
      </c>
      <c r="C1063" s="6">
        <v>2018</v>
      </c>
      <c r="D1063" s="6">
        <v>1</v>
      </c>
      <c r="E1063" s="7">
        <v>11</v>
      </c>
      <c r="F1063" s="6" t="s">
        <v>9942</v>
      </c>
      <c r="G1063" s="6" t="s">
        <v>9370</v>
      </c>
      <c r="H1063" s="6" t="s">
        <v>26</v>
      </c>
      <c r="I1063" s="8"/>
      <c r="J1063" s="8">
        <v>6000</v>
      </c>
      <c r="K1063" s="6" t="s">
        <v>4514</v>
      </c>
      <c r="L1063" s="6" t="s">
        <v>4511</v>
      </c>
      <c r="M1063" s="6" t="s">
        <v>4509</v>
      </c>
      <c r="N1063" s="6" t="s">
        <v>4537</v>
      </c>
    </row>
    <row r="1064" s="1" customFormat="1" ht="16.35" customHeight="1" spans="1:14">
      <c r="A1064" s="5"/>
      <c r="B1064" s="6" t="s">
        <v>4506</v>
      </c>
      <c r="C1064" s="6">
        <v>2018</v>
      </c>
      <c r="D1064" s="6">
        <v>1</v>
      </c>
      <c r="E1064" s="7">
        <v>16</v>
      </c>
      <c r="F1064" s="6" t="s">
        <v>9943</v>
      </c>
      <c r="G1064" s="6" t="s">
        <v>9370</v>
      </c>
      <c r="H1064" s="6" t="s">
        <v>26</v>
      </c>
      <c r="I1064" s="8"/>
      <c r="J1064" s="8">
        <v>10000</v>
      </c>
      <c r="K1064" s="6" t="s">
        <v>2982</v>
      </c>
      <c r="L1064" s="6" t="s">
        <v>9944</v>
      </c>
      <c r="M1064" s="6" t="s">
        <v>4509</v>
      </c>
      <c r="N1064" s="6" t="s">
        <v>4537</v>
      </c>
    </row>
    <row r="1065" s="1" customFormat="1" ht="16.35" customHeight="1" spans="1:14">
      <c r="A1065" s="5"/>
      <c r="B1065" s="6" t="s">
        <v>4506</v>
      </c>
      <c r="C1065" s="6">
        <v>2018</v>
      </c>
      <c r="D1065" s="6">
        <v>1</v>
      </c>
      <c r="E1065" s="7">
        <v>17</v>
      </c>
      <c r="F1065" s="6" t="s">
        <v>9945</v>
      </c>
      <c r="G1065" s="6" t="s">
        <v>9370</v>
      </c>
      <c r="H1065" s="6" t="s">
        <v>26</v>
      </c>
      <c r="I1065" s="8">
        <v>600</v>
      </c>
      <c r="J1065" s="8"/>
      <c r="K1065" s="6" t="s">
        <v>2958</v>
      </c>
      <c r="L1065" s="6" t="s">
        <v>9887</v>
      </c>
      <c r="M1065" s="6" t="s">
        <v>4509</v>
      </c>
      <c r="N1065" s="6" t="s">
        <v>4537</v>
      </c>
    </row>
    <row r="1066" s="1" customFormat="1" ht="16.35" customHeight="1" spans="1:14">
      <c r="A1066" s="5"/>
      <c r="B1066" s="6" t="s">
        <v>4506</v>
      </c>
      <c r="C1066" s="6">
        <v>2018</v>
      </c>
      <c r="D1066" s="6">
        <v>1</v>
      </c>
      <c r="E1066" s="7">
        <v>27</v>
      </c>
      <c r="F1066" s="6" t="s">
        <v>9385</v>
      </c>
      <c r="G1066" s="6" t="s">
        <v>9370</v>
      </c>
      <c r="H1066" s="6" t="s">
        <v>26</v>
      </c>
      <c r="I1066" s="8"/>
      <c r="J1066" s="8">
        <v>8438</v>
      </c>
      <c r="K1066" s="6" t="s">
        <v>4509</v>
      </c>
      <c r="L1066" s="6" t="s">
        <v>9218</v>
      </c>
      <c r="M1066" s="6" t="s">
        <v>4509</v>
      </c>
      <c r="N1066" s="6" t="s">
        <v>4537</v>
      </c>
    </row>
    <row r="1067" s="1" customFormat="1" ht="16.35" customHeight="1" spans="1:14">
      <c r="A1067" s="5"/>
      <c r="B1067" s="6" t="s">
        <v>4506</v>
      </c>
      <c r="C1067" s="6">
        <v>2018</v>
      </c>
      <c r="D1067" s="6">
        <v>1</v>
      </c>
      <c r="E1067" s="7">
        <v>31</v>
      </c>
      <c r="F1067" s="6" t="s">
        <v>4828</v>
      </c>
      <c r="G1067" s="6" t="s">
        <v>9370</v>
      </c>
      <c r="H1067" s="6" t="s">
        <v>26</v>
      </c>
      <c r="I1067" s="8"/>
      <c r="J1067" s="8">
        <v>500000</v>
      </c>
      <c r="K1067" s="6" t="s">
        <v>4509</v>
      </c>
      <c r="L1067" s="6" t="s">
        <v>9218</v>
      </c>
      <c r="M1067" s="6" t="s">
        <v>4509</v>
      </c>
      <c r="N1067" s="6" t="s">
        <v>4537</v>
      </c>
    </row>
    <row r="1068" s="1" customFormat="1" ht="16.35" customHeight="1" spans="1:14">
      <c r="A1068" s="5"/>
      <c r="B1068" s="6" t="s">
        <v>4506</v>
      </c>
      <c r="C1068" s="6">
        <v>2018</v>
      </c>
      <c r="D1068" s="6">
        <v>1</v>
      </c>
      <c r="E1068" s="7">
        <v>32</v>
      </c>
      <c r="F1068" s="6" t="s">
        <v>9946</v>
      </c>
      <c r="G1068" s="6" t="s">
        <v>9370</v>
      </c>
      <c r="H1068" s="6" t="s">
        <v>26</v>
      </c>
      <c r="I1068" s="8"/>
      <c r="J1068" s="8">
        <v>800000</v>
      </c>
      <c r="K1068" s="6" t="s">
        <v>4512</v>
      </c>
      <c r="L1068" s="6" t="s">
        <v>2906</v>
      </c>
      <c r="M1068" s="6" t="s">
        <v>4509</v>
      </c>
      <c r="N1068" s="6" t="s">
        <v>4537</v>
      </c>
    </row>
    <row r="1069" s="1" customFormat="1" ht="16.35" customHeight="1" spans="1:14">
      <c r="A1069" s="5"/>
      <c r="B1069" s="6" t="s">
        <v>4506</v>
      </c>
      <c r="C1069" s="6">
        <v>2018</v>
      </c>
      <c r="D1069" s="6">
        <v>1</v>
      </c>
      <c r="E1069" s="7">
        <v>33</v>
      </c>
      <c r="F1069" s="6" t="s">
        <v>9947</v>
      </c>
      <c r="G1069" s="6" t="s">
        <v>9370</v>
      </c>
      <c r="H1069" s="6" t="s">
        <v>26</v>
      </c>
      <c r="I1069" s="8"/>
      <c r="J1069" s="8">
        <v>6000</v>
      </c>
      <c r="K1069" s="6" t="s">
        <v>4514</v>
      </c>
      <c r="L1069" s="6" t="s">
        <v>4511</v>
      </c>
      <c r="M1069" s="6" t="s">
        <v>4509</v>
      </c>
      <c r="N1069" s="6" t="s">
        <v>4537</v>
      </c>
    </row>
    <row r="1070" s="1" customFormat="1" ht="16.35" customHeight="1" spans="1:14">
      <c r="A1070" s="5"/>
      <c r="B1070" s="6" t="s">
        <v>4506</v>
      </c>
      <c r="C1070" s="6">
        <v>2018</v>
      </c>
      <c r="D1070" s="6">
        <v>1</v>
      </c>
      <c r="E1070" s="7">
        <v>34</v>
      </c>
      <c r="F1070" s="6" t="s">
        <v>9948</v>
      </c>
      <c r="G1070" s="6" t="s">
        <v>9370</v>
      </c>
      <c r="H1070" s="6" t="s">
        <v>26</v>
      </c>
      <c r="I1070" s="8"/>
      <c r="J1070" s="8">
        <v>300000</v>
      </c>
      <c r="K1070" s="6" t="s">
        <v>4512</v>
      </c>
      <c r="L1070" s="6" t="s">
        <v>2906</v>
      </c>
      <c r="M1070" s="6" t="s">
        <v>4509</v>
      </c>
      <c r="N1070" s="6" t="s">
        <v>4537</v>
      </c>
    </row>
    <row r="1071" s="1" customFormat="1" ht="16.35" customHeight="1" spans="1:14">
      <c r="A1071" s="5"/>
      <c r="B1071" s="6" t="s">
        <v>4506</v>
      </c>
      <c r="C1071" s="6">
        <v>2018</v>
      </c>
      <c r="D1071" s="6">
        <v>1</v>
      </c>
      <c r="E1071" s="7">
        <v>35</v>
      </c>
      <c r="F1071" s="6" t="s">
        <v>9385</v>
      </c>
      <c r="G1071" s="6" t="s">
        <v>9370</v>
      </c>
      <c r="H1071" s="6" t="s">
        <v>26</v>
      </c>
      <c r="I1071" s="8"/>
      <c r="J1071" s="8">
        <v>40000</v>
      </c>
      <c r="K1071" s="6" t="s">
        <v>4509</v>
      </c>
      <c r="L1071" s="6" t="s">
        <v>9218</v>
      </c>
      <c r="M1071" s="6" t="s">
        <v>4509</v>
      </c>
      <c r="N1071" s="6" t="s">
        <v>4537</v>
      </c>
    </row>
    <row r="1072" s="1" customFormat="1" ht="16.35" customHeight="1" spans="1:14">
      <c r="A1072" s="5"/>
      <c r="B1072" s="6" t="s">
        <v>4506</v>
      </c>
      <c r="C1072" s="6">
        <v>2018</v>
      </c>
      <c r="D1072" s="6">
        <v>1</v>
      </c>
      <c r="E1072" s="7">
        <v>36</v>
      </c>
      <c r="F1072" s="6" t="s">
        <v>9948</v>
      </c>
      <c r="G1072" s="6" t="s">
        <v>9370</v>
      </c>
      <c r="H1072" s="6" t="s">
        <v>26</v>
      </c>
      <c r="I1072" s="8"/>
      <c r="J1072" s="8">
        <v>200000</v>
      </c>
      <c r="K1072" s="6" t="s">
        <v>4512</v>
      </c>
      <c r="L1072" s="6" t="s">
        <v>2906</v>
      </c>
      <c r="M1072" s="6" t="s">
        <v>4509</v>
      </c>
      <c r="N1072" s="6" t="s">
        <v>4537</v>
      </c>
    </row>
    <row r="1073" s="1" customFormat="1" ht="16.35" customHeight="1" spans="1:14">
      <c r="A1073" s="5"/>
      <c r="B1073" s="6" t="s">
        <v>4506</v>
      </c>
      <c r="C1073" s="6">
        <v>2018</v>
      </c>
      <c r="D1073" s="6">
        <v>1</v>
      </c>
      <c r="E1073" s="7">
        <v>42</v>
      </c>
      <c r="F1073" s="6" t="s">
        <v>9949</v>
      </c>
      <c r="G1073" s="6" t="s">
        <v>9370</v>
      </c>
      <c r="H1073" s="6" t="s">
        <v>26</v>
      </c>
      <c r="I1073" s="8">
        <v>1800000</v>
      </c>
      <c r="J1073" s="8"/>
      <c r="K1073" s="6" t="s">
        <v>4509</v>
      </c>
      <c r="L1073" s="6" t="s">
        <v>9218</v>
      </c>
      <c r="M1073" s="6" t="s">
        <v>4509</v>
      </c>
      <c r="N1073" s="6" t="s">
        <v>4537</v>
      </c>
    </row>
    <row r="1074" s="1" customFormat="1" ht="16.35" customHeight="1" spans="1:14">
      <c r="A1074" s="5"/>
      <c r="B1074" s="6" t="s">
        <v>4506</v>
      </c>
      <c r="C1074" s="6">
        <v>2018</v>
      </c>
      <c r="D1074" s="6">
        <v>1</v>
      </c>
      <c r="E1074" s="7">
        <v>42</v>
      </c>
      <c r="F1074" s="6" t="s">
        <v>9949</v>
      </c>
      <c r="G1074" s="6" t="s">
        <v>9370</v>
      </c>
      <c r="H1074" s="6" t="s">
        <v>26</v>
      </c>
      <c r="I1074" s="8">
        <v>2000000</v>
      </c>
      <c r="J1074" s="8"/>
      <c r="K1074" s="6" t="s">
        <v>4509</v>
      </c>
      <c r="L1074" s="6" t="s">
        <v>9218</v>
      </c>
      <c r="M1074" s="6" t="s">
        <v>4509</v>
      </c>
      <c r="N1074" s="6" t="s">
        <v>4537</v>
      </c>
    </row>
    <row r="1075" s="1" customFormat="1" ht="16.35" customHeight="1" spans="1:14">
      <c r="A1075" s="5"/>
      <c r="B1075" s="6" t="s">
        <v>4506</v>
      </c>
      <c r="C1075" s="6">
        <v>2018</v>
      </c>
      <c r="D1075" s="6">
        <v>1</v>
      </c>
      <c r="E1075" s="7">
        <v>42</v>
      </c>
      <c r="F1075" s="6" t="s">
        <v>9949</v>
      </c>
      <c r="G1075" s="6" t="s">
        <v>9370</v>
      </c>
      <c r="H1075" s="6" t="s">
        <v>26</v>
      </c>
      <c r="I1075" s="8">
        <v>2000000</v>
      </c>
      <c r="J1075" s="8"/>
      <c r="K1075" s="6" t="s">
        <v>4509</v>
      </c>
      <c r="L1075" s="6" t="s">
        <v>9218</v>
      </c>
      <c r="M1075" s="6" t="s">
        <v>4509</v>
      </c>
      <c r="N1075" s="6" t="s">
        <v>4537</v>
      </c>
    </row>
    <row r="1076" s="1" customFormat="1" ht="16.35" customHeight="1" spans="1:14">
      <c r="A1076" s="5"/>
      <c r="B1076" s="6" t="s">
        <v>4506</v>
      </c>
      <c r="C1076" s="6">
        <v>2018</v>
      </c>
      <c r="D1076" s="6">
        <v>1</v>
      </c>
      <c r="E1076" s="7">
        <v>42</v>
      </c>
      <c r="F1076" s="6" t="s">
        <v>9949</v>
      </c>
      <c r="G1076" s="6" t="s">
        <v>9370</v>
      </c>
      <c r="H1076" s="6" t="s">
        <v>26</v>
      </c>
      <c r="I1076" s="8">
        <v>1500000</v>
      </c>
      <c r="J1076" s="8"/>
      <c r="K1076" s="6" t="s">
        <v>4509</v>
      </c>
      <c r="L1076" s="6" t="s">
        <v>9218</v>
      </c>
      <c r="M1076" s="6" t="s">
        <v>4509</v>
      </c>
      <c r="N1076" s="6" t="s">
        <v>4537</v>
      </c>
    </row>
    <row r="1077" s="1" customFormat="1" ht="16.35" customHeight="1" spans="1:14">
      <c r="A1077" s="5"/>
      <c r="B1077" s="6" t="s">
        <v>4506</v>
      </c>
      <c r="C1077" s="6">
        <v>2018</v>
      </c>
      <c r="D1077" s="6">
        <v>1</v>
      </c>
      <c r="E1077" s="7">
        <v>43</v>
      </c>
      <c r="F1077" s="6" t="s">
        <v>9385</v>
      </c>
      <c r="G1077" s="6" t="s">
        <v>9370</v>
      </c>
      <c r="H1077" s="6" t="s">
        <v>26</v>
      </c>
      <c r="I1077" s="8"/>
      <c r="J1077" s="8">
        <v>49900</v>
      </c>
      <c r="K1077" s="6" t="s">
        <v>4509</v>
      </c>
      <c r="L1077" s="6" t="s">
        <v>9218</v>
      </c>
      <c r="M1077" s="6" t="s">
        <v>4509</v>
      </c>
      <c r="N1077" s="6" t="s">
        <v>4537</v>
      </c>
    </row>
    <row r="1078" s="1" customFormat="1" ht="16.35" customHeight="1" spans="1:14">
      <c r="A1078" s="5"/>
      <c r="B1078" s="6" t="s">
        <v>4506</v>
      </c>
      <c r="C1078" s="6">
        <v>2018</v>
      </c>
      <c r="D1078" s="6">
        <v>1</v>
      </c>
      <c r="E1078" s="7">
        <v>46</v>
      </c>
      <c r="F1078" s="6" t="s">
        <v>5017</v>
      </c>
      <c r="G1078" s="6" t="s">
        <v>9370</v>
      </c>
      <c r="H1078" s="6" t="s">
        <v>26</v>
      </c>
      <c r="I1078" s="8"/>
      <c r="J1078" s="8">
        <v>36</v>
      </c>
      <c r="K1078" s="6" t="s">
        <v>4523</v>
      </c>
      <c r="L1078" s="6" t="s">
        <v>9632</v>
      </c>
      <c r="M1078" s="6" t="s">
        <v>4509</v>
      </c>
      <c r="N1078" s="6" t="s">
        <v>4537</v>
      </c>
    </row>
    <row r="1079" s="1" customFormat="1" ht="16.35" customHeight="1" spans="1:14">
      <c r="A1079" s="5"/>
      <c r="B1079" s="6" t="s">
        <v>4506</v>
      </c>
      <c r="C1079" s="6">
        <v>2018</v>
      </c>
      <c r="D1079" s="6">
        <v>1</v>
      </c>
      <c r="E1079" s="7">
        <v>46</v>
      </c>
      <c r="F1079" s="6" t="s">
        <v>5018</v>
      </c>
      <c r="G1079" s="6" t="s">
        <v>9370</v>
      </c>
      <c r="H1079" s="6" t="s">
        <v>26</v>
      </c>
      <c r="I1079" s="8"/>
      <c r="J1079" s="8">
        <v>36</v>
      </c>
      <c r="K1079" s="6" t="s">
        <v>4523</v>
      </c>
      <c r="L1079" s="6" t="s">
        <v>9632</v>
      </c>
      <c r="M1079" s="6" t="s">
        <v>4509</v>
      </c>
      <c r="N1079" s="6" t="s">
        <v>4537</v>
      </c>
    </row>
    <row r="1080" s="1" customFormat="1" ht="16.35" customHeight="1" spans="1:14">
      <c r="A1080" s="5"/>
      <c r="B1080" s="6" t="s">
        <v>4506</v>
      </c>
      <c r="C1080" s="6">
        <v>2018</v>
      </c>
      <c r="D1080" s="6">
        <v>1</v>
      </c>
      <c r="E1080" s="7">
        <v>46</v>
      </c>
      <c r="F1080" s="6" t="s">
        <v>5019</v>
      </c>
      <c r="G1080" s="6" t="s">
        <v>9370</v>
      </c>
      <c r="H1080" s="6" t="s">
        <v>26</v>
      </c>
      <c r="I1080" s="8"/>
      <c r="J1080" s="8">
        <v>540</v>
      </c>
      <c r="K1080" s="6" t="s">
        <v>4523</v>
      </c>
      <c r="L1080" s="6" t="s">
        <v>9632</v>
      </c>
      <c r="M1080" s="6" t="s">
        <v>4509</v>
      </c>
      <c r="N1080" s="6" t="s">
        <v>4537</v>
      </c>
    </row>
    <row r="1081" s="1" customFormat="1" ht="16.35" customHeight="1" spans="1:14">
      <c r="A1081" s="5"/>
      <c r="B1081" s="6" t="s">
        <v>4506</v>
      </c>
      <c r="C1081" s="6">
        <v>2018</v>
      </c>
      <c r="D1081" s="6">
        <v>1</v>
      </c>
      <c r="E1081" s="7">
        <v>47</v>
      </c>
      <c r="F1081" s="6" t="s">
        <v>5020</v>
      </c>
      <c r="G1081" s="6" t="s">
        <v>9370</v>
      </c>
      <c r="H1081" s="6" t="s">
        <v>26</v>
      </c>
      <c r="I1081" s="8"/>
      <c r="J1081" s="8">
        <v>35</v>
      </c>
      <c r="K1081" s="6" t="s">
        <v>4523</v>
      </c>
      <c r="L1081" s="6" t="s">
        <v>9632</v>
      </c>
      <c r="M1081" s="6" t="s">
        <v>4509</v>
      </c>
      <c r="N1081" s="6" t="s">
        <v>4537</v>
      </c>
    </row>
    <row r="1082" s="1" customFormat="1" ht="16.35" customHeight="1" spans="1:14">
      <c r="A1082" s="5"/>
      <c r="B1082" s="6" t="s">
        <v>4506</v>
      </c>
      <c r="C1082" s="6">
        <v>2018</v>
      </c>
      <c r="D1082" s="6">
        <v>1</v>
      </c>
      <c r="E1082" s="7">
        <v>47</v>
      </c>
      <c r="F1082" s="6" t="s">
        <v>5021</v>
      </c>
      <c r="G1082" s="6" t="s">
        <v>9370</v>
      </c>
      <c r="H1082" s="6" t="s">
        <v>26</v>
      </c>
      <c r="I1082" s="8"/>
      <c r="J1082" s="8">
        <v>427</v>
      </c>
      <c r="K1082" s="6" t="s">
        <v>4523</v>
      </c>
      <c r="L1082" s="6" t="s">
        <v>9632</v>
      </c>
      <c r="M1082" s="6" t="s">
        <v>4509</v>
      </c>
      <c r="N1082" s="6" t="s">
        <v>4537</v>
      </c>
    </row>
    <row r="1083" s="1" customFormat="1" ht="16.35" customHeight="1" spans="1:14">
      <c r="A1083" s="5"/>
      <c r="B1083" s="6" t="s">
        <v>4506</v>
      </c>
      <c r="C1083" s="6">
        <v>2018</v>
      </c>
      <c r="D1083" s="6">
        <v>1</v>
      </c>
      <c r="E1083" s="7">
        <v>47</v>
      </c>
      <c r="F1083" s="6" t="s">
        <v>5022</v>
      </c>
      <c r="G1083" s="6" t="s">
        <v>9370</v>
      </c>
      <c r="H1083" s="6" t="s">
        <v>26</v>
      </c>
      <c r="I1083" s="8"/>
      <c r="J1083" s="8">
        <v>37</v>
      </c>
      <c r="K1083" s="6" t="s">
        <v>4523</v>
      </c>
      <c r="L1083" s="6" t="s">
        <v>9632</v>
      </c>
      <c r="M1083" s="6" t="s">
        <v>4509</v>
      </c>
      <c r="N1083" s="6" t="s">
        <v>4537</v>
      </c>
    </row>
    <row r="1084" s="1" customFormat="1" ht="16.35" customHeight="1" spans="1:14">
      <c r="A1084" s="5"/>
      <c r="B1084" s="6" t="s">
        <v>4506</v>
      </c>
      <c r="C1084" s="6">
        <v>2018</v>
      </c>
      <c r="D1084" s="6">
        <v>1</v>
      </c>
      <c r="E1084" s="7">
        <v>48</v>
      </c>
      <c r="F1084" s="6" t="s">
        <v>5023</v>
      </c>
      <c r="G1084" s="6" t="s">
        <v>9370</v>
      </c>
      <c r="H1084" s="6" t="s">
        <v>26</v>
      </c>
      <c r="I1084" s="8"/>
      <c r="J1084" s="8">
        <v>37</v>
      </c>
      <c r="K1084" s="6" t="s">
        <v>4523</v>
      </c>
      <c r="L1084" s="6" t="s">
        <v>9632</v>
      </c>
      <c r="M1084" s="6" t="s">
        <v>4509</v>
      </c>
      <c r="N1084" s="6" t="s">
        <v>4537</v>
      </c>
    </row>
    <row r="1085" s="1" customFormat="1" ht="16.35" customHeight="1" spans="1:14">
      <c r="A1085" s="5"/>
      <c r="B1085" s="6" t="s">
        <v>4506</v>
      </c>
      <c r="C1085" s="6">
        <v>2018</v>
      </c>
      <c r="D1085" s="6">
        <v>1</v>
      </c>
      <c r="E1085" s="7">
        <v>48</v>
      </c>
      <c r="F1085" s="6" t="s">
        <v>5024</v>
      </c>
      <c r="G1085" s="6" t="s">
        <v>9370</v>
      </c>
      <c r="H1085" s="6" t="s">
        <v>26</v>
      </c>
      <c r="I1085" s="8"/>
      <c r="J1085" s="8">
        <v>37</v>
      </c>
      <c r="K1085" s="6" t="s">
        <v>4523</v>
      </c>
      <c r="L1085" s="6" t="s">
        <v>9632</v>
      </c>
      <c r="M1085" s="6" t="s">
        <v>4509</v>
      </c>
      <c r="N1085" s="6" t="s">
        <v>4537</v>
      </c>
    </row>
    <row r="1086" s="1" customFormat="1" ht="16.35" customHeight="1" spans="1:14">
      <c r="A1086" s="5"/>
      <c r="B1086" s="6" t="s">
        <v>4506</v>
      </c>
      <c r="C1086" s="6">
        <v>2018</v>
      </c>
      <c r="D1086" s="6">
        <v>1</v>
      </c>
      <c r="E1086" s="7">
        <v>48</v>
      </c>
      <c r="F1086" s="6" t="s">
        <v>5025</v>
      </c>
      <c r="G1086" s="6" t="s">
        <v>9370</v>
      </c>
      <c r="H1086" s="6" t="s">
        <v>26</v>
      </c>
      <c r="I1086" s="8"/>
      <c r="J1086" s="8">
        <v>37</v>
      </c>
      <c r="K1086" s="6" t="s">
        <v>4523</v>
      </c>
      <c r="L1086" s="6" t="s">
        <v>9632</v>
      </c>
      <c r="M1086" s="6" t="s">
        <v>4509</v>
      </c>
      <c r="N1086" s="6" t="s">
        <v>4537</v>
      </c>
    </row>
    <row r="1087" s="1" customFormat="1" ht="16.35" customHeight="1" spans="1:14">
      <c r="A1087" s="5"/>
      <c r="B1087" s="6" t="s">
        <v>4506</v>
      </c>
      <c r="C1087" s="6">
        <v>2018</v>
      </c>
      <c r="D1087" s="6">
        <v>1</v>
      </c>
      <c r="E1087" s="7">
        <v>49</v>
      </c>
      <c r="F1087" s="6" t="s">
        <v>5026</v>
      </c>
      <c r="G1087" s="6" t="s">
        <v>9370</v>
      </c>
      <c r="H1087" s="6" t="s">
        <v>26</v>
      </c>
      <c r="I1087" s="8"/>
      <c r="J1087" s="8">
        <v>33</v>
      </c>
      <c r="K1087" s="6" t="s">
        <v>4523</v>
      </c>
      <c r="L1087" s="6" t="s">
        <v>9632</v>
      </c>
      <c r="M1087" s="6" t="s">
        <v>4509</v>
      </c>
      <c r="N1087" s="6" t="s">
        <v>4537</v>
      </c>
    </row>
    <row r="1088" s="1" customFormat="1" ht="16.35" customHeight="1" spans="1:14">
      <c r="A1088" s="5"/>
      <c r="B1088" s="6" t="s">
        <v>4506</v>
      </c>
      <c r="C1088" s="6">
        <v>2018</v>
      </c>
      <c r="D1088" s="6">
        <v>1</v>
      </c>
      <c r="E1088" s="7">
        <v>49</v>
      </c>
      <c r="F1088" s="6" t="s">
        <v>5027</v>
      </c>
      <c r="G1088" s="6" t="s">
        <v>9370</v>
      </c>
      <c r="H1088" s="6" t="s">
        <v>26</v>
      </c>
      <c r="I1088" s="8"/>
      <c r="J1088" s="8">
        <v>30</v>
      </c>
      <c r="K1088" s="6" t="s">
        <v>4523</v>
      </c>
      <c r="L1088" s="6" t="s">
        <v>9632</v>
      </c>
      <c r="M1088" s="6" t="s">
        <v>4509</v>
      </c>
      <c r="N1088" s="6" t="s">
        <v>4537</v>
      </c>
    </row>
    <row r="1089" s="1" customFormat="1" ht="16.35" customHeight="1" spans="1:14">
      <c r="A1089" s="5"/>
      <c r="B1089" s="6" t="s">
        <v>4506</v>
      </c>
      <c r="C1089" s="6">
        <v>2018</v>
      </c>
      <c r="D1089" s="6">
        <v>1</v>
      </c>
      <c r="E1089" s="7">
        <v>49</v>
      </c>
      <c r="F1089" s="6" t="s">
        <v>5028</v>
      </c>
      <c r="G1089" s="6" t="s">
        <v>9370</v>
      </c>
      <c r="H1089" s="6" t="s">
        <v>26</v>
      </c>
      <c r="I1089" s="8"/>
      <c r="J1089" s="8">
        <v>293</v>
      </c>
      <c r="K1089" s="6" t="s">
        <v>4523</v>
      </c>
      <c r="L1089" s="6" t="s">
        <v>9632</v>
      </c>
      <c r="M1089" s="6" t="s">
        <v>4509</v>
      </c>
      <c r="N1089" s="6" t="s">
        <v>4537</v>
      </c>
    </row>
    <row r="1090" s="1" customFormat="1" ht="16.35" customHeight="1" spans="1:14">
      <c r="A1090" s="5"/>
      <c r="B1090" s="6" t="s">
        <v>4506</v>
      </c>
      <c r="C1090" s="6">
        <v>2018</v>
      </c>
      <c r="D1090" s="6">
        <v>1</v>
      </c>
      <c r="E1090" s="7">
        <v>49</v>
      </c>
      <c r="F1090" s="6" t="s">
        <v>5028</v>
      </c>
      <c r="G1090" s="6" t="s">
        <v>9370</v>
      </c>
      <c r="H1090" s="6" t="s">
        <v>26</v>
      </c>
      <c r="I1090" s="8"/>
      <c r="J1090" s="8">
        <v>404</v>
      </c>
      <c r="K1090" s="6" t="s">
        <v>4514</v>
      </c>
      <c r="L1090" s="6" t="s">
        <v>4511</v>
      </c>
      <c r="M1090" s="6" t="s">
        <v>4509</v>
      </c>
      <c r="N1090" s="6" t="s">
        <v>4537</v>
      </c>
    </row>
    <row r="1091" s="1" customFormat="1" ht="16.35" customHeight="1" spans="1:14">
      <c r="A1091" s="5"/>
      <c r="B1091" s="6" t="s">
        <v>4506</v>
      </c>
      <c r="C1091" s="6">
        <v>2018</v>
      </c>
      <c r="D1091" s="6">
        <v>1</v>
      </c>
      <c r="E1091" s="7">
        <v>50</v>
      </c>
      <c r="F1091" s="6" t="s">
        <v>5029</v>
      </c>
      <c r="G1091" s="6" t="s">
        <v>9370</v>
      </c>
      <c r="H1091" s="6" t="s">
        <v>26</v>
      </c>
      <c r="I1091" s="8"/>
      <c r="J1091" s="8">
        <v>200</v>
      </c>
      <c r="K1091" s="6" t="s">
        <v>4514</v>
      </c>
      <c r="L1091" s="6" t="s">
        <v>4511</v>
      </c>
      <c r="M1091" s="6" t="s">
        <v>4509</v>
      </c>
      <c r="N1091" s="6" t="s">
        <v>4537</v>
      </c>
    </row>
    <row r="1092" s="1" customFormat="1" ht="16.35" customHeight="1" spans="1:14">
      <c r="A1092" s="5"/>
      <c r="B1092" s="6" t="s">
        <v>4506</v>
      </c>
      <c r="C1092" s="6">
        <v>2018</v>
      </c>
      <c r="D1092" s="6">
        <v>1</v>
      </c>
      <c r="E1092" s="7">
        <v>50</v>
      </c>
      <c r="F1092" s="6" t="s">
        <v>5030</v>
      </c>
      <c r="G1092" s="6" t="s">
        <v>9370</v>
      </c>
      <c r="H1092" s="6" t="s">
        <v>26</v>
      </c>
      <c r="I1092" s="8"/>
      <c r="J1092" s="8">
        <v>526</v>
      </c>
      <c r="K1092" s="6" t="s">
        <v>4514</v>
      </c>
      <c r="L1092" s="6" t="s">
        <v>4511</v>
      </c>
      <c r="M1092" s="6" t="s">
        <v>4509</v>
      </c>
      <c r="N1092" s="6" t="s">
        <v>4537</v>
      </c>
    </row>
    <row r="1093" s="1" customFormat="1" ht="16.35" customHeight="1" spans="1:14">
      <c r="A1093" s="5"/>
      <c r="B1093" s="6" t="s">
        <v>4506</v>
      </c>
      <c r="C1093" s="6">
        <v>2018</v>
      </c>
      <c r="D1093" s="6">
        <v>1</v>
      </c>
      <c r="E1093" s="7">
        <v>50</v>
      </c>
      <c r="F1093" s="6" t="s">
        <v>5031</v>
      </c>
      <c r="G1093" s="6" t="s">
        <v>9370</v>
      </c>
      <c r="H1093" s="6" t="s">
        <v>26</v>
      </c>
      <c r="I1093" s="8"/>
      <c r="J1093" s="8">
        <v>462</v>
      </c>
      <c r="K1093" s="6" t="s">
        <v>4514</v>
      </c>
      <c r="L1093" s="6" t="s">
        <v>4511</v>
      </c>
      <c r="M1093" s="6" t="s">
        <v>4509</v>
      </c>
      <c r="N1093" s="6" t="s">
        <v>4537</v>
      </c>
    </row>
    <row r="1094" s="1" customFormat="1" ht="16.35" customHeight="1" spans="1:14">
      <c r="A1094" s="5"/>
      <c r="B1094" s="6" t="s">
        <v>4506</v>
      </c>
      <c r="C1094" s="6">
        <v>2018</v>
      </c>
      <c r="D1094" s="6">
        <v>1</v>
      </c>
      <c r="E1094" s="7">
        <v>51</v>
      </c>
      <c r="F1094" s="6" t="s">
        <v>9950</v>
      </c>
      <c r="G1094" s="6" t="s">
        <v>9370</v>
      </c>
      <c r="H1094" s="6" t="s">
        <v>26</v>
      </c>
      <c r="I1094" s="8">
        <v>197093.6</v>
      </c>
      <c r="J1094" s="8"/>
      <c r="K1094" s="6" t="s">
        <v>4509</v>
      </c>
      <c r="L1094" s="6" t="s">
        <v>9218</v>
      </c>
      <c r="M1094" s="6" t="s">
        <v>4509</v>
      </c>
      <c r="N1094" s="6" t="s">
        <v>4537</v>
      </c>
    </row>
    <row r="1095" s="1" customFormat="1" ht="16.35" customHeight="1" spans="1:14">
      <c r="A1095" s="5"/>
      <c r="B1095" s="6" t="s">
        <v>4506</v>
      </c>
      <c r="C1095" s="6">
        <v>2018</v>
      </c>
      <c r="D1095" s="6">
        <v>1</v>
      </c>
      <c r="E1095" s="7">
        <v>51</v>
      </c>
      <c r="F1095" s="6" t="s">
        <v>9950</v>
      </c>
      <c r="G1095" s="6" t="s">
        <v>9370</v>
      </c>
      <c r="H1095" s="6" t="s">
        <v>26</v>
      </c>
      <c r="I1095" s="8">
        <v>4500</v>
      </c>
      <c r="J1095" s="8"/>
      <c r="K1095" s="6" t="s">
        <v>4509</v>
      </c>
      <c r="L1095" s="6" t="s">
        <v>9218</v>
      </c>
      <c r="M1095" s="6" t="s">
        <v>4509</v>
      </c>
      <c r="N1095" s="6" t="s">
        <v>4537</v>
      </c>
    </row>
    <row r="1096" s="1" customFormat="1" ht="16.35" customHeight="1" spans="1:14">
      <c r="A1096" s="5"/>
      <c r="B1096" s="6" t="s">
        <v>4506</v>
      </c>
      <c r="C1096" s="6">
        <v>2018</v>
      </c>
      <c r="D1096" s="6">
        <v>1</v>
      </c>
      <c r="E1096" s="7">
        <v>51</v>
      </c>
      <c r="F1096" s="6" t="s">
        <v>9950</v>
      </c>
      <c r="G1096" s="6" t="s">
        <v>9370</v>
      </c>
      <c r="H1096" s="6" t="s">
        <v>26</v>
      </c>
      <c r="I1096" s="8">
        <v>110000</v>
      </c>
      <c r="J1096" s="8"/>
      <c r="K1096" s="6" t="s">
        <v>4509</v>
      </c>
      <c r="L1096" s="6" t="s">
        <v>9218</v>
      </c>
      <c r="M1096" s="6" t="s">
        <v>4509</v>
      </c>
      <c r="N1096" s="6" t="s">
        <v>4537</v>
      </c>
    </row>
    <row r="1097" s="1" customFormat="1" ht="16.35" customHeight="1" spans="1:14">
      <c r="A1097" s="5"/>
      <c r="B1097" s="6" t="s">
        <v>4506</v>
      </c>
      <c r="C1097" s="6">
        <v>2018</v>
      </c>
      <c r="D1097" s="6">
        <v>2</v>
      </c>
      <c r="E1097" s="7">
        <v>6</v>
      </c>
      <c r="F1097" s="6" t="s">
        <v>9898</v>
      </c>
      <c r="G1097" s="6" t="s">
        <v>9370</v>
      </c>
      <c r="H1097" s="6" t="s">
        <v>26</v>
      </c>
      <c r="I1097" s="8">
        <v>900000</v>
      </c>
      <c r="J1097" s="8"/>
      <c r="K1097" s="6" t="s">
        <v>4509</v>
      </c>
      <c r="L1097" s="6" t="s">
        <v>9218</v>
      </c>
      <c r="M1097" s="6" t="s">
        <v>4509</v>
      </c>
      <c r="N1097" s="6" t="s">
        <v>4537</v>
      </c>
    </row>
    <row r="1098" s="1" customFormat="1" ht="16.35" customHeight="1" spans="1:14">
      <c r="A1098" s="5"/>
      <c r="B1098" s="6" t="s">
        <v>4506</v>
      </c>
      <c r="C1098" s="6">
        <v>2018</v>
      </c>
      <c r="D1098" s="6">
        <v>2</v>
      </c>
      <c r="E1098" s="7">
        <v>9</v>
      </c>
      <c r="F1098" s="6" t="s">
        <v>9951</v>
      </c>
      <c r="G1098" s="6" t="s">
        <v>9370</v>
      </c>
      <c r="H1098" s="6" t="s">
        <v>26</v>
      </c>
      <c r="I1098" s="8"/>
      <c r="J1098" s="8">
        <v>8000</v>
      </c>
      <c r="K1098" s="6" t="s">
        <v>4514</v>
      </c>
      <c r="L1098" s="6" t="s">
        <v>4511</v>
      </c>
      <c r="M1098" s="6" t="s">
        <v>4509</v>
      </c>
      <c r="N1098" s="6" t="s">
        <v>4537</v>
      </c>
    </row>
    <row r="1099" s="1" customFormat="1" ht="16.35" customHeight="1" spans="1:14">
      <c r="A1099" s="5"/>
      <c r="B1099" s="6" t="s">
        <v>4506</v>
      </c>
      <c r="C1099" s="6">
        <v>2018</v>
      </c>
      <c r="D1099" s="6">
        <v>2</v>
      </c>
      <c r="E1099" s="7">
        <v>20</v>
      </c>
      <c r="F1099" s="6" t="s">
        <v>9898</v>
      </c>
      <c r="G1099" s="6" t="s">
        <v>9370</v>
      </c>
      <c r="H1099" s="6" t="s">
        <v>26</v>
      </c>
      <c r="I1099" s="8"/>
      <c r="J1099" s="8">
        <v>1500000</v>
      </c>
      <c r="K1099" s="6" t="s">
        <v>4512</v>
      </c>
      <c r="L1099" s="6" t="s">
        <v>2906</v>
      </c>
      <c r="M1099" s="6" t="s">
        <v>4509</v>
      </c>
      <c r="N1099" s="6" t="s">
        <v>4537</v>
      </c>
    </row>
    <row r="1100" s="1" customFormat="1" ht="16.35" customHeight="1" spans="1:14">
      <c r="A1100" s="5"/>
      <c r="B1100" s="6" t="s">
        <v>4506</v>
      </c>
      <c r="C1100" s="6">
        <v>2018</v>
      </c>
      <c r="D1100" s="6">
        <v>2</v>
      </c>
      <c r="E1100" s="7">
        <v>24</v>
      </c>
      <c r="F1100" s="6" t="s">
        <v>9952</v>
      </c>
      <c r="G1100" s="6" t="s">
        <v>9370</v>
      </c>
      <c r="H1100" s="6" t="s">
        <v>26</v>
      </c>
      <c r="I1100" s="8"/>
      <c r="J1100" s="8">
        <v>6180</v>
      </c>
      <c r="K1100" s="6" t="s">
        <v>4509</v>
      </c>
      <c r="L1100" s="6" t="s">
        <v>9218</v>
      </c>
      <c r="M1100" s="6" t="s">
        <v>4509</v>
      </c>
      <c r="N1100" s="6" t="s">
        <v>4537</v>
      </c>
    </row>
    <row r="1101" s="1" customFormat="1" ht="16.35" customHeight="1" spans="1:14">
      <c r="A1101" s="5"/>
      <c r="B1101" s="6" t="s">
        <v>4506</v>
      </c>
      <c r="C1101" s="6">
        <v>2018</v>
      </c>
      <c r="D1101" s="6">
        <v>3</v>
      </c>
      <c r="E1101" s="7">
        <v>8</v>
      </c>
      <c r="F1101" s="6" t="s">
        <v>9953</v>
      </c>
      <c r="G1101" s="6" t="s">
        <v>9370</v>
      </c>
      <c r="H1101" s="6" t="s">
        <v>26</v>
      </c>
      <c r="I1101" s="8"/>
      <c r="J1101" s="8">
        <v>104000</v>
      </c>
      <c r="K1101" s="6" t="s">
        <v>4512</v>
      </c>
      <c r="L1101" s="6" t="s">
        <v>2906</v>
      </c>
      <c r="M1101" s="6" t="s">
        <v>4509</v>
      </c>
      <c r="N1101" s="6" t="s">
        <v>4537</v>
      </c>
    </row>
    <row r="1102" s="1" customFormat="1" ht="16.35" customHeight="1" spans="1:14">
      <c r="A1102" s="5"/>
      <c r="B1102" s="6" t="s">
        <v>4506</v>
      </c>
      <c r="C1102" s="6">
        <v>2018</v>
      </c>
      <c r="D1102" s="6">
        <v>3</v>
      </c>
      <c r="E1102" s="7">
        <v>9</v>
      </c>
      <c r="F1102" s="6" t="s">
        <v>9954</v>
      </c>
      <c r="G1102" s="6" t="s">
        <v>9370</v>
      </c>
      <c r="H1102" s="6" t="s">
        <v>26</v>
      </c>
      <c r="I1102" s="8">
        <v>32524</v>
      </c>
      <c r="J1102" s="8"/>
      <c r="K1102" s="6" t="s">
        <v>2976</v>
      </c>
      <c r="L1102" s="6" t="s">
        <v>9860</v>
      </c>
      <c r="M1102" s="6" t="s">
        <v>4509</v>
      </c>
      <c r="N1102" s="6" t="s">
        <v>4537</v>
      </c>
    </row>
    <row r="1103" s="1" customFormat="1" ht="16.35" customHeight="1" spans="1:14">
      <c r="A1103" s="5"/>
      <c r="B1103" s="6" t="s">
        <v>4506</v>
      </c>
      <c r="C1103" s="6">
        <v>2018</v>
      </c>
      <c r="D1103" s="6">
        <v>3</v>
      </c>
      <c r="E1103" s="7">
        <v>13</v>
      </c>
      <c r="F1103" s="6" t="s">
        <v>9955</v>
      </c>
      <c r="G1103" s="6" t="s">
        <v>9370</v>
      </c>
      <c r="H1103" s="6" t="s">
        <v>26</v>
      </c>
      <c r="I1103" s="8"/>
      <c r="J1103" s="8">
        <v>22000</v>
      </c>
      <c r="K1103" s="6" t="s">
        <v>4509</v>
      </c>
      <c r="L1103" s="6" t="s">
        <v>9218</v>
      </c>
      <c r="M1103" s="6" t="s">
        <v>4509</v>
      </c>
      <c r="N1103" s="6" t="s">
        <v>4537</v>
      </c>
    </row>
    <row r="1104" s="1" customFormat="1" ht="16.35" customHeight="1" spans="1:14">
      <c r="A1104" s="5"/>
      <c r="B1104" s="6" t="s">
        <v>4506</v>
      </c>
      <c r="C1104" s="6">
        <v>2018</v>
      </c>
      <c r="D1104" s="6">
        <v>3</v>
      </c>
      <c r="E1104" s="7">
        <v>19</v>
      </c>
      <c r="F1104" s="6" t="s">
        <v>9956</v>
      </c>
      <c r="G1104" s="6" t="s">
        <v>9370</v>
      </c>
      <c r="H1104" s="6" t="s">
        <v>26</v>
      </c>
      <c r="I1104" s="8"/>
      <c r="J1104" s="8">
        <v>96873.6</v>
      </c>
      <c r="K1104" s="6" t="s">
        <v>2976</v>
      </c>
      <c r="L1104" s="6" t="s">
        <v>9860</v>
      </c>
      <c r="M1104" s="6" t="s">
        <v>4509</v>
      </c>
      <c r="N1104" s="6" t="s">
        <v>4537</v>
      </c>
    </row>
    <row r="1105" s="1" customFormat="1" ht="16.35" customHeight="1" spans="1:14">
      <c r="A1105" s="5"/>
      <c r="B1105" s="6" t="s">
        <v>4506</v>
      </c>
      <c r="C1105" s="6">
        <v>2018</v>
      </c>
      <c r="D1105" s="6">
        <v>3</v>
      </c>
      <c r="E1105" s="7">
        <v>20</v>
      </c>
      <c r="F1105" s="6" t="s">
        <v>9957</v>
      </c>
      <c r="G1105" s="6" t="s">
        <v>9370</v>
      </c>
      <c r="H1105" s="6" t="s">
        <v>26</v>
      </c>
      <c r="I1105" s="8"/>
      <c r="J1105" s="8">
        <v>3000000</v>
      </c>
      <c r="K1105" s="6" t="s">
        <v>4512</v>
      </c>
      <c r="L1105" s="6" t="s">
        <v>2906</v>
      </c>
      <c r="M1105" s="6" t="s">
        <v>4510</v>
      </c>
      <c r="N1105" s="6" t="s">
        <v>4511</v>
      </c>
    </row>
    <row r="1106" s="1" customFormat="1" ht="16.35" customHeight="1" spans="1:14">
      <c r="A1106" s="5"/>
      <c r="B1106" s="6" t="s">
        <v>4506</v>
      </c>
      <c r="C1106" s="6">
        <v>2018</v>
      </c>
      <c r="D1106" s="6">
        <v>3</v>
      </c>
      <c r="E1106" s="7">
        <v>36</v>
      </c>
      <c r="F1106" s="6" t="s">
        <v>9893</v>
      </c>
      <c r="G1106" s="6" t="s">
        <v>9370</v>
      </c>
      <c r="H1106" s="6" t="s">
        <v>26</v>
      </c>
      <c r="I1106" s="8">
        <v>100000</v>
      </c>
      <c r="J1106" s="8"/>
      <c r="K1106" s="6" t="s">
        <v>4509</v>
      </c>
      <c r="L1106" s="6" t="s">
        <v>9218</v>
      </c>
      <c r="M1106" s="6" t="s">
        <v>4509</v>
      </c>
      <c r="N1106" s="6" t="s">
        <v>4537</v>
      </c>
    </row>
    <row r="1107" s="1" customFormat="1" ht="16.35" customHeight="1" spans="1:14">
      <c r="A1107" s="5"/>
      <c r="B1107" s="6" t="s">
        <v>4506</v>
      </c>
      <c r="C1107" s="6">
        <v>2018</v>
      </c>
      <c r="D1107" s="6">
        <v>3</v>
      </c>
      <c r="E1107" s="7">
        <v>38</v>
      </c>
      <c r="F1107" s="6" t="s">
        <v>9958</v>
      </c>
      <c r="G1107" s="6" t="s">
        <v>9370</v>
      </c>
      <c r="H1107" s="6" t="s">
        <v>26</v>
      </c>
      <c r="I1107" s="8"/>
      <c r="J1107" s="8">
        <v>1170</v>
      </c>
      <c r="K1107" s="6" t="s">
        <v>2971</v>
      </c>
      <c r="L1107" s="6" t="s">
        <v>909</v>
      </c>
      <c r="M1107" s="6" t="s">
        <v>4509</v>
      </c>
      <c r="N1107" s="6" t="s">
        <v>4537</v>
      </c>
    </row>
    <row r="1108" s="1" customFormat="1" ht="16.35" customHeight="1" spans="1:14">
      <c r="A1108" s="5"/>
      <c r="B1108" s="6" t="s">
        <v>4506</v>
      </c>
      <c r="C1108" s="6">
        <v>2018</v>
      </c>
      <c r="D1108" s="6">
        <v>3</v>
      </c>
      <c r="E1108" s="7">
        <v>42</v>
      </c>
      <c r="F1108" s="6" t="s">
        <v>9893</v>
      </c>
      <c r="G1108" s="6" t="s">
        <v>9370</v>
      </c>
      <c r="H1108" s="6" t="s">
        <v>26</v>
      </c>
      <c r="I1108" s="8"/>
      <c r="J1108" s="8">
        <v>1500000</v>
      </c>
      <c r="K1108" s="6" t="s">
        <v>4512</v>
      </c>
      <c r="L1108" s="6" t="s">
        <v>2906</v>
      </c>
      <c r="M1108" s="6" t="s">
        <v>4509</v>
      </c>
      <c r="N1108" s="6" t="s">
        <v>4537</v>
      </c>
    </row>
    <row r="1109" s="1" customFormat="1" ht="16.35" customHeight="1" spans="1:14">
      <c r="A1109" s="5"/>
      <c r="B1109" s="6" t="s">
        <v>4506</v>
      </c>
      <c r="C1109" s="6">
        <v>2018</v>
      </c>
      <c r="D1109" s="6">
        <v>3</v>
      </c>
      <c r="E1109" s="7">
        <v>45</v>
      </c>
      <c r="F1109" s="6" t="s">
        <v>9959</v>
      </c>
      <c r="G1109" s="6" t="s">
        <v>9370</v>
      </c>
      <c r="H1109" s="6" t="s">
        <v>26</v>
      </c>
      <c r="I1109" s="8">
        <v>800</v>
      </c>
      <c r="J1109" s="8"/>
      <c r="K1109" s="6" t="s">
        <v>4509</v>
      </c>
      <c r="L1109" s="6" t="s">
        <v>9218</v>
      </c>
      <c r="M1109" s="6" t="s">
        <v>4509</v>
      </c>
      <c r="N1109" s="6" t="s">
        <v>4537</v>
      </c>
    </row>
    <row r="1110" s="1" customFormat="1" ht="16.35" customHeight="1" spans="1:14">
      <c r="A1110" s="5"/>
      <c r="B1110" s="6" t="s">
        <v>4506</v>
      </c>
      <c r="C1110" s="6">
        <v>2018</v>
      </c>
      <c r="D1110" s="6">
        <v>3</v>
      </c>
      <c r="E1110" s="7">
        <v>45</v>
      </c>
      <c r="F1110" s="6" t="s">
        <v>9959</v>
      </c>
      <c r="G1110" s="6" t="s">
        <v>9370</v>
      </c>
      <c r="H1110" s="6" t="s">
        <v>26</v>
      </c>
      <c r="I1110" s="8">
        <v>360</v>
      </c>
      <c r="J1110" s="8"/>
      <c r="K1110" s="6" t="s">
        <v>4512</v>
      </c>
      <c r="L1110" s="6" t="s">
        <v>2906</v>
      </c>
      <c r="M1110" s="6" t="s">
        <v>4509</v>
      </c>
      <c r="N1110" s="6" t="s">
        <v>4537</v>
      </c>
    </row>
    <row r="1111" s="1" customFormat="1" ht="16.35" customHeight="1" spans="1:14">
      <c r="A1111" s="5"/>
      <c r="B1111" s="6" t="s">
        <v>4506</v>
      </c>
      <c r="C1111" s="6">
        <v>2018</v>
      </c>
      <c r="D1111" s="6">
        <v>3</v>
      </c>
      <c r="E1111" s="7">
        <v>47</v>
      </c>
      <c r="F1111" s="6" t="s">
        <v>9960</v>
      </c>
      <c r="G1111" s="6" t="s">
        <v>9370</v>
      </c>
      <c r="H1111" s="6" t="s">
        <v>26</v>
      </c>
      <c r="I1111" s="8">
        <v>4000000</v>
      </c>
      <c r="J1111" s="8"/>
      <c r="K1111" s="6" t="s">
        <v>4509</v>
      </c>
      <c r="L1111" s="6" t="s">
        <v>9218</v>
      </c>
      <c r="M1111" s="6" t="s">
        <v>4509</v>
      </c>
      <c r="N1111" s="6" t="s">
        <v>4537</v>
      </c>
    </row>
    <row r="1112" s="1" customFormat="1" ht="16.35" customHeight="1" spans="1:14">
      <c r="A1112" s="5"/>
      <c r="B1112" s="6" t="s">
        <v>4506</v>
      </c>
      <c r="C1112" s="6">
        <v>2018</v>
      </c>
      <c r="D1112" s="6">
        <v>3</v>
      </c>
      <c r="E1112" s="7">
        <v>56</v>
      </c>
      <c r="F1112" s="6" t="s">
        <v>9961</v>
      </c>
      <c r="G1112" s="6" t="s">
        <v>9370</v>
      </c>
      <c r="H1112" s="6" t="s">
        <v>26</v>
      </c>
      <c r="I1112" s="8"/>
      <c r="J1112" s="8">
        <v>820</v>
      </c>
      <c r="K1112" s="6" t="s">
        <v>4509</v>
      </c>
      <c r="L1112" s="6" t="s">
        <v>9218</v>
      </c>
      <c r="M1112" s="6" t="s">
        <v>4509</v>
      </c>
      <c r="N1112" s="6" t="s">
        <v>4537</v>
      </c>
    </row>
    <row r="1113" s="1" customFormat="1" ht="16.35" customHeight="1" spans="1:14">
      <c r="A1113" s="5"/>
      <c r="B1113" s="6" t="s">
        <v>4506</v>
      </c>
      <c r="C1113" s="6">
        <v>2018</v>
      </c>
      <c r="D1113" s="6">
        <v>3</v>
      </c>
      <c r="E1113" s="7">
        <v>57</v>
      </c>
      <c r="F1113" s="6" t="s">
        <v>9962</v>
      </c>
      <c r="G1113" s="6" t="s">
        <v>9370</v>
      </c>
      <c r="H1113" s="6" t="s">
        <v>26</v>
      </c>
      <c r="I1113" s="8">
        <v>12000</v>
      </c>
      <c r="J1113" s="8"/>
      <c r="K1113" s="6" t="s">
        <v>4512</v>
      </c>
      <c r="L1113" s="6" t="s">
        <v>2906</v>
      </c>
      <c r="M1113" s="6" t="s">
        <v>4509</v>
      </c>
      <c r="N1113" s="6" t="s">
        <v>4537</v>
      </c>
    </row>
    <row r="1114" s="1" customFormat="1" ht="16.35" customHeight="1" spans="1:14">
      <c r="A1114" s="5"/>
      <c r="B1114" s="6" t="s">
        <v>4506</v>
      </c>
      <c r="C1114" s="6">
        <v>2018</v>
      </c>
      <c r="D1114" s="6">
        <v>3</v>
      </c>
      <c r="E1114" s="7">
        <v>57</v>
      </c>
      <c r="F1114" s="6" t="s">
        <v>9962</v>
      </c>
      <c r="G1114" s="6" t="s">
        <v>9370</v>
      </c>
      <c r="H1114" s="6" t="s">
        <v>26</v>
      </c>
      <c r="I1114" s="8"/>
      <c r="J1114" s="8">
        <v>12000</v>
      </c>
      <c r="K1114" s="6" t="s">
        <v>4509</v>
      </c>
      <c r="L1114" s="6" t="s">
        <v>9218</v>
      </c>
      <c r="M1114" s="6" t="s">
        <v>4509</v>
      </c>
      <c r="N1114" s="6" t="s">
        <v>4537</v>
      </c>
    </row>
    <row r="1115" s="1" customFormat="1" ht="16.35" customHeight="1" spans="1:14">
      <c r="A1115" s="5"/>
      <c r="B1115" s="6" t="s">
        <v>4506</v>
      </c>
      <c r="C1115" s="6">
        <v>2018</v>
      </c>
      <c r="D1115" s="6">
        <v>4</v>
      </c>
      <c r="E1115" s="7">
        <v>1</v>
      </c>
      <c r="F1115" s="6" t="s">
        <v>9963</v>
      </c>
      <c r="G1115" s="6" t="s">
        <v>9370</v>
      </c>
      <c r="H1115" s="6" t="s">
        <v>26</v>
      </c>
      <c r="I1115" s="8"/>
      <c r="J1115" s="8">
        <v>1500000</v>
      </c>
      <c r="K1115" s="6" t="s">
        <v>4512</v>
      </c>
      <c r="L1115" s="6" t="s">
        <v>2906</v>
      </c>
      <c r="M1115" s="6" t="s">
        <v>4509</v>
      </c>
      <c r="N1115" s="6" t="s">
        <v>4537</v>
      </c>
    </row>
    <row r="1116" s="1" customFormat="1" ht="16.35" customHeight="1" spans="1:14">
      <c r="A1116" s="5"/>
      <c r="B1116" s="6" t="s">
        <v>4506</v>
      </c>
      <c r="C1116" s="6">
        <v>2018</v>
      </c>
      <c r="D1116" s="6">
        <v>4</v>
      </c>
      <c r="E1116" s="7">
        <v>1</v>
      </c>
      <c r="F1116" s="6" t="s">
        <v>9963</v>
      </c>
      <c r="G1116" s="6" t="s">
        <v>9370</v>
      </c>
      <c r="H1116" s="6" t="s">
        <v>26</v>
      </c>
      <c r="I1116" s="8">
        <v>1500000</v>
      </c>
      <c r="J1116" s="8"/>
      <c r="K1116" s="6" t="s">
        <v>4512</v>
      </c>
      <c r="L1116" s="6" t="s">
        <v>2906</v>
      </c>
      <c r="M1116" s="6" t="s">
        <v>4509</v>
      </c>
      <c r="N1116" s="6" t="s">
        <v>4537</v>
      </c>
    </row>
    <row r="1117" s="1" customFormat="1" ht="16.35" customHeight="1" spans="1:14">
      <c r="A1117" s="5"/>
      <c r="B1117" s="6" t="s">
        <v>4506</v>
      </c>
      <c r="C1117" s="6">
        <v>2018</v>
      </c>
      <c r="D1117" s="6">
        <v>4</v>
      </c>
      <c r="E1117" s="7">
        <v>2</v>
      </c>
      <c r="F1117" s="6" t="s">
        <v>9964</v>
      </c>
      <c r="G1117" s="6" t="s">
        <v>9370</v>
      </c>
      <c r="H1117" s="6" t="s">
        <v>26</v>
      </c>
      <c r="I1117" s="8">
        <v>22000000</v>
      </c>
      <c r="J1117" s="8"/>
      <c r="K1117" s="6" t="s">
        <v>4509</v>
      </c>
      <c r="L1117" s="6" t="s">
        <v>9218</v>
      </c>
      <c r="M1117" s="6" t="s">
        <v>4509</v>
      </c>
      <c r="N1117" s="6" t="s">
        <v>4537</v>
      </c>
    </row>
    <row r="1118" s="1" customFormat="1" ht="16.35" customHeight="1" spans="1:14">
      <c r="A1118" s="5"/>
      <c r="B1118" s="6" t="s">
        <v>4506</v>
      </c>
      <c r="C1118" s="6">
        <v>2018</v>
      </c>
      <c r="D1118" s="6">
        <v>4</v>
      </c>
      <c r="E1118" s="7">
        <v>4</v>
      </c>
      <c r="F1118" s="6" t="s">
        <v>9965</v>
      </c>
      <c r="G1118" s="6" t="s">
        <v>9370</v>
      </c>
      <c r="H1118" s="6" t="s">
        <v>26</v>
      </c>
      <c r="I1118" s="8"/>
      <c r="J1118" s="8">
        <v>20000000</v>
      </c>
      <c r="K1118" s="6" t="s">
        <v>4509</v>
      </c>
      <c r="L1118" s="6" t="s">
        <v>9218</v>
      </c>
      <c r="M1118" s="6" t="s">
        <v>4509</v>
      </c>
      <c r="N1118" s="6" t="s">
        <v>4537</v>
      </c>
    </row>
    <row r="1119" s="1" customFormat="1" ht="16.35" customHeight="1" spans="1:14">
      <c r="A1119" s="5"/>
      <c r="B1119" s="6" t="s">
        <v>4506</v>
      </c>
      <c r="C1119" s="6">
        <v>2018</v>
      </c>
      <c r="D1119" s="6">
        <v>4</v>
      </c>
      <c r="E1119" s="7">
        <v>10</v>
      </c>
      <c r="F1119" s="6" t="s">
        <v>9966</v>
      </c>
      <c r="G1119" s="6" t="s">
        <v>9370</v>
      </c>
      <c r="H1119" s="6" t="s">
        <v>26</v>
      </c>
      <c r="I1119" s="8"/>
      <c r="J1119" s="8">
        <v>100000</v>
      </c>
      <c r="K1119" s="6" t="s">
        <v>2976</v>
      </c>
      <c r="L1119" s="6" t="s">
        <v>9860</v>
      </c>
      <c r="M1119" s="6" t="s">
        <v>4509</v>
      </c>
      <c r="N1119" s="6" t="s">
        <v>4537</v>
      </c>
    </row>
    <row r="1120" s="1" customFormat="1" ht="16.35" customHeight="1" spans="1:14">
      <c r="A1120" s="5"/>
      <c r="B1120" s="6" t="s">
        <v>4506</v>
      </c>
      <c r="C1120" s="6">
        <v>2018</v>
      </c>
      <c r="D1120" s="6">
        <v>4</v>
      </c>
      <c r="E1120" s="7">
        <v>15</v>
      </c>
      <c r="F1120" s="6" t="s">
        <v>9967</v>
      </c>
      <c r="G1120" s="6" t="s">
        <v>9370</v>
      </c>
      <c r="H1120" s="6" t="s">
        <v>26</v>
      </c>
      <c r="I1120" s="8"/>
      <c r="J1120" s="8">
        <v>500000</v>
      </c>
      <c r="K1120" s="6" t="s">
        <v>4512</v>
      </c>
      <c r="L1120" s="6" t="s">
        <v>2906</v>
      </c>
      <c r="M1120" s="6" t="s">
        <v>4509</v>
      </c>
      <c r="N1120" s="6" t="s">
        <v>4537</v>
      </c>
    </row>
    <row r="1121" s="1" customFormat="1" ht="16.35" customHeight="1" spans="1:14">
      <c r="A1121" s="5"/>
      <c r="B1121" s="6" t="s">
        <v>4506</v>
      </c>
      <c r="C1121" s="6">
        <v>2018</v>
      </c>
      <c r="D1121" s="6">
        <v>4</v>
      </c>
      <c r="E1121" s="7">
        <v>16</v>
      </c>
      <c r="F1121" s="6" t="s">
        <v>9968</v>
      </c>
      <c r="G1121" s="6" t="s">
        <v>9370</v>
      </c>
      <c r="H1121" s="6" t="s">
        <v>26</v>
      </c>
      <c r="I1121" s="8"/>
      <c r="J1121" s="8">
        <v>1000000</v>
      </c>
      <c r="K1121" s="6" t="s">
        <v>4509</v>
      </c>
      <c r="L1121" s="6" t="s">
        <v>9218</v>
      </c>
      <c r="M1121" s="6" t="s">
        <v>4509</v>
      </c>
      <c r="N1121" s="6" t="s">
        <v>4537</v>
      </c>
    </row>
    <row r="1122" s="1" customFormat="1" ht="16.35" customHeight="1" spans="1:14">
      <c r="A1122" s="5"/>
      <c r="B1122" s="6" t="s">
        <v>4506</v>
      </c>
      <c r="C1122" s="6">
        <v>2018</v>
      </c>
      <c r="D1122" s="6">
        <v>4</v>
      </c>
      <c r="E1122" s="7">
        <v>24</v>
      </c>
      <c r="F1122" s="6" t="s">
        <v>9969</v>
      </c>
      <c r="G1122" s="6" t="s">
        <v>9370</v>
      </c>
      <c r="H1122" s="6" t="s">
        <v>26</v>
      </c>
      <c r="I1122" s="8"/>
      <c r="J1122" s="8">
        <v>36155</v>
      </c>
      <c r="K1122" s="6" t="s">
        <v>2982</v>
      </c>
      <c r="L1122" s="6" t="s">
        <v>9944</v>
      </c>
      <c r="M1122" s="6" t="s">
        <v>4509</v>
      </c>
      <c r="N1122" s="6" t="s">
        <v>4537</v>
      </c>
    </row>
    <row r="1123" s="1" customFormat="1" ht="16.35" customHeight="1" spans="1:14">
      <c r="A1123" s="5"/>
      <c r="B1123" s="6" t="s">
        <v>4506</v>
      </c>
      <c r="C1123" s="6">
        <v>2018</v>
      </c>
      <c r="D1123" s="6">
        <v>4</v>
      </c>
      <c r="E1123" s="7">
        <v>24</v>
      </c>
      <c r="F1123" s="6" t="s">
        <v>9969</v>
      </c>
      <c r="G1123" s="6" t="s">
        <v>9370</v>
      </c>
      <c r="H1123" s="6" t="s">
        <v>26</v>
      </c>
      <c r="I1123" s="8">
        <v>36155</v>
      </c>
      <c r="J1123" s="8"/>
      <c r="K1123" s="6" t="s">
        <v>2982</v>
      </c>
      <c r="L1123" s="6" t="s">
        <v>9944</v>
      </c>
      <c r="M1123" s="6" t="s">
        <v>4509</v>
      </c>
      <c r="N1123" s="6" t="s">
        <v>4537</v>
      </c>
    </row>
    <row r="1124" s="1" customFormat="1" ht="16.35" customHeight="1" spans="1:14">
      <c r="A1124" s="5"/>
      <c r="B1124" s="6" t="s">
        <v>4506</v>
      </c>
      <c r="C1124" s="6">
        <v>2018</v>
      </c>
      <c r="D1124" s="6">
        <v>4</v>
      </c>
      <c r="E1124" s="7">
        <v>41</v>
      </c>
      <c r="F1124" s="6" t="s">
        <v>5069</v>
      </c>
      <c r="G1124" s="6" t="s">
        <v>9370</v>
      </c>
      <c r="H1124" s="6" t="s">
        <v>26</v>
      </c>
      <c r="I1124" s="8"/>
      <c r="J1124" s="8">
        <v>395475</v>
      </c>
      <c r="K1124" s="6" t="s">
        <v>4509</v>
      </c>
      <c r="L1124" s="6" t="s">
        <v>9218</v>
      </c>
      <c r="M1124" s="6" t="s">
        <v>4510</v>
      </c>
      <c r="N1124" s="6" t="s">
        <v>4511</v>
      </c>
    </row>
    <row r="1125" s="1" customFormat="1" ht="16.35" customHeight="1" spans="1:14">
      <c r="A1125" s="5"/>
      <c r="B1125" s="6" t="s">
        <v>4506</v>
      </c>
      <c r="C1125" s="6">
        <v>2018</v>
      </c>
      <c r="D1125" s="6">
        <v>4</v>
      </c>
      <c r="E1125" s="7">
        <v>44</v>
      </c>
      <c r="F1125" s="6" t="s">
        <v>9970</v>
      </c>
      <c r="G1125" s="6" t="s">
        <v>9370</v>
      </c>
      <c r="H1125" s="6" t="s">
        <v>26</v>
      </c>
      <c r="I1125" s="8"/>
      <c r="J1125" s="8">
        <v>1200000</v>
      </c>
      <c r="K1125" s="6" t="s">
        <v>4509</v>
      </c>
      <c r="L1125" s="6" t="s">
        <v>9218</v>
      </c>
      <c r="M1125" s="6" t="s">
        <v>4509</v>
      </c>
      <c r="N1125" s="6" t="s">
        <v>4537</v>
      </c>
    </row>
    <row r="1126" s="1" customFormat="1" ht="16.35" customHeight="1" spans="1:14">
      <c r="A1126" s="5"/>
      <c r="B1126" s="6" t="s">
        <v>4506</v>
      </c>
      <c r="C1126" s="6">
        <v>2018</v>
      </c>
      <c r="D1126" s="6">
        <v>4</v>
      </c>
      <c r="E1126" s="7">
        <v>48</v>
      </c>
      <c r="F1126" s="6" t="s">
        <v>3802</v>
      </c>
      <c r="G1126" s="6" t="s">
        <v>9370</v>
      </c>
      <c r="H1126" s="6" t="s">
        <v>26</v>
      </c>
      <c r="I1126" s="8"/>
      <c r="J1126" s="8">
        <v>200756.4</v>
      </c>
      <c r="K1126" s="6" t="s">
        <v>4509</v>
      </c>
      <c r="L1126" s="6" t="s">
        <v>9218</v>
      </c>
      <c r="M1126" s="6" t="s">
        <v>4510</v>
      </c>
      <c r="N1126" s="6" t="s">
        <v>4511</v>
      </c>
    </row>
    <row r="1127" s="1" customFormat="1" ht="16.35" customHeight="1" spans="1:14">
      <c r="A1127" s="5"/>
      <c r="B1127" s="6" t="s">
        <v>4506</v>
      </c>
      <c r="C1127" s="6">
        <v>2018</v>
      </c>
      <c r="D1127" s="6">
        <v>4</v>
      </c>
      <c r="E1127" s="7">
        <v>49</v>
      </c>
      <c r="F1127" s="6" t="s">
        <v>9962</v>
      </c>
      <c r="G1127" s="6" t="s">
        <v>9370</v>
      </c>
      <c r="H1127" s="6" t="s">
        <v>26</v>
      </c>
      <c r="I1127" s="8">
        <v>180100</v>
      </c>
      <c r="J1127" s="8"/>
      <c r="K1127" s="6" t="s">
        <v>2980</v>
      </c>
      <c r="L1127" s="6" t="s">
        <v>9912</v>
      </c>
      <c r="M1127" s="6" t="s">
        <v>4509</v>
      </c>
      <c r="N1127" s="6" t="s">
        <v>4537</v>
      </c>
    </row>
    <row r="1128" s="1" customFormat="1" ht="16.35" customHeight="1" spans="1:14">
      <c r="A1128" s="5"/>
      <c r="B1128" s="6" t="s">
        <v>4506</v>
      </c>
      <c r="C1128" s="6">
        <v>2018</v>
      </c>
      <c r="D1128" s="6">
        <v>4</v>
      </c>
      <c r="E1128" s="7">
        <v>49</v>
      </c>
      <c r="F1128" s="6" t="s">
        <v>9962</v>
      </c>
      <c r="G1128" s="6" t="s">
        <v>9370</v>
      </c>
      <c r="H1128" s="6" t="s">
        <v>26</v>
      </c>
      <c r="I1128" s="8">
        <v>100000</v>
      </c>
      <c r="J1128" s="8"/>
      <c r="K1128" s="6" t="s">
        <v>2976</v>
      </c>
      <c r="L1128" s="6" t="s">
        <v>9860</v>
      </c>
      <c r="M1128" s="6" t="s">
        <v>4509</v>
      </c>
      <c r="N1128" s="6" t="s">
        <v>4537</v>
      </c>
    </row>
    <row r="1129" s="1" customFormat="1" ht="16.35" customHeight="1" spans="1:14">
      <c r="A1129" s="5"/>
      <c r="B1129" s="6" t="s">
        <v>4506</v>
      </c>
      <c r="C1129" s="6">
        <v>2018</v>
      </c>
      <c r="D1129" s="6">
        <v>4</v>
      </c>
      <c r="E1129" s="7">
        <v>49</v>
      </c>
      <c r="F1129" s="6" t="s">
        <v>9962</v>
      </c>
      <c r="G1129" s="6" t="s">
        <v>9370</v>
      </c>
      <c r="H1129" s="6" t="s">
        <v>26</v>
      </c>
      <c r="I1129" s="8"/>
      <c r="J1129" s="8">
        <v>280100</v>
      </c>
      <c r="K1129" s="6" t="s">
        <v>4509</v>
      </c>
      <c r="L1129" s="6" t="s">
        <v>9218</v>
      </c>
      <c r="M1129" s="6" t="s">
        <v>4509</v>
      </c>
      <c r="N1129" s="6" t="s">
        <v>4537</v>
      </c>
    </row>
    <row r="1130" s="1" customFormat="1" ht="16.35" customHeight="1" spans="1:14">
      <c r="A1130" s="5"/>
      <c r="B1130" s="6" t="s">
        <v>4506</v>
      </c>
      <c r="C1130" s="6">
        <v>2018</v>
      </c>
      <c r="D1130" s="6">
        <v>4</v>
      </c>
      <c r="E1130" s="7">
        <v>50</v>
      </c>
      <c r="F1130" s="6" t="s">
        <v>9385</v>
      </c>
      <c r="G1130" s="6" t="s">
        <v>9370</v>
      </c>
      <c r="H1130" s="6" t="s">
        <v>26</v>
      </c>
      <c r="I1130" s="8">
        <v>765910</v>
      </c>
      <c r="J1130" s="8"/>
      <c r="K1130" s="6" t="s">
        <v>2976</v>
      </c>
      <c r="L1130" s="6" t="s">
        <v>9860</v>
      </c>
      <c r="M1130" s="6" t="s">
        <v>4509</v>
      </c>
      <c r="N1130" s="6" t="s">
        <v>4537</v>
      </c>
    </row>
    <row r="1131" s="1" customFormat="1" ht="16.35" customHeight="1" spans="1:14">
      <c r="A1131" s="5"/>
      <c r="B1131" s="6" t="s">
        <v>4506</v>
      </c>
      <c r="C1131" s="6">
        <v>2018</v>
      </c>
      <c r="D1131" s="6">
        <v>4</v>
      </c>
      <c r="E1131" s="7">
        <v>50</v>
      </c>
      <c r="F1131" s="6" t="s">
        <v>9385</v>
      </c>
      <c r="G1131" s="6" t="s">
        <v>9370</v>
      </c>
      <c r="H1131" s="6" t="s">
        <v>26</v>
      </c>
      <c r="I1131" s="8"/>
      <c r="J1131" s="8">
        <v>765910</v>
      </c>
      <c r="K1131" s="6" t="s">
        <v>4509</v>
      </c>
      <c r="L1131" s="6" t="s">
        <v>9218</v>
      </c>
      <c r="M1131" s="6" t="s">
        <v>4509</v>
      </c>
      <c r="N1131" s="6" t="s">
        <v>4537</v>
      </c>
    </row>
    <row r="1132" s="1" customFormat="1" ht="16.35" customHeight="1" spans="1:14">
      <c r="A1132" s="5"/>
      <c r="B1132" s="6" t="s">
        <v>4506</v>
      </c>
      <c r="C1132" s="6">
        <v>2018</v>
      </c>
      <c r="D1132" s="6">
        <v>5</v>
      </c>
      <c r="E1132" s="7">
        <v>13</v>
      </c>
      <c r="F1132" s="6" t="s">
        <v>3802</v>
      </c>
      <c r="G1132" s="6" t="s">
        <v>9370</v>
      </c>
      <c r="H1132" s="6" t="s">
        <v>26</v>
      </c>
      <c r="I1132" s="8"/>
      <c r="J1132" s="8">
        <v>32335</v>
      </c>
      <c r="K1132" s="6" t="s">
        <v>2976</v>
      </c>
      <c r="L1132" s="6" t="s">
        <v>9860</v>
      </c>
      <c r="M1132" s="6" t="s">
        <v>4509</v>
      </c>
      <c r="N1132" s="6" t="s">
        <v>4537</v>
      </c>
    </row>
    <row r="1133" s="1" customFormat="1" ht="16.35" customHeight="1" spans="1:14">
      <c r="A1133" s="5"/>
      <c r="B1133" s="6" t="s">
        <v>4506</v>
      </c>
      <c r="C1133" s="6">
        <v>2018</v>
      </c>
      <c r="D1133" s="6">
        <v>5</v>
      </c>
      <c r="E1133" s="7">
        <v>14</v>
      </c>
      <c r="F1133" s="6" t="s">
        <v>3802</v>
      </c>
      <c r="G1133" s="6" t="s">
        <v>9370</v>
      </c>
      <c r="H1133" s="6" t="s">
        <v>26</v>
      </c>
      <c r="I1133" s="8"/>
      <c r="J1133" s="8">
        <v>491015.77</v>
      </c>
      <c r="K1133" s="6" t="s">
        <v>4509</v>
      </c>
      <c r="L1133" s="6" t="s">
        <v>9218</v>
      </c>
      <c r="M1133" s="6" t="s">
        <v>4509</v>
      </c>
      <c r="N1133" s="6" t="s">
        <v>4537</v>
      </c>
    </row>
    <row r="1134" s="1" customFormat="1" ht="16.35" customHeight="1" spans="1:14">
      <c r="A1134" s="5"/>
      <c r="B1134" s="6" t="s">
        <v>4506</v>
      </c>
      <c r="C1134" s="6">
        <v>2018</v>
      </c>
      <c r="D1134" s="6">
        <v>5</v>
      </c>
      <c r="E1134" s="7">
        <v>15</v>
      </c>
      <c r="F1134" s="6" t="s">
        <v>3802</v>
      </c>
      <c r="G1134" s="6" t="s">
        <v>9370</v>
      </c>
      <c r="H1134" s="6" t="s">
        <v>26</v>
      </c>
      <c r="I1134" s="8"/>
      <c r="J1134" s="8">
        <v>18400</v>
      </c>
      <c r="K1134" s="6" t="s">
        <v>4509</v>
      </c>
      <c r="L1134" s="6" t="s">
        <v>9218</v>
      </c>
      <c r="M1134" s="6" t="s">
        <v>4509</v>
      </c>
      <c r="N1134" s="6" t="s">
        <v>4537</v>
      </c>
    </row>
    <row r="1135" s="1" customFormat="1" ht="16.35" customHeight="1" spans="1:14">
      <c r="A1135" s="5"/>
      <c r="B1135" s="6" t="s">
        <v>4506</v>
      </c>
      <c r="C1135" s="6">
        <v>2018</v>
      </c>
      <c r="D1135" s="6">
        <v>5</v>
      </c>
      <c r="E1135" s="7">
        <v>16</v>
      </c>
      <c r="F1135" s="6" t="s">
        <v>3802</v>
      </c>
      <c r="G1135" s="6" t="s">
        <v>9370</v>
      </c>
      <c r="H1135" s="6" t="s">
        <v>26</v>
      </c>
      <c r="I1135" s="8"/>
      <c r="J1135" s="8">
        <v>113993.9</v>
      </c>
      <c r="K1135" s="6" t="s">
        <v>4509</v>
      </c>
      <c r="L1135" s="6" t="s">
        <v>9218</v>
      </c>
      <c r="M1135" s="6" t="s">
        <v>4509</v>
      </c>
      <c r="N1135" s="6" t="s">
        <v>4537</v>
      </c>
    </row>
    <row r="1136" s="1" customFormat="1" ht="16.35" customHeight="1" spans="1:14">
      <c r="A1136" s="5"/>
      <c r="B1136" s="6" t="s">
        <v>4506</v>
      </c>
      <c r="C1136" s="6">
        <v>2018</v>
      </c>
      <c r="D1136" s="6">
        <v>5</v>
      </c>
      <c r="E1136" s="7">
        <v>21</v>
      </c>
      <c r="F1136" s="6" t="s">
        <v>9971</v>
      </c>
      <c r="G1136" s="6" t="s">
        <v>9370</v>
      </c>
      <c r="H1136" s="6" t="s">
        <v>26</v>
      </c>
      <c r="I1136" s="8"/>
      <c r="J1136" s="8">
        <v>9485000</v>
      </c>
      <c r="K1136" s="6" t="s">
        <v>4512</v>
      </c>
      <c r="L1136" s="6" t="s">
        <v>2906</v>
      </c>
      <c r="M1136" s="6" t="s">
        <v>4509</v>
      </c>
      <c r="N1136" s="6" t="s">
        <v>4537</v>
      </c>
    </row>
    <row r="1137" s="1" customFormat="1" ht="16.35" customHeight="1" spans="1:14">
      <c r="A1137" s="5"/>
      <c r="B1137" s="6" t="s">
        <v>4506</v>
      </c>
      <c r="C1137" s="6">
        <v>2018</v>
      </c>
      <c r="D1137" s="6">
        <v>5</v>
      </c>
      <c r="E1137" s="7">
        <v>33</v>
      </c>
      <c r="F1137" s="6" t="s">
        <v>9714</v>
      </c>
      <c r="G1137" s="6" t="s">
        <v>9370</v>
      </c>
      <c r="H1137" s="6" t="s">
        <v>26</v>
      </c>
      <c r="I1137" s="8"/>
      <c r="J1137" s="8">
        <v>55411</v>
      </c>
      <c r="K1137" s="6" t="s">
        <v>4509</v>
      </c>
      <c r="L1137" s="6" t="s">
        <v>9218</v>
      </c>
      <c r="M1137" s="6" t="s">
        <v>4509</v>
      </c>
      <c r="N1137" s="6" t="s">
        <v>4537</v>
      </c>
    </row>
    <row r="1138" s="1" customFormat="1" ht="16.35" customHeight="1" spans="1:14">
      <c r="A1138" s="5"/>
      <c r="B1138" s="6" t="s">
        <v>4506</v>
      </c>
      <c r="C1138" s="6">
        <v>2018</v>
      </c>
      <c r="D1138" s="6">
        <v>5</v>
      </c>
      <c r="E1138" s="7">
        <v>34</v>
      </c>
      <c r="F1138" s="6" t="s">
        <v>3802</v>
      </c>
      <c r="G1138" s="6" t="s">
        <v>9370</v>
      </c>
      <c r="H1138" s="6" t="s">
        <v>26</v>
      </c>
      <c r="I1138" s="8"/>
      <c r="J1138" s="8">
        <v>197485</v>
      </c>
      <c r="K1138" s="6" t="s">
        <v>4509</v>
      </c>
      <c r="L1138" s="6" t="s">
        <v>9218</v>
      </c>
      <c r="M1138" s="6" t="s">
        <v>4509</v>
      </c>
      <c r="N1138" s="6" t="s">
        <v>4537</v>
      </c>
    </row>
    <row r="1139" s="1" customFormat="1" ht="16.35" customHeight="1" spans="1:14">
      <c r="A1139" s="5"/>
      <c r="B1139" s="6" t="s">
        <v>4506</v>
      </c>
      <c r="C1139" s="6">
        <v>2018</v>
      </c>
      <c r="D1139" s="6">
        <v>5</v>
      </c>
      <c r="E1139" s="7">
        <v>35</v>
      </c>
      <c r="F1139" s="6" t="s">
        <v>3802</v>
      </c>
      <c r="G1139" s="6" t="s">
        <v>9370</v>
      </c>
      <c r="H1139" s="6" t="s">
        <v>26</v>
      </c>
      <c r="I1139" s="8"/>
      <c r="J1139" s="8">
        <v>1288498</v>
      </c>
      <c r="K1139" s="6" t="s">
        <v>4512</v>
      </c>
      <c r="L1139" s="6" t="s">
        <v>2906</v>
      </c>
      <c r="M1139" s="6" t="s">
        <v>4509</v>
      </c>
      <c r="N1139" s="6" t="s">
        <v>4537</v>
      </c>
    </row>
    <row r="1140" s="1" customFormat="1" ht="16.35" customHeight="1" spans="1:14">
      <c r="A1140" s="5"/>
      <c r="B1140" s="6" t="s">
        <v>4506</v>
      </c>
      <c r="C1140" s="6">
        <v>2018</v>
      </c>
      <c r="D1140" s="6">
        <v>5</v>
      </c>
      <c r="E1140" s="7">
        <v>38</v>
      </c>
      <c r="F1140" s="6" t="s">
        <v>9972</v>
      </c>
      <c r="G1140" s="6" t="s">
        <v>9370</v>
      </c>
      <c r="H1140" s="6" t="s">
        <v>26</v>
      </c>
      <c r="I1140" s="8"/>
      <c r="J1140" s="8">
        <v>38640</v>
      </c>
      <c r="K1140" s="6" t="s">
        <v>4531</v>
      </c>
      <c r="L1140" s="6" t="s">
        <v>9787</v>
      </c>
      <c r="M1140" s="6" t="s">
        <v>4510</v>
      </c>
      <c r="N1140" s="6" t="s">
        <v>4511</v>
      </c>
    </row>
    <row r="1141" s="1" customFormat="1" ht="16.35" customHeight="1" spans="1:14">
      <c r="A1141" s="5"/>
      <c r="B1141" s="6" t="s">
        <v>4506</v>
      </c>
      <c r="C1141" s="6">
        <v>2018</v>
      </c>
      <c r="D1141" s="6">
        <v>5</v>
      </c>
      <c r="E1141" s="7">
        <v>40</v>
      </c>
      <c r="F1141" s="6" t="s">
        <v>9973</v>
      </c>
      <c r="G1141" s="6" t="s">
        <v>9370</v>
      </c>
      <c r="H1141" s="6" t="s">
        <v>26</v>
      </c>
      <c r="I1141" s="8"/>
      <c r="J1141" s="8">
        <v>152000</v>
      </c>
      <c r="K1141" s="6" t="s">
        <v>4512</v>
      </c>
      <c r="L1141" s="6" t="s">
        <v>2906</v>
      </c>
      <c r="M1141" s="6" t="s">
        <v>4516</v>
      </c>
      <c r="N1141" s="6" t="s">
        <v>5082</v>
      </c>
    </row>
    <row r="1142" s="1" customFormat="1" ht="16.35" customHeight="1" spans="1:14">
      <c r="A1142" s="5"/>
      <c r="B1142" s="6" t="s">
        <v>4506</v>
      </c>
      <c r="C1142" s="6">
        <v>2018</v>
      </c>
      <c r="D1142" s="6">
        <v>5</v>
      </c>
      <c r="E1142" s="7">
        <v>41</v>
      </c>
      <c r="F1142" s="6" t="s">
        <v>9974</v>
      </c>
      <c r="G1142" s="6" t="s">
        <v>9370</v>
      </c>
      <c r="H1142" s="6" t="s">
        <v>26</v>
      </c>
      <c r="I1142" s="8"/>
      <c r="J1142" s="8">
        <v>134000</v>
      </c>
      <c r="K1142" s="6" t="s">
        <v>4512</v>
      </c>
      <c r="L1142" s="6" t="s">
        <v>2906</v>
      </c>
      <c r="M1142" s="6" t="s">
        <v>4509</v>
      </c>
      <c r="N1142" s="6" t="s">
        <v>4537</v>
      </c>
    </row>
    <row r="1143" s="1" customFormat="1" ht="16.35" customHeight="1" spans="1:14">
      <c r="A1143" s="5"/>
      <c r="B1143" s="6" t="s">
        <v>4506</v>
      </c>
      <c r="C1143" s="6">
        <v>2018</v>
      </c>
      <c r="D1143" s="6">
        <v>5</v>
      </c>
      <c r="E1143" s="7">
        <v>42</v>
      </c>
      <c r="F1143" s="6" t="s">
        <v>9975</v>
      </c>
      <c r="G1143" s="6" t="s">
        <v>9370</v>
      </c>
      <c r="H1143" s="6" t="s">
        <v>26</v>
      </c>
      <c r="I1143" s="8"/>
      <c r="J1143" s="8">
        <v>170000</v>
      </c>
      <c r="K1143" s="6" t="s">
        <v>4512</v>
      </c>
      <c r="L1143" s="6" t="s">
        <v>2906</v>
      </c>
      <c r="M1143" s="6" t="s">
        <v>4509</v>
      </c>
      <c r="N1143" s="6" t="s">
        <v>4537</v>
      </c>
    </row>
    <row r="1144" s="1" customFormat="1" ht="16.35" customHeight="1" spans="1:14">
      <c r="A1144" s="5"/>
      <c r="B1144" s="6" t="s">
        <v>4506</v>
      </c>
      <c r="C1144" s="6">
        <v>2018</v>
      </c>
      <c r="D1144" s="6">
        <v>5</v>
      </c>
      <c r="E1144" s="7">
        <v>43</v>
      </c>
      <c r="F1144" s="6" t="s">
        <v>9976</v>
      </c>
      <c r="G1144" s="6" t="s">
        <v>9370</v>
      </c>
      <c r="H1144" s="6" t="s">
        <v>26</v>
      </c>
      <c r="I1144" s="8"/>
      <c r="J1144" s="8">
        <v>70000</v>
      </c>
      <c r="K1144" s="6" t="s">
        <v>4512</v>
      </c>
      <c r="L1144" s="6" t="s">
        <v>2906</v>
      </c>
      <c r="M1144" s="6" t="s">
        <v>4509</v>
      </c>
      <c r="N1144" s="6" t="s">
        <v>4537</v>
      </c>
    </row>
    <row r="1145" s="1" customFormat="1" ht="16.35" customHeight="1" spans="1:14">
      <c r="A1145" s="5"/>
      <c r="B1145" s="6" t="s">
        <v>4506</v>
      </c>
      <c r="C1145" s="6">
        <v>2018</v>
      </c>
      <c r="D1145" s="6">
        <v>5</v>
      </c>
      <c r="E1145" s="7">
        <v>44</v>
      </c>
      <c r="F1145" s="6" t="s">
        <v>9977</v>
      </c>
      <c r="G1145" s="6" t="s">
        <v>9370</v>
      </c>
      <c r="H1145" s="6" t="s">
        <v>26</v>
      </c>
      <c r="I1145" s="8"/>
      <c r="J1145" s="8">
        <v>184000</v>
      </c>
      <c r="K1145" s="6" t="s">
        <v>4512</v>
      </c>
      <c r="L1145" s="6" t="s">
        <v>2906</v>
      </c>
      <c r="M1145" s="6" t="s">
        <v>4516</v>
      </c>
      <c r="N1145" s="6" t="s">
        <v>5082</v>
      </c>
    </row>
    <row r="1146" s="1" customFormat="1" ht="16.35" customHeight="1" spans="1:14">
      <c r="A1146" s="5"/>
      <c r="B1146" s="6" t="s">
        <v>4506</v>
      </c>
      <c r="C1146" s="6">
        <v>2018</v>
      </c>
      <c r="D1146" s="6">
        <v>5</v>
      </c>
      <c r="E1146" s="7">
        <v>45</v>
      </c>
      <c r="F1146" s="6" t="s">
        <v>9978</v>
      </c>
      <c r="G1146" s="6" t="s">
        <v>9370</v>
      </c>
      <c r="H1146" s="6" t="s">
        <v>26</v>
      </c>
      <c r="I1146" s="8"/>
      <c r="J1146" s="8">
        <v>140000</v>
      </c>
      <c r="K1146" s="6" t="s">
        <v>4512</v>
      </c>
      <c r="L1146" s="6" t="s">
        <v>2906</v>
      </c>
      <c r="M1146" s="6" t="s">
        <v>4516</v>
      </c>
      <c r="N1146" s="6" t="s">
        <v>5082</v>
      </c>
    </row>
    <row r="1147" s="1" customFormat="1" ht="16.35" customHeight="1" spans="1:14">
      <c r="A1147" s="5"/>
      <c r="B1147" s="6" t="s">
        <v>4506</v>
      </c>
      <c r="C1147" s="6">
        <v>2018</v>
      </c>
      <c r="D1147" s="6">
        <v>5</v>
      </c>
      <c r="E1147" s="7">
        <v>46</v>
      </c>
      <c r="F1147" s="6" t="s">
        <v>9979</v>
      </c>
      <c r="G1147" s="6" t="s">
        <v>9370</v>
      </c>
      <c r="H1147" s="6" t="s">
        <v>26</v>
      </c>
      <c r="I1147" s="8"/>
      <c r="J1147" s="8">
        <v>196873.6</v>
      </c>
      <c r="K1147" s="6" t="s">
        <v>4509</v>
      </c>
      <c r="L1147" s="6" t="s">
        <v>9218</v>
      </c>
      <c r="M1147" s="6" t="s">
        <v>4509</v>
      </c>
      <c r="N1147" s="6" t="s">
        <v>4537</v>
      </c>
    </row>
    <row r="1148" s="1" customFormat="1" ht="16.35" customHeight="1" spans="1:14">
      <c r="A1148" s="5"/>
      <c r="B1148" s="6" t="s">
        <v>4506</v>
      </c>
      <c r="C1148" s="6">
        <v>2018</v>
      </c>
      <c r="D1148" s="6">
        <v>5</v>
      </c>
      <c r="E1148" s="7">
        <v>50</v>
      </c>
      <c r="F1148" s="6" t="s">
        <v>3802</v>
      </c>
      <c r="G1148" s="6" t="s">
        <v>9370</v>
      </c>
      <c r="H1148" s="6" t="s">
        <v>26</v>
      </c>
      <c r="I1148" s="8"/>
      <c r="J1148" s="8">
        <v>22000</v>
      </c>
      <c r="K1148" s="6" t="s">
        <v>4509</v>
      </c>
      <c r="L1148" s="6" t="s">
        <v>9218</v>
      </c>
      <c r="M1148" s="6" t="s">
        <v>4509</v>
      </c>
      <c r="N1148" s="6" t="s">
        <v>4537</v>
      </c>
    </row>
    <row r="1149" s="1" customFormat="1" ht="16.35" customHeight="1" spans="1:14">
      <c r="A1149" s="5"/>
      <c r="B1149" s="6" t="s">
        <v>4506</v>
      </c>
      <c r="C1149" s="6">
        <v>2018</v>
      </c>
      <c r="D1149" s="6">
        <v>5</v>
      </c>
      <c r="E1149" s="7">
        <v>51</v>
      </c>
      <c r="F1149" s="6" t="s">
        <v>3802</v>
      </c>
      <c r="G1149" s="6" t="s">
        <v>9370</v>
      </c>
      <c r="H1149" s="6" t="s">
        <v>26</v>
      </c>
      <c r="I1149" s="8"/>
      <c r="J1149" s="8">
        <v>93413</v>
      </c>
      <c r="K1149" s="6" t="s">
        <v>4509</v>
      </c>
      <c r="L1149" s="6" t="s">
        <v>9218</v>
      </c>
      <c r="M1149" s="6" t="s">
        <v>4509</v>
      </c>
      <c r="N1149" s="6" t="s">
        <v>4537</v>
      </c>
    </row>
    <row r="1150" s="1" customFormat="1" ht="16.35" customHeight="1" spans="1:14">
      <c r="A1150" s="5"/>
      <c r="B1150" s="6" t="s">
        <v>4506</v>
      </c>
      <c r="C1150" s="6">
        <v>2018</v>
      </c>
      <c r="D1150" s="6">
        <v>5</v>
      </c>
      <c r="E1150" s="7">
        <v>52</v>
      </c>
      <c r="F1150" s="6" t="s">
        <v>9980</v>
      </c>
      <c r="G1150" s="6" t="s">
        <v>9370</v>
      </c>
      <c r="H1150" s="6" t="s">
        <v>26</v>
      </c>
      <c r="I1150" s="8"/>
      <c r="J1150" s="8">
        <v>405</v>
      </c>
      <c r="K1150" s="6" t="s">
        <v>2942</v>
      </c>
      <c r="L1150" s="6" t="s">
        <v>9981</v>
      </c>
      <c r="M1150" s="6" t="s">
        <v>4509</v>
      </c>
      <c r="N1150" s="6" t="s">
        <v>4537</v>
      </c>
    </row>
    <row r="1151" s="1" customFormat="1" ht="16.35" customHeight="1" spans="1:14">
      <c r="A1151" s="5"/>
      <c r="B1151" s="6" t="s">
        <v>4506</v>
      </c>
      <c r="C1151" s="6">
        <v>2018</v>
      </c>
      <c r="D1151" s="6">
        <v>6</v>
      </c>
      <c r="E1151" s="7">
        <v>7</v>
      </c>
      <c r="F1151" s="6" t="s">
        <v>9982</v>
      </c>
      <c r="G1151" s="6" t="s">
        <v>9370</v>
      </c>
      <c r="H1151" s="6" t="s">
        <v>26</v>
      </c>
      <c r="I1151" s="8"/>
      <c r="J1151" s="8">
        <v>1000000</v>
      </c>
      <c r="K1151" s="6" t="s">
        <v>4512</v>
      </c>
      <c r="L1151" s="6" t="s">
        <v>2906</v>
      </c>
      <c r="M1151" s="6" t="s">
        <v>4509</v>
      </c>
      <c r="N1151" s="6" t="s">
        <v>4537</v>
      </c>
    </row>
    <row r="1152" s="1" customFormat="1" ht="16.35" customHeight="1" spans="1:14">
      <c r="A1152" s="5"/>
      <c r="B1152" s="6" t="s">
        <v>4506</v>
      </c>
      <c r="C1152" s="6">
        <v>2018</v>
      </c>
      <c r="D1152" s="6">
        <v>6</v>
      </c>
      <c r="E1152" s="7">
        <v>13</v>
      </c>
      <c r="F1152" s="6" t="s">
        <v>9983</v>
      </c>
      <c r="G1152" s="6" t="s">
        <v>9370</v>
      </c>
      <c r="H1152" s="6" t="s">
        <v>26</v>
      </c>
      <c r="I1152" s="8"/>
      <c r="J1152" s="8">
        <v>72246.88</v>
      </c>
      <c r="K1152" s="6" t="s">
        <v>2982</v>
      </c>
      <c r="L1152" s="6" t="s">
        <v>9944</v>
      </c>
      <c r="M1152" s="6" t="s">
        <v>4510</v>
      </c>
      <c r="N1152" s="6" t="s">
        <v>4511</v>
      </c>
    </row>
    <row r="1153" s="1" customFormat="1" ht="16.35" customHeight="1" spans="1:14">
      <c r="A1153" s="5"/>
      <c r="B1153" s="6" t="s">
        <v>4506</v>
      </c>
      <c r="C1153" s="6">
        <v>2018</v>
      </c>
      <c r="D1153" s="6">
        <v>6</v>
      </c>
      <c r="E1153" s="7">
        <v>13</v>
      </c>
      <c r="F1153" s="6" t="s">
        <v>9983</v>
      </c>
      <c r="G1153" s="6" t="s">
        <v>9370</v>
      </c>
      <c r="H1153" s="6" t="s">
        <v>26</v>
      </c>
      <c r="I1153" s="8">
        <v>72046.88</v>
      </c>
      <c r="J1153" s="8"/>
      <c r="K1153" s="6" t="s">
        <v>2982</v>
      </c>
      <c r="L1153" s="6" t="s">
        <v>9944</v>
      </c>
      <c r="M1153" s="6" t="s">
        <v>4510</v>
      </c>
      <c r="N1153" s="6" t="s">
        <v>4511</v>
      </c>
    </row>
    <row r="1154" s="1" customFormat="1" ht="16.35" customHeight="1" spans="1:14">
      <c r="A1154" s="5"/>
      <c r="B1154" s="6" t="s">
        <v>4506</v>
      </c>
      <c r="C1154" s="6">
        <v>2018</v>
      </c>
      <c r="D1154" s="6">
        <v>6</v>
      </c>
      <c r="E1154" s="7">
        <v>14</v>
      </c>
      <c r="F1154" s="6" t="s">
        <v>9984</v>
      </c>
      <c r="G1154" s="6" t="s">
        <v>9370</v>
      </c>
      <c r="H1154" s="6" t="s">
        <v>26</v>
      </c>
      <c r="I1154" s="8"/>
      <c r="J1154" s="8">
        <v>70000</v>
      </c>
      <c r="K1154" s="6" t="s">
        <v>4532</v>
      </c>
      <c r="L1154" s="6" t="s">
        <v>9985</v>
      </c>
      <c r="M1154" s="6" t="s">
        <v>4516</v>
      </c>
      <c r="N1154" s="6" t="s">
        <v>5082</v>
      </c>
    </row>
    <row r="1155" s="1" customFormat="1" ht="16.35" customHeight="1" spans="1:14">
      <c r="A1155" s="5"/>
      <c r="B1155" s="6" t="s">
        <v>4506</v>
      </c>
      <c r="C1155" s="6">
        <v>2018</v>
      </c>
      <c r="D1155" s="6">
        <v>6</v>
      </c>
      <c r="E1155" s="7">
        <v>14</v>
      </c>
      <c r="F1155" s="6" t="s">
        <v>9984</v>
      </c>
      <c r="G1155" s="6" t="s">
        <v>9370</v>
      </c>
      <c r="H1155" s="6" t="s">
        <v>26</v>
      </c>
      <c r="I1155" s="8">
        <v>66500</v>
      </c>
      <c r="J1155" s="8"/>
      <c r="K1155" s="6" t="s">
        <v>4532</v>
      </c>
      <c r="L1155" s="6" t="s">
        <v>9985</v>
      </c>
      <c r="M1155" s="6" t="s">
        <v>4516</v>
      </c>
      <c r="N1155" s="6" t="s">
        <v>5082</v>
      </c>
    </row>
    <row r="1156" s="1" customFormat="1" ht="16.35" customHeight="1" spans="1:14">
      <c r="A1156" s="5"/>
      <c r="B1156" s="6" t="s">
        <v>4506</v>
      </c>
      <c r="C1156" s="6">
        <v>2018</v>
      </c>
      <c r="D1156" s="6">
        <v>6</v>
      </c>
      <c r="E1156" s="7">
        <v>18</v>
      </c>
      <c r="F1156" s="6" t="s">
        <v>9986</v>
      </c>
      <c r="G1156" s="6" t="s">
        <v>9370</v>
      </c>
      <c r="H1156" s="6" t="s">
        <v>26</v>
      </c>
      <c r="I1156" s="8"/>
      <c r="J1156" s="8">
        <v>1400</v>
      </c>
      <c r="K1156" s="6" t="s">
        <v>2982</v>
      </c>
      <c r="L1156" s="6" t="s">
        <v>9944</v>
      </c>
      <c r="M1156" s="6" t="s">
        <v>4509</v>
      </c>
      <c r="N1156" s="6" t="s">
        <v>4537</v>
      </c>
    </row>
    <row r="1157" s="1" customFormat="1" ht="16.35" customHeight="1" spans="1:14">
      <c r="A1157" s="5"/>
      <c r="B1157" s="6" t="s">
        <v>4506</v>
      </c>
      <c r="C1157" s="6">
        <v>2018</v>
      </c>
      <c r="D1157" s="6">
        <v>6</v>
      </c>
      <c r="E1157" s="7">
        <v>21</v>
      </c>
      <c r="F1157" s="6" t="s">
        <v>9987</v>
      </c>
      <c r="G1157" s="6" t="s">
        <v>9370</v>
      </c>
      <c r="H1157" s="6" t="s">
        <v>26</v>
      </c>
      <c r="I1157" s="8">
        <v>900000</v>
      </c>
      <c r="J1157" s="8"/>
      <c r="K1157" s="6" t="s">
        <v>4509</v>
      </c>
      <c r="L1157" s="6" t="s">
        <v>9218</v>
      </c>
      <c r="M1157" s="6" t="s">
        <v>4509</v>
      </c>
      <c r="N1157" s="6" t="s">
        <v>4537</v>
      </c>
    </row>
    <row r="1158" s="1" customFormat="1" ht="16.35" customHeight="1" spans="1:14">
      <c r="A1158" s="5"/>
      <c r="B1158" s="6" t="s">
        <v>4506</v>
      </c>
      <c r="C1158" s="6">
        <v>2018</v>
      </c>
      <c r="D1158" s="6">
        <v>6</v>
      </c>
      <c r="E1158" s="7">
        <v>30</v>
      </c>
      <c r="F1158" s="6" t="s">
        <v>9988</v>
      </c>
      <c r="G1158" s="6" t="s">
        <v>9370</v>
      </c>
      <c r="H1158" s="6" t="s">
        <v>26</v>
      </c>
      <c r="I1158" s="8"/>
      <c r="J1158" s="8">
        <v>100000</v>
      </c>
      <c r="K1158" s="6" t="s">
        <v>4512</v>
      </c>
      <c r="L1158" s="6" t="s">
        <v>2906</v>
      </c>
      <c r="M1158" s="6" t="s">
        <v>4516</v>
      </c>
      <c r="N1158" s="6" t="s">
        <v>5082</v>
      </c>
    </row>
    <row r="1159" s="1" customFormat="1" ht="16.35" customHeight="1" spans="1:14">
      <c r="A1159" s="5"/>
      <c r="B1159" s="6" t="s">
        <v>4506</v>
      </c>
      <c r="C1159" s="6">
        <v>2018</v>
      </c>
      <c r="D1159" s="6">
        <v>6</v>
      </c>
      <c r="E1159" s="7">
        <v>35</v>
      </c>
      <c r="F1159" s="6" t="s">
        <v>9982</v>
      </c>
      <c r="G1159" s="6" t="s">
        <v>9370</v>
      </c>
      <c r="H1159" s="6" t="s">
        <v>26</v>
      </c>
      <c r="I1159" s="8"/>
      <c r="J1159" s="8">
        <v>1000000</v>
      </c>
      <c r="K1159" s="6" t="s">
        <v>4512</v>
      </c>
      <c r="L1159" s="6" t="s">
        <v>2906</v>
      </c>
      <c r="M1159" s="6" t="s">
        <v>4509</v>
      </c>
      <c r="N1159" s="6" t="s">
        <v>4537</v>
      </c>
    </row>
    <row r="1160" s="1" customFormat="1" ht="16.35" customHeight="1" spans="1:14">
      <c r="A1160" s="5"/>
      <c r="B1160" s="6" t="s">
        <v>4506</v>
      </c>
      <c r="C1160" s="6">
        <v>2018</v>
      </c>
      <c r="D1160" s="6">
        <v>6</v>
      </c>
      <c r="E1160" s="7">
        <v>37</v>
      </c>
      <c r="F1160" s="6" t="s">
        <v>9989</v>
      </c>
      <c r="G1160" s="6" t="s">
        <v>9370</v>
      </c>
      <c r="H1160" s="6" t="s">
        <v>26</v>
      </c>
      <c r="I1160" s="8"/>
      <c r="J1160" s="8">
        <v>86466</v>
      </c>
      <c r="K1160" s="6" t="s">
        <v>2994</v>
      </c>
      <c r="L1160" s="6" t="s">
        <v>9990</v>
      </c>
      <c r="M1160" s="6" t="s">
        <v>4509</v>
      </c>
      <c r="N1160" s="6" t="s">
        <v>4537</v>
      </c>
    </row>
    <row r="1161" s="1" customFormat="1" ht="16.35" customHeight="1" spans="1:14">
      <c r="A1161" s="5"/>
      <c r="B1161" s="6" t="s">
        <v>4506</v>
      </c>
      <c r="C1161" s="6">
        <v>2018</v>
      </c>
      <c r="D1161" s="6">
        <v>6</v>
      </c>
      <c r="E1161" s="7">
        <v>38</v>
      </c>
      <c r="F1161" s="6" t="s">
        <v>9989</v>
      </c>
      <c r="G1161" s="6" t="s">
        <v>9370</v>
      </c>
      <c r="H1161" s="6" t="s">
        <v>26</v>
      </c>
      <c r="I1161" s="8"/>
      <c r="J1161" s="8">
        <v>38640</v>
      </c>
      <c r="K1161" s="6" t="s">
        <v>2994</v>
      </c>
      <c r="L1161" s="6" t="s">
        <v>9990</v>
      </c>
      <c r="M1161" s="6" t="s">
        <v>4509</v>
      </c>
      <c r="N1161" s="6" t="s">
        <v>4537</v>
      </c>
    </row>
    <row r="1162" s="1" customFormat="1" ht="16.35" customHeight="1" spans="1:14">
      <c r="A1162" s="5"/>
      <c r="B1162" s="6" t="s">
        <v>4506</v>
      </c>
      <c r="C1162" s="6">
        <v>2018</v>
      </c>
      <c r="D1162" s="6">
        <v>6</v>
      </c>
      <c r="E1162" s="7">
        <v>39</v>
      </c>
      <c r="F1162" s="6" t="s">
        <v>5095</v>
      </c>
      <c r="G1162" s="6" t="s">
        <v>9370</v>
      </c>
      <c r="H1162" s="6" t="s">
        <v>26</v>
      </c>
      <c r="I1162" s="8">
        <v>81619</v>
      </c>
      <c r="J1162" s="8"/>
      <c r="K1162" s="6" t="s">
        <v>4512</v>
      </c>
      <c r="L1162" s="6" t="s">
        <v>2906</v>
      </c>
      <c r="M1162" s="6" t="s">
        <v>4510</v>
      </c>
      <c r="N1162" s="6" t="s">
        <v>4511</v>
      </c>
    </row>
    <row r="1163" s="1" customFormat="1" ht="16.35" customHeight="1" spans="1:14">
      <c r="A1163" s="5"/>
      <c r="B1163" s="6" t="s">
        <v>4506</v>
      </c>
      <c r="C1163" s="6">
        <v>2018</v>
      </c>
      <c r="D1163" s="6">
        <v>6</v>
      </c>
      <c r="E1163" s="7">
        <v>45</v>
      </c>
      <c r="F1163" s="6" t="s">
        <v>3802</v>
      </c>
      <c r="G1163" s="6" t="s">
        <v>9370</v>
      </c>
      <c r="H1163" s="6" t="s">
        <v>26</v>
      </c>
      <c r="I1163" s="8"/>
      <c r="J1163" s="8">
        <v>452634.06</v>
      </c>
      <c r="K1163" s="6" t="s">
        <v>4509</v>
      </c>
      <c r="L1163" s="6" t="s">
        <v>9218</v>
      </c>
      <c r="M1163" s="6" t="s">
        <v>4510</v>
      </c>
      <c r="N1163" s="6" t="s">
        <v>4511</v>
      </c>
    </row>
    <row r="1164" s="1" customFormat="1" ht="16.35" customHeight="1" spans="1:14">
      <c r="A1164" s="5"/>
      <c r="B1164" s="6" t="s">
        <v>4506</v>
      </c>
      <c r="C1164" s="6">
        <v>2018</v>
      </c>
      <c r="D1164" s="6">
        <v>6</v>
      </c>
      <c r="E1164" s="7">
        <v>49</v>
      </c>
      <c r="F1164" s="6" t="s">
        <v>9991</v>
      </c>
      <c r="G1164" s="6" t="s">
        <v>9370</v>
      </c>
      <c r="H1164" s="6" t="s">
        <v>26</v>
      </c>
      <c r="I1164" s="8">
        <v>10000</v>
      </c>
      <c r="J1164" s="8"/>
      <c r="K1164" s="6" t="s">
        <v>2982</v>
      </c>
      <c r="L1164" s="6" t="s">
        <v>9944</v>
      </c>
      <c r="M1164" s="6" t="s">
        <v>4510</v>
      </c>
      <c r="N1164" s="6" t="s">
        <v>4511</v>
      </c>
    </row>
    <row r="1165" s="1" customFormat="1" ht="16.35" customHeight="1" spans="1:14">
      <c r="A1165" s="5"/>
      <c r="B1165" s="6" t="s">
        <v>4506</v>
      </c>
      <c r="C1165" s="6">
        <v>2018</v>
      </c>
      <c r="D1165" s="6">
        <v>6</v>
      </c>
      <c r="E1165" s="7">
        <v>49</v>
      </c>
      <c r="F1165" s="6" t="s">
        <v>9992</v>
      </c>
      <c r="G1165" s="6" t="s">
        <v>9370</v>
      </c>
      <c r="H1165" s="6" t="s">
        <v>26</v>
      </c>
      <c r="I1165" s="8"/>
      <c r="J1165" s="8">
        <v>17236.5</v>
      </c>
      <c r="K1165" s="6" t="s">
        <v>2982</v>
      </c>
      <c r="L1165" s="6" t="s">
        <v>9944</v>
      </c>
      <c r="M1165" s="6" t="s">
        <v>4510</v>
      </c>
      <c r="N1165" s="6" t="s">
        <v>4511</v>
      </c>
    </row>
    <row r="1166" s="1" customFormat="1" ht="16.35" customHeight="1" spans="1:14">
      <c r="A1166" s="5"/>
      <c r="B1166" s="6" t="s">
        <v>4506</v>
      </c>
      <c r="C1166" s="6">
        <v>2018</v>
      </c>
      <c r="D1166" s="6">
        <v>6</v>
      </c>
      <c r="E1166" s="7">
        <v>49</v>
      </c>
      <c r="F1166" s="6" t="s">
        <v>9993</v>
      </c>
      <c r="G1166" s="6" t="s">
        <v>9370</v>
      </c>
      <c r="H1166" s="6" t="s">
        <v>26</v>
      </c>
      <c r="I1166" s="8">
        <v>17236.5</v>
      </c>
      <c r="J1166" s="8"/>
      <c r="K1166" s="6" t="s">
        <v>2982</v>
      </c>
      <c r="L1166" s="6" t="s">
        <v>9944</v>
      </c>
      <c r="M1166" s="6" t="s">
        <v>4510</v>
      </c>
      <c r="N1166" s="6" t="s">
        <v>4511</v>
      </c>
    </row>
    <row r="1167" s="1" customFormat="1" ht="16.35" customHeight="1" spans="1:14">
      <c r="A1167" s="5"/>
      <c r="B1167" s="6" t="s">
        <v>4506</v>
      </c>
      <c r="C1167" s="6">
        <v>2018</v>
      </c>
      <c r="D1167" s="6">
        <v>6</v>
      </c>
      <c r="E1167" s="7">
        <v>50</v>
      </c>
      <c r="F1167" s="6" t="s">
        <v>9994</v>
      </c>
      <c r="G1167" s="6" t="s">
        <v>9370</v>
      </c>
      <c r="H1167" s="6" t="s">
        <v>26</v>
      </c>
      <c r="I1167" s="8"/>
      <c r="J1167" s="8">
        <v>307467.1</v>
      </c>
      <c r="K1167" s="6" t="s">
        <v>4509</v>
      </c>
      <c r="L1167" s="6" t="s">
        <v>9218</v>
      </c>
      <c r="M1167" s="6" t="s">
        <v>4509</v>
      </c>
      <c r="N1167" s="6" t="s">
        <v>4537</v>
      </c>
    </row>
    <row r="1168" s="1" customFormat="1" ht="16.35" customHeight="1" spans="1:14">
      <c r="A1168" s="5"/>
      <c r="B1168" s="6" t="s">
        <v>4506</v>
      </c>
      <c r="C1168" s="6">
        <v>2018</v>
      </c>
      <c r="D1168" s="6">
        <v>6</v>
      </c>
      <c r="E1168" s="7">
        <v>54</v>
      </c>
      <c r="F1168" s="6" t="s">
        <v>9995</v>
      </c>
      <c r="G1168" s="6" t="s">
        <v>9370</v>
      </c>
      <c r="H1168" s="6" t="s">
        <v>26</v>
      </c>
      <c r="I1168" s="8">
        <v>2000000</v>
      </c>
      <c r="J1168" s="8"/>
      <c r="K1168" s="6" t="s">
        <v>4509</v>
      </c>
      <c r="L1168" s="6" t="s">
        <v>9218</v>
      </c>
      <c r="M1168" s="6" t="s">
        <v>4509</v>
      </c>
      <c r="N1168" s="6" t="s">
        <v>4537</v>
      </c>
    </row>
    <row r="1169" s="1" customFormat="1" ht="16.35" customHeight="1" spans="1:14">
      <c r="A1169" s="5"/>
      <c r="B1169" s="6" t="s">
        <v>4506</v>
      </c>
      <c r="C1169" s="6">
        <v>2018</v>
      </c>
      <c r="D1169" s="6">
        <v>6</v>
      </c>
      <c r="E1169" s="7">
        <v>59</v>
      </c>
      <c r="F1169" s="6" t="s">
        <v>9996</v>
      </c>
      <c r="G1169" s="6" t="s">
        <v>9370</v>
      </c>
      <c r="H1169" s="6" t="s">
        <v>26</v>
      </c>
      <c r="I1169" s="8"/>
      <c r="J1169" s="8">
        <v>732422.5</v>
      </c>
      <c r="K1169" s="6" t="s">
        <v>4509</v>
      </c>
      <c r="L1169" s="6" t="s">
        <v>9218</v>
      </c>
      <c r="M1169" s="6" t="s">
        <v>4510</v>
      </c>
      <c r="N1169" s="6" t="s">
        <v>4511</v>
      </c>
    </row>
    <row r="1170" s="1" customFormat="1" ht="16.35" customHeight="1" spans="1:14">
      <c r="A1170" s="5"/>
      <c r="B1170" s="6" t="s">
        <v>4506</v>
      </c>
      <c r="C1170" s="6">
        <v>2018</v>
      </c>
      <c r="D1170" s="6">
        <v>6</v>
      </c>
      <c r="E1170" s="7">
        <v>60</v>
      </c>
      <c r="F1170" s="6" t="s">
        <v>9377</v>
      </c>
      <c r="G1170" s="6" t="s">
        <v>9370</v>
      </c>
      <c r="H1170" s="6" t="s">
        <v>26</v>
      </c>
      <c r="I1170" s="8">
        <v>15000</v>
      </c>
      <c r="J1170" s="8"/>
      <c r="K1170" s="6" t="s">
        <v>4512</v>
      </c>
      <c r="L1170" s="6" t="s">
        <v>2906</v>
      </c>
      <c r="M1170" s="6" t="s">
        <v>4509</v>
      </c>
      <c r="N1170" s="6" t="s">
        <v>4537</v>
      </c>
    </row>
    <row r="1171" s="1" customFormat="1" ht="16.35" customHeight="1" spans="1:14">
      <c r="A1171" s="5"/>
      <c r="B1171" s="6" t="s">
        <v>4506</v>
      </c>
      <c r="C1171" s="6">
        <v>2018</v>
      </c>
      <c r="D1171" s="6">
        <v>6</v>
      </c>
      <c r="E1171" s="7">
        <v>60</v>
      </c>
      <c r="F1171" s="6" t="s">
        <v>9377</v>
      </c>
      <c r="G1171" s="6" t="s">
        <v>9370</v>
      </c>
      <c r="H1171" s="6" t="s">
        <v>26</v>
      </c>
      <c r="I1171" s="8"/>
      <c r="J1171" s="8">
        <v>15000</v>
      </c>
      <c r="K1171" s="6" t="s">
        <v>4509</v>
      </c>
      <c r="L1171" s="6" t="s">
        <v>9218</v>
      </c>
      <c r="M1171" s="6" t="s">
        <v>4509</v>
      </c>
      <c r="N1171" s="6" t="s">
        <v>4537</v>
      </c>
    </row>
    <row r="1172" s="1" customFormat="1" ht="16.35" customHeight="1" spans="1:14">
      <c r="A1172" s="5"/>
      <c r="B1172" s="6" t="s">
        <v>4506</v>
      </c>
      <c r="C1172" s="6">
        <v>2018</v>
      </c>
      <c r="D1172" s="6">
        <v>7</v>
      </c>
      <c r="E1172" s="7">
        <v>1</v>
      </c>
      <c r="F1172" s="6" t="s">
        <v>9997</v>
      </c>
      <c r="G1172" s="6" t="s">
        <v>9370</v>
      </c>
      <c r="H1172" s="6" t="s">
        <v>26</v>
      </c>
      <c r="I1172" s="8"/>
      <c r="J1172" s="8">
        <v>5000</v>
      </c>
      <c r="K1172" s="6" t="s">
        <v>4534</v>
      </c>
      <c r="L1172" s="6" t="s">
        <v>9998</v>
      </c>
      <c r="M1172" s="6" t="s">
        <v>4516</v>
      </c>
      <c r="N1172" s="6" t="s">
        <v>5082</v>
      </c>
    </row>
    <row r="1173" s="1" customFormat="1" ht="16.35" customHeight="1" spans="1:14">
      <c r="A1173" s="5"/>
      <c r="B1173" s="6" t="s">
        <v>4506</v>
      </c>
      <c r="C1173" s="6">
        <v>2018</v>
      </c>
      <c r="D1173" s="6">
        <v>7</v>
      </c>
      <c r="E1173" s="7">
        <v>3</v>
      </c>
      <c r="F1173" s="6" t="s">
        <v>9999</v>
      </c>
      <c r="G1173" s="6" t="s">
        <v>9370</v>
      </c>
      <c r="H1173" s="6" t="s">
        <v>26</v>
      </c>
      <c r="I1173" s="8"/>
      <c r="J1173" s="8">
        <v>1000</v>
      </c>
      <c r="K1173" s="6" t="s">
        <v>4534</v>
      </c>
      <c r="L1173" s="6" t="s">
        <v>9998</v>
      </c>
      <c r="M1173" s="6" t="s">
        <v>4516</v>
      </c>
      <c r="N1173" s="6" t="s">
        <v>5082</v>
      </c>
    </row>
    <row r="1174" s="1" customFormat="1" ht="16.35" customHeight="1" spans="1:14">
      <c r="A1174" s="5"/>
      <c r="B1174" s="6" t="s">
        <v>4506</v>
      </c>
      <c r="C1174" s="6">
        <v>2018</v>
      </c>
      <c r="D1174" s="6">
        <v>7</v>
      </c>
      <c r="E1174" s="7">
        <v>7</v>
      </c>
      <c r="F1174" s="6" t="s">
        <v>10000</v>
      </c>
      <c r="G1174" s="6" t="s">
        <v>9370</v>
      </c>
      <c r="H1174" s="6" t="s">
        <v>26</v>
      </c>
      <c r="I1174" s="8">
        <v>5670</v>
      </c>
      <c r="J1174" s="8"/>
      <c r="K1174" s="6" t="s">
        <v>2996</v>
      </c>
      <c r="L1174" s="6" t="s">
        <v>10001</v>
      </c>
      <c r="M1174" s="6" t="s">
        <v>4510</v>
      </c>
      <c r="N1174" s="6" t="s">
        <v>4511</v>
      </c>
    </row>
    <row r="1175" s="1" customFormat="1" ht="16.35" customHeight="1" spans="1:14">
      <c r="A1175" s="5"/>
      <c r="B1175" s="6" t="s">
        <v>4506</v>
      </c>
      <c r="C1175" s="6">
        <v>2018</v>
      </c>
      <c r="D1175" s="6">
        <v>7</v>
      </c>
      <c r="E1175" s="7">
        <v>11</v>
      </c>
      <c r="F1175" s="6" t="s">
        <v>10002</v>
      </c>
      <c r="G1175" s="6" t="s">
        <v>9370</v>
      </c>
      <c r="H1175" s="6" t="s">
        <v>26</v>
      </c>
      <c r="I1175" s="8"/>
      <c r="J1175" s="8">
        <v>3000</v>
      </c>
      <c r="K1175" s="6" t="s">
        <v>4534</v>
      </c>
      <c r="L1175" s="6" t="s">
        <v>9998</v>
      </c>
      <c r="M1175" s="6" t="s">
        <v>4516</v>
      </c>
      <c r="N1175" s="6" t="s">
        <v>5082</v>
      </c>
    </row>
    <row r="1176" s="1" customFormat="1" ht="16.35" customHeight="1" spans="1:14">
      <c r="A1176" s="5"/>
      <c r="B1176" s="6" t="s">
        <v>4506</v>
      </c>
      <c r="C1176" s="6">
        <v>2018</v>
      </c>
      <c r="D1176" s="6">
        <v>7</v>
      </c>
      <c r="E1176" s="7">
        <v>12</v>
      </c>
      <c r="F1176" s="6" t="s">
        <v>10003</v>
      </c>
      <c r="G1176" s="6" t="s">
        <v>9370</v>
      </c>
      <c r="H1176" s="6" t="s">
        <v>26</v>
      </c>
      <c r="I1176" s="8"/>
      <c r="J1176" s="8">
        <v>5000</v>
      </c>
      <c r="K1176" s="6" t="s">
        <v>4534</v>
      </c>
      <c r="L1176" s="6" t="s">
        <v>9998</v>
      </c>
      <c r="M1176" s="6" t="s">
        <v>4516</v>
      </c>
      <c r="N1176" s="6" t="s">
        <v>5082</v>
      </c>
    </row>
    <row r="1177" s="1" customFormat="1" ht="16.35" customHeight="1" spans="1:14">
      <c r="A1177" s="5"/>
      <c r="B1177" s="6" t="s">
        <v>4506</v>
      </c>
      <c r="C1177" s="6">
        <v>2018</v>
      </c>
      <c r="D1177" s="6">
        <v>7</v>
      </c>
      <c r="E1177" s="7">
        <v>13</v>
      </c>
      <c r="F1177" s="6" t="s">
        <v>10004</v>
      </c>
      <c r="G1177" s="6" t="s">
        <v>9370</v>
      </c>
      <c r="H1177" s="6" t="s">
        <v>26</v>
      </c>
      <c r="I1177" s="8"/>
      <c r="J1177" s="8">
        <v>5000</v>
      </c>
      <c r="K1177" s="6" t="s">
        <v>4534</v>
      </c>
      <c r="L1177" s="6" t="s">
        <v>9998</v>
      </c>
      <c r="M1177" s="6" t="s">
        <v>4516</v>
      </c>
      <c r="N1177" s="6" t="s">
        <v>5082</v>
      </c>
    </row>
    <row r="1178" s="1" customFormat="1" ht="16.35" customHeight="1" spans="1:14">
      <c r="A1178" s="5"/>
      <c r="B1178" s="6" t="s">
        <v>4506</v>
      </c>
      <c r="C1178" s="6">
        <v>2018</v>
      </c>
      <c r="D1178" s="6">
        <v>7</v>
      </c>
      <c r="E1178" s="7">
        <v>14</v>
      </c>
      <c r="F1178" s="6" t="s">
        <v>10005</v>
      </c>
      <c r="G1178" s="6" t="s">
        <v>9370</v>
      </c>
      <c r="H1178" s="6" t="s">
        <v>26</v>
      </c>
      <c r="I1178" s="8"/>
      <c r="J1178" s="8">
        <v>7280</v>
      </c>
      <c r="K1178" s="6" t="s">
        <v>4509</v>
      </c>
      <c r="L1178" s="6" t="s">
        <v>9218</v>
      </c>
      <c r="M1178" s="6" t="s">
        <v>4516</v>
      </c>
      <c r="N1178" s="6" t="s">
        <v>5082</v>
      </c>
    </row>
    <row r="1179" s="1" customFormat="1" ht="16.35" customHeight="1" spans="1:14">
      <c r="A1179" s="5"/>
      <c r="B1179" s="6" t="s">
        <v>4506</v>
      </c>
      <c r="C1179" s="6">
        <v>2018</v>
      </c>
      <c r="D1179" s="6">
        <v>7</v>
      </c>
      <c r="E1179" s="7">
        <v>16</v>
      </c>
      <c r="F1179" s="6" t="s">
        <v>10006</v>
      </c>
      <c r="G1179" s="6" t="s">
        <v>9370</v>
      </c>
      <c r="H1179" s="6" t="s">
        <v>26</v>
      </c>
      <c r="I1179" s="8"/>
      <c r="J1179" s="8">
        <v>131000</v>
      </c>
      <c r="K1179" s="6" t="s">
        <v>4512</v>
      </c>
      <c r="L1179" s="6" t="s">
        <v>2906</v>
      </c>
      <c r="M1179" s="6" t="s">
        <v>4516</v>
      </c>
      <c r="N1179" s="6" t="s">
        <v>5082</v>
      </c>
    </row>
    <row r="1180" s="1" customFormat="1" ht="16.35" customHeight="1" spans="1:14">
      <c r="A1180" s="5"/>
      <c r="B1180" s="6" t="s">
        <v>4506</v>
      </c>
      <c r="C1180" s="6">
        <v>2018</v>
      </c>
      <c r="D1180" s="6">
        <v>7</v>
      </c>
      <c r="E1180" s="7">
        <v>17</v>
      </c>
      <c r="F1180" s="6" t="s">
        <v>10007</v>
      </c>
      <c r="G1180" s="6" t="s">
        <v>9370</v>
      </c>
      <c r="H1180" s="6" t="s">
        <v>26</v>
      </c>
      <c r="I1180" s="8"/>
      <c r="J1180" s="8">
        <v>160000</v>
      </c>
      <c r="K1180" s="6" t="s">
        <v>4512</v>
      </c>
      <c r="L1180" s="6" t="s">
        <v>2906</v>
      </c>
      <c r="M1180" s="6" t="s">
        <v>4516</v>
      </c>
      <c r="N1180" s="6" t="s">
        <v>5082</v>
      </c>
    </row>
    <row r="1181" s="1" customFormat="1" ht="16.35" customHeight="1" spans="1:14">
      <c r="A1181" s="5"/>
      <c r="B1181" s="6" t="s">
        <v>4506</v>
      </c>
      <c r="C1181" s="6">
        <v>2018</v>
      </c>
      <c r="D1181" s="6">
        <v>7</v>
      </c>
      <c r="E1181" s="7">
        <v>19</v>
      </c>
      <c r="F1181" s="6" t="s">
        <v>10008</v>
      </c>
      <c r="G1181" s="6" t="s">
        <v>9370</v>
      </c>
      <c r="H1181" s="6" t="s">
        <v>26</v>
      </c>
      <c r="I1181" s="8"/>
      <c r="J1181" s="8">
        <v>559163</v>
      </c>
      <c r="K1181" s="6" t="s">
        <v>4509</v>
      </c>
      <c r="L1181" s="6" t="s">
        <v>9218</v>
      </c>
      <c r="M1181" s="6" t="s">
        <v>4516</v>
      </c>
      <c r="N1181" s="6" t="s">
        <v>5082</v>
      </c>
    </row>
    <row r="1182" s="1" customFormat="1" ht="16.35" customHeight="1" spans="1:14">
      <c r="A1182" s="5"/>
      <c r="B1182" s="6" t="s">
        <v>4506</v>
      </c>
      <c r="C1182" s="6">
        <v>2018</v>
      </c>
      <c r="D1182" s="6">
        <v>7</v>
      </c>
      <c r="E1182" s="7">
        <v>22</v>
      </c>
      <c r="F1182" s="6" t="s">
        <v>10009</v>
      </c>
      <c r="G1182" s="6" t="s">
        <v>9370</v>
      </c>
      <c r="H1182" s="6" t="s">
        <v>26</v>
      </c>
      <c r="I1182" s="8"/>
      <c r="J1182" s="8">
        <v>1000</v>
      </c>
      <c r="K1182" s="6" t="s">
        <v>4534</v>
      </c>
      <c r="L1182" s="6" t="s">
        <v>9998</v>
      </c>
      <c r="M1182" s="6" t="s">
        <v>4516</v>
      </c>
      <c r="N1182" s="6" t="s">
        <v>5082</v>
      </c>
    </row>
    <row r="1183" s="1" customFormat="1" ht="16.35" customHeight="1" spans="1:14">
      <c r="A1183" s="5"/>
      <c r="B1183" s="6" t="s">
        <v>4506</v>
      </c>
      <c r="C1183" s="6">
        <v>2018</v>
      </c>
      <c r="D1183" s="6">
        <v>7</v>
      </c>
      <c r="E1183" s="7">
        <v>23</v>
      </c>
      <c r="F1183" s="6" t="s">
        <v>10010</v>
      </c>
      <c r="G1183" s="6" t="s">
        <v>9370</v>
      </c>
      <c r="H1183" s="6" t="s">
        <v>26</v>
      </c>
      <c r="I1183" s="8"/>
      <c r="J1183" s="8">
        <v>207000</v>
      </c>
      <c r="K1183" s="6" t="s">
        <v>4512</v>
      </c>
      <c r="L1183" s="6" t="s">
        <v>2906</v>
      </c>
      <c r="M1183" s="6" t="s">
        <v>4516</v>
      </c>
      <c r="N1183" s="6" t="s">
        <v>5082</v>
      </c>
    </row>
    <row r="1184" s="1" customFormat="1" ht="16.35" customHeight="1" spans="1:14">
      <c r="A1184" s="5"/>
      <c r="B1184" s="6" t="s">
        <v>4506</v>
      </c>
      <c r="C1184" s="6">
        <v>2018</v>
      </c>
      <c r="D1184" s="6">
        <v>7</v>
      </c>
      <c r="E1184" s="7">
        <v>24</v>
      </c>
      <c r="F1184" s="6" t="s">
        <v>10011</v>
      </c>
      <c r="G1184" s="6" t="s">
        <v>9370</v>
      </c>
      <c r="H1184" s="6" t="s">
        <v>26</v>
      </c>
      <c r="I1184" s="8"/>
      <c r="J1184" s="8">
        <v>205000</v>
      </c>
      <c r="K1184" s="6" t="s">
        <v>4512</v>
      </c>
      <c r="L1184" s="6" t="s">
        <v>2906</v>
      </c>
      <c r="M1184" s="6" t="s">
        <v>4516</v>
      </c>
      <c r="N1184" s="6" t="s">
        <v>5082</v>
      </c>
    </row>
    <row r="1185" s="1" customFormat="1" ht="16.35" customHeight="1" spans="1:14">
      <c r="A1185" s="5"/>
      <c r="B1185" s="6" t="s">
        <v>4506</v>
      </c>
      <c r="C1185" s="6">
        <v>2018</v>
      </c>
      <c r="D1185" s="6">
        <v>7</v>
      </c>
      <c r="E1185" s="7">
        <v>25</v>
      </c>
      <c r="F1185" s="6" t="s">
        <v>10012</v>
      </c>
      <c r="G1185" s="6" t="s">
        <v>9370</v>
      </c>
      <c r="H1185" s="6" t="s">
        <v>26</v>
      </c>
      <c r="I1185" s="8"/>
      <c r="J1185" s="8">
        <v>5000</v>
      </c>
      <c r="K1185" s="6" t="s">
        <v>4534</v>
      </c>
      <c r="L1185" s="6" t="s">
        <v>9998</v>
      </c>
      <c r="M1185" s="6" t="s">
        <v>4516</v>
      </c>
      <c r="N1185" s="6" t="s">
        <v>5082</v>
      </c>
    </row>
    <row r="1186" s="1" customFormat="1" ht="16.35" customHeight="1" spans="1:14">
      <c r="A1186" s="5"/>
      <c r="B1186" s="6" t="s">
        <v>4506</v>
      </c>
      <c r="C1186" s="6">
        <v>2018</v>
      </c>
      <c r="D1186" s="6">
        <v>7</v>
      </c>
      <c r="E1186" s="7">
        <v>31</v>
      </c>
      <c r="F1186" s="6" t="s">
        <v>10013</v>
      </c>
      <c r="G1186" s="6" t="s">
        <v>9370</v>
      </c>
      <c r="H1186" s="6" t="s">
        <v>26</v>
      </c>
      <c r="I1186" s="8"/>
      <c r="J1186" s="8">
        <v>200000</v>
      </c>
      <c r="K1186" s="6" t="s">
        <v>2976</v>
      </c>
      <c r="L1186" s="6" t="s">
        <v>9860</v>
      </c>
      <c r="M1186" s="6" t="s">
        <v>4509</v>
      </c>
      <c r="N1186" s="6" t="s">
        <v>4537</v>
      </c>
    </row>
    <row r="1187" s="1" customFormat="1" ht="16.35" customHeight="1" spans="1:14">
      <c r="A1187" s="5"/>
      <c r="B1187" s="6" t="s">
        <v>4506</v>
      </c>
      <c r="C1187" s="6">
        <v>2018</v>
      </c>
      <c r="D1187" s="6">
        <v>7</v>
      </c>
      <c r="E1187" s="7">
        <v>33</v>
      </c>
      <c r="F1187" s="6" t="s">
        <v>10014</v>
      </c>
      <c r="G1187" s="6" t="s">
        <v>9370</v>
      </c>
      <c r="H1187" s="6" t="s">
        <v>26</v>
      </c>
      <c r="I1187" s="8"/>
      <c r="J1187" s="8">
        <v>5000</v>
      </c>
      <c r="K1187" s="6" t="s">
        <v>4534</v>
      </c>
      <c r="L1187" s="6" t="s">
        <v>9998</v>
      </c>
      <c r="M1187" s="6" t="s">
        <v>4509</v>
      </c>
      <c r="N1187" s="6" t="s">
        <v>4537</v>
      </c>
    </row>
    <row r="1188" s="1" customFormat="1" ht="16.35" customHeight="1" spans="1:14">
      <c r="A1188" s="5"/>
      <c r="B1188" s="6" t="s">
        <v>4506</v>
      </c>
      <c r="C1188" s="6">
        <v>2018</v>
      </c>
      <c r="D1188" s="6">
        <v>7</v>
      </c>
      <c r="E1188" s="7">
        <v>35</v>
      </c>
      <c r="F1188" s="6" t="s">
        <v>10015</v>
      </c>
      <c r="G1188" s="6" t="s">
        <v>9370</v>
      </c>
      <c r="H1188" s="6" t="s">
        <v>26</v>
      </c>
      <c r="I1188" s="8"/>
      <c r="J1188" s="8">
        <v>39640</v>
      </c>
      <c r="K1188" s="6" t="s">
        <v>4509</v>
      </c>
      <c r="L1188" s="6" t="s">
        <v>9218</v>
      </c>
      <c r="M1188" s="6" t="s">
        <v>4509</v>
      </c>
      <c r="N1188" s="6" t="s">
        <v>4537</v>
      </c>
    </row>
    <row r="1189" s="1" customFormat="1" ht="16.35" customHeight="1" spans="1:14">
      <c r="A1189" s="5"/>
      <c r="B1189" s="6" t="s">
        <v>4506</v>
      </c>
      <c r="C1189" s="6">
        <v>2018</v>
      </c>
      <c r="D1189" s="6">
        <v>7</v>
      </c>
      <c r="E1189" s="7">
        <v>36</v>
      </c>
      <c r="F1189" s="6" t="s">
        <v>10016</v>
      </c>
      <c r="G1189" s="6" t="s">
        <v>9370</v>
      </c>
      <c r="H1189" s="6" t="s">
        <v>26</v>
      </c>
      <c r="I1189" s="8"/>
      <c r="J1189" s="8">
        <v>80465.84</v>
      </c>
      <c r="K1189" s="6" t="s">
        <v>4509</v>
      </c>
      <c r="L1189" s="6" t="s">
        <v>9218</v>
      </c>
      <c r="M1189" s="6" t="s">
        <v>4509</v>
      </c>
      <c r="N1189" s="6" t="s">
        <v>4537</v>
      </c>
    </row>
    <row r="1190" s="1" customFormat="1" ht="16.35" customHeight="1" spans="1:14">
      <c r="A1190" s="5"/>
      <c r="B1190" s="6" t="s">
        <v>4506</v>
      </c>
      <c r="C1190" s="6">
        <v>2018</v>
      </c>
      <c r="D1190" s="6">
        <v>7</v>
      </c>
      <c r="E1190" s="7">
        <v>37</v>
      </c>
      <c r="F1190" s="6" t="s">
        <v>10017</v>
      </c>
      <c r="G1190" s="6" t="s">
        <v>9370</v>
      </c>
      <c r="H1190" s="6" t="s">
        <v>26</v>
      </c>
      <c r="I1190" s="8"/>
      <c r="J1190" s="8">
        <v>5000</v>
      </c>
      <c r="K1190" s="6" t="s">
        <v>4534</v>
      </c>
      <c r="L1190" s="6" t="s">
        <v>9998</v>
      </c>
      <c r="M1190" s="6" t="s">
        <v>4509</v>
      </c>
      <c r="N1190" s="6" t="s">
        <v>4537</v>
      </c>
    </row>
    <row r="1191" s="1" customFormat="1" ht="16.35" customHeight="1" spans="1:14">
      <c r="A1191" s="5"/>
      <c r="B1191" s="6" t="s">
        <v>4506</v>
      </c>
      <c r="C1191" s="6">
        <v>2018</v>
      </c>
      <c r="D1191" s="6">
        <v>7</v>
      </c>
      <c r="E1191" s="7">
        <v>38</v>
      </c>
      <c r="F1191" s="6" t="s">
        <v>10018</v>
      </c>
      <c r="G1191" s="6" t="s">
        <v>9370</v>
      </c>
      <c r="H1191" s="6" t="s">
        <v>26</v>
      </c>
      <c r="I1191" s="8"/>
      <c r="J1191" s="8">
        <v>5000</v>
      </c>
      <c r="K1191" s="6" t="s">
        <v>4534</v>
      </c>
      <c r="L1191" s="6" t="s">
        <v>9998</v>
      </c>
      <c r="M1191" s="6" t="s">
        <v>4509</v>
      </c>
      <c r="N1191" s="6" t="s">
        <v>4537</v>
      </c>
    </row>
    <row r="1192" s="1" customFormat="1" ht="25" customHeight="1" spans="1:14">
      <c r="A1192" s="5"/>
      <c r="B1192" s="6" t="s">
        <v>4506</v>
      </c>
      <c r="C1192" s="6">
        <v>2018</v>
      </c>
      <c r="D1192" s="6">
        <v>7</v>
      </c>
      <c r="E1192" s="7">
        <v>39</v>
      </c>
      <c r="F1192" s="6" t="s">
        <v>10019</v>
      </c>
      <c r="G1192" s="6" t="s">
        <v>9370</v>
      </c>
      <c r="H1192" s="6" t="s">
        <v>26</v>
      </c>
      <c r="I1192" s="8"/>
      <c r="J1192" s="8">
        <v>10000</v>
      </c>
      <c r="K1192" s="6" t="s">
        <v>4534</v>
      </c>
      <c r="L1192" s="6" t="s">
        <v>9998</v>
      </c>
      <c r="M1192" s="6" t="s">
        <v>4509</v>
      </c>
      <c r="N1192" s="6" t="s">
        <v>4537</v>
      </c>
    </row>
    <row r="1193" s="1" customFormat="1" ht="16.35" customHeight="1" spans="1:14">
      <c r="A1193" s="5"/>
      <c r="B1193" s="6" t="s">
        <v>4506</v>
      </c>
      <c r="C1193" s="6">
        <v>2018</v>
      </c>
      <c r="D1193" s="6">
        <v>7</v>
      </c>
      <c r="E1193" s="7">
        <v>40</v>
      </c>
      <c r="F1193" s="6" t="s">
        <v>10020</v>
      </c>
      <c r="G1193" s="6" t="s">
        <v>9370</v>
      </c>
      <c r="H1193" s="6" t="s">
        <v>26</v>
      </c>
      <c r="I1193" s="8"/>
      <c r="J1193" s="8">
        <v>5000</v>
      </c>
      <c r="K1193" s="6" t="s">
        <v>4534</v>
      </c>
      <c r="L1193" s="6" t="s">
        <v>9998</v>
      </c>
      <c r="M1193" s="6" t="s">
        <v>4509</v>
      </c>
      <c r="N1193" s="6" t="s">
        <v>4537</v>
      </c>
    </row>
    <row r="1194" s="1" customFormat="1" ht="16.35" customHeight="1" spans="1:14">
      <c r="A1194" s="5"/>
      <c r="B1194" s="6" t="s">
        <v>4506</v>
      </c>
      <c r="C1194" s="6">
        <v>2018</v>
      </c>
      <c r="D1194" s="6">
        <v>7</v>
      </c>
      <c r="E1194" s="7">
        <v>41</v>
      </c>
      <c r="F1194" s="6" t="s">
        <v>10021</v>
      </c>
      <c r="G1194" s="6" t="s">
        <v>9370</v>
      </c>
      <c r="H1194" s="6" t="s">
        <v>26</v>
      </c>
      <c r="I1194" s="8"/>
      <c r="J1194" s="8">
        <v>5000</v>
      </c>
      <c r="K1194" s="6" t="s">
        <v>4534</v>
      </c>
      <c r="L1194" s="6" t="s">
        <v>9998</v>
      </c>
      <c r="M1194" s="6" t="s">
        <v>4509</v>
      </c>
      <c r="N1194" s="6" t="s">
        <v>4537</v>
      </c>
    </row>
    <row r="1195" s="1" customFormat="1" ht="16.35" customHeight="1" spans="1:14">
      <c r="A1195" s="5"/>
      <c r="B1195" s="6" t="s">
        <v>4506</v>
      </c>
      <c r="C1195" s="6">
        <v>2018</v>
      </c>
      <c r="D1195" s="6">
        <v>7</v>
      </c>
      <c r="E1195" s="7">
        <v>42</v>
      </c>
      <c r="F1195" s="6" t="s">
        <v>10022</v>
      </c>
      <c r="G1195" s="6" t="s">
        <v>9370</v>
      </c>
      <c r="H1195" s="6" t="s">
        <v>26</v>
      </c>
      <c r="I1195" s="8"/>
      <c r="J1195" s="8">
        <v>5000</v>
      </c>
      <c r="K1195" s="6" t="s">
        <v>4534</v>
      </c>
      <c r="L1195" s="6" t="s">
        <v>9998</v>
      </c>
      <c r="M1195" s="6" t="s">
        <v>4509</v>
      </c>
      <c r="N1195" s="6" t="s">
        <v>4537</v>
      </c>
    </row>
    <row r="1196" s="1" customFormat="1" ht="16.35" customHeight="1" spans="1:14">
      <c r="A1196" s="5"/>
      <c r="B1196" s="6" t="s">
        <v>4506</v>
      </c>
      <c r="C1196" s="6">
        <v>2018</v>
      </c>
      <c r="D1196" s="6">
        <v>7</v>
      </c>
      <c r="E1196" s="7">
        <v>43</v>
      </c>
      <c r="F1196" s="6" t="s">
        <v>10023</v>
      </c>
      <c r="G1196" s="6" t="s">
        <v>9370</v>
      </c>
      <c r="H1196" s="6" t="s">
        <v>26</v>
      </c>
      <c r="I1196" s="8"/>
      <c r="J1196" s="8">
        <v>5000</v>
      </c>
      <c r="K1196" s="6" t="s">
        <v>4534</v>
      </c>
      <c r="L1196" s="6" t="s">
        <v>9998</v>
      </c>
      <c r="M1196" s="6" t="s">
        <v>4509</v>
      </c>
      <c r="N1196" s="6" t="s">
        <v>4537</v>
      </c>
    </row>
    <row r="1197" s="1" customFormat="1" ht="16.35" customHeight="1" spans="1:14">
      <c r="A1197" s="5"/>
      <c r="B1197" s="6" t="s">
        <v>4506</v>
      </c>
      <c r="C1197" s="6">
        <v>2018</v>
      </c>
      <c r="D1197" s="6">
        <v>7</v>
      </c>
      <c r="E1197" s="7">
        <v>44</v>
      </c>
      <c r="F1197" s="6" t="s">
        <v>10024</v>
      </c>
      <c r="G1197" s="6" t="s">
        <v>9370</v>
      </c>
      <c r="H1197" s="6" t="s">
        <v>26</v>
      </c>
      <c r="I1197" s="8"/>
      <c r="J1197" s="8">
        <v>153000</v>
      </c>
      <c r="K1197" s="6" t="s">
        <v>4512</v>
      </c>
      <c r="L1197" s="6" t="s">
        <v>2906</v>
      </c>
      <c r="M1197" s="6" t="s">
        <v>4516</v>
      </c>
      <c r="N1197" s="6" t="s">
        <v>5082</v>
      </c>
    </row>
    <row r="1198" s="1" customFormat="1" ht="16.35" customHeight="1" spans="1:14">
      <c r="A1198" s="5"/>
      <c r="B1198" s="6" t="s">
        <v>4506</v>
      </c>
      <c r="C1198" s="6">
        <v>2018</v>
      </c>
      <c r="D1198" s="6">
        <v>7</v>
      </c>
      <c r="E1198" s="7">
        <v>48</v>
      </c>
      <c r="F1198" s="6" t="s">
        <v>10025</v>
      </c>
      <c r="G1198" s="6" t="s">
        <v>9370</v>
      </c>
      <c r="H1198" s="6" t="s">
        <v>26</v>
      </c>
      <c r="I1198" s="8"/>
      <c r="J1198" s="8">
        <v>6740</v>
      </c>
      <c r="K1198" s="6" t="s">
        <v>4509</v>
      </c>
      <c r="L1198" s="6" t="s">
        <v>9218</v>
      </c>
      <c r="M1198" s="6" t="s">
        <v>4510</v>
      </c>
      <c r="N1198" s="6" t="s">
        <v>4511</v>
      </c>
    </row>
    <row r="1199" s="1" customFormat="1" ht="16.35" customHeight="1" spans="1:14">
      <c r="A1199" s="5"/>
      <c r="B1199" s="6" t="s">
        <v>4506</v>
      </c>
      <c r="C1199" s="6">
        <v>2018</v>
      </c>
      <c r="D1199" s="6">
        <v>7</v>
      </c>
      <c r="E1199" s="7">
        <v>51</v>
      </c>
      <c r="F1199" s="6" t="s">
        <v>10026</v>
      </c>
      <c r="G1199" s="6" t="s">
        <v>9370</v>
      </c>
      <c r="H1199" s="6" t="s">
        <v>26</v>
      </c>
      <c r="I1199" s="8"/>
      <c r="J1199" s="8">
        <v>66000</v>
      </c>
      <c r="K1199" s="6" t="s">
        <v>2956</v>
      </c>
      <c r="L1199" s="6" t="s">
        <v>10027</v>
      </c>
      <c r="M1199" s="6" t="s">
        <v>4509</v>
      </c>
      <c r="N1199" s="6" t="s">
        <v>4537</v>
      </c>
    </row>
    <row r="1200" s="1" customFormat="1" ht="16.35" customHeight="1" spans="1:14">
      <c r="A1200" s="5"/>
      <c r="B1200" s="6" t="s">
        <v>4506</v>
      </c>
      <c r="C1200" s="6">
        <v>2018</v>
      </c>
      <c r="D1200" s="6">
        <v>7</v>
      </c>
      <c r="E1200" s="7">
        <v>53</v>
      </c>
      <c r="F1200" s="6" t="s">
        <v>3802</v>
      </c>
      <c r="G1200" s="6" t="s">
        <v>9370</v>
      </c>
      <c r="H1200" s="6" t="s">
        <v>26</v>
      </c>
      <c r="I1200" s="8"/>
      <c r="J1200" s="8">
        <v>212603</v>
      </c>
      <c r="K1200" s="6" t="s">
        <v>4509</v>
      </c>
      <c r="L1200" s="6" t="s">
        <v>9218</v>
      </c>
      <c r="M1200" s="6" t="s">
        <v>4510</v>
      </c>
      <c r="N1200" s="6" t="s">
        <v>4511</v>
      </c>
    </row>
    <row r="1201" s="1" customFormat="1" ht="16.35" customHeight="1" spans="1:14">
      <c r="A1201" s="5"/>
      <c r="B1201" s="6" t="s">
        <v>4506</v>
      </c>
      <c r="C1201" s="6">
        <v>2018</v>
      </c>
      <c r="D1201" s="6">
        <v>7</v>
      </c>
      <c r="E1201" s="7">
        <v>54</v>
      </c>
      <c r="F1201" s="6" t="s">
        <v>9996</v>
      </c>
      <c r="G1201" s="6" t="s">
        <v>9370</v>
      </c>
      <c r="H1201" s="6" t="s">
        <v>26</v>
      </c>
      <c r="I1201" s="8"/>
      <c r="J1201" s="8">
        <v>280000</v>
      </c>
      <c r="K1201" s="6" t="s">
        <v>4509</v>
      </c>
      <c r="L1201" s="6" t="s">
        <v>9218</v>
      </c>
      <c r="M1201" s="6" t="s">
        <v>4510</v>
      </c>
      <c r="N1201" s="6" t="s">
        <v>4511</v>
      </c>
    </row>
    <row r="1202" s="1" customFormat="1" ht="16.35" customHeight="1" spans="1:14">
      <c r="A1202" s="5"/>
      <c r="B1202" s="6" t="s">
        <v>4506</v>
      </c>
      <c r="C1202" s="6">
        <v>2018</v>
      </c>
      <c r="D1202" s="6">
        <v>8</v>
      </c>
      <c r="E1202" s="7">
        <v>1</v>
      </c>
      <c r="F1202" s="6" t="s">
        <v>10028</v>
      </c>
      <c r="G1202" s="6" t="s">
        <v>9370</v>
      </c>
      <c r="H1202" s="6" t="s">
        <v>26</v>
      </c>
      <c r="I1202" s="8"/>
      <c r="J1202" s="8">
        <v>5000</v>
      </c>
      <c r="K1202" s="6" t="s">
        <v>4534</v>
      </c>
      <c r="L1202" s="6" t="s">
        <v>9998</v>
      </c>
      <c r="M1202" s="6" t="s">
        <v>4516</v>
      </c>
      <c r="N1202" s="6" t="s">
        <v>5082</v>
      </c>
    </row>
    <row r="1203" s="1" customFormat="1" ht="16.35" customHeight="1" spans="1:14">
      <c r="A1203" s="5"/>
      <c r="B1203" s="6" t="s">
        <v>4506</v>
      </c>
      <c r="C1203" s="6">
        <v>2018</v>
      </c>
      <c r="D1203" s="6">
        <v>8</v>
      </c>
      <c r="E1203" s="7">
        <v>2</v>
      </c>
      <c r="F1203" s="6" t="s">
        <v>10029</v>
      </c>
      <c r="G1203" s="6" t="s">
        <v>9370</v>
      </c>
      <c r="H1203" s="6" t="s">
        <v>26</v>
      </c>
      <c r="I1203" s="8"/>
      <c r="J1203" s="8">
        <v>10000</v>
      </c>
      <c r="K1203" s="6" t="s">
        <v>4534</v>
      </c>
      <c r="L1203" s="6" t="s">
        <v>9998</v>
      </c>
      <c r="M1203" s="6" t="s">
        <v>4516</v>
      </c>
      <c r="N1203" s="6" t="s">
        <v>5082</v>
      </c>
    </row>
    <row r="1204" s="1" customFormat="1" ht="16.35" customHeight="1" spans="1:14">
      <c r="A1204" s="5"/>
      <c r="B1204" s="6" t="s">
        <v>4506</v>
      </c>
      <c r="C1204" s="6">
        <v>2018</v>
      </c>
      <c r="D1204" s="6">
        <v>8</v>
      </c>
      <c r="E1204" s="7">
        <v>3</v>
      </c>
      <c r="F1204" s="6" t="s">
        <v>10030</v>
      </c>
      <c r="G1204" s="6" t="s">
        <v>9370</v>
      </c>
      <c r="H1204" s="6" t="s">
        <v>26</v>
      </c>
      <c r="I1204" s="8"/>
      <c r="J1204" s="8">
        <v>5000</v>
      </c>
      <c r="K1204" s="6" t="s">
        <v>4534</v>
      </c>
      <c r="L1204" s="6" t="s">
        <v>9998</v>
      </c>
      <c r="M1204" s="6" t="s">
        <v>4516</v>
      </c>
      <c r="N1204" s="6" t="s">
        <v>5082</v>
      </c>
    </row>
    <row r="1205" s="1" customFormat="1" ht="16.35" customHeight="1" spans="1:14">
      <c r="A1205" s="5"/>
      <c r="B1205" s="6" t="s">
        <v>4506</v>
      </c>
      <c r="C1205" s="6">
        <v>2018</v>
      </c>
      <c r="D1205" s="6">
        <v>8</v>
      </c>
      <c r="E1205" s="7">
        <v>4</v>
      </c>
      <c r="F1205" s="6" t="s">
        <v>10031</v>
      </c>
      <c r="G1205" s="6" t="s">
        <v>9370</v>
      </c>
      <c r="H1205" s="6" t="s">
        <v>26</v>
      </c>
      <c r="I1205" s="8"/>
      <c r="J1205" s="8">
        <v>2000</v>
      </c>
      <c r="K1205" s="6" t="s">
        <v>4534</v>
      </c>
      <c r="L1205" s="6" t="s">
        <v>9998</v>
      </c>
      <c r="M1205" s="6" t="s">
        <v>4516</v>
      </c>
      <c r="N1205" s="6" t="s">
        <v>5082</v>
      </c>
    </row>
    <row r="1206" s="1" customFormat="1" ht="16.35" customHeight="1" spans="1:14">
      <c r="A1206" s="5"/>
      <c r="B1206" s="6" t="s">
        <v>4506</v>
      </c>
      <c r="C1206" s="6">
        <v>2018</v>
      </c>
      <c r="D1206" s="6">
        <v>8</v>
      </c>
      <c r="E1206" s="7">
        <v>5</v>
      </c>
      <c r="F1206" s="6" t="s">
        <v>10032</v>
      </c>
      <c r="G1206" s="6" t="s">
        <v>9370</v>
      </c>
      <c r="H1206" s="6" t="s">
        <v>26</v>
      </c>
      <c r="I1206" s="8"/>
      <c r="J1206" s="8">
        <v>16293.6</v>
      </c>
      <c r="K1206" s="6" t="s">
        <v>2982</v>
      </c>
      <c r="L1206" s="6" t="s">
        <v>9944</v>
      </c>
      <c r="M1206" s="6" t="s">
        <v>4510</v>
      </c>
      <c r="N1206" s="6" t="s">
        <v>4511</v>
      </c>
    </row>
    <row r="1207" s="1" customFormat="1" ht="16.35" customHeight="1" spans="1:14">
      <c r="A1207" s="5"/>
      <c r="B1207" s="6" t="s">
        <v>4506</v>
      </c>
      <c r="C1207" s="6">
        <v>2018</v>
      </c>
      <c r="D1207" s="6">
        <v>8</v>
      </c>
      <c r="E1207" s="7">
        <v>5</v>
      </c>
      <c r="F1207" s="6" t="s">
        <v>10032</v>
      </c>
      <c r="G1207" s="6" t="s">
        <v>9370</v>
      </c>
      <c r="H1207" s="6" t="s">
        <v>26</v>
      </c>
      <c r="I1207" s="8">
        <v>16293.6</v>
      </c>
      <c r="J1207" s="8"/>
      <c r="K1207" s="6" t="s">
        <v>2982</v>
      </c>
      <c r="L1207" s="6" t="s">
        <v>9944</v>
      </c>
      <c r="M1207" s="6" t="s">
        <v>4510</v>
      </c>
      <c r="N1207" s="6" t="s">
        <v>4511</v>
      </c>
    </row>
    <row r="1208" s="1" customFormat="1" ht="16.35" customHeight="1" spans="1:14">
      <c r="A1208" s="5"/>
      <c r="B1208" s="6" t="s">
        <v>4506</v>
      </c>
      <c r="C1208" s="6">
        <v>2018</v>
      </c>
      <c r="D1208" s="6">
        <v>8</v>
      </c>
      <c r="E1208" s="7">
        <v>6</v>
      </c>
      <c r="F1208" s="6" t="s">
        <v>10033</v>
      </c>
      <c r="G1208" s="6" t="s">
        <v>9370</v>
      </c>
      <c r="H1208" s="6" t="s">
        <v>26</v>
      </c>
      <c r="I1208" s="8"/>
      <c r="J1208" s="8">
        <v>5000</v>
      </c>
      <c r="K1208" s="6" t="s">
        <v>4534</v>
      </c>
      <c r="L1208" s="6" t="s">
        <v>9998</v>
      </c>
      <c r="M1208" s="6" t="s">
        <v>4516</v>
      </c>
      <c r="N1208" s="6" t="s">
        <v>5082</v>
      </c>
    </row>
    <row r="1209" s="1" customFormat="1" ht="16.35" customHeight="1" spans="1:14">
      <c r="A1209" s="5"/>
      <c r="B1209" s="6" t="s">
        <v>4506</v>
      </c>
      <c r="C1209" s="6">
        <v>2018</v>
      </c>
      <c r="D1209" s="6">
        <v>8</v>
      </c>
      <c r="E1209" s="7">
        <v>7</v>
      </c>
      <c r="F1209" s="6" t="s">
        <v>10034</v>
      </c>
      <c r="G1209" s="6" t="s">
        <v>9370</v>
      </c>
      <c r="H1209" s="6" t="s">
        <v>26</v>
      </c>
      <c r="I1209" s="8"/>
      <c r="J1209" s="8">
        <v>5000</v>
      </c>
      <c r="K1209" s="6" t="s">
        <v>4534</v>
      </c>
      <c r="L1209" s="6" t="s">
        <v>9998</v>
      </c>
      <c r="M1209" s="6" t="s">
        <v>4516</v>
      </c>
      <c r="N1209" s="6" t="s">
        <v>5082</v>
      </c>
    </row>
    <row r="1210" s="1" customFormat="1" ht="16.35" customHeight="1" spans="1:14">
      <c r="A1210" s="5"/>
      <c r="B1210" s="6" t="s">
        <v>4506</v>
      </c>
      <c r="C1210" s="6">
        <v>2018</v>
      </c>
      <c r="D1210" s="6">
        <v>8</v>
      </c>
      <c r="E1210" s="7">
        <v>8</v>
      </c>
      <c r="F1210" s="6" t="s">
        <v>10035</v>
      </c>
      <c r="G1210" s="6" t="s">
        <v>9370</v>
      </c>
      <c r="H1210" s="6" t="s">
        <v>26</v>
      </c>
      <c r="I1210" s="8"/>
      <c r="J1210" s="8">
        <v>5000</v>
      </c>
      <c r="K1210" s="6" t="s">
        <v>4534</v>
      </c>
      <c r="L1210" s="6" t="s">
        <v>9998</v>
      </c>
      <c r="M1210" s="6" t="s">
        <v>4516</v>
      </c>
      <c r="N1210" s="6" t="s">
        <v>5082</v>
      </c>
    </row>
    <row r="1211" s="1" customFormat="1" ht="16.35" customHeight="1" spans="1:14">
      <c r="A1211" s="5"/>
      <c r="B1211" s="6" t="s">
        <v>4506</v>
      </c>
      <c r="C1211" s="6">
        <v>2018</v>
      </c>
      <c r="D1211" s="6">
        <v>8</v>
      </c>
      <c r="E1211" s="7">
        <v>9</v>
      </c>
      <c r="F1211" s="6" t="s">
        <v>10036</v>
      </c>
      <c r="G1211" s="6" t="s">
        <v>9370</v>
      </c>
      <c r="H1211" s="6" t="s">
        <v>26</v>
      </c>
      <c r="I1211" s="8"/>
      <c r="J1211" s="8">
        <v>5000</v>
      </c>
      <c r="K1211" s="6" t="s">
        <v>4534</v>
      </c>
      <c r="L1211" s="6" t="s">
        <v>9998</v>
      </c>
      <c r="M1211" s="6" t="s">
        <v>4516</v>
      </c>
      <c r="N1211" s="6" t="s">
        <v>5082</v>
      </c>
    </row>
    <row r="1212" s="1" customFormat="1" ht="16.35" customHeight="1" spans="1:14">
      <c r="A1212" s="5"/>
      <c r="B1212" s="6" t="s">
        <v>4506</v>
      </c>
      <c r="C1212" s="6">
        <v>2018</v>
      </c>
      <c r="D1212" s="6">
        <v>8</v>
      </c>
      <c r="E1212" s="7">
        <v>10</v>
      </c>
      <c r="F1212" s="6" t="s">
        <v>10037</v>
      </c>
      <c r="G1212" s="6" t="s">
        <v>9370</v>
      </c>
      <c r="H1212" s="6" t="s">
        <v>26</v>
      </c>
      <c r="I1212" s="8"/>
      <c r="J1212" s="8">
        <v>5000</v>
      </c>
      <c r="K1212" s="6" t="s">
        <v>4534</v>
      </c>
      <c r="L1212" s="6" t="s">
        <v>9998</v>
      </c>
      <c r="M1212" s="6" t="s">
        <v>4516</v>
      </c>
      <c r="N1212" s="6" t="s">
        <v>5082</v>
      </c>
    </row>
    <row r="1213" s="1" customFormat="1" ht="16.35" customHeight="1" spans="1:14">
      <c r="A1213" s="5"/>
      <c r="B1213" s="6" t="s">
        <v>4506</v>
      </c>
      <c r="C1213" s="6">
        <v>2018</v>
      </c>
      <c r="D1213" s="6">
        <v>8</v>
      </c>
      <c r="E1213" s="7">
        <v>11</v>
      </c>
      <c r="F1213" s="6" t="s">
        <v>10038</v>
      </c>
      <c r="G1213" s="6" t="s">
        <v>9370</v>
      </c>
      <c r="H1213" s="6" t="s">
        <v>26</v>
      </c>
      <c r="I1213" s="8"/>
      <c r="J1213" s="8">
        <v>5000</v>
      </c>
      <c r="K1213" s="6" t="s">
        <v>4534</v>
      </c>
      <c r="L1213" s="6" t="s">
        <v>9998</v>
      </c>
      <c r="M1213" s="6" t="s">
        <v>4516</v>
      </c>
      <c r="N1213" s="6" t="s">
        <v>5082</v>
      </c>
    </row>
    <row r="1214" s="1" customFormat="1" ht="16.35" customHeight="1" spans="1:14">
      <c r="A1214" s="5"/>
      <c r="B1214" s="6" t="s">
        <v>4506</v>
      </c>
      <c r="C1214" s="6">
        <v>2018</v>
      </c>
      <c r="D1214" s="6">
        <v>8</v>
      </c>
      <c r="E1214" s="7">
        <v>12</v>
      </c>
      <c r="F1214" s="6" t="s">
        <v>10039</v>
      </c>
      <c r="G1214" s="6" t="s">
        <v>9370</v>
      </c>
      <c r="H1214" s="6" t="s">
        <v>26</v>
      </c>
      <c r="I1214" s="8"/>
      <c r="J1214" s="8">
        <v>5000</v>
      </c>
      <c r="K1214" s="6" t="s">
        <v>4534</v>
      </c>
      <c r="L1214" s="6" t="s">
        <v>9998</v>
      </c>
      <c r="M1214" s="6" t="s">
        <v>4516</v>
      </c>
      <c r="N1214" s="6" t="s">
        <v>5082</v>
      </c>
    </row>
    <row r="1215" s="1" customFormat="1" ht="16.35" customHeight="1" spans="1:14">
      <c r="A1215" s="5"/>
      <c r="B1215" s="6" t="s">
        <v>4506</v>
      </c>
      <c r="C1215" s="6">
        <v>2018</v>
      </c>
      <c r="D1215" s="6">
        <v>8</v>
      </c>
      <c r="E1215" s="7">
        <v>13</v>
      </c>
      <c r="F1215" s="6" t="s">
        <v>10040</v>
      </c>
      <c r="G1215" s="6" t="s">
        <v>9370</v>
      </c>
      <c r="H1215" s="6" t="s">
        <v>26</v>
      </c>
      <c r="I1215" s="8"/>
      <c r="J1215" s="8">
        <v>5000</v>
      </c>
      <c r="K1215" s="6" t="s">
        <v>4534</v>
      </c>
      <c r="L1215" s="6" t="s">
        <v>9998</v>
      </c>
      <c r="M1215" s="6" t="s">
        <v>4516</v>
      </c>
      <c r="N1215" s="6" t="s">
        <v>5082</v>
      </c>
    </row>
    <row r="1216" s="1" customFormat="1" ht="16.35" customHeight="1" spans="1:14">
      <c r="A1216" s="5"/>
      <c r="B1216" s="6" t="s">
        <v>4506</v>
      </c>
      <c r="C1216" s="6">
        <v>2018</v>
      </c>
      <c r="D1216" s="6">
        <v>8</v>
      </c>
      <c r="E1216" s="7">
        <v>14</v>
      </c>
      <c r="F1216" s="6" t="s">
        <v>10041</v>
      </c>
      <c r="G1216" s="6" t="s">
        <v>9370</v>
      </c>
      <c r="H1216" s="6" t="s">
        <v>26</v>
      </c>
      <c r="I1216" s="8"/>
      <c r="J1216" s="8">
        <v>5000</v>
      </c>
      <c r="K1216" s="6" t="s">
        <v>4534</v>
      </c>
      <c r="L1216" s="6" t="s">
        <v>9998</v>
      </c>
      <c r="M1216" s="6" t="s">
        <v>4516</v>
      </c>
      <c r="N1216" s="6" t="s">
        <v>5082</v>
      </c>
    </row>
    <row r="1217" s="1" customFormat="1" ht="16.35" customHeight="1" spans="1:14">
      <c r="A1217" s="5"/>
      <c r="B1217" s="6" t="s">
        <v>4506</v>
      </c>
      <c r="C1217" s="6">
        <v>2018</v>
      </c>
      <c r="D1217" s="6">
        <v>8</v>
      </c>
      <c r="E1217" s="7">
        <v>15</v>
      </c>
      <c r="F1217" s="6" t="s">
        <v>10042</v>
      </c>
      <c r="G1217" s="6" t="s">
        <v>9370</v>
      </c>
      <c r="H1217" s="6" t="s">
        <v>26</v>
      </c>
      <c r="I1217" s="8"/>
      <c r="J1217" s="8">
        <v>5000</v>
      </c>
      <c r="K1217" s="6" t="s">
        <v>4534</v>
      </c>
      <c r="L1217" s="6" t="s">
        <v>9998</v>
      </c>
      <c r="M1217" s="6" t="s">
        <v>4516</v>
      </c>
      <c r="N1217" s="6" t="s">
        <v>5082</v>
      </c>
    </row>
    <row r="1218" s="1" customFormat="1" ht="16.35" customHeight="1" spans="1:14">
      <c r="A1218" s="5"/>
      <c r="B1218" s="6" t="s">
        <v>4506</v>
      </c>
      <c r="C1218" s="6">
        <v>2018</v>
      </c>
      <c r="D1218" s="6">
        <v>8</v>
      </c>
      <c r="E1218" s="7">
        <v>16</v>
      </c>
      <c r="F1218" s="6" t="s">
        <v>10043</v>
      </c>
      <c r="G1218" s="6" t="s">
        <v>9370</v>
      </c>
      <c r="H1218" s="6" t="s">
        <v>26</v>
      </c>
      <c r="I1218" s="8"/>
      <c r="J1218" s="8">
        <v>5000</v>
      </c>
      <c r="K1218" s="6" t="s">
        <v>4534</v>
      </c>
      <c r="L1218" s="6" t="s">
        <v>9998</v>
      </c>
      <c r="M1218" s="6" t="s">
        <v>4516</v>
      </c>
      <c r="N1218" s="6" t="s">
        <v>5082</v>
      </c>
    </row>
    <row r="1219" s="1" customFormat="1" ht="16.35" customHeight="1" spans="1:14">
      <c r="A1219" s="5"/>
      <c r="B1219" s="6" t="s">
        <v>4506</v>
      </c>
      <c r="C1219" s="6">
        <v>2018</v>
      </c>
      <c r="D1219" s="6">
        <v>8</v>
      </c>
      <c r="E1219" s="7">
        <v>17</v>
      </c>
      <c r="F1219" s="6" t="s">
        <v>10044</v>
      </c>
      <c r="G1219" s="6" t="s">
        <v>9370</v>
      </c>
      <c r="H1219" s="6" t="s">
        <v>26</v>
      </c>
      <c r="I1219" s="8"/>
      <c r="J1219" s="8">
        <v>5000</v>
      </c>
      <c r="K1219" s="6" t="s">
        <v>4534</v>
      </c>
      <c r="L1219" s="6" t="s">
        <v>9998</v>
      </c>
      <c r="M1219" s="6" t="s">
        <v>4516</v>
      </c>
      <c r="N1219" s="6" t="s">
        <v>5082</v>
      </c>
    </row>
    <row r="1220" s="1" customFormat="1" ht="16.35" customHeight="1" spans="1:14">
      <c r="A1220" s="5"/>
      <c r="B1220" s="6" t="s">
        <v>4506</v>
      </c>
      <c r="C1220" s="6">
        <v>2018</v>
      </c>
      <c r="D1220" s="6">
        <v>8</v>
      </c>
      <c r="E1220" s="7">
        <v>21</v>
      </c>
      <c r="F1220" s="6" t="s">
        <v>3802</v>
      </c>
      <c r="G1220" s="6" t="s">
        <v>9370</v>
      </c>
      <c r="H1220" s="6" t="s">
        <v>26</v>
      </c>
      <c r="I1220" s="8"/>
      <c r="J1220" s="8">
        <v>394337</v>
      </c>
      <c r="K1220" s="6" t="s">
        <v>4509</v>
      </c>
      <c r="L1220" s="6" t="s">
        <v>9218</v>
      </c>
      <c r="M1220" s="6" t="s">
        <v>4509</v>
      </c>
      <c r="N1220" s="6" t="s">
        <v>4537</v>
      </c>
    </row>
    <row r="1221" s="1" customFormat="1" ht="16.35" customHeight="1" spans="1:14">
      <c r="A1221" s="5"/>
      <c r="B1221" s="6" t="s">
        <v>4506</v>
      </c>
      <c r="C1221" s="6">
        <v>2018</v>
      </c>
      <c r="D1221" s="6">
        <v>8</v>
      </c>
      <c r="E1221" s="7">
        <v>22</v>
      </c>
      <c r="F1221" s="6" t="s">
        <v>10045</v>
      </c>
      <c r="G1221" s="6" t="s">
        <v>9370</v>
      </c>
      <c r="H1221" s="6" t="s">
        <v>26</v>
      </c>
      <c r="I1221" s="8"/>
      <c r="J1221" s="8">
        <v>5000</v>
      </c>
      <c r="K1221" s="6" t="s">
        <v>4534</v>
      </c>
      <c r="L1221" s="6" t="s">
        <v>9998</v>
      </c>
      <c r="M1221" s="6" t="s">
        <v>4516</v>
      </c>
      <c r="N1221" s="6" t="s">
        <v>5082</v>
      </c>
    </row>
    <row r="1222" s="1" customFormat="1" ht="16.35" customHeight="1" spans="1:14">
      <c r="A1222" s="5"/>
      <c r="B1222" s="6" t="s">
        <v>4506</v>
      </c>
      <c r="C1222" s="6">
        <v>2018</v>
      </c>
      <c r="D1222" s="6">
        <v>8</v>
      </c>
      <c r="E1222" s="7">
        <v>23</v>
      </c>
      <c r="F1222" s="6" t="s">
        <v>10046</v>
      </c>
      <c r="G1222" s="6" t="s">
        <v>9370</v>
      </c>
      <c r="H1222" s="6" t="s">
        <v>26</v>
      </c>
      <c r="I1222" s="8"/>
      <c r="J1222" s="8">
        <v>5000</v>
      </c>
      <c r="K1222" s="6" t="s">
        <v>4534</v>
      </c>
      <c r="L1222" s="6" t="s">
        <v>9998</v>
      </c>
      <c r="M1222" s="6" t="s">
        <v>4516</v>
      </c>
      <c r="N1222" s="6" t="s">
        <v>5082</v>
      </c>
    </row>
    <row r="1223" s="1" customFormat="1" ht="16.35" customHeight="1" spans="1:14">
      <c r="A1223" s="5"/>
      <c r="B1223" s="6" t="s">
        <v>4506</v>
      </c>
      <c r="C1223" s="6">
        <v>2018</v>
      </c>
      <c r="D1223" s="6">
        <v>8</v>
      </c>
      <c r="E1223" s="7">
        <v>24</v>
      </c>
      <c r="F1223" s="6" t="s">
        <v>10047</v>
      </c>
      <c r="G1223" s="6" t="s">
        <v>9370</v>
      </c>
      <c r="H1223" s="6" t="s">
        <v>26</v>
      </c>
      <c r="I1223" s="8"/>
      <c r="J1223" s="8">
        <v>5000</v>
      </c>
      <c r="K1223" s="6" t="s">
        <v>4534</v>
      </c>
      <c r="L1223" s="6" t="s">
        <v>9998</v>
      </c>
      <c r="M1223" s="6" t="s">
        <v>4516</v>
      </c>
      <c r="N1223" s="6" t="s">
        <v>5082</v>
      </c>
    </row>
    <row r="1224" s="1" customFormat="1" ht="16.35" customHeight="1" spans="1:14">
      <c r="A1224" s="5"/>
      <c r="B1224" s="6" t="s">
        <v>4506</v>
      </c>
      <c r="C1224" s="6">
        <v>2018</v>
      </c>
      <c r="D1224" s="6">
        <v>8</v>
      </c>
      <c r="E1224" s="7">
        <v>25</v>
      </c>
      <c r="F1224" s="6" t="s">
        <v>10048</v>
      </c>
      <c r="G1224" s="6" t="s">
        <v>9370</v>
      </c>
      <c r="H1224" s="6" t="s">
        <v>26</v>
      </c>
      <c r="I1224" s="8"/>
      <c r="J1224" s="8">
        <v>5000</v>
      </c>
      <c r="K1224" s="6" t="s">
        <v>4534</v>
      </c>
      <c r="L1224" s="6" t="s">
        <v>9998</v>
      </c>
      <c r="M1224" s="6" t="s">
        <v>4516</v>
      </c>
      <c r="N1224" s="6" t="s">
        <v>5082</v>
      </c>
    </row>
    <row r="1225" s="1" customFormat="1" ht="25" customHeight="1" spans="1:14">
      <c r="A1225" s="5"/>
      <c r="B1225" s="6" t="s">
        <v>4506</v>
      </c>
      <c r="C1225" s="6">
        <v>2018</v>
      </c>
      <c r="D1225" s="6">
        <v>8</v>
      </c>
      <c r="E1225" s="7">
        <v>30</v>
      </c>
      <c r="F1225" s="6" t="s">
        <v>10049</v>
      </c>
      <c r="G1225" s="6" t="s">
        <v>9370</v>
      </c>
      <c r="H1225" s="6" t="s">
        <v>26</v>
      </c>
      <c r="I1225" s="8"/>
      <c r="J1225" s="8">
        <v>750000</v>
      </c>
      <c r="K1225" s="6" t="s">
        <v>4509</v>
      </c>
      <c r="L1225" s="6" t="s">
        <v>9218</v>
      </c>
      <c r="M1225" s="6" t="s">
        <v>4510</v>
      </c>
      <c r="N1225" s="6" t="s">
        <v>4511</v>
      </c>
    </row>
    <row r="1226" s="1" customFormat="1" ht="25" customHeight="1" spans="1:14">
      <c r="A1226" s="5"/>
      <c r="B1226" s="6" t="s">
        <v>4506</v>
      </c>
      <c r="C1226" s="6">
        <v>2018</v>
      </c>
      <c r="D1226" s="6">
        <v>8</v>
      </c>
      <c r="E1226" s="7">
        <v>30</v>
      </c>
      <c r="F1226" s="6" t="s">
        <v>10049</v>
      </c>
      <c r="G1226" s="6" t="s">
        <v>9370</v>
      </c>
      <c r="H1226" s="6" t="s">
        <v>26</v>
      </c>
      <c r="I1226" s="8">
        <v>750000</v>
      </c>
      <c r="J1226" s="8"/>
      <c r="K1226" s="6" t="s">
        <v>4509</v>
      </c>
      <c r="L1226" s="6" t="s">
        <v>9218</v>
      </c>
      <c r="M1226" s="6" t="s">
        <v>4510</v>
      </c>
      <c r="N1226" s="6" t="s">
        <v>4511</v>
      </c>
    </row>
    <row r="1227" s="1" customFormat="1" ht="16.35" customHeight="1" spans="1:14">
      <c r="A1227" s="5"/>
      <c r="B1227" s="6" t="s">
        <v>4506</v>
      </c>
      <c r="C1227" s="6">
        <v>2018</v>
      </c>
      <c r="D1227" s="6">
        <v>8</v>
      </c>
      <c r="E1227" s="7">
        <v>31</v>
      </c>
      <c r="F1227" s="6" t="s">
        <v>3902</v>
      </c>
      <c r="G1227" s="6" t="s">
        <v>9370</v>
      </c>
      <c r="H1227" s="6" t="s">
        <v>26</v>
      </c>
      <c r="I1227" s="8"/>
      <c r="J1227" s="8">
        <v>170000</v>
      </c>
      <c r="K1227" s="6" t="s">
        <v>4512</v>
      </c>
      <c r="L1227" s="6" t="s">
        <v>2906</v>
      </c>
      <c r="M1227" s="6" t="s">
        <v>4516</v>
      </c>
      <c r="N1227" s="6" t="s">
        <v>5082</v>
      </c>
    </row>
    <row r="1228" s="1" customFormat="1" ht="16.35" customHeight="1" spans="1:14">
      <c r="A1228" s="5"/>
      <c r="B1228" s="6" t="s">
        <v>4506</v>
      </c>
      <c r="C1228" s="6">
        <v>2018</v>
      </c>
      <c r="D1228" s="6">
        <v>8</v>
      </c>
      <c r="E1228" s="7">
        <v>32</v>
      </c>
      <c r="F1228" s="6" t="s">
        <v>3901</v>
      </c>
      <c r="G1228" s="6" t="s">
        <v>9370</v>
      </c>
      <c r="H1228" s="6" t="s">
        <v>26</v>
      </c>
      <c r="I1228" s="8"/>
      <c r="J1228" s="8">
        <v>154000</v>
      </c>
      <c r="K1228" s="6" t="s">
        <v>4512</v>
      </c>
      <c r="L1228" s="6" t="s">
        <v>2906</v>
      </c>
      <c r="M1228" s="6" t="s">
        <v>4516</v>
      </c>
      <c r="N1228" s="6" t="s">
        <v>5082</v>
      </c>
    </row>
    <row r="1229" s="1" customFormat="1" ht="16.35" customHeight="1" spans="1:14">
      <c r="A1229" s="5"/>
      <c r="B1229" s="6" t="s">
        <v>4506</v>
      </c>
      <c r="C1229" s="6">
        <v>2018</v>
      </c>
      <c r="D1229" s="6">
        <v>8</v>
      </c>
      <c r="E1229" s="7">
        <v>33</v>
      </c>
      <c r="F1229" s="6" t="s">
        <v>10050</v>
      </c>
      <c r="G1229" s="6" t="s">
        <v>9370</v>
      </c>
      <c r="H1229" s="6" t="s">
        <v>26</v>
      </c>
      <c r="I1229" s="8"/>
      <c r="J1229" s="8">
        <v>5000</v>
      </c>
      <c r="K1229" s="6" t="s">
        <v>4534</v>
      </c>
      <c r="L1229" s="6" t="s">
        <v>9998</v>
      </c>
      <c r="M1229" s="6" t="s">
        <v>4516</v>
      </c>
      <c r="N1229" s="6" t="s">
        <v>5082</v>
      </c>
    </row>
    <row r="1230" s="1" customFormat="1" ht="16.35" customHeight="1" spans="1:14">
      <c r="A1230" s="5"/>
      <c r="B1230" s="6" t="s">
        <v>4506</v>
      </c>
      <c r="C1230" s="6">
        <v>2018</v>
      </c>
      <c r="D1230" s="6">
        <v>8</v>
      </c>
      <c r="E1230" s="7">
        <v>34</v>
      </c>
      <c r="F1230" s="6" t="s">
        <v>10051</v>
      </c>
      <c r="G1230" s="6" t="s">
        <v>9370</v>
      </c>
      <c r="H1230" s="6" t="s">
        <v>26</v>
      </c>
      <c r="I1230" s="8"/>
      <c r="J1230" s="8">
        <v>5000</v>
      </c>
      <c r="K1230" s="6" t="s">
        <v>4534</v>
      </c>
      <c r="L1230" s="6" t="s">
        <v>9998</v>
      </c>
      <c r="M1230" s="6" t="s">
        <v>4516</v>
      </c>
      <c r="N1230" s="6" t="s">
        <v>5082</v>
      </c>
    </row>
    <row r="1231" s="1" customFormat="1" ht="16.35" customHeight="1" spans="1:14">
      <c r="A1231" s="5"/>
      <c r="B1231" s="6" t="s">
        <v>4506</v>
      </c>
      <c r="C1231" s="6">
        <v>2018</v>
      </c>
      <c r="D1231" s="6">
        <v>8</v>
      </c>
      <c r="E1231" s="7">
        <v>35</v>
      </c>
      <c r="F1231" s="6" t="s">
        <v>3802</v>
      </c>
      <c r="G1231" s="6" t="s">
        <v>9370</v>
      </c>
      <c r="H1231" s="6" t="s">
        <v>26</v>
      </c>
      <c r="I1231" s="8"/>
      <c r="J1231" s="8">
        <v>98675.8</v>
      </c>
      <c r="K1231" s="6" t="s">
        <v>4509</v>
      </c>
      <c r="L1231" s="6" t="s">
        <v>9218</v>
      </c>
      <c r="M1231" s="6" t="s">
        <v>4509</v>
      </c>
      <c r="N1231" s="6" t="s">
        <v>4537</v>
      </c>
    </row>
    <row r="1232" s="1" customFormat="1" ht="16.35" customHeight="1" spans="1:14">
      <c r="A1232" s="5"/>
      <c r="B1232" s="6" t="s">
        <v>4506</v>
      </c>
      <c r="C1232" s="6">
        <v>2018</v>
      </c>
      <c r="D1232" s="6">
        <v>8</v>
      </c>
      <c r="E1232" s="7">
        <v>36</v>
      </c>
      <c r="F1232" s="6" t="s">
        <v>3802</v>
      </c>
      <c r="G1232" s="6" t="s">
        <v>9370</v>
      </c>
      <c r="H1232" s="6" t="s">
        <v>26</v>
      </c>
      <c r="I1232" s="8"/>
      <c r="J1232" s="8">
        <v>97569.22</v>
      </c>
      <c r="K1232" s="6" t="s">
        <v>4509</v>
      </c>
      <c r="L1232" s="6" t="s">
        <v>9218</v>
      </c>
      <c r="M1232" s="6" t="s">
        <v>4510</v>
      </c>
      <c r="N1232" s="6" t="s">
        <v>4511</v>
      </c>
    </row>
    <row r="1233" s="1" customFormat="1" ht="16.35" customHeight="1" spans="1:14">
      <c r="A1233" s="5"/>
      <c r="B1233" s="6" t="s">
        <v>4506</v>
      </c>
      <c r="C1233" s="6">
        <v>2018</v>
      </c>
      <c r="D1233" s="6">
        <v>8</v>
      </c>
      <c r="E1233" s="7">
        <v>37</v>
      </c>
      <c r="F1233" s="6" t="s">
        <v>10052</v>
      </c>
      <c r="G1233" s="6" t="s">
        <v>9370</v>
      </c>
      <c r="H1233" s="6" t="s">
        <v>26</v>
      </c>
      <c r="I1233" s="8"/>
      <c r="J1233" s="8">
        <v>198135.47</v>
      </c>
      <c r="K1233" s="6" t="s">
        <v>4509</v>
      </c>
      <c r="L1233" s="6" t="s">
        <v>9218</v>
      </c>
      <c r="M1233" s="6" t="s">
        <v>4510</v>
      </c>
      <c r="N1233" s="6" t="s">
        <v>4511</v>
      </c>
    </row>
    <row r="1234" s="1" customFormat="1" ht="16.35" customHeight="1" spans="1:14">
      <c r="A1234" s="5"/>
      <c r="B1234" s="6" t="s">
        <v>4506</v>
      </c>
      <c r="C1234" s="6">
        <v>2018</v>
      </c>
      <c r="D1234" s="6">
        <v>8</v>
      </c>
      <c r="E1234" s="7">
        <v>40</v>
      </c>
      <c r="F1234" s="6" t="s">
        <v>10053</v>
      </c>
      <c r="G1234" s="6" t="s">
        <v>9370</v>
      </c>
      <c r="H1234" s="6" t="s">
        <v>26</v>
      </c>
      <c r="I1234" s="8">
        <v>5875.85</v>
      </c>
      <c r="J1234" s="8"/>
      <c r="K1234" s="6" t="s">
        <v>4509</v>
      </c>
      <c r="L1234" s="6" t="s">
        <v>9218</v>
      </c>
      <c r="M1234" s="6" t="s">
        <v>4510</v>
      </c>
      <c r="N1234" s="6" t="s">
        <v>4511</v>
      </c>
    </row>
    <row r="1235" s="1" customFormat="1" ht="16.35" customHeight="1" spans="1:14">
      <c r="A1235" s="5"/>
      <c r="B1235" s="6" t="s">
        <v>4506</v>
      </c>
      <c r="C1235" s="6">
        <v>2018</v>
      </c>
      <c r="D1235" s="6">
        <v>8</v>
      </c>
      <c r="E1235" s="7">
        <v>41</v>
      </c>
      <c r="F1235" s="6" t="s">
        <v>10054</v>
      </c>
      <c r="G1235" s="6" t="s">
        <v>9370</v>
      </c>
      <c r="H1235" s="6" t="s">
        <v>26</v>
      </c>
      <c r="I1235" s="8">
        <v>586286.97</v>
      </c>
      <c r="J1235" s="8"/>
      <c r="K1235" s="6" t="s">
        <v>4509</v>
      </c>
      <c r="L1235" s="6" t="s">
        <v>9218</v>
      </c>
      <c r="M1235" s="6" t="s">
        <v>4510</v>
      </c>
      <c r="N1235" s="6" t="s">
        <v>4511</v>
      </c>
    </row>
    <row r="1236" s="1" customFormat="1" ht="16.35" customHeight="1" spans="1:14">
      <c r="A1236" s="5"/>
      <c r="B1236" s="6" t="s">
        <v>4506</v>
      </c>
      <c r="C1236" s="6">
        <v>2018</v>
      </c>
      <c r="D1236" s="6">
        <v>8</v>
      </c>
      <c r="E1236" s="7">
        <v>42</v>
      </c>
      <c r="F1236" s="6" t="s">
        <v>10055</v>
      </c>
      <c r="G1236" s="6" t="s">
        <v>9370</v>
      </c>
      <c r="H1236" s="6" t="s">
        <v>26</v>
      </c>
      <c r="I1236" s="8"/>
      <c r="J1236" s="8">
        <v>800000</v>
      </c>
      <c r="K1236" s="6" t="s">
        <v>4512</v>
      </c>
      <c r="L1236" s="6" t="s">
        <v>2906</v>
      </c>
      <c r="M1236" s="6" t="s">
        <v>4509</v>
      </c>
      <c r="N1236" s="6" t="s">
        <v>4537</v>
      </c>
    </row>
    <row r="1237" s="1" customFormat="1" ht="16.35" customHeight="1" spans="1:14">
      <c r="A1237" s="5"/>
      <c r="B1237" s="6" t="s">
        <v>4506</v>
      </c>
      <c r="C1237" s="6">
        <v>2018</v>
      </c>
      <c r="D1237" s="6">
        <v>8</v>
      </c>
      <c r="E1237" s="7">
        <v>43</v>
      </c>
      <c r="F1237" s="6" t="s">
        <v>10056</v>
      </c>
      <c r="G1237" s="6" t="s">
        <v>9370</v>
      </c>
      <c r="H1237" s="6" t="s">
        <v>26</v>
      </c>
      <c r="I1237" s="8"/>
      <c r="J1237" s="8">
        <v>5000</v>
      </c>
      <c r="K1237" s="6" t="s">
        <v>4534</v>
      </c>
      <c r="L1237" s="6" t="s">
        <v>9998</v>
      </c>
      <c r="M1237" s="6" t="s">
        <v>4516</v>
      </c>
      <c r="N1237" s="6" t="s">
        <v>5082</v>
      </c>
    </row>
    <row r="1238" s="1" customFormat="1" ht="16.35" customHeight="1" spans="1:14">
      <c r="A1238" s="5"/>
      <c r="B1238" s="6" t="s">
        <v>4506</v>
      </c>
      <c r="C1238" s="6">
        <v>2018</v>
      </c>
      <c r="D1238" s="6">
        <v>8</v>
      </c>
      <c r="E1238" s="7">
        <v>44</v>
      </c>
      <c r="F1238" s="6" t="s">
        <v>10057</v>
      </c>
      <c r="G1238" s="6" t="s">
        <v>9370</v>
      </c>
      <c r="H1238" s="6" t="s">
        <v>26</v>
      </c>
      <c r="I1238" s="8"/>
      <c r="J1238" s="8">
        <v>5000</v>
      </c>
      <c r="K1238" s="6" t="s">
        <v>4534</v>
      </c>
      <c r="L1238" s="6" t="s">
        <v>9998</v>
      </c>
      <c r="M1238" s="6" t="s">
        <v>4516</v>
      </c>
      <c r="N1238" s="6" t="s">
        <v>5082</v>
      </c>
    </row>
    <row r="1239" s="1" customFormat="1" ht="16.35" customHeight="1" spans="1:14">
      <c r="A1239" s="5"/>
      <c r="B1239" s="6" t="s">
        <v>4506</v>
      </c>
      <c r="C1239" s="6">
        <v>2018</v>
      </c>
      <c r="D1239" s="6">
        <v>8</v>
      </c>
      <c r="E1239" s="7">
        <v>45</v>
      </c>
      <c r="F1239" s="6" t="s">
        <v>10058</v>
      </c>
      <c r="G1239" s="6" t="s">
        <v>9370</v>
      </c>
      <c r="H1239" s="6" t="s">
        <v>26</v>
      </c>
      <c r="I1239" s="8"/>
      <c r="J1239" s="8">
        <v>5000</v>
      </c>
      <c r="K1239" s="6" t="s">
        <v>4534</v>
      </c>
      <c r="L1239" s="6" t="s">
        <v>9998</v>
      </c>
      <c r="M1239" s="6" t="s">
        <v>4516</v>
      </c>
      <c r="N1239" s="6" t="s">
        <v>5082</v>
      </c>
    </row>
    <row r="1240" s="1" customFormat="1" ht="16.35" customHeight="1" spans="1:14">
      <c r="A1240" s="5"/>
      <c r="B1240" s="6" t="s">
        <v>4506</v>
      </c>
      <c r="C1240" s="6">
        <v>2018</v>
      </c>
      <c r="D1240" s="6">
        <v>8</v>
      </c>
      <c r="E1240" s="7">
        <v>46</v>
      </c>
      <c r="F1240" s="6" t="s">
        <v>10059</v>
      </c>
      <c r="G1240" s="6" t="s">
        <v>9370</v>
      </c>
      <c r="H1240" s="6" t="s">
        <v>26</v>
      </c>
      <c r="I1240" s="8"/>
      <c r="J1240" s="8">
        <v>5000</v>
      </c>
      <c r="K1240" s="6" t="s">
        <v>4534</v>
      </c>
      <c r="L1240" s="6" t="s">
        <v>9998</v>
      </c>
      <c r="M1240" s="6" t="s">
        <v>4516</v>
      </c>
      <c r="N1240" s="6" t="s">
        <v>5082</v>
      </c>
    </row>
    <row r="1241" s="1" customFormat="1" ht="16.35" customHeight="1" spans="1:14">
      <c r="A1241" s="5"/>
      <c r="B1241" s="6" t="s">
        <v>4506</v>
      </c>
      <c r="C1241" s="6">
        <v>2018</v>
      </c>
      <c r="D1241" s="6">
        <v>8</v>
      </c>
      <c r="E1241" s="7">
        <v>47</v>
      </c>
      <c r="F1241" s="6" t="s">
        <v>10060</v>
      </c>
      <c r="G1241" s="6" t="s">
        <v>9370</v>
      </c>
      <c r="H1241" s="6" t="s">
        <v>26</v>
      </c>
      <c r="I1241" s="8"/>
      <c r="J1241" s="8">
        <v>5000</v>
      </c>
      <c r="K1241" s="6" t="s">
        <v>4534</v>
      </c>
      <c r="L1241" s="6" t="s">
        <v>9998</v>
      </c>
      <c r="M1241" s="6" t="s">
        <v>4516</v>
      </c>
      <c r="N1241" s="6" t="s">
        <v>5082</v>
      </c>
    </row>
    <row r="1242" s="1" customFormat="1" ht="16.35" customHeight="1" spans="1:14">
      <c r="A1242" s="5"/>
      <c r="B1242" s="6" t="s">
        <v>4506</v>
      </c>
      <c r="C1242" s="6">
        <v>2018</v>
      </c>
      <c r="D1242" s="6">
        <v>8</v>
      </c>
      <c r="E1242" s="7">
        <v>50</v>
      </c>
      <c r="F1242" s="6" t="s">
        <v>10061</v>
      </c>
      <c r="G1242" s="6" t="s">
        <v>9370</v>
      </c>
      <c r="H1242" s="6" t="s">
        <v>26</v>
      </c>
      <c r="I1242" s="8"/>
      <c r="J1242" s="8">
        <v>163000</v>
      </c>
      <c r="K1242" s="6" t="s">
        <v>4512</v>
      </c>
      <c r="L1242" s="6" t="s">
        <v>2906</v>
      </c>
      <c r="M1242" s="6" t="s">
        <v>4509</v>
      </c>
      <c r="N1242" s="6" t="s">
        <v>4537</v>
      </c>
    </row>
    <row r="1243" s="1" customFormat="1" ht="16.35" customHeight="1" spans="1:14">
      <c r="A1243" s="5"/>
      <c r="B1243" s="6" t="s">
        <v>4506</v>
      </c>
      <c r="C1243" s="6">
        <v>2018</v>
      </c>
      <c r="D1243" s="6">
        <v>8</v>
      </c>
      <c r="E1243" s="7">
        <v>51</v>
      </c>
      <c r="F1243" s="6" t="s">
        <v>10062</v>
      </c>
      <c r="G1243" s="6" t="s">
        <v>9370</v>
      </c>
      <c r="H1243" s="6" t="s">
        <v>26</v>
      </c>
      <c r="I1243" s="8">
        <v>1500000</v>
      </c>
      <c r="J1243" s="8"/>
      <c r="K1243" s="6" t="s">
        <v>4509</v>
      </c>
      <c r="L1243" s="6" t="s">
        <v>9218</v>
      </c>
      <c r="M1243" s="6" t="s">
        <v>4509</v>
      </c>
      <c r="N1243" s="6" t="s">
        <v>4537</v>
      </c>
    </row>
    <row r="1244" s="1" customFormat="1" ht="16.35" customHeight="1" spans="1:14">
      <c r="A1244" s="5"/>
      <c r="B1244" s="6" t="s">
        <v>4506</v>
      </c>
      <c r="C1244" s="6">
        <v>2018</v>
      </c>
      <c r="D1244" s="6">
        <v>8</v>
      </c>
      <c r="E1244" s="7">
        <v>53</v>
      </c>
      <c r="F1244" s="6" t="s">
        <v>3900</v>
      </c>
      <c r="G1244" s="6" t="s">
        <v>9370</v>
      </c>
      <c r="H1244" s="6" t="s">
        <v>26</v>
      </c>
      <c r="I1244" s="8"/>
      <c r="J1244" s="8">
        <v>149000</v>
      </c>
      <c r="K1244" s="6" t="s">
        <v>4512</v>
      </c>
      <c r="L1244" s="6" t="s">
        <v>2906</v>
      </c>
      <c r="M1244" s="6" t="s">
        <v>4516</v>
      </c>
      <c r="N1244" s="6" t="s">
        <v>5082</v>
      </c>
    </row>
    <row r="1245" s="1" customFormat="1" ht="16.35" customHeight="1" spans="1:14">
      <c r="A1245" s="5"/>
      <c r="B1245" s="6" t="s">
        <v>4506</v>
      </c>
      <c r="C1245" s="6">
        <v>2018</v>
      </c>
      <c r="D1245" s="6">
        <v>8</v>
      </c>
      <c r="E1245" s="7">
        <v>57</v>
      </c>
      <c r="F1245" s="6" t="s">
        <v>9962</v>
      </c>
      <c r="G1245" s="6" t="s">
        <v>9370</v>
      </c>
      <c r="H1245" s="6" t="s">
        <v>26</v>
      </c>
      <c r="I1245" s="8">
        <v>5392</v>
      </c>
      <c r="J1245" s="8"/>
      <c r="K1245" s="6" t="s">
        <v>4509</v>
      </c>
      <c r="L1245" s="6" t="s">
        <v>9218</v>
      </c>
      <c r="M1245" s="6" t="s">
        <v>4509</v>
      </c>
      <c r="N1245" s="6" t="s">
        <v>4537</v>
      </c>
    </row>
    <row r="1246" s="1" customFormat="1" ht="16.35" customHeight="1" spans="1:14">
      <c r="A1246" s="5"/>
      <c r="B1246" s="6" t="s">
        <v>4506</v>
      </c>
      <c r="C1246" s="6">
        <v>2018</v>
      </c>
      <c r="D1246" s="6">
        <v>8</v>
      </c>
      <c r="E1246" s="7">
        <v>57</v>
      </c>
      <c r="F1246" s="6" t="s">
        <v>9962</v>
      </c>
      <c r="G1246" s="6" t="s">
        <v>9370</v>
      </c>
      <c r="H1246" s="6" t="s">
        <v>26</v>
      </c>
      <c r="I1246" s="8"/>
      <c r="J1246" s="8">
        <v>5392</v>
      </c>
      <c r="K1246" s="6" t="s">
        <v>4512</v>
      </c>
      <c r="L1246" s="6" t="s">
        <v>2906</v>
      </c>
      <c r="M1246" s="6" t="s">
        <v>4509</v>
      </c>
      <c r="N1246" s="6" t="s">
        <v>4537</v>
      </c>
    </row>
    <row r="1247" s="1" customFormat="1" ht="16.35" customHeight="1" spans="1:14">
      <c r="A1247" s="5"/>
      <c r="B1247" s="6" t="s">
        <v>4506</v>
      </c>
      <c r="C1247" s="6">
        <v>2018</v>
      </c>
      <c r="D1247" s="6">
        <v>8</v>
      </c>
      <c r="E1247" s="7">
        <v>58</v>
      </c>
      <c r="F1247" s="6" t="s">
        <v>9962</v>
      </c>
      <c r="G1247" s="6" t="s">
        <v>9370</v>
      </c>
      <c r="H1247" s="6" t="s">
        <v>26</v>
      </c>
      <c r="I1247" s="8">
        <v>5200.93</v>
      </c>
      <c r="J1247" s="8"/>
      <c r="K1247" s="6" t="s">
        <v>4509</v>
      </c>
      <c r="L1247" s="6" t="s">
        <v>9218</v>
      </c>
      <c r="M1247" s="6" t="s">
        <v>4509</v>
      </c>
      <c r="N1247" s="6" t="s">
        <v>4537</v>
      </c>
    </row>
    <row r="1248" s="1" customFormat="1" ht="16.35" customHeight="1" spans="1:14">
      <c r="A1248" s="5"/>
      <c r="B1248" s="6" t="s">
        <v>4506</v>
      </c>
      <c r="C1248" s="6">
        <v>2018</v>
      </c>
      <c r="D1248" s="6">
        <v>8</v>
      </c>
      <c r="E1248" s="7">
        <v>58</v>
      </c>
      <c r="F1248" s="6" t="s">
        <v>9962</v>
      </c>
      <c r="G1248" s="6" t="s">
        <v>9370</v>
      </c>
      <c r="H1248" s="6" t="s">
        <v>26</v>
      </c>
      <c r="I1248" s="8"/>
      <c r="J1248" s="8">
        <v>5200.93</v>
      </c>
      <c r="K1248" s="6" t="s">
        <v>4512</v>
      </c>
      <c r="L1248" s="6" t="s">
        <v>2906</v>
      </c>
      <c r="M1248" s="6" t="s">
        <v>4509</v>
      </c>
      <c r="N1248" s="6" t="s">
        <v>4537</v>
      </c>
    </row>
    <row r="1249" s="1" customFormat="1" ht="16.35" customHeight="1" spans="1:14">
      <c r="A1249" s="5"/>
      <c r="B1249" s="6" t="s">
        <v>4506</v>
      </c>
      <c r="C1249" s="6">
        <v>2018</v>
      </c>
      <c r="D1249" s="6">
        <v>9</v>
      </c>
      <c r="E1249" s="7">
        <v>2</v>
      </c>
      <c r="F1249" s="6" t="s">
        <v>10063</v>
      </c>
      <c r="G1249" s="6" t="s">
        <v>9370</v>
      </c>
      <c r="H1249" s="6" t="s">
        <v>26</v>
      </c>
      <c r="I1249" s="8"/>
      <c r="J1249" s="8">
        <v>5000</v>
      </c>
      <c r="K1249" s="6" t="s">
        <v>4534</v>
      </c>
      <c r="L1249" s="6" t="s">
        <v>9998</v>
      </c>
      <c r="M1249" s="6" t="s">
        <v>4516</v>
      </c>
      <c r="N1249" s="6" t="s">
        <v>5082</v>
      </c>
    </row>
    <row r="1250" s="1" customFormat="1" ht="16.35" customHeight="1" spans="1:14">
      <c r="A1250" s="5"/>
      <c r="B1250" s="6" t="s">
        <v>4506</v>
      </c>
      <c r="C1250" s="6">
        <v>2018</v>
      </c>
      <c r="D1250" s="6">
        <v>9</v>
      </c>
      <c r="E1250" s="7">
        <v>4</v>
      </c>
      <c r="F1250" s="6" t="s">
        <v>10064</v>
      </c>
      <c r="G1250" s="6" t="s">
        <v>9370</v>
      </c>
      <c r="H1250" s="6" t="s">
        <v>26</v>
      </c>
      <c r="I1250" s="8"/>
      <c r="J1250" s="8">
        <v>5000</v>
      </c>
      <c r="K1250" s="6" t="s">
        <v>4534</v>
      </c>
      <c r="L1250" s="6" t="s">
        <v>9998</v>
      </c>
      <c r="M1250" s="6" t="s">
        <v>4516</v>
      </c>
      <c r="N1250" s="6" t="s">
        <v>5082</v>
      </c>
    </row>
    <row r="1251" s="1" customFormat="1" ht="16.35" customHeight="1" spans="1:14">
      <c r="A1251" s="5"/>
      <c r="B1251" s="6" t="s">
        <v>4506</v>
      </c>
      <c r="C1251" s="6">
        <v>2018</v>
      </c>
      <c r="D1251" s="6">
        <v>9</v>
      </c>
      <c r="E1251" s="7">
        <v>5</v>
      </c>
      <c r="F1251" s="6" t="s">
        <v>10065</v>
      </c>
      <c r="G1251" s="6" t="s">
        <v>9370</v>
      </c>
      <c r="H1251" s="6" t="s">
        <v>26</v>
      </c>
      <c r="I1251" s="8"/>
      <c r="J1251" s="8">
        <v>5000</v>
      </c>
      <c r="K1251" s="6" t="s">
        <v>4534</v>
      </c>
      <c r="L1251" s="6" t="s">
        <v>9998</v>
      </c>
      <c r="M1251" s="6" t="s">
        <v>4516</v>
      </c>
      <c r="N1251" s="6" t="s">
        <v>5082</v>
      </c>
    </row>
    <row r="1252" s="1" customFormat="1" ht="16.35" customHeight="1" spans="1:14">
      <c r="A1252" s="5"/>
      <c r="B1252" s="6" t="s">
        <v>4506</v>
      </c>
      <c r="C1252" s="6">
        <v>2018</v>
      </c>
      <c r="D1252" s="6">
        <v>9</v>
      </c>
      <c r="E1252" s="7">
        <v>6</v>
      </c>
      <c r="F1252" s="6" t="s">
        <v>10066</v>
      </c>
      <c r="G1252" s="6" t="s">
        <v>9370</v>
      </c>
      <c r="H1252" s="6" t="s">
        <v>26</v>
      </c>
      <c r="I1252" s="8"/>
      <c r="J1252" s="8">
        <v>5000</v>
      </c>
      <c r="K1252" s="6" t="s">
        <v>4534</v>
      </c>
      <c r="L1252" s="6" t="s">
        <v>9998</v>
      </c>
      <c r="M1252" s="6" t="s">
        <v>4516</v>
      </c>
      <c r="N1252" s="6" t="s">
        <v>5082</v>
      </c>
    </row>
    <row r="1253" s="1" customFormat="1" ht="16.35" customHeight="1" spans="1:14">
      <c r="A1253" s="5"/>
      <c r="B1253" s="6" t="s">
        <v>4506</v>
      </c>
      <c r="C1253" s="6">
        <v>2018</v>
      </c>
      <c r="D1253" s="6">
        <v>9</v>
      </c>
      <c r="E1253" s="7">
        <v>7</v>
      </c>
      <c r="F1253" s="6" t="s">
        <v>10067</v>
      </c>
      <c r="G1253" s="6" t="s">
        <v>9370</v>
      </c>
      <c r="H1253" s="6" t="s">
        <v>26</v>
      </c>
      <c r="I1253" s="8"/>
      <c r="J1253" s="8">
        <v>5000</v>
      </c>
      <c r="K1253" s="6" t="s">
        <v>4534</v>
      </c>
      <c r="L1253" s="6" t="s">
        <v>9998</v>
      </c>
      <c r="M1253" s="6" t="s">
        <v>4516</v>
      </c>
      <c r="N1253" s="6" t="s">
        <v>5082</v>
      </c>
    </row>
    <row r="1254" s="1" customFormat="1" ht="16.35" customHeight="1" spans="1:14">
      <c r="A1254" s="5"/>
      <c r="B1254" s="6" t="s">
        <v>4506</v>
      </c>
      <c r="C1254" s="6">
        <v>2018</v>
      </c>
      <c r="D1254" s="6">
        <v>9</v>
      </c>
      <c r="E1254" s="7">
        <v>8</v>
      </c>
      <c r="F1254" s="6" t="s">
        <v>10068</v>
      </c>
      <c r="G1254" s="6" t="s">
        <v>9370</v>
      </c>
      <c r="H1254" s="6" t="s">
        <v>26</v>
      </c>
      <c r="I1254" s="8"/>
      <c r="J1254" s="8">
        <v>200000</v>
      </c>
      <c r="K1254" s="6" t="s">
        <v>2976</v>
      </c>
      <c r="L1254" s="6" t="s">
        <v>9860</v>
      </c>
      <c r="M1254" s="6" t="s">
        <v>4510</v>
      </c>
      <c r="N1254" s="6" t="s">
        <v>4511</v>
      </c>
    </row>
    <row r="1255" s="1" customFormat="1" ht="16.35" customHeight="1" spans="1:14">
      <c r="A1255" s="5"/>
      <c r="B1255" s="6" t="s">
        <v>4506</v>
      </c>
      <c r="C1255" s="6">
        <v>2018</v>
      </c>
      <c r="D1255" s="6">
        <v>9</v>
      </c>
      <c r="E1255" s="7">
        <v>9</v>
      </c>
      <c r="F1255" s="6" t="s">
        <v>10069</v>
      </c>
      <c r="G1255" s="6" t="s">
        <v>9370</v>
      </c>
      <c r="H1255" s="6" t="s">
        <v>26</v>
      </c>
      <c r="I1255" s="8">
        <v>5190</v>
      </c>
      <c r="J1255" s="8"/>
      <c r="K1255" s="6" t="s">
        <v>4509</v>
      </c>
      <c r="L1255" s="6" t="s">
        <v>9218</v>
      </c>
      <c r="M1255" s="6" t="s">
        <v>4510</v>
      </c>
      <c r="N1255" s="6" t="s">
        <v>4511</v>
      </c>
    </row>
    <row r="1256" s="1" customFormat="1" ht="16.35" customHeight="1" spans="1:14">
      <c r="A1256" s="5"/>
      <c r="B1256" s="6" t="s">
        <v>4506</v>
      </c>
      <c r="C1256" s="6">
        <v>2018</v>
      </c>
      <c r="D1256" s="6">
        <v>9</v>
      </c>
      <c r="E1256" s="7">
        <v>10</v>
      </c>
      <c r="F1256" s="6" t="s">
        <v>10070</v>
      </c>
      <c r="G1256" s="6" t="s">
        <v>9370</v>
      </c>
      <c r="H1256" s="6" t="s">
        <v>26</v>
      </c>
      <c r="I1256" s="8"/>
      <c r="J1256" s="8">
        <v>40207.55</v>
      </c>
      <c r="K1256" s="6" t="s">
        <v>2976</v>
      </c>
      <c r="L1256" s="6" t="s">
        <v>9860</v>
      </c>
      <c r="M1256" s="6" t="s">
        <v>4509</v>
      </c>
      <c r="N1256" s="6" t="s">
        <v>4537</v>
      </c>
    </row>
    <row r="1257" s="1" customFormat="1" ht="16.35" customHeight="1" spans="1:14">
      <c r="A1257" s="5"/>
      <c r="B1257" s="6" t="s">
        <v>4506</v>
      </c>
      <c r="C1257" s="6">
        <v>2018</v>
      </c>
      <c r="D1257" s="6">
        <v>9</v>
      </c>
      <c r="E1257" s="7">
        <v>12</v>
      </c>
      <c r="F1257" s="6" t="s">
        <v>10071</v>
      </c>
      <c r="G1257" s="6" t="s">
        <v>9370</v>
      </c>
      <c r="H1257" s="6" t="s">
        <v>26</v>
      </c>
      <c r="I1257" s="8"/>
      <c r="J1257" s="8">
        <v>5000</v>
      </c>
      <c r="K1257" s="6" t="s">
        <v>4534</v>
      </c>
      <c r="L1257" s="6" t="s">
        <v>9998</v>
      </c>
      <c r="M1257" s="6" t="s">
        <v>4516</v>
      </c>
      <c r="N1257" s="6" t="s">
        <v>5082</v>
      </c>
    </row>
    <row r="1258" s="1" customFormat="1" ht="16.35" customHeight="1" spans="1:14">
      <c r="A1258" s="5"/>
      <c r="B1258" s="6" t="s">
        <v>4506</v>
      </c>
      <c r="C1258" s="6">
        <v>2018</v>
      </c>
      <c r="D1258" s="6">
        <v>9</v>
      </c>
      <c r="E1258" s="7">
        <v>13</v>
      </c>
      <c r="F1258" s="6" t="s">
        <v>10072</v>
      </c>
      <c r="G1258" s="6" t="s">
        <v>9370</v>
      </c>
      <c r="H1258" s="6" t="s">
        <v>26</v>
      </c>
      <c r="I1258" s="8"/>
      <c r="J1258" s="8">
        <v>1000</v>
      </c>
      <c r="K1258" s="6" t="s">
        <v>4534</v>
      </c>
      <c r="L1258" s="6" t="s">
        <v>9998</v>
      </c>
      <c r="M1258" s="6" t="s">
        <v>4516</v>
      </c>
      <c r="N1258" s="6" t="s">
        <v>5082</v>
      </c>
    </row>
    <row r="1259" s="1" customFormat="1" ht="16.35" customHeight="1" spans="1:14">
      <c r="A1259" s="5"/>
      <c r="B1259" s="6" t="s">
        <v>4506</v>
      </c>
      <c r="C1259" s="6">
        <v>2018</v>
      </c>
      <c r="D1259" s="6">
        <v>9</v>
      </c>
      <c r="E1259" s="7">
        <v>18</v>
      </c>
      <c r="F1259" s="6" t="s">
        <v>10073</v>
      </c>
      <c r="G1259" s="6" t="s">
        <v>9370</v>
      </c>
      <c r="H1259" s="6" t="s">
        <v>26</v>
      </c>
      <c r="I1259" s="8"/>
      <c r="J1259" s="8">
        <v>5000</v>
      </c>
      <c r="K1259" s="6" t="s">
        <v>4534</v>
      </c>
      <c r="L1259" s="6" t="s">
        <v>9998</v>
      </c>
      <c r="M1259" s="6" t="s">
        <v>4516</v>
      </c>
      <c r="N1259" s="6" t="s">
        <v>5082</v>
      </c>
    </row>
    <row r="1260" s="1" customFormat="1" ht="16.35" customHeight="1" spans="1:14">
      <c r="A1260" s="5"/>
      <c r="B1260" s="6" t="s">
        <v>4506</v>
      </c>
      <c r="C1260" s="6">
        <v>2018</v>
      </c>
      <c r="D1260" s="6">
        <v>9</v>
      </c>
      <c r="E1260" s="7">
        <v>19</v>
      </c>
      <c r="F1260" s="6" t="s">
        <v>10074</v>
      </c>
      <c r="G1260" s="6" t="s">
        <v>9370</v>
      </c>
      <c r="H1260" s="6" t="s">
        <v>26</v>
      </c>
      <c r="I1260" s="8"/>
      <c r="J1260" s="8">
        <v>5000</v>
      </c>
      <c r="K1260" s="6" t="s">
        <v>4534</v>
      </c>
      <c r="L1260" s="6" t="s">
        <v>9998</v>
      </c>
      <c r="M1260" s="6" t="s">
        <v>4516</v>
      </c>
      <c r="N1260" s="6" t="s">
        <v>5082</v>
      </c>
    </row>
    <row r="1261" s="1" customFormat="1" ht="16.35" customHeight="1" spans="1:14">
      <c r="A1261" s="5"/>
      <c r="B1261" s="6" t="s">
        <v>4506</v>
      </c>
      <c r="C1261" s="6">
        <v>2018</v>
      </c>
      <c r="D1261" s="6">
        <v>9</v>
      </c>
      <c r="E1261" s="7">
        <v>20</v>
      </c>
      <c r="F1261" s="6" t="s">
        <v>10075</v>
      </c>
      <c r="G1261" s="6" t="s">
        <v>9370</v>
      </c>
      <c r="H1261" s="6" t="s">
        <v>26</v>
      </c>
      <c r="I1261" s="8"/>
      <c r="J1261" s="8">
        <v>5000</v>
      </c>
      <c r="K1261" s="6" t="s">
        <v>4534</v>
      </c>
      <c r="L1261" s="6" t="s">
        <v>9998</v>
      </c>
      <c r="M1261" s="6" t="s">
        <v>4516</v>
      </c>
      <c r="N1261" s="6" t="s">
        <v>5082</v>
      </c>
    </row>
    <row r="1262" s="1" customFormat="1" ht="16.35" customHeight="1" spans="1:14">
      <c r="A1262" s="5"/>
      <c r="B1262" s="6" t="s">
        <v>4506</v>
      </c>
      <c r="C1262" s="6">
        <v>2018</v>
      </c>
      <c r="D1262" s="6">
        <v>9</v>
      </c>
      <c r="E1262" s="7">
        <v>21</v>
      </c>
      <c r="F1262" s="6" t="s">
        <v>10076</v>
      </c>
      <c r="G1262" s="6" t="s">
        <v>9370</v>
      </c>
      <c r="H1262" s="6" t="s">
        <v>26</v>
      </c>
      <c r="I1262" s="8"/>
      <c r="J1262" s="8">
        <v>5000</v>
      </c>
      <c r="K1262" s="6" t="s">
        <v>4534</v>
      </c>
      <c r="L1262" s="6" t="s">
        <v>9998</v>
      </c>
      <c r="M1262" s="6" t="s">
        <v>4516</v>
      </c>
      <c r="N1262" s="6" t="s">
        <v>5082</v>
      </c>
    </row>
    <row r="1263" s="1" customFormat="1" ht="16.35" customHeight="1" spans="1:14">
      <c r="A1263" s="5"/>
      <c r="B1263" s="6" t="s">
        <v>4506</v>
      </c>
      <c r="C1263" s="6">
        <v>2018</v>
      </c>
      <c r="D1263" s="6">
        <v>9</v>
      </c>
      <c r="E1263" s="7">
        <v>22</v>
      </c>
      <c r="F1263" s="6" t="s">
        <v>10077</v>
      </c>
      <c r="G1263" s="6" t="s">
        <v>9370</v>
      </c>
      <c r="H1263" s="6" t="s">
        <v>26</v>
      </c>
      <c r="I1263" s="8"/>
      <c r="J1263" s="8">
        <v>5000</v>
      </c>
      <c r="K1263" s="6" t="s">
        <v>4534</v>
      </c>
      <c r="L1263" s="6" t="s">
        <v>9998</v>
      </c>
      <c r="M1263" s="6" t="s">
        <v>4516</v>
      </c>
      <c r="N1263" s="6" t="s">
        <v>5082</v>
      </c>
    </row>
    <row r="1264" s="1" customFormat="1" ht="16.35" customHeight="1" spans="1:14">
      <c r="A1264" s="5"/>
      <c r="B1264" s="6" t="s">
        <v>4506</v>
      </c>
      <c r="C1264" s="6">
        <v>2018</v>
      </c>
      <c r="D1264" s="6">
        <v>9</v>
      </c>
      <c r="E1264" s="7">
        <v>23</v>
      </c>
      <c r="F1264" s="6" t="s">
        <v>10078</v>
      </c>
      <c r="G1264" s="6" t="s">
        <v>9370</v>
      </c>
      <c r="H1264" s="6" t="s">
        <v>26</v>
      </c>
      <c r="I1264" s="8"/>
      <c r="J1264" s="8">
        <v>5000</v>
      </c>
      <c r="K1264" s="6" t="s">
        <v>4534</v>
      </c>
      <c r="L1264" s="6" t="s">
        <v>9998</v>
      </c>
      <c r="M1264" s="6" t="s">
        <v>4516</v>
      </c>
      <c r="N1264" s="6" t="s">
        <v>5082</v>
      </c>
    </row>
    <row r="1265" s="1" customFormat="1" ht="16.35" customHeight="1" spans="1:14">
      <c r="A1265" s="5"/>
      <c r="B1265" s="6" t="s">
        <v>4506</v>
      </c>
      <c r="C1265" s="6">
        <v>2018</v>
      </c>
      <c r="D1265" s="6">
        <v>9</v>
      </c>
      <c r="E1265" s="7">
        <v>24</v>
      </c>
      <c r="F1265" s="6" t="s">
        <v>10079</v>
      </c>
      <c r="G1265" s="6" t="s">
        <v>9370</v>
      </c>
      <c r="H1265" s="6" t="s">
        <v>26</v>
      </c>
      <c r="I1265" s="8"/>
      <c r="J1265" s="8">
        <v>5000</v>
      </c>
      <c r="K1265" s="6" t="s">
        <v>4534</v>
      </c>
      <c r="L1265" s="6" t="s">
        <v>9998</v>
      </c>
      <c r="M1265" s="6" t="s">
        <v>4516</v>
      </c>
      <c r="N1265" s="6" t="s">
        <v>5082</v>
      </c>
    </row>
    <row r="1266" s="1" customFormat="1" ht="16.35" customHeight="1" spans="1:14">
      <c r="A1266" s="5"/>
      <c r="B1266" s="6" t="s">
        <v>4506</v>
      </c>
      <c r="C1266" s="6">
        <v>2018</v>
      </c>
      <c r="D1266" s="6">
        <v>9</v>
      </c>
      <c r="E1266" s="7">
        <v>25</v>
      </c>
      <c r="F1266" s="6" t="s">
        <v>10080</v>
      </c>
      <c r="G1266" s="6" t="s">
        <v>9370</v>
      </c>
      <c r="H1266" s="6" t="s">
        <v>26</v>
      </c>
      <c r="I1266" s="8"/>
      <c r="J1266" s="8">
        <v>5000</v>
      </c>
      <c r="K1266" s="6" t="s">
        <v>4534</v>
      </c>
      <c r="L1266" s="6" t="s">
        <v>9998</v>
      </c>
      <c r="M1266" s="6" t="s">
        <v>4516</v>
      </c>
      <c r="N1266" s="6" t="s">
        <v>5082</v>
      </c>
    </row>
    <row r="1267" s="1" customFormat="1" ht="16.35" customHeight="1" spans="1:14">
      <c r="A1267" s="5"/>
      <c r="B1267" s="6" t="s">
        <v>4506</v>
      </c>
      <c r="C1267" s="6">
        <v>2018</v>
      </c>
      <c r="D1267" s="6">
        <v>9</v>
      </c>
      <c r="E1267" s="7">
        <v>27</v>
      </c>
      <c r="F1267" s="6" t="s">
        <v>10081</v>
      </c>
      <c r="G1267" s="6" t="s">
        <v>9370</v>
      </c>
      <c r="H1267" s="6" t="s">
        <v>26</v>
      </c>
      <c r="I1267" s="8">
        <v>65972</v>
      </c>
      <c r="J1267" s="8"/>
      <c r="K1267" s="6" t="s">
        <v>4512</v>
      </c>
      <c r="L1267" s="6" t="s">
        <v>2906</v>
      </c>
      <c r="M1267" s="6" t="s">
        <v>4516</v>
      </c>
      <c r="N1267" s="6" t="s">
        <v>5082</v>
      </c>
    </row>
    <row r="1268" s="1" customFormat="1" ht="16.35" customHeight="1" spans="1:14">
      <c r="A1268" s="5"/>
      <c r="B1268" s="6" t="s">
        <v>4506</v>
      </c>
      <c r="C1268" s="6">
        <v>2018</v>
      </c>
      <c r="D1268" s="6">
        <v>9</v>
      </c>
      <c r="E1268" s="7">
        <v>32</v>
      </c>
      <c r="F1268" s="6" t="s">
        <v>10082</v>
      </c>
      <c r="G1268" s="6" t="s">
        <v>9370</v>
      </c>
      <c r="H1268" s="6" t="s">
        <v>26</v>
      </c>
      <c r="I1268" s="8"/>
      <c r="J1268" s="8">
        <v>600000</v>
      </c>
      <c r="K1268" s="6" t="s">
        <v>4512</v>
      </c>
      <c r="L1268" s="6" t="s">
        <v>2906</v>
      </c>
      <c r="M1268" s="6" t="s">
        <v>4509</v>
      </c>
      <c r="N1268" s="6" t="s">
        <v>4537</v>
      </c>
    </row>
    <row r="1269" s="1" customFormat="1" ht="16.35" customHeight="1" spans="1:14">
      <c r="A1269" s="5"/>
      <c r="B1269" s="6" t="s">
        <v>4506</v>
      </c>
      <c r="C1269" s="6">
        <v>2018</v>
      </c>
      <c r="D1269" s="6">
        <v>9</v>
      </c>
      <c r="E1269" s="7">
        <v>33</v>
      </c>
      <c r="F1269" s="6" t="s">
        <v>10083</v>
      </c>
      <c r="G1269" s="6" t="s">
        <v>9370</v>
      </c>
      <c r="H1269" s="6" t="s">
        <v>26</v>
      </c>
      <c r="I1269" s="8"/>
      <c r="J1269" s="8">
        <v>1000</v>
      </c>
      <c r="K1269" s="6" t="s">
        <v>4534</v>
      </c>
      <c r="L1269" s="6" t="s">
        <v>9998</v>
      </c>
      <c r="M1269" s="6" t="s">
        <v>4516</v>
      </c>
      <c r="N1269" s="6" t="s">
        <v>5082</v>
      </c>
    </row>
    <row r="1270" s="1" customFormat="1" ht="16.35" customHeight="1" spans="1:14">
      <c r="A1270" s="5"/>
      <c r="B1270" s="6" t="s">
        <v>4506</v>
      </c>
      <c r="C1270" s="6">
        <v>2018</v>
      </c>
      <c r="D1270" s="6">
        <v>9</v>
      </c>
      <c r="E1270" s="7">
        <v>34</v>
      </c>
      <c r="F1270" s="6" t="s">
        <v>10084</v>
      </c>
      <c r="G1270" s="6" t="s">
        <v>9370</v>
      </c>
      <c r="H1270" s="6" t="s">
        <v>26</v>
      </c>
      <c r="I1270" s="8"/>
      <c r="J1270" s="8">
        <v>5000</v>
      </c>
      <c r="K1270" s="6" t="s">
        <v>4534</v>
      </c>
      <c r="L1270" s="6" t="s">
        <v>9998</v>
      </c>
      <c r="M1270" s="6" t="s">
        <v>4516</v>
      </c>
      <c r="N1270" s="6" t="s">
        <v>5082</v>
      </c>
    </row>
    <row r="1271" s="1" customFormat="1" ht="16.35" customHeight="1" spans="1:14">
      <c r="A1271" s="5"/>
      <c r="B1271" s="6" t="s">
        <v>4506</v>
      </c>
      <c r="C1271" s="6">
        <v>2018</v>
      </c>
      <c r="D1271" s="6">
        <v>9</v>
      </c>
      <c r="E1271" s="7">
        <v>35</v>
      </c>
      <c r="F1271" s="6" t="s">
        <v>10085</v>
      </c>
      <c r="G1271" s="6" t="s">
        <v>9370</v>
      </c>
      <c r="H1271" s="6" t="s">
        <v>26</v>
      </c>
      <c r="I1271" s="8"/>
      <c r="J1271" s="8">
        <v>5000</v>
      </c>
      <c r="K1271" s="6" t="s">
        <v>4534</v>
      </c>
      <c r="L1271" s="6" t="s">
        <v>9998</v>
      </c>
      <c r="M1271" s="6" t="s">
        <v>4516</v>
      </c>
      <c r="N1271" s="6" t="s">
        <v>5082</v>
      </c>
    </row>
    <row r="1272" s="1" customFormat="1" ht="16.35" customHeight="1" spans="1:14">
      <c r="A1272" s="5"/>
      <c r="B1272" s="6" t="s">
        <v>4506</v>
      </c>
      <c r="C1272" s="6">
        <v>2018</v>
      </c>
      <c r="D1272" s="6">
        <v>9</v>
      </c>
      <c r="E1272" s="7">
        <v>36</v>
      </c>
      <c r="F1272" s="6" t="s">
        <v>10086</v>
      </c>
      <c r="G1272" s="6" t="s">
        <v>9370</v>
      </c>
      <c r="H1272" s="6" t="s">
        <v>26</v>
      </c>
      <c r="I1272" s="8"/>
      <c r="J1272" s="8">
        <v>2000</v>
      </c>
      <c r="K1272" s="6" t="s">
        <v>4534</v>
      </c>
      <c r="L1272" s="6" t="s">
        <v>9998</v>
      </c>
      <c r="M1272" s="6" t="s">
        <v>4516</v>
      </c>
      <c r="N1272" s="6" t="s">
        <v>5082</v>
      </c>
    </row>
    <row r="1273" s="1" customFormat="1" ht="16.35" customHeight="1" spans="1:14">
      <c r="A1273" s="5"/>
      <c r="B1273" s="6" t="s">
        <v>4506</v>
      </c>
      <c r="C1273" s="6">
        <v>2018</v>
      </c>
      <c r="D1273" s="6">
        <v>9</v>
      </c>
      <c r="E1273" s="7">
        <v>37</v>
      </c>
      <c r="F1273" s="6" t="s">
        <v>10087</v>
      </c>
      <c r="G1273" s="6" t="s">
        <v>9370</v>
      </c>
      <c r="H1273" s="6" t="s">
        <v>26</v>
      </c>
      <c r="I1273" s="8"/>
      <c r="J1273" s="8">
        <v>4000</v>
      </c>
      <c r="K1273" s="6" t="s">
        <v>4534</v>
      </c>
      <c r="L1273" s="6" t="s">
        <v>9998</v>
      </c>
      <c r="M1273" s="6" t="s">
        <v>4516</v>
      </c>
      <c r="N1273" s="6" t="s">
        <v>5082</v>
      </c>
    </row>
    <row r="1274" s="1" customFormat="1" ht="16.35" customHeight="1" spans="1:14">
      <c r="A1274" s="5"/>
      <c r="B1274" s="6" t="s">
        <v>4506</v>
      </c>
      <c r="C1274" s="6">
        <v>2018</v>
      </c>
      <c r="D1274" s="6">
        <v>9</v>
      </c>
      <c r="E1274" s="7">
        <v>38</v>
      </c>
      <c r="F1274" s="6" t="s">
        <v>10088</v>
      </c>
      <c r="G1274" s="6" t="s">
        <v>9370</v>
      </c>
      <c r="H1274" s="6" t="s">
        <v>26</v>
      </c>
      <c r="I1274" s="8"/>
      <c r="J1274" s="8">
        <v>1000</v>
      </c>
      <c r="K1274" s="6" t="s">
        <v>4534</v>
      </c>
      <c r="L1274" s="6" t="s">
        <v>9998</v>
      </c>
      <c r="M1274" s="6" t="s">
        <v>4516</v>
      </c>
      <c r="N1274" s="6" t="s">
        <v>5082</v>
      </c>
    </row>
    <row r="1275" s="1" customFormat="1" ht="16.35" customHeight="1" spans="1:14">
      <c r="A1275" s="5"/>
      <c r="B1275" s="6" t="s">
        <v>4506</v>
      </c>
      <c r="C1275" s="6">
        <v>2018</v>
      </c>
      <c r="D1275" s="6">
        <v>9</v>
      </c>
      <c r="E1275" s="7">
        <v>39</v>
      </c>
      <c r="F1275" s="6" t="s">
        <v>10089</v>
      </c>
      <c r="G1275" s="6" t="s">
        <v>9370</v>
      </c>
      <c r="H1275" s="6" t="s">
        <v>26</v>
      </c>
      <c r="I1275" s="8"/>
      <c r="J1275" s="8">
        <v>2000</v>
      </c>
      <c r="K1275" s="6" t="s">
        <v>4534</v>
      </c>
      <c r="L1275" s="6" t="s">
        <v>9998</v>
      </c>
      <c r="M1275" s="6" t="s">
        <v>4516</v>
      </c>
      <c r="N1275" s="6" t="s">
        <v>5082</v>
      </c>
    </row>
    <row r="1276" s="1" customFormat="1" ht="16.35" customHeight="1" spans="1:14">
      <c r="A1276" s="5"/>
      <c r="B1276" s="6" t="s">
        <v>4506</v>
      </c>
      <c r="C1276" s="6">
        <v>2018</v>
      </c>
      <c r="D1276" s="6">
        <v>9</v>
      </c>
      <c r="E1276" s="7">
        <v>40</v>
      </c>
      <c r="F1276" s="6" t="s">
        <v>10090</v>
      </c>
      <c r="G1276" s="6" t="s">
        <v>9370</v>
      </c>
      <c r="H1276" s="6" t="s">
        <v>26</v>
      </c>
      <c r="I1276" s="8"/>
      <c r="J1276" s="8">
        <v>5000</v>
      </c>
      <c r="K1276" s="6" t="s">
        <v>4534</v>
      </c>
      <c r="L1276" s="6" t="s">
        <v>9998</v>
      </c>
      <c r="M1276" s="6" t="s">
        <v>4516</v>
      </c>
      <c r="N1276" s="6" t="s">
        <v>5082</v>
      </c>
    </row>
    <row r="1277" s="1" customFormat="1" ht="16.35" customHeight="1" spans="1:14">
      <c r="A1277" s="5"/>
      <c r="B1277" s="6" t="s">
        <v>4506</v>
      </c>
      <c r="C1277" s="6">
        <v>2018</v>
      </c>
      <c r="D1277" s="6">
        <v>9</v>
      </c>
      <c r="E1277" s="7">
        <v>41</v>
      </c>
      <c r="F1277" s="6" t="s">
        <v>10091</v>
      </c>
      <c r="G1277" s="6" t="s">
        <v>9370</v>
      </c>
      <c r="H1277" s="6" t="s">
        <v>26</v>
      </c>
      <c r="I1277" s="8"/>
      <c r="J1277" s="8">
        <v>1000</v>
      </c>
      <c r="K1277" s="6" t="s">
        <v>4534</v>
      </c>
      <c r="L1277" s="6" t="s">
        <v>9998</v>
      </c>
      <c r="M1277" s="6" t="s">
        <v>4516</v>
      </c>
      <c r="N1277" s="6" t="s">
        <v>5082</v>
      </c>
    </row>
    <row r="1278" s="1" customFormat="1" ht="16.35" customHeight="1" spans="1:14">
      <c r="A1278" s="5"/>
      <c r="B1278" s="6" t="s">
        <v>4506</v>
      </c>
      <c r="C1278" s="6">
        <v>2018</v>
      </c>
      <c r="D1278" s="6">
        <v>9</v>
      </c>
      <c r="E1278" s="7">
        <v>42</v>
      </c>
      <c r="F1278" s="6" t="s">
        <v>10092</v>
      </c>
      <c r="G1278" s="6" t="s">
        <v>9370</v>
      </c>
      <c r="H1278" s="6" t="s">
        <v>26</v>
      </c>
      <c r="I1278" s="8"/>
      <c r="J1278" s="8">
        <v>5000</v>
      </c>
      <c r="K1278" s="6" t="s">
        <v>4534</v>
      </c>
      <c r="L1278" s="6" t="s">
        <v>9998</v>
      </c>
      <c r="M1278" s="6" t="s">
        <v>4516</v>
      </c>
      <c r="N1278" s="6" t="s">
        <v>5082</v>
      </c>
    </row>
    <row r="1279" s="1" customFormat="1" ht="16.35" customHeight="1" spans="1:14">
      <c r="A1279" s="5"/>
      <c r="B1279" s="6" t="s">
        <v>4506</v>
      </c>
      <c r="C1279" s="6">
        <v>2018</v>
      </c>
      <c r="D1279" s="6">
        <v>9</v>
      </c>
      <c r="E1279" s="7">
        <v>43</v>
      </c>
      <c r="F1279" s="6" t="s">
        <v>10093</v>
      </c>
      <c r="G1279" s="6" t="s">
        <v>9370</v>
      </c>
      <c r="H1279" s="6" t="s">
        <v>26</v>
      </c>
      <c r="I1279" s="8"/>
      <c r="J1279" s="8">
        <v>5000</v>
      </c>
      <c r="K1279" s="6" t="s">
        <v>4534</v>
      </c>
      <c r="L1279" s="6" t="s">
        <v>9998</v>
      </c>
      <c r="M1279" s="6" t="s">
        <v>4516</v>
      </c>
      <c r="N1279" s="6" t="s">
        <v>5082</v>
      </c>
    </row>
    <row r="1280" s="1" customFormat="1" ht="16.35" customHeight="1" spans="1:14">
      <c r="A1280" s="5"/>
      <c r="B1280" s="6" t="s">
        <v>4506</v>
      </c>
      <c r="C1280" s="6">
        <v>2018</v>
      </c>
      <c r="D1280" s="6">
        <v>9</v>
      </c>
      <c r="E1280" s="7">
        <v>44</v>
      </c>
      <c r="F1280" s="6" t="s">
        <v>10094</v>
      </c>
      <c r="G1280" s="6" t="s">
        <v>9370</v>
      </c>
      <c r="H1280" s="6" t="s">
        <v>26</v>
      </c>
      <c r="I1280" s="8"/>
      <c r="J1280" s="8">
        <v>5000</v>
      </c>
      <c r="K1280" s="6" t="s">
        <v>4534</v>
      </c>
      <c r="L1280" s="6" t="s">
        <v>9998</v>
      </c>
      <c r="M1280" s="6" t="s">
        <v>4516</v>
      </c>
      <c r="N1280" s="6" t="s">
        <v>5082</v>
      </c>
    </row>
    <row r="1281" s="1" customFormat="1" ht="16.35" customHeight="1" spans="1:14">
      <c r="A1281" s="5"/>
      <c r="B1281" s="6" t="s">
        <v>4506</v>
      </c>
      <c r="C1281" s="6">
        <v>2018</v>
      </c>
      <c r="D1281" s="6">
        <v>9</v>
      </c>
      <c r="E1281" s="7">
        <v>51</v>
      </c>
      <c r="F1281" s="6" t="s">
        <v>10095</v>
      </c>
      <c r="G1281" s="6" t="s">
        <v>9370</v>
      </c>
      <c r="H1281" s="6" t="s">
        <v>26</v>
      </c>
      <c r="I1281" s="8"/>
      <c r="J1281" s="8">
        <v>146000</v>
      </c>
      <c r="K1281" s="6" t="s">
        <v>4512</v>
      </c>
      <c r="L1281" s="6" t="s">
        <v>2906</v>
      </c>
      <c r="M1281" s="6" t="s">
        <v>4516</v>
      </c>
      <c r="N1281" s="6" t="s">
        <v>5082</v>
      </c>
    </row>
    <row r="1282" s="1" customFormat="1" ht="16.35" customHeight="1" spans="1:14">
      <c r="A1282" s="5"/>
      <c r="B1282" s="6" t="s">
        <v>4506</v>
      </c>
      <c r="C1282" s="6">
        <v>2018</v>
      </c>
      <c r="D1282" s="6">
        <v>9</v>
      </c>
      <c r="E1282" s="7">
        <v>52</v>
      </c>
      <c r="F1282" s="6" t="s">
        <v>3912</v>
      </c>
      <c r="G1282" s="6" t="s">
        <v>9370</v>
      </c>
      <c r="H1282" s="6" t="s">
        <v>26</v>
      </c>
      <c r="I1282" s="8"/>
      <c r="J1282" s="8">
        <v>178000</v>
      </c>
      <c r="K1282" s="6" t="s">
        <v>4512</v>
      </c>
      <c r="L1282" s="6" t="s">
        <v>2906</v>
      </c>
      <c r="M1282" s="6" t="s">
        <v>4516</v>
      </c>
      <c r="N1282" s="6" t="s">
        <v>5082</v>
      </c>
    </row>
    <row r="1283" s="1" customFormat="1" ht="16.35" customHeight="1" spans="1:14">
      <c r="A1283" s="5"/>
      <c r="B1283" s="6" t="s">
        <v>4506</v>
      </c>
      <c r="C1283" s="6">
        <v>2018</v>
      </c>
      <c r="D1283" s="6">
        <v>9</v>
      </c>
      <c r="E1283" s="7">
        <v>57</v>
      </c>
      <c r="F1283" s="6" t="s">
        <v>9962</v>
      </c>
      <c r="G1283" s="6" t="s">
        <v>9370</v>
      </c>
      <c r="H1283" s="6" t="s">
        <v>26</v>
      </c>
      <c r="I1283" s="8">
        <v>957580.77</v>
      </c>
      <c r="J1283" s="8"/>
      <c r="K1283" s="6" t="s">
        <v>4509</v>
      </c>
      <c r="L1283" s="6" t="s">
        <v>9218</v>
      </c>
      <c r="M1283" s="6" t="s">
        <v>4509</v>
      </c>
      <c r="N1283" s="6" t="s">
        <v>4537</v>
      </c>
    </row>
    <row r="1284" s="1" customFormat="1" ht="16.35" customHeight="1" spans="1:14">
      <c r="A1284" s="5"/>
      <c r="B1284" s="6" t="s">
        <v>4506</v>
      </c>
      <c r="C1284" s="6">
        <v>2018</v>
      </c>
      <c r="D1284" s="6">
        <v>9</v>
      </c>
      <c r="E1284" s="7">
        <v>57</v>
      </c>
      <c r="F1284" s="6" t="s">
        <v>9962</v>
      </c>
      <c r="G1284" s="6" t="s">
        <v>9370</v>
      </c>
      <c r="H1284" s="6" t="s">
        <v>26</v>
      </c>
      <c r="I1284" s="8"/>
      <c r="J1284" s="8">
        <v>957580.77</v>
      </c>
      <c r="K1284" s="6" t="s">
        <v>4512</v>
      </c>
      <c r="L1284" s="6" t="s">
        <v>2906</v>
      </c>
      <c r="M1284" s="6" t="s">
        <v>4509</v>
      </c>
      <c r="N1284" s="6" t="s">
        <v>4537</v>
      </c>
    </row>
    <row r="1285" s="1" customFormat="1" ht="16.35" customHeight="1" spans="1:14">
      <c r="A1285" s="5"/>
      <c r="B1285" s="6" t="s">
        <v>4506</v>
      </c>
      <c r="C1285" s="6">
        <v>2018</v>
      </c>
      <c r="D1285" s="6">
        <v>9</v>
      </c>
      <c r="E1285" s="7">
        <v>58</v>
      </c>
      <c r="F1285" s="6" t="s">
        <v>10096</v>
      </c>
      <c r="G1285" s="6" t="s">
        <v>9370</v>
      </c>
      <c r="H1285" s="6" t="s">
        <v>26</v>
      </c>
      <c r="I1285" s="8">
        <v>23000</v>
      </c>
      <c r="J1285" s="8"/>
      <c r="K1285" s="6" t="s">
        <v>2976</v>
      </c>
      <c r="L1285" s="6" t="s">
        <v>9860</v>
      </c>
      <c r="M1285" s="6" t="s">
        <v>4509</v>
      </c>
      <c r="N1285" s="6" t="s">
        <v>4537</v>
      </c>
    </row>
    <row r="1286" s="1" customFormat="1" ht="16.35" customHeight="1" spans="1:14">
      <c r="A1286" s="5"/>
      <c r="B1286" s="6" t="s">
        <v>4506</v>
      </c>
      <c r="C1286" s="6">
        <v>2018</v>
      </c>
      <c r="D1286" s="6">
        <v>9</v>
      </c>
      <c r="E1286" s="7">
        <v>58</v>
      </c>
      <c r="F1286" s="6" t="s">
        <v>10096</v>
      </c>
      <c r="G1286" s="6" t="s">
        <v>9370</v>
      </c>
      <c r="H1286" s="6" t="s">
        <v>26</v>
      </c>
      <c r="I1286" s="8"/>
      <c r="J1286" s="8">
        <v>23000</v>
      </c>
      <c r="K1286" s="6" t="s">
        <v>4509</v>
      </c>
      <c r="L1286" s="6" t="s">
        <v>9218</v>
      </c>
      <c r="M1286" s="6" t="s">
        <v>4509</v>
      </c>
      <c r="N1286" s="6" t="s">
        <v>4537</v>
      </c>
    </row>
    <row r="1287" s="1" customFormat="1" ht="16.35" customHeight="1" spans="1:14">
      <c r="A1287" s="5"/>
      <c r="B1287" s="6" t="s">
        <v>4506</v>
      </c>
      <c r="C1287" s="6">
        <v>2018</v>
      </c>
      <c r="D1287" s="6">
        <v>10</v>
      </c>
      <c r="E1287" s="7">
        <v>1</v>
      </c>
      <c r="F1287" s="6" t="s">
        <v>10097</v>
      </c>
      <c r="G1287" s="6" t="s">
        <v>9370</v>
      </c>
      <c r="H1287" s="6" t="s">
        <v>26</v>
      </c>
      <c r="I1287" s="8">
        <v>5210.81</v>
      </c>
      <c r="J1287" s="8"/>
      <c r="K1287" s="6" t="s">
        <v>4509</v>
      </c>
      <c r="L1287" s="6" t="s">
        <v>9218</v>
      </c>
      <c r="M1287" s="6" t="s">
        <v>4510</v>
      </c>
      <c r="N1287" s="6" t="s">
        <v>4511</v>
      </c>
    </row>
    <row r="1288" s="1" customFormat="1" ht="16.35" customHeight="1" spans="1:14">
      <c r="A1288" s="5"/>
      <c r="B1288" s="6" t="s">
        <v>4506</v>
      </c>
      <c r="C1288" s="6">
        <v>2018</v>
      </c>
      <c r="D1288" s="6">
        <v>10</v>
      </c>
      <c r="E1288" s="7">
        <v>2</v>
      </c>
      <c r="F1288" s="6" t="s">
        <v>10098</v>
      </c>
      <c r="G1288" s="6" t="s">
        <v>9370</v>
      </c>
      <c r="H1288" s="6" t="s">
        <v>26</v>
      </c>
      <c r="I1288" s="8"/>
      <c r="J1288" s="8">
        <v>5000</v>
      </c>
      <c r="K1288" s="6" t="s">
        <v>4534</v>
      </c>
      <c r="L1288" s="6" t="s">
        <v>9998</v>
      </c>
      <c r="M1288" s="6" t="s">
        <v>4516</v>
      </c>
      <c r="N1288" s="6" t="s">
        <v>5082</v>
      </c>
    </row>
    <row r="1289" s="1" customFormat="1" ht="16.35" customHeight="1" spans="1:14">
      <c r="A1289" s="5"/>
      <c r="B1289" s="6" t="s">
        <v>4506</v>
      </c>
      <c r="C1289" s="6">
        <v>2018</v>
      </c>
      <c r="D1289" s="6">
        <v>10</v>
      </c>
      <c r="E1289" s="7">
        <v>3</v>
      </c>
      <c r="F1289" s="6" t="s">
        <v>10099</v>
      </c>
      <c r="G1289" s="6" t="s">
        <v>9370</v>
      </c>
      <c r="H1289" s="6" t="s">
        <v>26</v>
      </c>
      <c r="I1289" s="8"/>
      <c r="J1289" s="8">
        <v>5000</v>
      </c>
      <c r="K1289" s="6" t="s">
        <v>4534</v>
      </c>
      <c r="L1289" s="6" t="s">
        <v>9998</v>
      </c>
      <c r="M1289" s="6" t="s">
        <v>4510</v>
      </c>
      <c r="N1289" s="6" t="s">
        <v>4511</v>
      </c>
    </row>
    <row r="1290" s="1" customFormat="1" ht="16.35" customHeight="1" spans="1:14">
      <c r="A1290" s="5"/>
      <c r="B1290" s="6" t="s">
        <v>4506</v>
      </c>
      <c r="C1290" s="6">
        <v>2018</v>
      </c>
      <c r="D1290" s="6">
        <v>10</v>
      </c>
      <c r="E1290" s="7">
        <v>5</v>
      </c>
      <c r="F1290" s="6" t="s">
        <v>10100</v>
      </c>
      <c r="G1290" s="6" t="s">
        <v>9370</v>
      </c>
      <c r="H1290" s="6" t="s">
        <v>26</v>
      </c>
      <c r="I1290" s="8"/>
      <c r="J1290" s="8">
        <v>500000</v>
      </c>
      <c r="K1290" s="6" t="s">
        <v>4509</v>
      </c>
      <c r="L1290" s="6" t="s">
        <v>9218</v>
      </c>
      <c r="M1290" s="6" t="s">
        <v>4509</v>
      </c>
      <c r="N1290" s="6" t="s">
        <v>4537</v>
      </c>
    </row>
    <row r="1291" s="1" customFormat="1" ht="16.35" customHeight="1" spans="1:14">
      <c r="A1291" s="5"/>
      <c r="B1291" s="6" t="s">
        <v>4506</v>
      </c>
      <c r="C1291" s="6">
        <v>2018</v>
      </c>
      <c r="D1291" s="6">
        <v>10</v>
      </c>
      <c r="E1291" s="7">
        <v>8</v>
      </c>
      <c r="F1291" s="6" t="s">
        <v>10101</v>
      </c>
      <c r="G1291" s="6" t="s">
        <v>9370</v>
      </c>
      <c r="H1291" s="6" t="s">
        <v>26</v>
      </c>
      <c r="I1291" s="8">
        <v>5000</v>
      </c>
      <c r="J1291" s="8"/>
      <c r="K1291" s="6" t="s">
        <v>4534</v>
      </c>
      <c r="L1291" s="6" t="s">
        <v>9998</v>
      </c>
      <c r="M1291" s="6" t="s">
        <v>4516</v>
      </c>
      <c r="N1291" s="6" t="s">
        <v>5082</v>
      </c>
    </row>
    <row r="1292" s="1" customFormat="1" ht="16.35" customHeight="1" spans="1:14">
      <c r="A1292" s="5"/>
      <c r="B1292" s="6" t="s">
        <v>4506</v>
      </c>
      <c r="C1292" s="6">
        <v>2018</v>
      </c>
      <c r="D1292" s="6">
        <v>10</v>
      </c>
      <c r="E1292" s="7">
        <v>9</v>
      </c>
      <c r="F1292" s="6" t="s">
        <v>10102</v>
      </c>
      <c r="G1292" s="6" t="s">
        <v>9370</v>
      </c>
      <c r="H1292" s="6" t="s">
        <v>26</v>
      </c>
      <c r="I1292" s="8">
        <v>2920.77</v>
      </c>
      <c r="J1292" s="8"/>
      <c r="K1292" s="6" t="s">
        <v>4509</v>
      </c>
      <c r="L1292" s="6" t="s">
        <v>9218</v>
      </c>
      <c r="M1292" s="6" t="s">
        <v>4510</v>
      </c>
      <c r="N1292" s="6" t="s">
        <v>4511</v>
      </c>
    </row>
    <row r="1293" s="1" customFormat="1" ht="16.35" customHeight="1" spans="1:14">
      <c r="A1293" s="5"/>
      <c r="B1293" s="6" t="s">
        <v>4506</v>
      </c>
      <c r="C1293" s="6">
        <v>2018</v>
      </c>
      <c r="D1293" s="6">
        <v>10</v>
      </c>
      <c r="E1293" s="7">
        <v>14</v>
      </c>
      <c r="F1293" s="6" t="s">
        <v>10103</v>
      </c>
      <c r="G1293" s="6" t="s">
        <v>9370</v>
      </c>
      <c r="H1293" s="6" t="s">
        <v>26</v>
      </c>
      <c r="I1293" s="8">
        <v>5000</v>
      </c>
      <c r="J1293" s="8"/>
      <c r="K1293" s="6" t="s">
        <v>4534</v>
      </c>
      <c r="L1293" s="6" t="s">
        <v>9998</v>
      </c>
      <c r="M1293" s="6" t="s">
        <v>4516</v>
      </c>
      <c r="N1293" s="6" t="s">
        <v>5082</v>
      </c>
    </row>
    <row r="1294" s="1" customFormat="1" ht="16.35" customHeight="1" spans="1:14">
      <c r="A1294" s="5"/>
      <c r="B1294" s="6" t="s">
        <v>4506</v>
      </c>
      <c r="C1294" s="6">
        <v>2018</v>
      </c>
      <c r="D1294" s="6">
        <v>10</v>
      </c>
      <c r="E1294" s="7">
        <v>15</v>
      </c>
      <c r="F1294" s="6" t="s">
        <v>10104</v>
      </c>
      <c r="G1294" s="6" t="s">
        <v>9370</v>
      </c>
      <c r="H1294" s="6" t="s">
        <v>26</v>
      </c>
      <c r="I1294" s="8"/>
      <c r="J1294" s="8">
        <v>2000</v>
      </c>
      <c r="K1294" s="6" t="s">
        <v>4534</v>
      </c>
      <c r="L1294" s="6" t="s">
        <v>9998</v>
      </c>
      <c r="M1294" s="6" t="s">
        <v>4516</v>
      </c>
      <c r="N1294" s="6" t="s">
        <v>5082</v>
      </c>
    </row>
    <row r="1295" s="1" customFormat="1" ht="16.35" customHeight="1" spans="1:14">
      <c r="A1295" s="5"/>
      <c r="B1295" s="6" t="s">
        <v>4506</v>
      </c>
      <c r="C1295" s="6">
        <v>2018</v>
      </c>
      <c r="D1295" s="6">
        <v>10</v>
      </c>
      <c r="E1295" s="7">
        <v>16</v>
      </c>
      <c r="F1295" s="6" t="s">
        <v>10105</v>
      </c>
      <c r="G1295" s="6" t="s">
        <v>9370</v>
      </c>
      <c r="H1295" s="6" t="s">
        <v>26</v>
      </c>
      <c r="I1295" s="8"/>
      <c r="J1295" s="8">
        <v>1000</v>
      </c>
      <c r="K1295" s="6" t="s">
        <v>4534</v>
      </c>
      <c r="L1295" s="6" t="s">
        <v>9998</v>
      </c>
      <c r="M1295" s="6" t="s">
        <v>4516</v>
      </c>
      <c r="N1295" s="6" t="s">
        <v>5082</v>
      </c>
    </row>
    <row r="1296" s="1" customFormat="1" ht="16.35" customHeight="1" spans="1:14">
      <c r="A1296" s="5"/>
      <c r="B1296" s="6" t="s">
        <v>4506</v>
      </c>
      <c r="C1296" s="6">
        <v>2018</v>
      </c>
      <c r="D1296" s="6">
        <v>10</v>
      </c>
      <c r="E1296" s="7">
        <v>17</v>
      </c>
      <c r="F1296" s="6" t="s">
        <v>10106</v>
      </c>
      <c r="G1296" s="6" t="s">
        <v>9370</v>
      </c>
      <c r="H1296" s="6" t="s">
        <v>26</v>
      </c>
      <c r="I1296" s="8"/>
      <c r="J1296" s="8">
        <v>1000</v>
      </c>
      <c r="K1296" s="6" t="s">
        <v>4534</v>
      </c>
      <c r="L1296" s="6" t="s">
        <v>9998</v>
      </c>
      <c r="M1296" s="6" t="s">
        <v>4516</v>
      </c>
      <c r="N1296" s="6" t="s">
        <v>5082</v>
      </c>
    </row>
    <row r="1297" s="1" customFormat="1" ht="16.35" customHeight="1" spans="1:14">
      <c r="A1297" s="5"/>
      <c r="B1297" s="6" t="s">
        <v>4506</v>
      </c>
      <c r="C1297" s="6">
        <v>2018</v>
      </c>
      <c r="D1297" s="6">
        <v>10</v>
      </c>
      <c r="E1297" s="7">
        <v>19</v>
      </c>
      <c r="F1297" s="6" t="s">
        <v>10107</v>
      </c>
      <c r="G1297" s="6" t="s">
        <v>9370</v>
      </c>
      <c r="H1297" s="6" t="s">
        <v>26</v>
      </c>
      <c r="I1297" s="8">
        <v>5079.11</v>
      </c>
      <c r="J1297" s="8"/>
      <c r="K1297" s="6" t="s">
        <v>4509</v>
      </c>
      <c r="L1297" s="6" t="s">
        <v>9218</v>
      </c>
      <c r="M1297" s="6" t="s">
        <v>4510</v>
      </c>
      <c r="N1297" s="6" t="s">
        <v>4511</v>
      </c>
    </row>
    <row r="1298" s="1" customFormat="1" ht="16.35" customHeight="1" spans="1:14">
      <c r="A1298" s="5"/>
      <c r="B1298" s="6" t="s">
        <v>4506</v>
      </c>
      <c r="C1298" s="6">
        <v>2018</v>
      </c>
      <c r="D1298" s="6">
        <v>10</v>
      </c>
      <c r="E1298" s="7">
        <v>20</v>
      </c>
      <c r="F1298" s="6" t="s">
        <v>10108</v>
      </c>
      <c r="G1298" s="6" t="s">
        <v>9370</v>
      </c>
      <c r="H1298" s="6" t="s">
        <v>26</v>
      </c>
      <c r="I1298" s="8"/>
      <c r="J1298" s="8">
        <v>1000</v>
      </c>
      <c r="K1298" s="6" t="s">
        <v>4534</v>
      </c>
      <c r="L1298" s="6" t="s">
        <v>9998</v>
      </c>
      <c r="M1298" s="6" t="s">
        <v>4516</v>
      </c>
      <c r="N1298" s="6" t="s">
        <v>5082</v>
      </c>
    </row>
    <row r="1299" s="1" customFormat="1" ht="16.35" customHeight="1" spans="1:14">
      <c r="A1299" s="5"/>
      <c r="B1299" s="6" t="s">
        <v>4506</v>
      </c>
      <c r="C1299" s="6">
        <v>2018</v>
      </c>
      <c r="D1299" s="6">
        <v>10</v>
      </c>
      <c r="E1299" s="7">
        <v>21</v>
      </c>
      <c r="F1299" s="6" t="s">
        <v>10109</v>
      </c>
      <c r="G1299" s="6" t="s">
        <v>9370</v>
      </c>
      <c r="H1299" s="6" t="s">
        <v>26</v>
      </c>
      <c r="I1299" s="8"/>
      <c r="J1299" s="8">
        <v>1000</v>
      </c>
      <c r="K1299" s="6" t="s">
        <v>4534</v>
      </c>
      <c r="L1299" s="6" t="s">
        <v>9998</v>
      </c>
      <c r="M1299" s="6" t="s">
        <v>4516</v>
      </c>
      <c r="N1299" s="6" t="s">
        <v>5082</v>
      </c>
    </row>
    <row r="1300" s="1" customFormat="1" ht="16.35" customHeight="1" spans="1:14">
      <c r="A1300" s="5"/>
      <c r="B1300" s="6" t="s">
        <v>4506</v>
      </c>
      <c r="C1300" s="6">
        <v>2018</v>
      </c>
      <c r="D1300" s="6">
        <v>10</v>
      </c>
      <c r="E1300" s="7">
        <v>22</v>
      </c>
      <c r="F1300" s="6" t="s">
        <v>10110</v>
      </c>
      <c r="G1300" s="6" t="s">
        <v>9370</v>
      </c>
      <c r="H1300" s="6" t="s">
        <v>26</v>
      </c>
      <c r="I1300" s="8"/>
      <c r="J1300" s="8">
        <v>1000</v>
      </c>
      <c r="K1300" s="6" t="s">
        <v>4534</v>
      </c>
      <c r="L1300" s="6" t="s">
        <v>9998</v>
      </c>
      <c r="M1300" s="6" t="s">
        <v>4516</v>
      </c>
      <c r="N1300" s="6" t="s">
        <v>5082</v>
      </c>
    </row>
    <row r="1301" s="1" customFormat="1" ht="16.35" customHeight="1" spans="1:14">
      <c r="A1301" s="5"/>
      <c r="B1301" s="6" t="s">
        <v>4506</v>
      </c>
      <c r="C1301" s="6">
        <v>2018</v>
      </c>
      <c r="D1301" s="6">
        <v>10</v>
      </c>
      <c r="E1301" s="7">
        <v>24</v>
      </c>
      <c r="F1301" s="6" t="s">
        <v>10111</v>
      </c>
      <c r="G1301" s="6" t="s">
        <v>9370</v>
      </c>
      <c r="H1301" s="6" t="s">
        <v>26</v>
      </c>
      <c r="I1301" s="8">
        <v>5000</v>
      </c>
      <c r="J1301" s="8"/>
      <c r="K1301" s="6" t="s">
        <v>4534</v>
      </c>
      <c r="L1301" s="6" t="s">
        <v>9998</v>
      </c>
      <c r="M1301" s="6" t="s">
        <v>4516</v>
      </c>
      <c r="N1301" s="6" t="s">
        <v>5082</v>
      </c>
    </row>
    <row r="1302" s="1" customFormat="1" ht="16.35" customHeight="1" spans="1:14">
      <c r="A1302" s="5"/>
      <c r="B1302" s="6" t="s">
        <v>4506</v>
      </c>
      <c r="C1302" s="6">
        <v>2018</v>
      </c>
      <c r="D1302" s="6">
        <v>10</v>
      </c>
      <c r="E1302" s="7">
        <v>31</v>
      </c>
      <c r="F1302" s="6" t="s">
        <v>10112</v>
      </c>
      <c r="G1302" s="6" t="s">
        <v>9370</v>
      </c>
      <c r="H1302" s="6" t="s">
        <v>26</v>
      </c>
      <c r="I1302" s="8">
        <v>100000</v>
      </c>
      <c r="J1302" s="8"/>
      <c r="K1302" s="6" t="s">
        <v>4512</v>
      </c>
      <c r="L1302" s="6" t="s">
        <v>2906</v>
      </c>
      <c r="M1302" s="6" t="s">
        <v>4509</v>
      </c>
      <c r="N1302" s="6" t="s">
        <v>4537</v>
      </c>
    </row>
    <row r="1303" s="1" customFormat="1" ht="16.35" customHeight="1" spans="1:14">
      <c r="A1303" s="5"/>
      <c r="B1303" s="6" t="s">
        <v>4506</v>
      </c>
      <c r="C1303" s="6">
        <v>2018</v>
      </c>
      <c r="D1303" s="6">
        <v>10</v>
      </c>
      <c r="E1303" s="7">
        <v>42</v>
      </c>
      <c r="F1303" s="6" t="s">
        <v>10113</v>
      </c>
      <c r="G1303" s="6" t="s">
        <v>9370</v>
      </c>
      <c r="H1303" s="6" t="s">
        <v>26</v>
      </c>
      <c r="I1303" s="8">
        <v>10000</v>
      </c>
      <c r="J1303" s="8"/>
      <c r="K1303" s="6" t="s">
        <v>4509</v>
      </c>
      <c r="L1303" s="6" t="s">
        <v>9218</v>
      </c>
      <c r="M1303" s="6" t="s">
        <v>4509</v>
      </c>
      <c r="N1303" s="6" t="s">
        <v>4537</v>
      </c>
    </row>
    <row r="1304" s="1" customFormat="1" ht="25" customHeight="1" spans="1:14">
      <c r="A1304" s="5"/>
      <c r="B1304" s="6" t="s">
        <v>4506</v>
      </c>
      <c r="C1304" s="6">
        <v>2018</v>
      </c>
      <c r="D1304" s="6">
        <v>10</v>
      </c>
      <c r="E1304" s="7">
        <v>47</v>
      </c>
      <c r="F1304" s="6" t="s">
        <v>10114</v>
      </c>
      <c r="G1304" s="6" t="s">
        <v>9370</v>
      </c>
      <c r="H1304" s="6" t="s">
        <v>26</v>
      </c>
      <c r="I1304" s="8">
        <v>21000</v>
      </c>
      <c r="J1304" s="8"/>
      <c r="K1304" s="6" t="s">
        <v>4534</v>
      </c>
      <c r="L1304" s="6" t="s">
        <v>9998</v>
      </c>
      <c r="M1304" s="6" t="s">
        <v>4516</v>
      </c>
      <c r="N1304" s="6" t="s">
        <v>5082</v>
      </c>
    </row>
    <row r="1305" s="1" customFormat="1" ht="16.35" customHeight="1" spans="1:14">
      <c r="A1305" s="5"/>
      <c r="B1305" s="6" t="s">
        <v>4506</v>
      </c>
      <c r="C1305" s="6">
        <v>2018</v>
      </c>
      <c r="D1305" s="6">
        <v>10</v>
      </c>
      <c r="E1305" s="7">
        <v>51</v>
      </c>
      <c r="F1305" s="6" t="s">
        <v>3916</v>
      </c>
      <c r="G1305" s="6" t="s">
        <v>9370</v>
      </c>
      <c r="H1305" s="6" t="s">
        <v>26</v>
      </c>
      <c r="I1305" s="8"/>
      <c r="J1305" s="8">
        <v>63000</v>
      </c>
      <c r="K1305" s="6" t="s">
        <v>4512</v>
      </c>
      <c r="L1305" s="6" t="s">
        <v>2906</v>
      </c>
      <c r="M1305" s="6" t="s">
        <v>4516</v>
      </c>
      <c r="N1305" s="6" t="s">
        <v>5082</v>
      </c>
    </row>
    <row r="1306" s="1" customFormat="1" ht="16.35" customHeight="1" spans="1:14">
      <c r="A1306" s="5"/>
      <c r="B1306" s="6" t="s">
        <v>4506</v>
      </c>
      <c r="C1306" s="6">
        <v>2018</v>
      </c>
      <c r="D1306" s="6">
        <v>10</v>
      </c>
      <c r="E1306" s="7">
        <v>52</v>
      </c>
      <c r="F1306" s="6" t="s">
        <v>10115</v>
      </c>
      <c r="G1306" s="6" t="s">
        <v>9370</v>
      </c>
      <c r="H1306" s="6" t="s">
        <v>26</v>
      </c>
      <c r="I1306" s="8">
        <v>500000</v>
      </c>
      <c r="J1306" s="8"/>
      <c r="K1306" s="6" t="s">
        <v>4509</v>
      </c>
      <c r="L1306" s="6" t="s">
        <v>9218</v>
      </c>
      <c r="M1306" s="6" t="s">
        <v>4509</v>
      </c>
      <c r="N1306" s="6" t="s">
        <v>4537</v>
      </c>
    </row>
    <row r="1307" s="1" customFormat="1" ht="16.35" customHeight="1" spans="1:14">
      <c r="A1307" s="5"/>
      <c r="B1307" s="6" t="s">
        <v>4506</v>
      </c>
      <c r="C1307" s="6">
        <v>2018</v>
      </c>
      <c r="D1307" s="6">
        <v>10</v>
      </c>
      <c r="E1307" s="7">
        <v>53</v>
      </c>
      <c r="F1307" s="6" t="s">
        <v>10116</v>
      </c>
      <c r="G1307" s="6" t="s">
        <v>9370</v>
      </c>
      <c r="H1307" s="6" t="s">
        <v>26</v>
      </c>
      <c r="I1307" s="8">
        <v>6794.51</v>
      </c>
      <c r="J1307" s="8"/>
      <c r="K1307" s="6" t="s">
        <v>4509</v>
      </c>
      <c r="L1307" s="6" t="s">
        <v>9218</v>
      </c>
      <c r="M1307" s="6" t="s">
        <v>4510</v>
      </c>
      <c r="N1307" s="6" t="s">
        <v>4511</v>
      </c>
    </row>
    <row r="1308" s="1" customFormat="1" ht="16.35" customHeight="1" spans="1:14">
      <c r="A1308" s="5"/>
      <c r="B1308" s="6" t="s">
        <v>4506</v>
      </c>
      <c r="C1308" s="6">
        <v>2018</v>
      </c>
      <c r="D1308" s="6">
        <v>11</v>
      </c>
      <c r="E1308" s="7">
        <v>24</v>
      </c>
      <c r="F1308" s="6" t="s">
        <v>10117</v>
      </c>
      <c r="G1308" s="6" t="s">
        <v>9370</v>
      </c>
      <c r="H1308" s="6" t="s">
        <v>26</v>
      </c>
      <c r="I1308" s="8">
        <v>5000</v>
      </c>
      <c r="J1308" s="8"/>
      <c r="K1308" s="6" t="s">
        <v>4534</v>
      </c>
      <c r="L1308" s="6" t="s">
        <v>9998</v>
      </c>
      <c r="M1308" s="6" t="s">
        <v>4516</v>
      </c>
      <c r="N1308" s="6" t="s">
        <v>5082</v>
      </c>
    </row>
    <row r="1309" s="1" customFormat="1" ht="16.35" customHeight="1" spans="1:14">
      <c r="A1309" s="5"/>
      <c r="B1309" s="6" t="s">
        <v>4506</v>
      </c>
      <c r="C1309" s="6">
        <v>2018</v>
      </c>
      <c r="D1309" s="6">
        <v>11</v>
      </c>
      <c r="E1309" s="7">
        <v>25</v>
      </c>
      <c r="F1309" s="6" t="s">
        <v>10118</v>
      </c>
      <c r="G1309" s="6" t="s">
        <v>9370</v>
      </c>
      <c r="H1309" s="6" t="s">
        <v>26</v>
      </c>
      <c r="I1309" s="8">
        <v>5000</v>
      </c>
      <c r="J1309" s="8"/>
      <c r="K1309" s="6" t="s">
        <v>4534</v>
      </c>
      <c r="L1309" s="6" t="s">
        <v>9998</v>
      </c>
      <c r="M1309" s="6" t="s">
        <v>4516</v>
      </c>
      <c r="N1309" s="6" t="s">
        <v>5082</v>
      </c>
    </row>
    <row r="1310" s="1" customFormat="1" ht="16.35" customHeight="1" spans="1:14">
      <c r="A1310" s="5"/>
      <c r="B1310" s="6" t="s">
        <v>4506</v>
      </c>
      <c r="C1310" s="6">
        <v>2018</v>
      </c>
      <c r="D1310" s="6">
        <v>11</v>
      </c>
      <c r="E1310" s="7">
        <v>26</v>
      </c>
      <c r="F1310" s="6" t="s">
        <v>10119</v>
      </c>
      <c r="G1310" s="6" t="s">
        <v>9370</v>
      </c>
      <c r="H1310" s="6" t="s">
        <v>26</v>
      </c>
      <c r="I1310" s="8">
        <v>5000</v>
      </c>
      <c r="J1310" s="8"/>
      <c r="K1310" s="6" t="s">
        <v>4534</v>
      </c>
      <c r="L1310" s="6" t="s">
        <v>9998</v>
      </c>
      <c r="M1310" s="6" t="s">
        <v>4516</v>
      </c>
      <c r="N1310" s="6" t="s">
        <v>5082</v>
      </c>
    </row>
    <row r="1311" s="1" customFormat="1" ht="16.35" customHeight="1" spans="1:14">
      <c r="A1311" s="5"/>
      <c r="B1311" s="6" t="s">
        <v>4506</v>
      </c>
      <c r="C1311" s="6">
        <v>2018</v>
      </c>
      <c r="D1311" s="6">
        <v>11</v>
      </c>
      <c r="E1311" s="7">
        <v>27</v>
      </c>
      <c r="F1311" s="6" t="s">
        <v>10120</v>
      </c>
      <c r="G1311" s="6" t="s">
        <v>9370</v>
      </c>
      <c r="H1311" s="6" t="s">
        <v>26</v>
      </c>
      <c r="I1311" s="8">
        <v>5000</v>
      </c>
      <c r="J1311" s="8"/>
      <c r="K1311" s="6" t="s">
        <v>4534</v>
      </c>
      <c r="L1311" s="6" t="s">
        <v>9998</v>
      </c>
      <c r="M1311" s="6" t="s">
        <v>4516</v>
      </c>
      <c r="N1311" s="6" t="s">
        <v>5082</v>
      </c>
    </row>
    <row r="1312" s="1" customFormat="1" ht="16.35" customHeight="1" spans="1:14">
      <c r="A1312" s="5"/>
      <c r="B1312" s="6" t="s">
        <v>4506</v>
      </c>
      <c r="C1312" s="6">
        <v>2018</v>
      </c>
      <c r="D1312" s="6">
        <v>11</v>
      </c>
      <c r="E1312" s="7">
        <v>28</v>
      </c>
      <c r="F1312" s="6" t="s">
        <v>10121</v>
      </c>
      <c r="G1312" s="6" t="s">
        <v>9370</v>
      </c>
      <c r="H1312" s="6" t="s">
        <v>26</v>
      </c>
      <c r="I1312" s="8">
        <v>5000</v>
      </c>
      <c r="J1312" s="8"/>
      <c r="K1312" s="6" t="s">
        <v>4534</v>
      </c>
      <c r="L1312" s="6" t="s">
        <v>9998</v>
      </c>
      <c r="M1312" s="6" t="s">
        <v>4516</v>
      </c>
      <c r="N1312" s="6" t="s">
        <v>5082</v>
      </c>
    </row>
    <row r="1313" s="1" customFormat="1" ht="16.35" customHeight="1" spans="1:14">
      <c r="A1313" s="5"/>
      <c r="B1313" s="6" t="s">
        <v>4506</v>
      </c>
      <c r="C1313" s="6">
        <v>2018</v>
      </c>
      <c r="D1313" s="6">
        <v>11</v>
      </c>
      <c r="E1313" s="7">
        <v>29</v>
      </c>
      <c r="F1313" s="6" t="s">
        <v>10122</v>
      </c>
      <c r="G1313" s="6" t="s">
        <v>9370</v>
      </c>
      <c r="H1313" s="6" t="s">
        <v>26</v>
      </c>
      <c r="I1313" s="8"/>
      <c r="J1313" s="8">
        <v>3000</v>
      </c>
      <c r="K1313" s="6" t="s">
        <v>2936</v>
      </c>
      <c r="L1313" s="6" t="s">
        <v>10123</v>
      </c>
      <c r="M1313" s="6" t="s">
        <v>4510</v>
      </c>
      <c r="N1313" s="6" t="s">
        <v>4511</v>
      </c>
    </row>
    <row r="1314" s="1" customFormat="1" ht="16.35" customHeight="1" spans="1:14">
      <c r="A1314" s="5"/>
      <c r="B1314" s="6" t="s">
        <v>4506</v>
      </c>
      <c r="C1314" s="6">
        <v>2018</v>
      </c>
      <c r="D1314" s="6">
        <v>11</v>
      </c>
      <c r="E1314" s="7">
        <v>29</v>
      </c>
      <c r="F1314" s="6" t="s">
        <v>10122</v>
      </c>
      <c r="G1314" s="6" t="s">
        <v>9370</v>
      </c>
      <c r="H1314" s="6" t="s">
        <v>26</v>
      </c>
      <c r="I1314" s="8">
        <v>3000</v>
      </c>
      <c r="J1314" s="8"/>
      <c r="K1314" s="6" t="s">
        <v>2936</v>
      </c>
      <c r="L1314" s="6" t="s">
        <v>10123</v>
      </c>
      <c r="M1314" s="6" t="s">
        <v>4510</v>
      </c>
      <c r="N1314" s="6" t="s">
        <v>4511</v>
      </c>
    </row>
    <row r="1315" s="1" customFormat="1" ht="16.35" customHeight="1" spans="1:14">
      <c r="A1315" s="5"/>
      <c r="B1315" s="6" t="s">
        <v>4506</v>
      </c>
      <c r="C1315" s="6">
        <v>2018</v>
      </c>
      <c r="D1315" s="6">
        <v>11</v>
      </c>
      <c r="E1315" s="7">
        <v>38</v>
      </c>
      <c r="F1315" s="6" t="s">
        <v>5036</v>
      </c>
      <c r="G1315" s="6" t="s">
        <v>9370</v>
      </c>
      <c r="H1315" s="6" t="s">
        <v>26</v>
      </c>
      <c r="I1315" s="8"/>
      <c r="J1315" s="8">
        <v>200000</v>
      </c>
      <c r="K1315" s="6" t="s">
        <v>2976</v>
      </c>
      <c r="L1315" s="6" t="s">
        <v>9860</v>
      </c>
      <c r="M1315" s="6" t="s">
        <v>4510</v>
      </c>
      <c r="N1315" s="6" t="s">
        <v>4511</v>
      </c>
    </row>
    <row r="1316" s="1" customFormat="1" ht="16.35" customHeight="1" spans="1:14">
      <c r="A1316" s="5"/>
      <c r="B1316" s="6" t="s">
        <v>4506</v>
      </c>
      <c r="C1316" s="6">
        <v>2018</v>
      </c>
      <c r="D1316" s="6">
        <v>11</v>
      </c>
      <c r="E1316" s="7">
        <v>40</v>
      </c>
      <c r="F1316" s="6" t="s">
        <v>3921</v>
      </c>
      <c r="G1316" s="6" t="s">
        <v>9370</v>
      </c>
      <c r="H1316" s="6" t="s">
        <v>26</v>
      </c>
      <c r="I1316" s="8"/>
      <c r="J1316" s="8">
        <v>13000</v>
      </c>
      <c r="K1316" s="6" t="s">
        <v>4512</v>
      </c>
      <c r="L1316" s="6" t="s">
        <v>2906</v>
      </c>
      <c r="M1316" s="6" t="s">
        <v>4516</v>
      </c>
      <c r="N1316" s="6" t="s">
        <v>5082</v>
      </c>
    </row>
    <row r="1317" s="1" customFormat="1" ht="16.35" customHeight="1" spans="1:14">
      <c r="A1317" s="5"/>
      <c r="B1317" s="6" t="s">
        <v>4506</v>
      </c>
      <c r="C1317" s="6">
        <v>2018</v>
      </c>
      <c r="D1317" s="6">
        <v>11</v>
      </c>
      <c r="E1317" s="7">
        <v>41</v>
      </c>
      <c r="F1317" s="6" t="s">
        <v>10124</v>
      </c>
      <c r="G1317" s="6" t="s">
        <v>9370</v>
      </c>
      <c r="H1317" s="6" t="s">
        <v>26</v>
      </c>
      <c r="I1317" s="8"/>
      <c r="J1317" s="8">
        <v>3000</v>
      </c>
      <c r="K1317" s="6" t="s">
        <v>4509</v>
      </c>
      <c r="L1317" s="6" t="s">
        <v>9218</v>
      </c>
      <c r="M1317" s="6" t="s">
        <v>4510</v>
      </c>
      <c r="N1317" s="6" t="s">
        <v>4511</v>
      </c>
    </row>
    <row r="1318" s="1" customFormat="1" ht="16.35" customHeight="1" spans="1:14">
      <c r="A1318" s="5"/>
      <c r="B1318" s="6" t="s">
        <v>4506</v>
      </c>
      <c r="C1318" s="6">
        <v>2018</v>
      </c>
      <c r="D1318" s="6">
        <v>11</v>
      </c>
      <c r="E1318" s="7">
        <v>41</v>
      </c>
      <c r="F1318" s="6" t="s">
        <v>10124</v>
      </c>
      <c r="G1318" s="6" t="s">
        <v>9370</v>
      </c>
      <c r="H1318" s="6" t="s">
        <v>26</v>
      </c>
      <c r="I1318" s="8">
        <v>3000</v>
      </c>
      <c r="J1318" s="8"/>
      <c r="K1318" s="6" t="s">
        <v>4509</v>
      </c>
      <c r="L1318" s="6" t="s">
        <v>9218</v>
      </c>
      <c r="M1318" s="6" t="s">
        <v>4510</v>
      </c>
      <c r="N1318" s="6" t="s">
        <v>4511</v>
      </c>
    </row>
    <row r="1319" s="1" customFormat="1" ht="16.35" customHeight="1" spans="1:14">
      <c r="A1319" s="5"/>
      <c r="B1319" s="6" t="s">
        <v>4506</v>
      </c>
      <c r="C1319" s="6">
        <v>2018</v>
      </c>
      <c r="D1319" s="6">
        <v>11</v>
      </c>
      <c r="E1319" s="7">
        <v>47</v>
      </c>
      <c r="F1319" s="6" t="s">
        <v>3870</v>
      </c>
      <c r="G1319" s="6" t="s">
        <v>9370</v>
      </c>
      <c r="H1319" s="6" t="s">
        <v>26</v>
      </c>
      <c r="I1319" s="8"/>
      <c r="J1319" s="8">
        <v>5000</v>
      </c>
      <c r="K1319" s="6" t="s">
        <v>4512</v>
      </c>
      <c r="L1319" s="6" t="s">
        <v>2906</v>
      </c>
      <c r="M1319" s="6" t="s">
        <v>4516</v>
      </c>
      <c r="N1319" s="6" t="s">
        <v>5082</v>
      </c>
    </row>
    <row r="1320" s="1" customFormat="1" ht="16.35" customHeight="1" spans="1:14">
      <c r="A1320" s="5"/>
      <c r="B1320" s="6" t="s">
        <v>4506</v>
      </c>
      <c r="C1320" s="6">
        <v>2018</v>
      </c>
      <c r="D1320" s="6">
        <v>11</v>
      </c>
      <c r="E1320" s="7">
        <v>49</v>
      </c>
      <c r="F1320" s="6" t="s">
        <v>10125</v>
      </c>
      <c r="G1320" s="6" t="s">
        <v>9370</v>
      </c>
      <c r="H1320" s="6" t="s">
        <v>26</v>
      </c>
      <c r="I1320" s="8"/>
      <c r="J1320" s="8">
        <v>1344</v>
      </c>
      <c r="K1320" s="6" t="s">
        <v>2938</v>
      </c>
      <c r="L1320" s="6" t="s">
        <v>10126</v>
      </c>
      <c r="M1320" s="6" t="s">
        <v>4516</v>
      </c>
      <c r="N1320" s="6" t="s">
        <v>5082</v>
      </c>
    </row>
    <row r="1321" s="1" customFormat="1" ht="16.35" customHeight="1" spans="1:14">
      <c r="A1321" s="5"/>
      <c r="B1321" s="6" t="s">
        <v>4506</v>
      </c>
      <c r="C1321" s="6">
        <v>2018</v>
      </c>
      <c r="D1321" s="6">
        <v>11</v>
      </c>
      <c r="E1321" s="7">
        <v>49</v>
      </c>
      <c r="F1321" s="6" t="s">
        <v>10125</v>
      </c>
      <c r="G1321" s="6" t="s">
        <v>9370</v>
      </c>
      <c r="H1321" s="6" t="s">
        <v>26</v>
      </c>
      <c r="I1321" s="8">
        <v>1344</v>
      </c>
      <c r="J1321" s="8"/>
      <c r="K1321" s="6" t="s">
        <v>2938</v>
      </c>
      <c r="L1321" s="6" t="s">
        <v>10126</v>
      </c>
      <c r="M1321" s="6" t="s">
        <v>4516</v>
      </c>
      <c r="N1321" s="6" t="s">
        <v>5082</v>
      </c>
    </row>
    <row r="1322" s="1" customFormat="1" ht="25" customHeight="1" spans="1:14">
      <c r="A1322" s="5"/>
      <c r="B1322" s="6" t="s">
        <v>4506</v>
      </c>
      <c r="C1322" s="6">
        <v>2018</v>
      </c>
      <c r="D1322" s="6">
        <v>11</v>
      </c>
      <c r="E1322" s="7">
        <v>51</v>
      </c>
      <c r="F1322" s="6" t="s">
        <v>10127</v>
      </c>
      <c r="G1322" s="6" t="s">
        <v>9370</v>
      </c>
      <c r="H1322" s="6" t="s">
        <v>26</v>
      </c>
      <c r="I1322" s="8">
        <v>2602</v>
      </c>
      <c r="J1322" s="8"/>
      <c r="K1322" s="6" t="s">
        <v>4509</v>
      </c>
      <c r="L1322" s="6" t="s">
        <v>9218</v>
      </c>
      <c r="M1322" s="6" t="s">
        <v>4509</v>
      </c>
      <c r="N1322" s="6" t="s">
        <v>4537</v>
      </c>
    </row>
    <row r="1323" s="1" customFormat="1" ht="16.35" customHeight="1" spans="1:14">
      <c r="A1323" s="5"/>
      <c r="B1323" s="6" t="s">
        <v>4506</v>
      </c>
      <c r="C1323" s="6">
        <v>2018</v>
      </c>
      <c r="D1323" s="6">
        <v>11</v>
      </c>
      <c r="E1323" s="7">
        <v>52</v>
      </c>
      <c r="F1323" s="6" t="s">
        <v>10128</v>
      </c>
      <c r="G1323" s="6" t="s">
        <v>9370</v>
      </c>
      <c r="H1323" s="6" t="s">
        <v>26</v>
      </c>
      <c r="I1323" s="8">
        <v>545</v>
      </c>
      <c r="J1323" s="8"/>
      <c r="K1323" s="6" t="s">
        <v>4509</v>
      </c>
      <c r="L1323" s="6" t="s">
        <v>9218</v>
      </c>
      <c r="M1323" s="6" t="s">
        <v>4509</v>
      </c>
      <c r="N1323" s="6" t="s">
        <v>4537</v>
      </c>
    </row>
    <row r="1324" s="1" customFormat="1" ht="16.35" customHeight="1" spans="1:14">
      <c r="A1324" s="5"/>
      <c r="B1324" s="6" t="s">
        <v>4506</v>
      </c>
      <c r="C1324" s="6">
        <v>2018</v>
      </c>
      <c r="D1324" s="6">
        <v>11</v>
      </c>
      <c r="E1324" s="7">
        <v>53</v>
      </c>
      <c r="F1324" s="6" t="s">
        <v>10129</v>
      </c>
      <c r="G1324" s="6" t="s">
        <v>9370</v>
      </c>
      <c r="H1324" s="6" t="s">
        <v>26</v>
      </c>
      <c r="I1324" s="8">
        <v>21500</v>
      </c>
      <c r="J1324" s="8"/>
      <c r="K1324" s="6" t="s">
        <v>2976</v>
      </c>
      <c r="L1324" s="6" t="s">
        <v>9860</v>
      </c>
      <c r="M1324" s="6" t="s">
        <v>4510</v>
      </c>
      <c r="N1324" s="6" t="s">
        <v>4511</v>
      </c>
    </row>
    <row r="1325" s="1" customFormat="1" ht="16.35" customHeight="1" spans="1:14">
      <c r="A1325" s="5"/>
      <c r="B1325" s="6" t="s">
        <v>4506</v>
      </c>
      <c r="C1325" s="6">
        <v>2018</v>
      </c>
      <c r="D1325" s="6">
        <v>11</v>
      </c>
      <c r="E1325" s="7">
        <v>56</v>
      </c>
      <c r="F1325" s="6" t="s">
        <v>3924</v>
      </c>
      <c r="G1325" s="6" t="s">
        <v>9370</v>
      </c>
      <c r="H1325" s="6" t="s">
        <v>26</v>
      </c>
      <c r="I1325" s="8"/>
      <c r="J1325" s="8">
        <v>100000</v>
      </c>
      <c r="K1325" s="6" t="s">
        <v>4512</v>
      </c>
      <c r="L1325" s="6" t="s">
        <v>2906</v>
      </c>
      <c r="M1325" s="6" t="s">
        <v>4516</v>
      </c>
      <c r="N1325" s="6" t="s">
        <v>5082</v>
      </c>
    </row>
    <row r="1326" s="1" customFormat="1" ht="25" customHeight="1" spans="1:14">
      <c r="A1326" s="5"/>
      <c r="B1326" s="6" t="s">
        <v>4506</v>
      </c>
      <c r="C1326" s="6">
        <v>2018</v>
      </c>
      <c r="D1326" s="6">
        <v>11</v>
      </c>
      <c r="E1326" s="7">
        <v>60</v>
      </c>
      <c r="F1326" s="6" t="s">
        <v>10130</v>
      </c>
      <c r="G1326" s="6" t="s">
        <v>9370</v>
      </c>
      <c r="H1326" s="6" t="s">
        <v>26</v>
      </c>
      <c r="I1326" s="8">
        <v>23000</v>
      </c>
      <c r="J1326" s="8"/>
      <c r="K1326" s="6" t="s">
        <v>4534</v>
      </c>
      <c r="L1326" s="6" t="s">
        <v>9998</v>
      </c>
      <c r="M1326" s="6" t="s">
        <v>4516</v>
      </c>
      <c r="N1326" s="6" t="s">
        <v>5082</v>
      </c>
    </row>
    <row r="1327" s="1" customFormat="1" ht="16.35" customHeight="1" spans="1:14">
      <c r="A1327" s="5"/>
      <c r="B1327" s="6" t="s">
        <v>4506</v>
      </c>
      <c r="C1327" s="6">
        <v>2018</v>
      </c>
      <c r="D1327" s="6">
        <v>11</v>
      </c>
      <c r="E1327" s="7">
        <v>62</v>
      </c>
      <c r="F1327" s="6" t="s">
        <v>10131</v>
      </c>
      <c r="G1327" s="6" t="s">
        <v>9370</v>
      </c>
      <c r="H1327" s="6" t="s">
        <v>26</v>
      </c>
      <c r="I1327" s="8"/>
      <c r="J1327" s="8">
        <v>22552</v>
      </c>
      <c r="K1327" s="6" t="s">
        <v>4509</v>
      </c>
      <c r="L1327" s="6" t="s">
        <v>9218</v>
      </c>
      <c r="M1327" s="6" t="s">
        <v>4509</v>
      </c>
      <c r="N1327" s="6" t="s">
        <v>4537</v>
      </c>
    </row>
    <row r="1328" s="1" customFormat="1" ht="16.35" customHeight="1" spans="1:14">
      <c r="A1328" s="5"/>
      <c r="B1328" s="6" t="s">
        <v>4506</v>
      </c>
      <c r="C1328" s="6">
        <v>2018</v>
      </c>
      <c r="D1328" s="6">
        <v>11</v>
      </c>
      <c r="E1328" s="7">
        <v>68</v>
      </c>
      <c r="F1328" s="6" t="s">
        <v>10132</v>
      </c>
      <c r="G1328" s="6" t="s">
        <v>9370</v>
      </c>
      <c r="H1328" s="6" t="s">
        <v>26</v>
      </c>
      <c r="I1328" s="8">
        <v>3500000</v>
      </c>
      <c r="J1328" s="8"/>
      <c r="K1328" s="6" t="s">
        <v>4509</v>
      </c>
      <c r="L1328" s="6" t="s">
        <v>9218</v>
      </c>
      <c r="M1328" s="6" t="s">
        <v>4509</v>
      </c>
      <c r="N1328" s="6" t="s">
        <v>4537</v>
      </c>
    </row>
    <row r="1329" s="1" customFormat="1" ht="16.35" customHeight="1" spans="1:14">
      <c r="A1329" s="5"/>
      <c r="B1329" s="6" t="s">
        <v>4506</v>
      </c>
      <c r="C1329" s="6">
        <v>2018</v>
      </c>
      <c r="D1329" s="6">
        <v>12</v>
      </c>
      <c r="E1329" s="7">
        <v>1</v>
      </c>
      <c r="F1329" s="6" t="s">
        <v>10133</v>
      </c>
      <c r="G1329" s="6" t="s">
        <v>9370</v>
      </c>
      <c r="H1329" s="6" t="s">
        <v>26</v>
      </c>
      <c r="I1329" s="8"/>
      <c r="J1329" s="8">
        <v>406211.36</v>
      </c>
      <c r="K1329" s="6" t="s">
        <v>4509</v>
      </c>
      <c r="L1329" s="6" t="s">
        <v>9218</v>
      </c>
      <c r="M1329" s="6" t="s">
        <v>4516</v>
      </c>
      <c r="N1329" s="6" t="s">
        <v>5082</v>
      </c>
    </row>
    <row r="1330" s="1" customFormat="1" ht="16.35" customHeight="1" spans="1:14">
      <c r="A1330" s="5"/>
      <c r="B1330" s="6" t="s">
        <v>4506</v>
      </c>
      <c r="C1330" s="6">
        <v>2018</v>
      </c>
      <c r="D1330" s="6">
        <v>12</v>
      </c>
      <c r="E1330" s="7">
        <v>13</v>
      </c>
      <c r="F1330" s="6" t="s">
        <v>10134</v>
      </c>
      <c r="G1330" s="6" t="s">
        <v>9370</v>
      </c>
      <c r="H1330" s="6" t="s">
        <v>26</v>
      </c>
      <c r="I1330" s="8">
        <v>168</v>
      </c>
      <c r="J1330" s="8"/>
      <c r="K1330" s="6" t="s">
        <v>2940</v>
      </c>
      <c r="L1330" s="6" t="s">
        <v>10135</v>
      </c>
      <c r="M1330" s="6" t="s">
        <v>4509</v>
      </c>
      <c r="N1330" s="6" t="s">
        <v>4537</v>
      </c>
    </row>
    <row r="1331" s="1" customFormat="1" ht="16.35" customHeight="1" spans="1:14">
      <c r="A1331" s="5"/>
      <c r="B1331" s="6" t="s">
        <v>4506</v>
      </c>
      <c r="C1331" s="6">
        <v>2018</v>
      </c>
      <c r="D1331" s="6">
        <v>12</v>
      </c>
      <c r="E1331" s="7">
        <v>14</v>
      </c>
      <c r="F1331" s="6" t="s">
        <v>10136</v>
      </c>
      <c r="G1331" s="6" t="s">
        <v>9370</v>
      </c>
      <c r="H1331" s="6" t="s">
        <v>26</v>
      </c>
      <c r="I1331" s="8"/>
      <c r="J1331" s="8">
        <v>200</v>
      </c>
      <c r="K1331" s="6" t="s">
        <v>4512</v>
      </c>
      <c r="L1331" s="6" t="s">
        <v>2906</v>
      </c>
      <c r="M1331" s="6" t="s">
        <v>4509</v>
      </c>
      <c r="N1331" s="6" t="s">
        <v>4537</v>
      </c>
    </row>
    <row r="1332" s="1" customFormat="1" ht="16.35" customHeight="1" spans="1:14">
      <c r="A1332" s="5"/>
      <c r="B1332" s="6" t="s">
        <v>4506</v>
      </c>
      <c r="C1332" s="6">
        <v>2018</v>
      </c>
      <c r="D1332" s="6">
        <v>12</v>
      </c>
      <c r="E1332" s="7">
        <v>15</v>
      </c>
      <c r="F1332" s="6" t="s">
        <v>10137</v>
      </c>
      <c r="G1332" s="6" t="s">
        <v>9370</v>
      </c>
      <c r="H1332" s="6" t="s">
        <v>26</v>
      </c>
      <c r="I1332" s="8">
        <v>5000</v>
      </c>
      <c r="J1332" s="8"/>
      <c r="K1332" s="6" t="s">
        <v>4534</v>
      </c>
      <c r="L1332" s="6" t="s">
        <v>9998</v>
      </c>
      <c r="M1332" s="6" t="s">
        <v>4516</v>
      </c>
      <c r="N1332" s="6" t="s">
        <v>5082</v>
      </c>
    </row>
    <row r="1333" s="1" customFormat="1" ht="16.35" customHeight="1" spans="1:14">
      <c r="A1333" s="5"/>
      <c r="B1333" s="6" t="s">
        <v>4506</v>
      </c>
      <c r="C1333" s="6">
        <v>2018</v>
      </c>
      <c r="D1333" s="6">
        <v>12</v>
      </c>
      <c r="E1333" s="7">
        <v>19</v>
      </c>
      <c r="F1333" s="6" t="s">
        <v>10138</v>
      </c>
      <c r="G1333" s="6" t="s">
        <v>9370</v>
      </c>
      <c r="H1333" s="6" t="s">
        <v>26</v>
      </c>
      <c r="I1333" s="8">
        <v>5000</v>
      </c>
      <c r="J1333" s="8"/>
      <c r="K1333" s="6" t="s">
        <v>4534</v>
      </c>
      <c r="L1333" s="6" t="s">
        <v>9998</v>
      </c>
      <c r="M1333" s="6" t="s">
        <v>4516</v>
      </c>
      <c r="N1333" s="6" t="s">
        <v>5082</v>
      </c>
    </row>
    <row r="1334" s="1" customFormat="1" ht="16.35" customHeight="1" spans="1:14">
      <c r="A1334" s="5"/>
      <c r="B1334" s="6" t="s">
        <v>4506</v>
      </c>
      <c r="C1334" s="6">
        <v>2018</v>
      </c>
      <c r="D1334" s="6">
        <v>12</v>
      </c>
      <c r="E1334" s="7">
        <v>21</v>
      </c>
      <c r="F1334" s="6" t="s">
        <v>10139</v>
      </c>
      <c r="G1334" s="6" t="s">
        <v>9370</v>
      </c>
      <c r="H1334" s="6" t="s">
        <v>26</v>
      </c>
      <c r="I1334" s="8">
        <v>5000</v>
      </c>
      <c r="J1334" s="8"/>
      <c r="K1334" s="6" t="s">
        <v>4534</v>
      </c>
      <c r="L1334" s="6" t="s">
        <v>9998</v>
      </c>
      <c r="M1334" s="6" t="s">
        <v>4516</v>
      </c>
      <c r="N1334" s="6" t="s">
        <v>5082</v>
      </c>
    </row>
    <row r="1335" s="1" customFormat="1" ht="16.35" customHeight="1" spans="1:14">
      <c r="A1335" s="5"/>
      <c r="B1335" s="6" t="s">
        <v>4506</v>
      </c>
      <c r="C1335" s="6">
        <v>2018</v>
      </c>
      <c r="D1335" s="6">
        <v>12</v>
      </c>
      <c r="E1335" s="7">
        <v>23</v>
      </c>
      <c r="F1335" s="6" t="s">
        <v>10140</v>
      </c>
      <c r="G1335" s="6" t="s">
        <v>9370</v>
      </c>
      <c r="H1335" s="6" t="s">
        <v>26</v>
      </c>
      <c r="I1335" s="8">
        <v>465</v>
      </c>
      <c r="J1335" s="8"/>
      <c r="K1335" s="6" t="s">
        <v>4509</v>
      </c>
      <c r="L1335" s="6" t="s">
        <v>9218</v>
      </c>
      <c r="M1335" s="6" t="s">
        <v>4509</v>
      </c>
      <c r="N1335" s="6" t="s">
        <v>4537</v>
      </c>
    </row>
    <row r="1336" s="1" customFormat="1" ht="16.35" customHeight="1" spans="1:14">
      <c r="A1336" s="5"/>
      <c r="B1336" s="6" t="s">
        <v>4506</v>
      </c>
      <c r="C1336" s="6">
        <v>2018</v>
      </c>
      <c r="D1336" s="6">
        <v>12</v>
      </c>
      <c r="E1336" s="7">
        <v>25</v>
      </c>
      <c r="F1336" s="6" t="s">
        <v>10141</v>
      </c>
      <c r="G1336" s="6" t="s">
        <v>9370</v>
      </c>
      <c r="H1336" s="6" t="s">
        <v>26</v>
      </c>
      <c r="I1336" s="8"/>
      <c r="J1336" s="8">
        <v>5369633.54</v>
      </c>
      <c r="K1336" s="6" t="s">
        <v>4509</v>
      </c>
      <c r="L1336" s="6" t="s">
        <v>9218</v>
      </c>
      <c r="M1336" s="6" t="s">
        <v>4516</v>
      </c>
      <c r="N1336" s="6" t="s">
        <v>5082</v>
      </c>
    </row>
    <row r="1337" s="1" customFormat="1" ht="16.35" customHeight="1" spans="1:14">
      <c r="A1337" s="5"/>
      <c r="B1337" s="6" t="s">
        <v>4506</v>
      </c>
      <c r="C1337" s="6">
        <v>2018</v>
      </c>
      <c r="D1337" s="6">
        <v>12</v>
      </c>
      <c r="E1337" s="7">
        <v>26</v>
      </c>
      <c r="F1337" s="6" t="s">
        <v>10142</v>
      </c>
      <c r="G1337" s="6" t="s">
        <v>9370</v>
      </c>
      <c r="H1337" s="6" t="s">
        <v>26</v>
      </c>
      <c r="I1337" s="8"/>
      <c r="J1337" s="8">
        <v>100000</v>
      </c>
      <c r="K1337" s="6" t="s">
        <v>4509</v>
      </c>
      <c r="L1337" s="6" t="s">
        <v>9218</v>
      </c>
      <c r="M1337" s="6" t="s">
        <v>4510</v>
      </c>
      <c r="N1337" s="6" t="s">
        <v>4511</v>
      </c>
    </row>
    <row r="1338" s="1" customFormat="1" ht="16.35" customHeight="1" spans="1:14">
      <c r="A1338" s="5"/>
      <c r="B1338" s="6" t="s">
        <v>4506</v>
      </c>
      <c r="C1338" s="6">
        <v>2018</v>
      </c>
      <c r="D1338" s="6">
        <v>12</v>
      </c>
      <c r="E1338" s="7">
        <v>26</v>
      </c>
      <c r="F1338" s="6" t="s">
        <v>10142</v>
      </c>
      <c r="G1338" s="6" t="s">
        <v>9370</v>
      </c>
      <c r="H1338" s="6" t="s">
        <v>26</v>
      </c>
      <c r="I1338" s="8">
        <v>100000</v>
      </c>
      <c r="J1338" s="8"/>
      <c r="K1338" s="6" t="s">
        <v>4509</v>
      </c>
      <c r="L1338" s="6" t="s">
        <v>9218</v>
      </c>
      <c r="M1338" s="6" t="s">
        <v>4510</v>
      </c>
      <c r="N1338" s="6" t="s">
        <v>4511</v>
      </c>
    </row>
    <row r="1339" s="1" customFormat="1" ht="16.35" customHeight="1" spans="1:14">
      <c r="A1339" s="5"/>
      <c r="B1339" s="6" t="s">
        <v>4506</v>
      </c>
      <c r="C1339" s="6">
        <v>2018</v>
      </c>
      <c r="D1339" s="6">
        <v>12</v>
      </c>
      <c r="E1339" s="7">
        <v>29</v>
      </c>
      <c r="F1339" s="6" t="s">
        <v>10143</v>
      </c>
      <c r="G1339" s="6" t="s">
        <v>9370</v>
      </c>
      <c r="H1339" s="6" t="s">
        <v>26</v>
      </c>
      <c r="I1339" s="8"/>
      <c r="J1339" s="8">
        <v>1070</v>
      </c>
      <c r="K1339" s="6" t="s">
        <v>2941</v>
      </c>
      <c r="L1339" s="6" t="s">
        <v>255</v>
      </c>
      <c r="M1339" s="6" t="s">
        <v>4509</v>
      </c>
      <c r="N1339" s="6" t="s">
        <v>4537</v>
      </c>
    </row>
    <row r="1340" s="1" customFormat="1" ht="16.35" customHeight="1" spans="1:14">
      <c r="A1340" s="5"/>
      <c r="B1340" s="6" t="s">
        <v>4506</v>
      </c>
      <c r="C1340" s="6">
        <v>2018</v>
      </c>
      <c r="D1340" s="6">
        <v>12</v>
      </c>
      <c r="E1340" s="7">
        <v>31</v>
      </c>
      <c r="F1340" s="6" t="s">
        <v>10144</v>
      </c>
      <c r="G1340" s="6" t="s">
        <v>9370</v>
      </c>
      <c r="H1340" s="6" t="s">
        <v>26</v>
      </c>
      <c r="I1340" s="8"/>
      <c r="J1340" s="8">
        <v>100000</v>
      </c>
      <c r="K1340" s="6" t="s">
        <v>2982</v>
      </c>
      <c r="L1340" s="6" t="s">
        <v>9944</v>
      </c>
      <c r="M1340" s="6" t="s">
        <v>4510</v>
      </c>
      <c r="N1340" s="6" t="s">
        <v>4511</v>
      </c>
    </row>
    <row r="1341" s="1" customFormat="1" ht="16.35" customHeight="1" spans="1:14">
      <c r="A1341" s="5"/>
      <c r="B1341" s="6" t="s">
        <v>4506</v>
      </c>
      <c r="C1341" s="6">
        <v>2018</v>
      </c>
      <c r="D1341" s="6">
        <v>12</v>
      </c>
      <c r="E1341" s="7">
        <v>31</v>
      </c>
      <c r="F1341" s="6" t="s">
        <v>10144</v>
      </c>
      <c r="G1341" s="6" t="s">
        <v>9370</v>
      </c>
      <c r="H1341" s="6" t="s">
        <v>26</v>
      </c>
      <c r="I1341" s="8">
        <v>17421</v>
      </c>
      <c r="J1341" s="8"/>
      <c r="K1341" s="6" t="s">
        <v>2982</v>
      </c>
      <c r="L1341" s="6" t="s">
        <v>9944</v>
      </c>
      <c r="M1341" s="6" t="s">
        <v>4510</v>
      </c>
      <c r="N1341" s="6" t="s">
        <v>4511</v>
      </c>
    </row>
    <row r="1342" s="1" customFormat="1" ht="16.35" customHeight="1" spans="1:14">
      <c r="A1342" s="5"/>
      <c r="B1342" s="6" t="s">
        <v>4506</v>
      </c>
      <c r="C1342" s="6">
        <v>2018</v>
      </c>
      <c r="D1342" s="6">
        <v>12</v>
      </c>
      <c r="E1342" s="7">
        <v>33</v>
      </c>
      <c r="F1342" s="6" t="s">
        <v>10145</v>
      </c>
      <c r="G1342" s="6" t="s">
        <v>9370</v>
      </c>
      <c r="H1342" s="6" t="s">
        <v>26</v>
      </c>
      <c r="I1342" s="8">
        <v>20000</v>
      </c>
      <c r="J1342" s="8"/>
      <c r="K1342" s="6" t="s">
        <v>4512</v>
      </c>
      <c r="L1342" s="6" t="s">
        <v>2906</v>
      </c>
      <c r="M1342" s="6" t="s">
        <v>4509</v>
      </c>
      <c r="N1342" s="6" t="s">
        <v>4537</v>
      </c>
    </row>
    <row r="1343" s="1" customFormat="1" ht="16.35" customHeight="1" spans="1:14">
      <c r="A1343" s="5"/>
      <c r="B1343" s="6" t="s">
        <v>4506</v>
      </c>
      <c r="C1343" s="6">
        <v>2018</v>
      </c>
      <c r="D1343" s="6">
        <v>12</v>
      </c>
      <c r="E1343" s="7">
        <v>35</v>
      </c>
      <c r="F1343" s="6" t="s">
        <v>10146</v>
      </c>
      <c r="G1343" s="6" t="s">
        <v>9370</v>
      </c>
      <c r="H1343" s="6" t="s">
        <v>26</v>
      </c>
      <c r="I1343" s="8"/>
      <c r="J1343" s="8">
        <v>226</v>
      </c>
      <c r="K1343" s="6" t="s">
        <v>2942</v>
      </c>
      <c r="L1343" s="6" t="s">
        <v>9981</v>
      </c>
      <c r="M1343" s="6" t="s">
        <v>4509</v>
      </c>
      <c r="N1343" s="6" t="s">
        <v>4537</v>
      </c>
    </row>
    <row r="1344" s="1" customFormat="1" ht="16.35" customHeight="1" spans="1:14">
      <c r="A1344" s="5"/>
      <c r="B1344" s="6" t="s">
        <v>4506</v>
      </c>
      <c r="C1344" s="6">
        <v>2018</v>
      </c>
      <c r="D1344" s="6">
        <v>12</v>
      </c>
      <c r="E1344" s="7">
        <v>51</v>
      </c>
      <c r="F1344" s="6" t="s">
        <v>10147</v>
      </c>
      <c r="G1344" s="6" t="s">
        <v>9370</v>
      </c>
      <c r="H1344" s="6" t="s">
        <v>26</v>
      </c>
      <c r="I1344" s="8">
        <v>500000</v>
      </c>
      <c r="J1344" s="8"/>
      <c r="K1344" s="6" t="s">
        <v>4509</v>
      </c>
      <c r="L1344" s="6" t="s">
        <v>9218</v>
      </c>
      <c r="M1344" s="6" t="s">
        <v>4509</v>
      </c>
      <c r="N1344" s="6" t="s">
        <v>4537</v>
      </c>
    </row>
    <row r="1345" s="1" customFormat="1" ht="16.35" customHeight="1" spans="1:14">
      <c r="A1345" s="5"/>
      <c r="B1345" s="6" t="s">
        <v>4506</v>
      </c>
      <c r="C1345" s="6">
        <v>2018</v>
      </c>
      <c r="D1345" s="6">
        <v>12</v>
      </c>
      <c r="E1345" s="7">
        <v>55</v>
      </c>
      <c r="F1345" s="6" t="s">
        <v>10148</v>
      </c>
      <c r="G1345" s="6" t="s">
        <v>9370</v>
      </c>
      <c r="H1345" s="6" t="s">
        <v>26</v>
      </c>
      <c r="I1345" s="8"/>
      <c r="J1345" s="8">
        <v>2538</v>
      </c>
      <c r="K1345" s="6" t="s">
        <v>2941</v>
      </c>
      <c r="L1345" s="6" t="s">
        <v>255</v>
      </c>
      <c r="M1345" s="6" t="s">
        <v>4516</v>
      </c>
      <c r="N1345" s="6" t="s">
        <v>5082</v>
      </c>
    </row>
    <row r="1346" s="1" customFormat="1" ht="16.35" customHeight="1" spans="1:14">
      <c r="A1346" s="5"/>
      <c r="B1346" s="6" t="s">
        <v>4506</v>
      </c>
      <c r="C1346" s="6">
        <v>2018</v>
      </c>
      <c r="D1346" s="6">
        <v>12</v>
      </c>
      <c r="E1346" s="7">
        <v>58</v>
      </c>
      <c r="F1346" s="6" t="s">
        <v>10149</v>
      </c>
      <c r="G1346" s="6" t="s">
        <v>9370</v>
      </c>
      <c r="H1346" s="6" t="s">
        <v>26</v>
      </c>
      <c r="I1346" s="8">
        <v>12606</v>
      </c>
      <c r="J1346" s="8"/>
      <c r="K1346" s="6" t="s">
        <v>4512</v>
      </c>
      <c r="L1346" s="6" t="s">
        <v>2906</v>
      </c>
      <c r="M1346" s="6" t="s">
        <v>4510</v>
      </c>
      <c r="N1346" s="6" t="s">
        <v>4511</v>
      </c>
    </row>
    <row r="1347" s="1" customFormat="1" ht="16.35" customHeight="1" spans="1:14">
      <c r="A1347" s="5"/>
      <c r="B1347" s="6" t="s">
        <v>4506</v>
      </c>
      <c r="C1347" s="6">
        <v>2018</v>
      </c>
      <c r="D1347" s="6">
        <v>12</v>
      </c>
      <c r="E1347" s="7">
        <v>58</v>
      </c>
      <c r="F1347" s="6" t="s">
        <v>10149</v>
      </c>
      <c r="G1347" s="6" t="s">
        <v>9370</v>
      </c>
      <c r="H1347" s="6" t="s">
        <v>26</v>
      </c>
      <c r="I1347" s="8"/>
      <c r="J1347" s="8">
        <v>567.12</v>
      </c>
      <c r="K1347" s="6" t="s">
        <v>2942</v>
      </c>
      <c r="L1347" s="6" t="s">
        <v>9981</v>
      </c>
      <c r="M1347" s="6" t="s">
        <v>4516</v>
      </c>
      <c r="N1347" s="6" t="s">
        <v>5082</v>
      </c>
    </row>
    <row r="1348" s="1" customFormat="1" ht="16.35" customHeight="1" spans="1:14">
      <c r="A1348" s="5"/>
      <c r="B1348" s="6" t="s">
        <v>4506</v>
      </c>
      <c r="C1348" s="6">
        <v>2018</v>
      </c>
      <c r="D1348" s="6">
        <v>12</v>
      </c>
      <c r="E1348" s="7">
        <v>59</v>
      </c>
      <c r="F1348" s="6" t="s">
        <v>10150</v>
      </c>
      <c r="G1348" s="6" t="s">
        <v>9370</v>
      </c>
      <c r="H1348" s="6" t="s">
        <v>26</v>
      </c>
      <c r="I1348" s="8">
        <v>3000</v>
      </c>
      <c r="J1348" s="8"/>
      <c r="K1348" s="6" t="s">
        <v>4526</v>
      </c>
      <c r="L1348" s="6" t="s">
        <v>9792</v>
      </c>
      <c r="M1348" s="6" t="s">
        <v>4509</v>
      </c>
      <c r="N1348" s="6" t="s">
        <v>4537</v>
      </c>
    </row>
    <row r="1349" s="1" customFormat="1" ht="16.35" customHeight="1" spans="1:14">
      <c r="A1349" s="5"/>
      <c r="B1349" s="6" t="s">
        <v>4506</v>
      </c>
      <c r="C1349" s="6">
        <v>2018</v>
      </c>
      <c r="D1349" s="6">
        <v>12</v>
      </c>
      <c r="E1349" s="7">
        <v>60</v>
      </c>
      <c r="F1349" s="6" t="s">
        <v>10151</v>
      </c>
      <c r="G1349" s="6" t="s">
        <v>9370</v>
      </c>
      <c r="H1349" s="6" t="s">
        <v>26</v>
      </c>
      <c r="I1349" s="8"/>
      <c r="J1349" s="8">
        <v>2685638.1</v>
      </c>
      <c r="K1349" s="6" t="s">
        <v>4509</v>
      </c>
      <c r="L1349" s="6" t="s">
        <v>9218</v>
      </c>
      <c r="M1349" s="6" t="s">
        <v>4516</v>
      </c>
      <c r="N1349" s="6" t="s">
        <v>5082</v>
      </c>
    </row>
    <row r="1350" s="1" customFormat="1" ht="16.35" customHeight="1" spans="1:14">
      <c r="A1350" s="5"/>
      <c r="B1350" s="6" t="s">
        <v>4506</v>
      </c>
      <c r="C1350" s="6">
        <v>2018</v>
      </c>
      <c r="D1350" s="6">
        <v>12</v>
      </c>
      <c r="E1350" s="7">
        <v>61</v>
      </c>
      <c r="F1350" s="6" t="s">
        <v>10152</v>
      </c>
      <c r="G1350" s="6" t="s">
        <v>9370</v>
      </c>
      <c r="H1350" s="6" t="s">
        <v>26</v>
      </c>
      <c r="I1350" s="8"/>
      <c r="J1350" s="8">
        <v>200000</v>
      </c>
      <c r="K1350" s="6" t="s">
        <v>2976</v>
      </c>
      <c r="L1350" s="6" t="s">
        <v>9860</v>
      </c>
      <c r="M1350" s="6" t="s">
        <v>4510</v>
      </c>
      <c r="N1350" s="6" t="s">
        <v>4511</v>
      </c>
    </row>
    <row r="1351" s="1" customFormat="1" ht="16.35" customHeight="1" spans="1:14">
      <c r="A1351" s="5"/>
      <c r="B1351" s="6" t="s">
        <v>4506</v>
      </c>
      <c r="C1351" s="6">
        <v>2018</v>
      </c>
      <c r="D1351" s="6">
        <v>12</v>
      </c>
      <c r="E1351" s="7">
        <v>62</v>
      </c>
      <c r="F1351" s="6" t="s">
        <v>10152</v>
      </c>
      <c r="G1351" s="6" t="s">
        <v>9370</v>
      </c>
      <c r="H1351" s="6" t="s">
        <v>26</v>
      </c>
      <c r="I1351" s="8"/>
      <c r="J1351" s="8">
        <v>50000</v>
      </c>
      <c r="K1351" s="6" t="s">
        <v>2976</v>
      </c>
      <c r="L1351" s="6" t="s">
        <v>9860</v>
      </c>
      <c r="M1351" s="6" t="s">
        <v>4510</v>
      </c>
      <c r="N1351" s="6" t="s">
        <v>4511</v>
      </c>
    </row>
    <row r="1352" s="1" customFormat="1" ht="16.35" customHeight="1" spans="1:14">
      <c r="A1352" s="5"/>
      <c r="B1352" s="6" t="s">
        <v>4506</v>
      </c>
      <c r="C1352" s="6">
        <v>2018</v>
      </c>
      <c r="D1352" s="6">
        <v>12</v>
      </c>
      <c r="E1352" s="7">
        <v>64</v>
      </c>
      <c r="F1352" s="6" t="s">
        <v>10153</v>
      </c>
      <c r="G1352" s="6" t="s">
        <v>9370</v>
      </c>
      <c r="H1352" s="6" t="s">
        <v>26</v>
      </c>
      <c r="I1352" s="8">
        <v>67800</v>
      </c>
      <c r="J1352" s="8"/>
      <c r="K1352" s="6" t="s">
        <v>2976</v>
      </c>
      <c r="L1352" s="6" t="s">
        <v>9860</v>
      </c>
      <c r="M1352" s="6" t="s">
        <v>4510</v>
      </c>
      <c r="N1352" s="6" t="s">
        <v>4511</v>
      </c>
    </row>
    <row r="1353" s="1" customFormat="1" ht="16.35" customHeight="1" spans="1:14">
      <c r="A1353" s="5"/>
      <c r="B1353" s="6" t="s">
        <v>4506</v>
      </c>
      <c r="C1353" s="6">
        <v>2018</v>
      </c>
      <c r="D1353" s="6">
        <v>12</v>
      </c>
      <c r="E1353" s="7">
        <v>73</v>
      </c>
      <c r="F1353" s="6" t="s">
        <v>10154</v>
      </c>
      <c r="G1353" s="6" t="s">
        <v>9370</v>
      </c>
      <c r="H1353" s="6" t="s">
        <v>26</v>
      </c>
      <c r="I1353" s="8"/>
      <c r="J1353" s="8">
        <v>550</v>
      </c>
      <c r="K1353" s="6" t="s">
        <v>2941</v>
      </c>
      <c r="L1353" s="6" t="s">
        <v>255</v>
      </c>
      <c r="M1353" s="6" t="s">
        <v>4509</v>
      </c>
      <c r="N1353" s="6" t="s">
        <v>4537</v>
      </c>
    </row>
    <row r="1354" s="1" customFormat="1" ht="16.35" customHeight="1" spans="1:14">
      <c r="A1354" s="5"/>
      <c r="B1354" s="6" t="s">
        <v>4506</v>
      </c>
      <c r="C1354" s="6">
        <v>2018</v>
      </c>
      <c r="D1354" s="6">
        <v>12</v>
      </c>
      <c r="E1354" s="7">
        <v>74</v>
      </c>
      <c r="F1354" s="6" t="s">
        <v>10155</v>
      </c>
      <c r="G1354" s="6" t="s">
        <v>9370</v>
      </c>
      <c r="H1354" s="6" t="s">
        <v>26</v>
      </c>
      <c r="I1354" s="8"/>
      <c r="J1354" s="8">
        <v>3000</v>
      </c>
      <c r="K1354" s="6" t="s">
        <v>2943</v>
      </c>
      <c r="L1354" s="6" t="s">
        <v>99</v>
      </c>
      <c r="M1354" s="6" t="s">
        <v>4516</v>
      </c>
      <c r="N1354" s="6" t="s">
        <v>5082</v>
      </c>
    </row>
    <row r="1355" s="1" customFormat="1" ht="16.35" customHeight="1" spans="1:14">
      <c r="A1355" s="5"/>
      <c r="B1355" s="6" t="s">
        <v>4506</v>
      </c>
      <c r="C1355" s="6">
        <v>2018</v>
      </c>
      <c r="D1355" s="6">
        <v>12</v>
      </c>
      <c r="E1355" s="7">
        <v>79</v>
      </c>
      <c r="F1355" s="6" t="s">
        <v>10156</v>
      </c>
      <c r="G1355" s="6" t="s">
        <v>9370</v>
      </c>
      <c r="H1355" s="6" t="s">
        <v>26</v>
      </c>
      <c r="I1355" s="8"/>
      <c r="J1355" s="8">
        <v>300</v>
      </c>
      <c r="K1355" s="6" t="s">
        <v>4532</v>
      </c>
      <c r="L1355" s="6" t="s">
        <v>9985</v>
      </c>
      <c r="M1355" s="6" t="s">
        <v>4510</v>
      </c>
      <c r="N1355" s="6" t="s">
        <v>4511</v>
      </c>
    </row>
    <row r="1356" s="1" customFormat="1" ht="16.35" customHeight="1" spans="1:14">
      <c r="A1356" s="5"/>
      <c r="B1356" s="6" t="s">
        <v>4506</v>
      </c>
      <c r="C1356" s="6">
        <v>2018</v>
      </c>
      <c r="D1356" s="6">
        <v>12</v>
      </c>
      <c r="E1356" s="7">
        <v>80</v>
      </c>
      <c r="F1356" s="6" t="s">
        <v>9961</v>
      </c>
      <c r="G1356" s="6" t="s">
        <v>9370</v>
      </c>
      <c r="H1356" s="6" t="s">
        <v>26</v>
      </c>
      <c r="I1356" s="8"/>
      <c r="J1356" s="8">
        <v>900</v>
      </c>
      <c r="K1356" s="6" t="s">
        <v>2942</v>
      </c>
      <c r="L1356" s="6" t="s">
        <v>9981</v>
      </c>
      <c r="M1356" s="6" t="s">
        <v>4509</v>
      </c>
      <c r="N1356" s="6" t="s">
        <v>4537</v>
      </c>
    </row>
    <row r="1357" s="1" customFormat="1" ht="16.35" customHeight="1" spans="1:14">
      <c r="A1357" s="5"/>
      <c r="B1357" s="6" t="s">
        <v>4506</v>
      </c>
      <c r="C1357" s="6">
        <v>2018</v>
      </c>
      <c r="D1357" s="6">
        <v>12</v>
      </c>
      <c r="E1357" s="7">
        <v>81</v>
      </c>
      <c r="F1357" s="6" t="s">
        <v>10157</v>
      </c>
      <c r="G1357" s="6" t="s">
        <v>9370</v>
      </c>
      <c r="H1357" s="6" t="s">
        <v>26</v>
      </c>
      <c r="I1357" s="8"/>
      <c r="J1357" s="8">
        <v>503</v>
      </c>
      <c r="K1357" s="6" t="s">
        <v>2942</v>
      </c>
      <c r="L1357" s="6" t="s">
        <v>9981</v>
      </c>
      <c r="M1357" s="6" t="s">
        <v>4509</v>
      </c>
      <c r="N1357" s="6" t="s">
        <v>4537</v>
      </c>
    </row>
    <row r="1358" s="1" customFormat="1" ht="16.35" customHeight="1" spans="1:14">
      <c r="A1358" s="5"/>
      <c r="B1358" s="6" t="s">
        <v>4506</v>
      </c>
      <c r="C1358" s="6">
        <v>2018</v>
      </c>
      <c r="D1358" s="6">
        <v>12</v>
      </c>
      <c r="E1358" s="7">
        <v>83</v>
      </c>
      <c r="F1358" s="6" t="s">
        <v>10158</v>
      </c>
      <c r="G1358" s="6" t="s">
        <v>9370</v>
      </c>
      <c r="H1358" s="6" t="s">
        <v>26</v>
      </c>
      <c r="I1358" s="8"/>
      <c r="J1358" s="8">
        <v>400</v>
      </c>
      <c r="K1358" s="6" t="s">
        <v>2976</v>
      </c>
      <c r="L1358" s="6" t="s">
        <v>9860</v>
      </c>
      <c r="M1358" s="6" t="s">
        <v>4509</v>
      </c>
      <c r="N1358" s="6" t="s">
        <v>4537</v>
      </c>
    </row>
    <row r="1359" s="1" customFormat="1" ht="16.35" customHeight="1" spans="1:14">
      <c r="A1359" s="5"/>
      <c r="B1359" s="6" t="s">
        <v>4506</v>
      </c>
      <c r="C1359" s="6">
        <v>2018</v>
      </c>
      <c r="D1359" s="6">
        <v>12</v>
      </c>
      <c r="E1359" s="7">
        <v>87</v>
      </c>
      <c r="F1359" s="6" t="s">
        <v>9814</v>
      </c>
      <c r="G1359" s="6" t="s">
        <v>9370</v>
      </c>
      <c r="H1359" s="6" t="s">
        <v>26</v>
      </c>
      <c r="I1359" s="8">
        <v>5417.95</v>
      </c>
      <c r="J1359" s="8"/>
      <c r="K1359" s="6" t="s">
        <v>4510</v>
      </c>
      <c r="L1359" s="6" t="s">
        <v>9447</v>
      </c>
      <c r="M1359" s="6" t="s">
        <v>4509</v>
      </c>
      <c r="N1359" s="6" t="s">
        <v>4537</v>
      </c>
    </row>
    <row r="1360" s="1" customFormat="1" ht="16.35" customHeight="1" spans="1:14">
      <c r="A1360" s="5"/>
      <c r="B1360" s="6" t="s">
        <v>4506</v>
      </c>
      <c r="C1360" s="6">
        <v>2018</v>
      </c>
      <c r="D1360" s="6">
        <v>12</v>
      </c>
      <c r="E1360" s="7">
        <v>87</v>
      </c>
      <c r="F1360" s="6" t="s">
        <v>9814</v>
      </c>
      <c r="G1360" s="6" t="s">
        <v>9370</v>
      </c>
      <c r="H1360" s="6" t="s">
        <v>26</v>
      </c>
      <c r="I1360" s="8">
        <v>4609</v>
      </c>
      <c r="J1360" s="8"/>
      <c r="K1360" s="6" t="s">
        <v>2971</v>
      </c>
      <c r="L1360" s="6" t="s">
        <v>909</v>
      </c>
      <c r="M1360" s="6" t="s">
        <v>4509</v>
      </c>
      <c r="N1360" s="6" t="s">
        <v>4537</v>
      </c>
    </row>
    <row r="1361" s="1" customFormat="1" ht="16.35" customHeight="1" spans="1:14">
      <c r="A1361" s="5"/>
      <c r="B1361" s="6" t="s">
        <v>4506</v>
      </c>
      <c r="C1361" s="6">
        <v>2018</v>
      </c>
      <c r="D1361" s="6">
        <v>12</v>
      </c>
      <c r="E1361" s="7">
        <v>87</v>
      </c>
      <c r="F1361" s="6" t="s">
        <v>9814</v>
      </c>
      <c r="G1361" s="6" t="s">
        <v>9370</v>
      </c>
      <c r="H1361" s="6" t="s">
        <v>26</v>
      </c>
      <c r="I1361" s="8">
        <v>1054.4</v>
      </c>
      <c r="J1361" s="8"/>
      <c r="K1361" s="6" t="s">
        <v>4516</v>
      </c>
      <c r="L1361" s="6" t="s">
        <v>9449</v>
      </c>
      <c r="M1361" s="6" t="s">
        <v>4509</v>
      </c>
      <c r="N1361" s="6" t="s">
        <v>4537</v>
      </c>
    </row>
    <row r="1362" s="1" customFormat="1" ht="16.35" customHeight="1" spans="1:14">
      <c r="A1362" s="5"/>
      <c r="B1362" s="6" t="s">
        <v>4506</v>
      </c>
      <c r="C1362" s="6">
        <v>2018</v>
      </c>
      <c r="D1362" s="6">
        <v>12</v>
      </c>
      <c r="E1362" s="7">
        <v>87</v>
      </c>
      <c r="F1362" s="6" t="s">
        <v>9814</v>
      </c>
      <c r="G1362" s="6" t="s">
        <v>9370</v>
      </c>
      <c r="H1362" s="6" t="s">
        <v>26</v>
      </c>
      <c r="I1362" s="8"/>
      <c r="J1362" s="8">
        <v>14644.73</v>
      </c>
      <c r="K1362" s="6" t="s">
        <v>4509</v>
      </c>
      <c r="L1362" s="6" t="s">
        <v>9218</v>
      </c>
      <c r="M1362" s="6" t="s">
        <v>4509</v>
      </c>
      <c r="N1362" s="6" t="s">
        <v>4537</v>
      </c>
    </row>
    <row r="1363" s="1" customFormat="1" ht="16.35" customHeight="1" spans="1:14">
      <c r="A1363" s="5"/>
      <c r="B1363" s="6" t="s">
        <v>4506</v>
      </c>
      <c r="C1363" s="6">
        <v>2018</v>
      </c>
      <c r="D1363" s="6">
        <v>12</v>
      </c>
      <c r="E1363" s="7">
        <v>88</v>
      </c>
      <c r="F1363" s="6" t="s">
        <v>9385</v>
      </c>
      <c r="G1363" s="6" t="s">
        <v>9370</v>
      </c>
      <c r="H1363" s="6" t="s">
        <v>26</v>
      </c>
      <c r="I1363" s="8">
        <v>20000</v>
      </c>
      <c r="J1363" s="8"/>
      <c r="K1363" s="6" t="s">
        <v>2976</v>
      </c>
      <c r="L1363" s="6" t="s">
        <v>9860</v>
      </c>
      <c r="M1363" s="6" t="s">
        <v>4509</v>
      </c>
      <c r="N1363" s="6" t="s">
        <v>4537</v>
      </c>
    </row>
    <row r="1364" s="1" customFormat="1" ht="16.35" customHeight="1" spans="1:14">
      <c r="A1364" s="5"/>
      <c r="B1364" s="6" t="s">
        <v>4506</v>
      </c>
      <c r="C1364" s="6">
        <v>2018</v>
      </c>
      <c r="D1364" s="6">
        <v>12</v>
      </c>
      <c r="E1364" s="7">
        <v>88</v>
      </c>
      <c r="F1364" s="6" t="s">
        <v>9385</v>
      </c>
      <c r="G1364" s="6" t="s">
        <v>9370</v>
      </c>
      <c r="H1364" s="6" t="s">
        <v>26</v>
      </c>
      <c r="I1364" s="8"/>
      <c r="J1364" s="8">
        <v>20000</v>
      </c>
      <c r="K1364" s="6" t="s">
        <v>4509</v>
      </c>
      <c r="L1364" s="6" t="s">
        <v>9218</v>
      </c>
      <c r="M1364" s="6" t="s">
        <v>4509</v>
      </c>
      <c r="N1364" s="6" t="s">
        <v>4537</v>
      </c>
    </row>
    <row r="1365" s="1" customFormat="1" ht="16.35" customHeight="1" spans="1:14">
      <c r="A1365" s="5"/>
      <c r="B1365" s="6" t="s">
        <v>4506</v>
      </c>
      <c r="C1365" s="6">
        <v>2018</v>
      </c>
      <c r="D1365" s="6">
        <v>12</v>
      </c>
      <c r="E1365" s="7">
        <v>89</v>
      </c>
      <c r="F1365" s="6" t="s">
        <v>10159</v>
      </c>
      <c r="G1365" s="6" t="s">
        <v>9370</v>
      </c>
      <c r="H1365" s="6" t="s">
        <v>26</v>
      </c>
      <c r="I1365" s="8"/>
      <c r="J1365" s="8">
        <v>31102.77</v>
      </c>
      <c r="K1365" s="6" t="s">
        <v>4512</v>
      </c>
      <c r="L1365" s="6" t="s">
        <v>2906</v>
      </c>
      <c r="M1365" s="6" t="s">
        <v>4509</v>
      </c>
      <c r="N1365" s="6" t="s">
        <v>4537</v>
      </c>
    </row>
    <row r="1366" s="1" customFormat="1" ht="16.35" customHeight="1" spans="1:14">
      <c r="A1366" s="5"/>
      <c r="B1366" s="6" t="s">
        <v>4506</v>
      </c>
      <c r="C1366" s="6">
        <v>2018</v>
      </c>
      <c r="D1366" s="6">
        <v>12</v>
      </c>
      <c r="E1366" s="7">
        <v>90</v>
      </c>
      <c r="F1366" s="6" t="s">
        <v>10160</v>
      </c>
      <c r="G1366" s="6" t="s">
        <v>9370</v>
      </c>
      <c r="H1366" s="6" t="s">
        <v>26</v>
      </c>
      <c r="I1366" s="8">
        <v>39296151.18</v>
      </c>
      <c r="J1366" s="8"/>
      <c r="K1366" s="6" t="s">
        <v>4512</v>
      </c>
      <c r="L1366" s="6" t="s">
        <v>2906</v>
      </c>
      <c r="M1366" s="6" t="s">
        <v>4509</v>
      </c>
      <c r="N1366" s="6" t="s">
        <v>4537</v>
      </c>
    </row>
    <row r="1367" s="1" customFormat="1" ht="16.35" customHeight="1" spans="1:14">
      <c r="A1367" s="5"/>
      <c r="B1367" s="6" t="s">
        <v>4506</v>
      </c>
      <c r="C1367" s="6">
        <v>2018</v>
      </c>
      <c r="D1367" s="6">
        <v>12</v>
      </c>
      <c r="E1367" s="7">
        <v>90</v>
      </c>
      <c r="F1367" s="6" t="s">
        <v>10160</v>
      </c>
      <c r="G1367" s="6" t="s">
        <v>9370</v>
      </c>
      <c r="H1367" s="6" t="s">
        <v>26</v>
      </c>
      <c r="I1367" s="8"/>
      <c r="J1367" s="8">
        <v>39296151.18</v>
      </c>
      <c r="K1367" s="6" t="s">
        <v>4509</v>
      </c>
      <c r="L1367" s="6" t="s">
        <v>9218</v>
      </c>
      <c r="M1367" s="6" t="s">
        <v>4509</v>
      </c>
      <c r="N1367" s="6" t="s">
        <v>4537</v>
      </c>
    </row>
    <row r="1368" s="1" customFormat="1" ht="16.35" customHeight="1" spans="1:14">
      <c r="A1368" s="5"/>
      <c r="B1368" s="6" t="s">
        <v>4506</v>
      </c>
      <c r="C1368" s="6">
        <v>2019</v>
      </c>
      <c r="D1368" s="6">
        <v>1</v>
      </c>
      <c r="E1368" s="7">
        <v>33</v>
      </c>
      <c r="F1368" s="6" t="s">
        <v>10161</v>
      </c>
      <c r="G1368" s="6" t="s">
        <v>9370</v>
      </c>
      <c r="H1368" s="6" t="s">
        <v>26</v>
      </c>
      <c r="I1368" s="8">
        <v>5000</v>
      </c>
      <c r="J1368" s="8"/>
      <c r="K1368" s="6" t="s">
        <v>4534</v>
      </c>
      <c r="L1368" s="6" t="s">
        <v>9998</v>
      </c>
      <c r="M1368" s="6" t="s">
        <v>4516</v>
      </c>
      <c r="N1368" s="6" t="s">
        <v>5082</v>
      </c>
    </row>
    <row r="1369" s="1" customFormat="1" ht="16.35" customHeight="1" spans="1:14">
      <c r="A1369" s="5"/>
      <c r="B1369" s="6" t="s">
        <v>4506</v>
      </c>
      <c r="C1369" s="6">
        <v>2019</v>
      </c>
      <c r="D1369" s="6">
        <v>1</v>
      </c>
      <c r="E1369" s="7">
        <v>34</v>
      </c>
      <c r="F1369" s="6" t="s">
        <v>10162</v>
      </c>
      <c r="G1369" s="6" t="s">
        <v>9370</v>
      </c>
      <c r="H1369" s="6" t="s">
        <v>26</v>
      </c>
      <c r="I1369" s="8">
        <v>1000</v>
      </c>
      <c r="J1369" s="8"/>
      <c r="K1369" s="6" t="s">
        <v>4534</v>
      </c>
      <c r="L1369" s="6" t="s">
        <v>9998</v>
      </c>
      <c r="M1369" s="6" t="s">
        <v>4516</v>
      </c>
      <c r="N1369" s="6" t="s">
        <v>5082</v>
      </c>
    </row>
    <row r="1370" s="1" customFormat="1" ht="16.35" customHeight="1" spans="1:14">
      <c r="A1370" s="5"/>
      <c r="B1370" s="6" t="s">
        <v>4506</v>
      </c>
      <c r="C1370" s="6">
        <v>2019</v>
      </c>
      <c r="D1370" s="6">
        <v>1</v>
      </c>
      <c r="E1370" s="7">
        <v>35</v>
      </c>
      <c r="F1370" s="6" t="s">
        <v>10163</v>
      </c>
      <c r="G1370" s="6" t="s">
        <v>9370</v>
      </c>
      <c r="H1370" s="6" t="s">
        <v>26</v>
      </c>
      <c r="I1370" s="8">
        <v>5000</v>
      </c>
      <c r="J1370" s="8"/>
      <c r="K1370" s="6" t="s">
        <v>4534</v>
      </c>
      <c r="L1370" s="6" t="s">
        <v>9998</v>
      </c>
      <c r="M1370" s="6" t="s">
        <v>4516</v>
      </c>
      <c r="N1370" s="6" t="s">
        <v>5082</v>
      </c>
    </row>
    <row r="1371" s="1" customFormat="1" ht="16.35" customHeight="1" spans="1:14">
      <c r="A1371" s="5"/>
      <c r="B1371" s="6" t="s">
        <v>4506</v>
      </c>
      <c r="C1371" s="6">
        <v>2019</v>
      </c>
      <c r="D1371" s="6">
        <v>1</v>
      </c>
      <c r="E1371" s="7">
        <v>45</v>
      </c>
      <c r="F1371" s="6" t="s">
        <v>10164</v>
      </c>
      <c r="G1371" s="6" t="s">
        <v>9370</v>
      </c>
      <c r="H1371" s="6" t="s">
        <v>26</v>
      </c>
      <c r="I1371" s="8">
        <v>2420</v>
      </c>
      <c r="J1371" s="8"/>
      <c r="K1371" s="6" t="s">
        <v>2941</v>
      </c>
      <c r="L1371" s="6" t="s">
        <v>255</v>
      </c>
      <c r="M1371" s="6" t="s">
        <v>4509</v>
      </c>
      <c r="N1371" s="6" t="s">
        <v>4537</v>
      </c>
    </row>
    <row r="1372" s="1" customFormat="1" ht="16.35" customHeight="1" spans="1:14">
      <c r="A1372" s="5"/>
      <c r="B1372" s="6" t="s">
        <v>4506</v>
      </c>
      <c r="C1372" s="6">
        <v>2019</v>
      </c>
      <c r="D1372" s="6">
        <v>1</v>
      </c>
      <c r="E1372" s="7">
        <v>46</v>
      </c>
      <c r="F1372" s="6" t="s">
        <v>10165</v>
      </c>
      <c r="G1372" s="6" t="s">
        <v>9370</v>
      </c>
      <c r="H1372" s="6" t="s">
        <v>26</v>
      </c>
      <c r="I1372" s="8"/>
      <c r="J1372" s="8">
        <v>13672</v>
      </c>
      <c r="K1372" s="6" t="s">
        <v>4509</v>
      </c>
      <c r="L1372" s="6" t="s">
        <v>9218</v>
      </c>
      <c r="M1372" s="6" t="s">
        <v>4510</v>
      </c>
      <c r="N1372" s="6" t="s">
        <v>4511</v>
      </c>
    </row>
    <row r="1373" s="1" customFormat="1" ht="16.35" customHeight="1" spans="1:14">
      <c r="A1373" s="5"/>
      <c r="B1373" s="6" t="s">
        <v>4506</v>
      </c>
      <c r="C1373" s="6">
        <v>2019</v>
      </c>
      <c r="D1373" s="6">
        <v>1</v>
      </c>
      <c r="E1373" s="7">
        <v>50</v>
      </c>
      <c r="F1373" s="6" t="s">
        <v>10157</v>
      </c>
      <c r="G1373" s="6" t="s">
        <v>9370</v>
      </c>
      <c r="H1373" s="6" t="s">
        <v>26</v>
      </c>
      <c r="I1373" s="8"/>
      <c r="J1373" s="8">
        <v>133</v>
      </c>
      <c r="K1373" s="6" t="s">
        <v>2942</v>
      </c>
      <c r="L1373" s="6" t="s">
        <v>9981</v>
      </c>
      <c r="M1373" s="6" t="s">
        <v>4509</v>
      </c>
      <c r="N1373" s="6" t="s">
        <v>4537</v>
      </c>
    </row>
    <row r="1374" s="1" customFormat="1" ht="16.35" customHeight="1" spans="1:14">
      <c r="A1374" s="5"/>
      <c r="B1374" s="6" t="s">
        <v>4506</v>
      </c>
      <c r="C1374" s="6">
        <v>2019</v>
      </c>
      <c r="D1374" s="6">
        <v>1</v>
      </c>
      <c r="E1374" s="7">
        <v>53</v>
      </c>
      <c r="F1374" s="6" t="s">
        <v>10166</v>
      </c>
      <c r="G1374" s="6" t="s">
        <v>9370</v>
      </c>
      <c r="H1374" s="6" t="s">
        <v>26</v>
      </c>
      <c r="I1374" s="8">
        <v>20872.45</v>
      </c>
      <c r="J1374" s="8"/>
      <c r="K1374" s="6" t="s">
        <v>2982</v>
      </c>
      <c r="L1374" s="6" t="s">
        <v>9944</v>
      </c>
      <c r="M1374" s="6" t="s">
        <v>4516</v>
      </c>
      <c r="N1374" s="6" t="s">
        <v>5082</v>
      </c>
    </row>
    <row r="1375" s="1" customFormat="1" ht="16.35" customHeight="1" spans="1:14">
      <c r="A1375" s="5"/>
      <c r="B1375" s="6" t="s">
        <v>4506</v>
      </c>
      <c r="C1375" s="6">
        <v>2019</v>
      </c>
      <c r="D1375" s="6">
        <v>1</v>
      </c>
      <c r="E1375" s="7">
        <v>55</v>
      </c>
      <c r="F1375" s="6" t="s">
        <v>10167</v>
      </c>
      <c r="G1375" s="6" t="s">
        <v>9370</v>
      </c>
      <c r="H1375" s="6" t="s">
        <v>26</v>
      </c>
      <c r="I1375" s="8">
        <v>4000</v>
      </c>
      <c r="J1375" s="8"/>
      <c r="K1375" s="6" t="s">
        <v>2943</v>
      </c>
      <c r="L1375" s="6" t="s">
        <v>99</v>
      </c>
      <c r="M1375" s="6" t="s">
        <v>4516</v>
      </c>
      <c r="N1375" s="6" t="s">
        <v>5082</v>
      </c>
    </row>
    <row r="1376" s="1" customFormat="1" ht="16.35" customHeight="1" spans="1:14">
      <c r="A1376" s="5"/>
      <c r="B1376" s="6" t="s">
        <v>4506</v>
      </c>
      <c r="C1376" s="6">
        <v>2019</v>
      </c>
      <c r="D1376" s="6">
        <v>1</v>
      </c>
      <c r="E1376" s="7">
        <v>58</v>
      </c>
      <c r="F1376" s="6" t="s">
        <v>10168</v>
      </c>
      <c r="G1376" s="6" t="s">
        <v>9370</v>
      </c>
      <c r="H1376" s="6" t="s">
        <v>26</v>
      </c>
      <c r="I1376" s="8"/>
      <c r="J1376" s="8">
        <v>13500</v>
      </c>
      <c r="K1376" s="6" t="s">
        <v>2922</v>
      </c>
      <c r="L1376" s="6" t="s">
        <v>9850</v>
      </c>
      <c r="M1376" s="6" t="s">
        <v>4510</v>
      </c>
      <c r="N1376" s="6" t="s">
        <v>4511</v>
      </c>
    </row>
    <row r="1377" s="1" customFormat="1" ht="16.35" customHeight="1" spans="1:14">
      <c r="A1377" s="5"/>
      <c r="B1377" s="6" t="s">
        <v>4506</v>
      </c>
      <c r="C1377" s="6">
        <v>2019</v>
      </c>
      <c r="D1377" s="6">
        <v>1</v>
      </c>
      <c r="E1377" s="7">
        <v>58</v>
      </c>
      <c r="F1377" s="6" t="s">
        <v>10168</v>
      </c>
      <c r="G1377" s="6" t="s">
        <v>9370</v>
      </c>
      <c r="H1377" s="6" t="s">
        <v>26</v>
      </c>
      <c r="I1377" s="8">
        <v>13500</v>
      </c>
      <c r="J1377" s="8"/>
      <c r="K1377" s="6" t="s">
        <v>2922</v>
      </c>
      <c r="L1377" s="6" t="s">
        <v>9850</v>
      </c>
      <c r="M1377" s="6" t="s">
        <v>4510</v>
      </c>
      <c r="N1377" s="6" t="s">
        <v>4511</v>
      </c>
    </row>
    <row r="1378" s="1" customFormat="1" ht="16.35" customHeight="1" spans="1:14">
      <c r="A1378" s="5"/>
      <c r="B1378" s="6" t="s">
        <v>4506</v>
      </c>
      <c r="C1378" s="6">
        <v>2019</v>
      </c>
      <c r="D1378" s="6">
        <v>1</v>
      </c>
      <c r="E1378" s="7">
        <v>59</v>
      </c>
      <c r="F1378" s="6" t="s">
        <v>10169</v>
      </c>
      <c r="G1378" s="6" t="s">
        <v>9370</v>
      </c>
      <c r="H1378" s="6" t="s">
        <v>26</v>
      </c>
      <c r="I1378" s="8">
        <v>11669.52</v>
      </c>
      <c r="J1378" s="8"/>
      <c r="K1378" s="6" t="s">
        <v>2982</v>
      </c>
      <c r="L1378" s="6" t="s">
        <v>9944</v>
      </c>
      <c r="M1378" s="6" t="s">
        <v>4516</v>
      </c>
      <c r="N1378" s="6" t="s">
        <v>5082</v>
      </c>
    </row>
    <row r="1379" s="1" customFormat="1" ht="16.35" customHeight="1" spans="1:14">
      <c r="A1379" s="5"/>
      <c r="B1379" s="6" t="s">
        <v>4506</v>
      </c>
      <c r="C1379" s="6">
        <v>2019</v>
      </c>
      <c r="D1379" s="6">
        <v>1</v>
      </c>
      <c r="E1379" s="7">
        <v>60</v>
      </c>
      <c r="F1379" s="6" t="s">
        <v>10170</v>
      </c>
      <c r="G1379" s="6" t="s">
        <v>9370</v>
      </c>
      <c r="H1379" s="6" t="s">
        <v>26</v>
      </c>
      <c r="I1379" s="8">
        <v>4757.52</v>
      </c>
      <c r="J1379" s="8"/>
      <c r="K1379" s="6" t="s">
        <v>2976</v>
      </c>
      <c r="L1379" s="6" t="s">
        <v>9860</v>
      </c>
      <c r="M1379" s="6" t="s">
        <v>4509</v>
      </c>
      <c r="N1379" s="6" t="s">
        <v>4537</v>
      </c>
    </row>
    <row r="1380" s="1" customFormat="1" ht="16.35" customHeight="1" spans="1:14">
      <c r="A1380" s="5"/>
      <c r="B1380" s="6" t="s">
        <v>4506</v>
      </c>
      <c r="C1380" s="6">
        <v>2019</v>
      </c>
      <c r="D1380" s="6">
        <v>1</v>
      </c>
      <c r="E1380" s="7">
        <v>61</v>
      </c>
      <c r="F1380" s="6" t="s">
        <v>10171</v>
      </c>
      <c r="G1380" s="6" t="s">
        <v>9370</v>
      </c>
      <c r="H1380" s="6" t="s">
        <v>26</v>
      </c>
      <c r="I1380" s="8"/>
      <c r="J1380" s="8">
        <v>150000</v>
      </c>
      <c r="K1380" s="6" t="s">
        <v>2976</v>
      </c>
      <c r="L1380" s="6" t="s">
        <v>9860</v>
      </c>
      <c r="M1380" s="6" t="s">
        <v>4509</v>
      </c>
      <c r="N1380" s="6" t="s">
        <v>4537</v>
      </c>
    </row>
    <row r="1381" s="1" customFormat="1" ht="16.35" customHeight="1" spans="1:14">
      <c r="A1381" s="5"/>
      <c r="B1381" s="6" t="s">
        <v>4506</v>
      </c>
      <c r="C1381" s="6">
        <v>2019</v>
      </c>
      <c r="D1381" s="6">
        <v>1</v>
      </c>
      <c r="E1381" s="7">
        <v>64</v>
      </c>
      <c r="F1381" s="6" t="s">
        <v>10172</v>
      </c>
      <c r="G1381" s="6" t="s">
        <v>9370</v>
      </c>
      <c r="H1381" s="6" t="s">
        <v>26</v>
      </c>
      <c r="I1381" s="8"/>
      <c r="J1381" s="8">
        <v>7000</v>
      </c>
      <c r="K1381" s="6" t="s">
        <v>2943</v>
      </c>
      <c r="L1381" s="6" t="s">
        <v>99</v>
      </c>
      <c r="M1381" s="6" t="s">
        <v>4516</v>
      </c>
      <c r="N1381" s="6" t="s">
        <v>5082</v>
      </c>
    </row>
    <row r="1382" s="1" customFormat="1" ht="25" customHeight="1" spans="1:14">
      <c r="A1382" s="5"/>
      <c r="B1382" s="6" t="s">
        <v>4506</v>
      </c>
      <c r="C1382" s="6">
        <v>2019</v>
      </c>
      <c r="D1382" s="6">
        <v>2</v>
      </c>
      <c r="E1382" s="7">
        <v>33</v>
      </c>
      <c r="F1382" s="6" t="s">
        <v>10173</v>
      </c>
      <c r="G1382" s="6" t="s">
        <v>9370</v>
      </c>
      <c r="H1382" s="6" t="s">
        <v>26</v>
      </c>
      <c r="I1382" s="8">
        <v>5000</v>
      </c>
      <c r="J1382" s="8"/>
      <c r="K1382" s="6" t="s">
        <v>4534</v>
      </c>
      <c r="L1382" s="6" t="s">
        <v>9998</v>
      </c>
      <c r="M1382" s="6" t="s">
        <v>4516</v>
      </c>
      <c r="N1382" s="6" t="s">
        <v>5082</v>
      </c>
    </row>
    <row r="1383" s="1" customFormat="1" ht="16.35" customHeight="1" spans="1:14">
      <c r="A1383" s="5"/>
      <c r="B1383" s="6" t="s">
        <v>4506</v>
      </c>
      <c r="C1383" s="6">
        <v>2019</v>
      </c>
      <c r="D1383" s="6">
        <v>2</v>
      </c>
      <c r="E1383" s="7">
        <v>36</v>
      </c>
      <c r="F1383" s="6" t="s">
        <v>3960</v>
      </c>
      <c r="G1383" s="6" t="s">
        <v>9370</v>
      </c>
      <c r="H1383" s="6" t="s">
        <v>26</v>
      </c>
      <c r="I1383" s="8"/>
      <c r="J1383" s="8">
        <v>110000</v>
      </c>
      <c r="K1383" s="6" t="s">
        <v>4512</v>
      </c>
      <c r="L1383" s="6" t="s">
        <v>2906</v>
      </c>
      <c r="M1383" s="6" t="s">
        <v>4516</v>
      </c>
      <c r="N1383" s="6" t="s">
        <v>5082</v>
      </c>
    </row>
    <row r="1384" s="1" customFormat="1" ht="16.35" customHeight="1" spans="1:14">
      <c r="A1384" s="5"/>
      <c r="B1384" s="6" t="s">
        <v>4506</v>
      </c>
      <c r="C1384" s="6">
        <v>2019</v>
      </c>
      <c r="D1384" s="6">
        <v>2</v>
      </c>
      <c r="E1384" s="7">
        <v>37</v>
      </c>
      <c r="F1384" s="6" t="s">
        <v>10164</v>
      </c>
      <c r="G1384" s="6" t="s">
        <v>9370</v>
      </c>
      <c r="H1384" s="6" t="s">
        <v>26</v>
      </c>
      <c r="I1384" s="8">
        <v>636</v>
      </c>
      <c r="J1384" s="8"/>
      <c r="K1384" s="6" t="s">
        <v>2942</v>
      </c>
      <c r="L1384" s="6" t="s">
        <v>9981</v>
      </c>
      <c r="M1384" s="6" t="s">
        <v>4509</v>
      </c>
      <c r="N1384" s="6" t="s">
        <v>4537</v>
      </c>
    </row>
    <row r="1385" s="1" customFormat="1" ht="16.35" customHeight="1" spans="1:14">
      <c r="A1385" s="5"/>
      <c r="B1385" s="6" t="s">
        <v>4506</v>
      </c>
      <c r="C1385" s="6">
        <v>2019</v>
      </c>
      <c r="D1385" s="6">
        <v>2</v>
      </c>
      <c r="E1385" s="7">
        <v>37</v>
      </c>
      <c r="F1385" s="6" t="s">
        <v>10164</v>
      </c>
      <c r="G1385" s="6" t="s">
        <v>9370</v>
      </c>
      <c r="H1385" s="6" t="s">
        <v>26</v>
      </c>
      <c r="I1385" s="8">
        <v>260</v>
      </c>
      <c r="J1385" s="8"/>
      <c r="K1385" s="6" t="s">
        <v>2944</v>
      </c>
      <c r="L1385" s="6" t="s">
        <v>10174</v>
      </c>
      <c r="M1385" s="6" t="s">
        <v>4509</v>
      </c>
      <c r="N1385" s="6" t="s">
        <v>4537</v>
      </c>
    </row>
    <row r="1386" s="1" customFormat="1" ht="16.35" customHeight="1" spans="1:14">
      <c r="A1386" s="5"/>
      <c r="B1386" s="6" t="s">
        <v>4506</v>
      </c>
      <c r="C1386" s="6">
        <v>2019</v>
      </c>
      <c r="D1386" s="6">
        <v>2</v>
      </c>
      <c r="E1386" s="7">
        <v>39</v>
      </c>
      <c r="F1386" s="6" t="s">
        <v>10175</v>
      </c>
      <c r="G1386" s="6" t="s">
        <v>9370</v>
      </c>
      <c r="H1386" s="6" t="s">
        <v>26</v>
      </c>
      <c r="I1386" s="8">
        <v>3000</v>
      </c>
      <c r="J1386" s="8"/>
      <c r="K1386" s="6" t="s">
        <v>4534</v>
      </c>
      <c r="L1386" s="6" t="s">
        <v>9998</v>
      </c>
      <c r="M1386" s="6" t="s">
        <v>4516</v>
      </c>
      <c r="N1386" s="6" t="s">
        <v>5082</v>
      </c>
    </row>
    <row r="1387" s="1" customFormat="1" ht="16.35" customHeight="1" spans="1:14">
      <c r="A1387" s="5"/>
      <c r="B1387" s="6" t="s">
        <v>4506</v>
      </c>
      <c r="C1387" s="6">
        <v>2019</v>
      </c>
      <c r="D1387" s="6">
        <v>2</v>
      </c>
      <c r="E1387" s="7">
        <v>40</v>
      </c>
      <c r="F1387" s="6" t="s">
        <v>10176</v>
      </c>
      <c r="G1387" s="6" t="s">
        <v>9370</v>
      </c>
      <c r="H1387" s="6" t="s">
        <v>26</v>
      </c>
      <c r="I1387" s="8">
        <v>5000</v>
      </c>
      <c r="J1387" s="8"/>
      <c r="K1387" s="6" t="s">
        <v>4534</v>
      </c>
      <c r="L1387" s="6" t="s">
        <v>9998</v>
      </c>
      <c r="M1387" s="6" t="s">
        <v>4516</v>
      </c>
      <c r="N1387" s="6" t="s">
        <v>5082</v>
      </c>
    </row>
    <row r="1388" s="1" customFormat="1" ht="16.35" customHeight="1" spans="1:14">
      <c r="A1388" s="5"/>
      <c r="B1388" s="6" t="s">
        <v>4506</v>
      </c>
      <c r="C1388" s="6">
        <v>2019</v>
      </c>
      <c r="D1388" s="6">
        <v>2</v>
      </c>
      <c r="E1388" s="7">
        <v>41</v>
      </c>
      <c r="F1388" s="6" t="s">
        <v>10177</v>
      </c>
      <c r="G1388" s="6" t="s">
        <v>9370</v>
      </c>
      <c r="H1388" s="6" t="s">
        <v>26</v>
      </c>
      <c r="I1388" s="8">
        <v>5000</v>
      </c>
      <c r="J1388" s="8"/>
      <c r="K1388" s="6" t="s">
        <v>4534</v>
      </c>
      <c r="L1388" s="6" t="s">
        <v>9998</v>
      </c>
      <c r="M1388" s="6" t="s">
        <v>4516</v>
      </c>
      <c r="N1388" s="6" t="s">
        <v>5082</v>
      </c>
    </row>
    <row r="1389" s="1" customFormat="1" ht="16.35" customHeight="1" spans="1:14">
      <c r="A1389" s="5"/>
      <c r="B1389" s="6" t="s">
        <v>4506</v>
      </c>
      <c r="C1389" s="6">
        <v>2019</v>
      </c>
      <c r="D1389" s="6">
        <v>2</v>
      </c>
      <c r="E1389" s="7">
        <v>42</v>
      </c>
      <c r="F1389" s="6" t="s">
        <v>10178</v>
      </c>
      <c r="G1389" s="6" t="s">
        <v>9370</v>
      </c>
      <c r="H1389" s="6" t="s">
        <v>26</v>
      </c>
      <c r="I1389" s="8">
        <v>465</v>
      </c>
      <c r="J1389" s="8"/>
      <c r="K1389" s="6" t="s">
        <v>2976</v>
      </c>
      <c r="L1389" s="6" t="s">
        <v>9860</v>
      </c>
      <c r="M1389" s="6" t="s">
        <v>4510</v>
      </c>
      <c r="N1389" s="6" t="s">
        <v>4511</v>
      </c>
    </row>
    <row r="1390" s="1" customFormat="1" ht="16.35" customHeight="1" spans="1:14">
      <c r="A1390" s="5"/>
      <c r="B1390" s="6" t="s">
        <v>4506</v>
      </c>
      <c r="C1390" s="6">
        <v>2019</v>
      </c>
      <c r="D1390" s="6">
        <v>2</v>
      </c>
      <c r="E1390" s="7">
        <v>43</v>
      </c>
      <c r="F1390" s="6" t="s">
        <v>10179</v>
      </c>
      <c r="G1390" s="6" t="s">
        <v>9370</v>
      </c>
      <c r="H1390" s="6" t="s">
        <v>26</v>
      </c>
      <c r="I1390" s="8">
        <v>465</v>
      </c>
      <c r="J1390" s="8"/>
      <c r="K1390" s="6" t="s">
        <v>2976</v>
      </c>
      <c r="L1390" s="6" t="s">
        <v>9860</v>
      </c>
      <c r="M1390" s="6" t="s">
        <v>4510</v>
      </c>
      <c r="N1390" s="6" t="s">
        <v>4511</v>
      </c>
    </row>
    <row r="1391" s="1" customFormat="1" ht="16.35" customHeight="1" spans="1:14">
      <c r="A1391" s="5"/>
      <c r="B1391" s="6" t="s">
        <v>4506</v>
      </c>
      <c r="C1391" s="6">
        <v>2019</v>
      </c>
      <c r="D1391" s="6">
        <v>2</v>
      </c>
      <c r="E1391" s="7">
        <v>44</v>
      </c>
      <c r="F1391" s="6" t="s">
        <v>10180</v>
      </c>
      <c r="G1391" s="6" t="s">
        <v>9370</v>
      </c>
      <c r="H1391" s="6" t="s">
        <v>26</v>
      </c>
      <c r="I1391" s="8">
        <v>465</v>
      </c>
      <c r="J1391" s="8"/>
      <c r="K1391" s="6" t="s">
        <v>2976</v>
      </c>
      <c r="L1391" s="6" t="s">
        <v>9860</v>
      </c>
      <c r="M1391" s="6" t="s">
        <v>4510</v>
      </c>
      <c r="N1391" s="6" t="s">
        <v>4511</v>
      </c>
    </row>
    <row r="1392" s="1" customFormat="1" ht="16.35" customHeight="1" spans="1:14">
      <c r="A1392" s="5"/>
      <c r="B1392" s="6" t="s">
        <v>4506</v>
      </c>
      <c r="C1392" s="6">
        <v>2019</v>
      </c>
      <c r="D1392" s="6">
        <v>2</v>
      </c>
      <c r="E1392" s="7">
        <v>45</v>
      </c>
      <c r="F1392" s="6" t="s">
        <v>10181</v>
      </c>
      <c r="G1392" s="6" t="s">
        <v>9370</v>
      </c>
      <c r="H1392" s="6" t="s">
        <v>26</v>
      </c>
      <c r="I1392" s="8">
        <v>1015</v>
      </c>
      <c r="J1392" s="8"/>
      <c r="K1392" s="6" t="s">
        <v>2976</v>
      </c>
      <c r="L1392" s="6" t="s">
        <v>9860</v>
      </c>
      <c r="M1392" s="6" t="s">
        <v>4510</v>
      </c>
      <c r="N1392" s="6" t="s">
        <v>4511</v>
      </c>
    </row>
    <row r="1393" s="1" customFormat="1" ht="16.35" customHeight="1" spans="1:14">
      <c r="A1393" s="5"/>
      <c r="B1393" s="6" t="s">
        <v>4506</v>
      </c>
      <c r="C1393" s="6">
        <v>2019</v>
      </c>
      <c r="D1393" s="6">
        <v>2</v>
      </c>
      <c r="E1393" s="7">
        <v>49</v>
      </c>
      <c r="F1393" s="6" t="s">
        <v>3955</v>
      </c>
      <c r="G1393" s="6" t="s">
        <v>9370</v>
      </c>
      <c r="H1393" s="6" t="s">
        <v>26</v>
      </c>
      <c r="I1393" s="8"/>
      <c r="J1393" s="8">
        <v>30000</v>
      </c>
      <c r="K1393" s="6" t="s">
        <v>4512</v>
      </c>
      <c r="L1393" s="6" t="s">
        <v>2906</v>
      </c>
      <c r="M1393" s="6" t="s">
        <v>4516</v>
      </c>
      <c r="N1393" s="6" t="s">
        <v>5082</v>
      </c>
    </row>
    <row r="1394" s="1" customFormat="1" ht="16.35" customHeight="1" spans="1:14">
      <c r="A1394" s="5"/>
      <c r="B1394" s="6" t="s">
        <v>4506</v>
      </c>
      <c r="C1394" s="6">
        <v>2019</v>
      </c>
      <c r="D1394" s="6">
        <v>2</v>
      </c>
      <c r="E1394" s="7">
        <v>50</v>
      </c>
      <c r="F1394" s="6" t="s">
        <v>10182</v>
      </c>
      <c r="G1394" s="6" t="s">
        <v>9370</v>
      </c>
      <c r="H1394" s="6" t="s">
        <v>26</v>
      </c>
      <c r="I1394" s="8"/>
      <c r="J1394" s="8">
        <v>300000</v>
      </c>
      <c r="K1394" s="6" t="s">
        <v>2976</v>
      </c>
      <c r="L1394" s="6" t="s">
        <v>9860</v>
      </c>
      <c r="M1394" s="6" t="s">
        <v>4509</v>
      </c>
      <c r="N1394" s="6" t="s">
        <v>4537</v>
      </c>
    </row>
    <row r="1395" s="1" customFormat="1" ht="16.35" customHeight="1" spans="1:14">
      <c r="A1395" s="5"/>
      <c r="B1395" s="6" t="s">
        <v>4506</v>
      </c>
      <c r="C1395" s="6">
        <v>2019</v>
      </c>
      <c r="D1395" s="6">
        <v>2</v>
      </c>
      <c r="E1395" s="7">
        <v>51</v>
      </c>
      <c r="F1395" s="6" t="s">
        <v>5036</v>
      </c>
      <c r="G1395" s="6" t="s">
        <v>9370</v>
      </c>
      <c r="H1395" s="6" t="s">
        <v>26</v>
      </c>
      <c r="I1395" s="8"/>
      <c r="J1395" s="8">
        <v>100000</v>
      </c>
      <c r="K1395" s="6" t="s">
        <v>2976</v>
      </c>
      <c r="L1395" s="6" t="s">
        <v>9860</v>
      </c>
      <c r="M1395" s="6" t="s">
        <v>4510</v>
      </c>
      <c r="N1395" s="6" t="s">
        <v>4511</v>
      </c>
    </row>
    <row r="1396" s="1" customFormat="1" ht="16.35" customHeight="1" spans="1:14">
      <c r="A1396" s="5"/>
      <c r="B1396" s="6" t="s">
        <v>4506</v>
      </c>
      <c r="C1396" s="6">
        <v>2019</v>
      </c>
      <c r="D1396" s="6">
        <v>2</v>
      </c>
      <c r="E1396" s="7">
        <v>54</v>
      </c>
      <c r="F1396" s="6" t="s">
        <v>10183</v>
      </c>
      <c r="G1396" s="6" t="s">
        <v>9370</v>
      </c>
      <c r="H1396" s="6" t="s">
        <v>26</v>
      </c>
      <c r="I1396" s="8">
        <v>465</v>
      </c>
      <c r="J1396" s="8"/>
      <c r="K1396" s="6" t="s">
        <v>2976</v>
      </c>
      <c r="L1396" s="6" t="s">
        <v>9860</v>
      </c>
      <c r="M1396" s="6" t="s">
        <v>4510</v>
      </c>
      <c r="N1396" s="6" t="s">
        <v>4511</v>
      </c>
    </row>
    <row r="1397" s="1" customFormat="1" ht="16.35" customHeight="1" spans="1:14">
      <c r="A1397" s="5"/>
      <c r="B1397" s="6" t="s">
        <v>4506</v>
      </c>
      <c r="C1397" s="6">
        <v>2019</v>
      </c>
      <c r="D1397" s="6">
        <v>3</v>
      </c>
      <c r="E1397" s="7">
        <v>41</v>
      </c>
      <c r="F1397" s="6" t="s">
        <v>10184</v>
      </c>
      <c r="G1397" s="6" t="s">
        <v>9370</v>
      </c>
      <c r="H1397" s="6" t="s">
        <v>26</v>
      </c>
      <c r="I1397" s="8"/>
      <c r="J1397" s="8">
        <v>170103.58</v>
      </c>
      <c r="K1397" s="6" t="s">
        <v>4509</v>
      </c>
      <c r="L1397" s="6" t="s">
        <v>9218</v>
      </c>
      <c r="M1397" s="6" t="s">
        <v>4510</v>
      </c>
      <c r="N1397" s="6" t="s">
        <v>4511</v>
      </c>
    </row>
    <row r="1398" s="1" customFormat="1" ht="16.35" customHeight="1" spans="1:14">
      <c r="A1398" s="5"/>
      <c r="B1398" s="6" t="s">
        <v>4506</v>
      </c>
      <c r="C1398" s="6">
        <v>2019</v>
      </c>
      <c r="D1398" s="6">
        <v>3</v>
      </c>
      <c r="E1398" s="7">
        <v>42</v>
      </c>
      <c r="F1398" s="6" t="s">
        <v>10184</v>
      </c>
      <c r="G1398" s="6" t="s">
        <v>9370</v>
      </c>
      <c r="H1398" s="6" t="s">
        <v>26</v>
      </c>
      <c r="I1398" s="8"/>
      <c r="J1398" s="8">
        <v>312610</v>
      </c>
      <c r="K1398" s="6" t="s">
        <v>4509</v>
      </c>
      <c r="L1398" s="6" t="s">
        <v>9218</v>
      </c>
      <c r="M1398" s="6" t="s">
        <v>4510</v>
      </c>
      <c r="N1398" s="6" t="s">
        <v>4511</v>
      </c>
    </row>
    <row r="1399" s="1" customFormat="1" ht="16.35" customHeight="1" spans="1:14">
      <c r="A1399" s="5"/>
      <c r="B1399" s="6" t="s">
        <v>4506</v>
      </c>
      <c r="C1399" s="6">
        <v>2019</v>
      </c>
      <c r="D1399" s="6">
        <v>3</v>
      </c>
      <c r="E1399" s="7">
        <v>44</v>
      </c>
      <c r="F1399" s="6" t="s">
        <v>10185</v>
      </c>
      <c r="G1399" s="6" t="s">
        <v>9370</v>
      </c>
      <c r="H1399" s="6" t="s">
        <v>26</v>
      </c>
      <c r="I1399" s="8">
        <v>460</v>
      </c>
      <c r="J1399" s="8"/>
      <c r="K1399" s="6" t="s">
        <v>2976</v>
      </c>
      <c r="L1399" s="6" t="s">
        <v>9860</v>
      </c>
      <c r="M1399" s="6" t="s">
        <v>4510</v>
      </c>
      <c r="N1399" s="6" t="s">
        <v>4511</v>
      </c>
    </row>
    <row r="1400" s="1" customFormat="1" ht="16.35" customHeight="1" spans="1:14">
      <c r="A1400" s="5"/>
      <c r="B1400" s="6" t="s">
        <v>4506</v>
      </c>
      <c r="C1400" s="6">
        <v>2019</v>
      </c>
      <c r="D1400" s="6">
        <v>3</v>
      </c>
      <c r="E1400" s="7">
        <v>47</v>
      </c>
      <c r="F1400" s="6" t="s">
        <v>10186</v>
      </c>
      <c r="G1400" s="6" t="s">
        <v>9370</v>
      </c>
      <c r="H1400" s="6" t="s">
        <v>26</v>
      </c>
      <c r="I1400" s="8">
        <v>2000</v>
      </c>
      <c r="J1400" s="8"/>
      <c r="K1400" s="6" t="s">
        <v>4534</v>
      </c>
      <c r="L1400" s="6" t="s">
        <v>9998</v>
      </c>
      <c r="M1400" s="6" t="s">
        <v>4516</v>
      </c>
      <c r="N1400" s="6" t="s">
        <v>5082</v>
      </c>
    </row>
    <row r="1401" s="1" customFormat="1" ht="16.35" customHeight="1" spans="1:14">
      <c r="A1401" s="5"/>
      <c r="B1401" s="6" t="s">
        <v>4506</v>
      </c>
      <c r="C1401" s="6">
        <v>2019</v>
      </c>
      <c r="D1401" s="6">
        <v>3</v>
      </c>
      <c r="E1401" s="7">
        <v>48</v>
      </c>
      <c r="F1401" s="6" t="s">
        <v>10187</v>
      </c>
      <c r="G1401" s="6" t="s">
        <v>9370</v>
      </c>
      <c r="H1401" s="6" t="s">
        <v>26</v>
      </c>
      <c r="I1401" s="8">
        <v>540</v>
      </c>
      <c r="J1401" s="8"/>
      <c r="K1401" s="6" t="s">
        <v>2976</v>
      </c>
      <c r="L1401" s="6" t="s">
        <v>9860</v>
      </c>
      <c r="M1401" s="6" t="s">
        <v>4510</v>
      </c>
      <c r="N1401" s="6" t="s">
        <v>4511</v>
      </c>
    </row>
    <row r="1402" s="1" customFormat="1" ht="16.35" customHeight="1" spans="1:14">
      <c r="A1402" s="5"/>
      <c r="B1402" s="6" t="s">
        <v>4506</v>
      </c>
      <c r="C1402" s="6">
        <v>2019</v>
      </c>
      <c r="D1402" s="6">
        <v>3</v>
      </c>
      <c r="E1402" s="7">
        <v>55</v>
      </c>
      <c r="F1402" s="6" t="s">
        <v>10188</v>
      </c>
      <c r="G1402" s="6" t="s">
        <v>9370</v>
      </c>
      <c r="H1402" s="6" t="s">
        <v>26</v>
      </c>
      <c r="I1402" s="8">
        <v>300</v>
      </c>
      <c r="J1402" s="8"/>
      <c r="K1402" s="6" t="s">
        <v>4512</v>
      </c>
      <c r="L1402" s="6" t="s">
        <v>2906</v>
      </c>
      <c r="M1402" s="6" t="s">
        <v>4509</v>
      </c>
      <c r="N1402" s="6" t="s">
        <v>4537</v>
      </c>
    </row>
    <row r="1403" s="1" customFormat="1" ht="16.35" customHeight="1" spans="1:14">
      <c r="A1403" s="5"/>
      <c r="B1403" s="6" t="s">
        <v>4506</v>
      </c>
      <c r="C1403" s="6">
        <v>2019</v>
      </c>
      <c r="D1403" s="6">
        <v>3</v>
      </c>
      <c r="E1403" s="7">
        <v>55</v>
      </c>
      <c r="F1403" s="6" t="s">
        <v>10189</v>
      </c>
      <c r="G1403" s="6" t="s">
        <v>9370</v>
      </c>
      <c r="H1403" s="6" t="s">
        <v>26</v>
      </c>
      <c r="I1403" s="8">
        <v>1200</v>
      </c>
      <c r="J1403" s="8"/>
      <c r="K1403" s="6" t="s">
        <v>4512</v>
      </c>
      <c r="L1403" s="6" t="s">
        <v>2906</v>
      </c>
      <c r="M1403" s="6" t="s">
        <v>4516</v>
      </c>
      <c r="N1403" s="6" t="s">
        <v>5082</v>
      </c>
    </row>
    <row r="1404" s="1" customFormat="1" ht="16.35" customHeight="1" spans="1:14">
      <c r="A1404" s="5"/>
      <c r="B1404" s="6" t="s">
        <v>4506</v>
      </c>
      <c r="C1404" s="6">
        <v>2019</v>
      </c>
      <c r="D1404" s="6">
        <v>3</v>
      </c>
      <c r="E1404" s="7">
        <v>56</v>
      </c>
      <c r="F1404" s="6" t="s">
        <v>10190</v>
      </c>
      <c r="G1404" s="6" t="s">
        <v>9370</v>
      </c>
      <c r="H1404" s="6" t="s">
        <v>26</v>
      </c>
      <c r="I1404" s="8">
        <v>150</v>
      </c>
      <c r="J1404" s="8"/>
      <c r="K1404" s="6" t="s">
        <v>2944</v>
      </c>
      <c r="L1404" s="6" t="s">
        <v>10174</v>
      </c>
      <c r="M1404" s="6" t="s">
        <v>4509</v>
      </c>
      <c r="N1404" s="6" t="s">
        <v>4537</v>
      </c>
    </row>
    <row r="1405" s="1" customFormat="1" ht="16.35" customHeight="1" spans="1:14">
      <c r="A1405" s="5"/>
      <c r="B1405" s="6" t="s">
        <v>4506</v>
      </c>
      <c r="C1405" s="6">
        <v>2019</v>
      </c>
      <c r="D1405" s="6">
        <v>3</v>
      </c>
      <c r="E1405" s="7">
        <v>56</v>
      </c>
      <c r="F1405" s="6" t="s">
        <v>10190</v>
      </c>
      <c r="G1405" s="6" t="s">
        <v>9370</v>
      </c>
      <c r="H1405" s="6" t="s">
        <v>26</v>
      </c>
      <c r="I1405" s="8">
        <v>100</v>
      </c>
      <c r="J1405" s="8"/>
      <c r="K1405" s="6" t="s">
        <v>4509</v>
      </c>
      <c r="L1405" s="6" t="s">
        <v>9218</v>
      </c>
      <c r="M1405" s="6" t="s">
        <v>4509</v>
      </c>
      <c r="N1405" s="6" t="s">
        <v>4537</v>
      </c>
    </row>
    <row r="1406" s="1" customFormat="1" ht="16.35" customHeight="1" spans="1:14">
      <c r="A1406" s="5"/>
      <c r="B1406" s="6" t="s">
        <v>4506</v>
      </c>
      <c r="C1406" s="6">
        <v>2019</v>
      </c>
      <c r="D1406" s="6">
        <v>3</v>
      </c>
      <c r="E1406" s="7">
        <v>56</v>
      </c>
      <c r="F1406" s="6" t="s">
        <v>10190</v>
      </c>
      <c r="G1406" s="6" t="s">
        <v>9370</v>
      </c>
      <c r="H1406" s="6" t="s">
        <v>26</v>
      </c>
      <c r="I1406" s="8">
        <v>100</v>
      </c>
      <c r="J1406" s="8"/>
      <c r="K1406" s="6" t="s">
        <v>4512</v>
      </c>
      <c r="L1406" s="6" t="s">
        <v>2906</v>
      </c>
      <c r="M1406" s="6" t="s">
        <v>4509</v>
      </c>
      <c r="N1406" s="6" t="s">
        <v>4537</v>
      </c>
    </row>
    <row r="1407" s="1" customFormat="1" ht="16.35" customHeight="1" spans="1:14">
      <c r="A1407" s="5"/>
      <c r="B1407" s="6" t="s">
        <v>4506</v>
      </c>
      <c r="C1407" s="6">
        <v>2019</v>
      </c>
      <c r="D1407" s="6">
        <v>3</v>
      </c>
      <c r="E1407" s="7">
        <v>56</v>
      </c>
      <c r="F1407" s="6" t="s">
        <v>10190</v>
      </c>
      <c r="G1407" s="6" t="s">
        <v>9370</v>
      </c>
      <c r="H1407" s="6" t="s">
        <v>26</v>
      </c>
      <c r="I1407" s="8"/>
      <c r="J1407" s="8">
        <v>65</v>
      </c>
      <c r="K1407" s="6" t="s">
        <v>2942</v>
      </c>
      <c r="L1407" s="6" t="s">
        <v>9981</v>
      </c>
      <c r="M1407" s="6" t="s">
        <v>4509</v>
      </c>
      <c r="N1407" s="6" t="s">
        <v>4537</v>
      </c>
    </row>
    <row r="1408" s="1" customFormat="1" ht="16.35" customHeight="1" spans="1:14">
      <c r="A1408" s="5"/>
      <c r="B1408" s="6" t="s">
        <v>4506</v>
      </c>
      <c r="C1408" s="6">
        <v>2019</v>
      </c>
      <c r="D1408" s="6">
        <v>3</v>
      </c>
      <c r="E1408" s="7">
        <v>57</v>
      </c>
      <c r="F1408" s="6" t="s">
        <v>10191</v>
      </c>
      <c r="G1408" s="6" t="s">
        <v>9370</v>
      </c>
      <c r="H1408" s="6" t="s">
        <v>26</v>
      </c>
      <c r="I1408" s="8">
        <v>460</v>
      </c>
      <c r="J1408" s="8"/>
      <c r="K1408" s="6" t="s">
        <v>2976</v>
      </c>
      <c r="L1408" s="6" t="s">
        <v>9860</v>
      </c>
      <c r="M1408" s="6" t="s">
        <v>4509</v>
      </c>
      <c r="N1408" s="6" t="s">
        <v>4537</v>
      </c>
    </row>
    <row r="1409" s="1" customFormat="1" ht="16.35" customHeight="1" spans="1:14">
      <c r="A1409" s="5"/>
      <c r="B1409" s="6" t="s">
        <v>4506</v>
      </c>
      <c r="C1409" s="6">
        <v>2019</v>
      </c>
      <c r="D1409" s="6">
        <v>3</v>
      </c>
      <c r="E1409" s="7">
        <v>60</v>
      </c>
      <c r="F1409" s="6" t="s">
        <v>10192</v>
      </c>
      <c r="G1409" s="6" t="s">
        <v>9370</v>
      </c>
      <c r="H1409" s="6" t="s">
        <v>26</v>
      </c>
      <c r="I1409" s="8"/>
      <c r="J1409" s="8">
        <v>1500</v>
      </c>
      <c r="K1409" s="6" t="s">
        <v>2945</v>
      </c>
      <c r="L1409" s="6" t="s">
        <v>10193</v>
      </c>
      <c r="M1409" s="6" t="s">
        <v>4516</v>
      </c>
      <c r="N1409" s="6" t="s">
        <v>5082</v>
      </c>
    </row>
    <row r="1410" s="1" customFormat="1" ht="16.35" customHeight="1" spans="1:14">
      <c r="A1410" s="5"/>
      <c r="B1410" s="6" t="s">
        <v>4506</v>
      </c>
      <c r="C1410" s="6">
        <v>2019</v>
      </c>
      <c r="D1410" s="6">
        <v>3</v>
      </c>
      <c r="E1410" s="7">
        <v>60</v>
      </c>
      <c r="F1410" s="6" t="s">
        <v>10192</v>
      </c>
      <c r="G1410" s="6" t="s">
        <v>9370</v>
      </c>
      <c r="H1410" s="6" t="s">
        <v>26</v>
      </c>
      <c r="I1410" s="8">
        <v>1500</v>
      </c>
      <c r="J1410" s="8"/>
      <c r="K1410" s="6" t="s">
        <v>2945</v>
      </c>
      <c r="L1410" s="6" t="s">
        <v>10193</v>
      </c>
      <c r="M1410" s="6" t="s">
        <v>4516</v>
      </c>
      <c r="N1410" s="6" t="s">
        <v>5082</v>
      </c>
    </row>
    <row r="1411" s="1" customFormat="1" ht="16.35" customHeight="1" spans="1:14">
      <c r="A1411" s="5"/>
      <c r="B1411" s="6" t="s">
        <v>4506</v>
      </c>
      <c r="C1411" s="6">
        <v>2019</v>
      </c>
      <c r="D1411" s="6">
        <v>3</v>
      </c>
      <c r="E1411" s="7">
        <v>62</v>
      </c>
      <c r="F1411" s="6" t="s">
        <v>10194</v>
      </c>
      <c r="G1411" s="6" t="s">
        <v>9370</v>
      </c>
      <c r="H1411" s="6" t="s">
        <v>26</v>
      </c>
      <c r="I1411" s="8">
        <v>19807.03</v>
      </c>
      <c r="J1411" s="8"/>
      <c r="K1411" s="6" t="s">
        <v>2982</v>
      </c>
      <c r="L1411" s="6" t="s">
        <v>9944</v>
      </c>
      <c r="M1411" s="6" t="s">
        <v>4516</v>
      </c>
      <c r="N1411" s="6" t="s">
        <v>5082</v>
      </c>
    </row>
    <row r="1412" s="1" customFormat="1" ht="16.35" customHeight="1" spans="1:14">
      <c r="A1412" s="5"/>
      <c r="B1412" s="6" t="s">
        <v>4506</v>
      </c>
      <c r="C1412" s="6">
        <v>2019</v>
      </c>
      <c r="D1412" s="6">
        <v>3</v>
      </c>
      <c r="E1412" s="7">
        <v>66</v>
      </c>
      <c r="F1412" s="6" t="s">
        <v>3952</v>
      </c>
      <c r="G1412" s="6" t="s">
        <v>9370</v>
      </c>
      <c r="H1412" s="6" t="s">
        <v>26</v>
      </c>
      <c r="I1412" s="8"/>
      <c r="J1412" s="8">
        <v>71075</v>
      </c>
      <c r="K1412" s="6" t="s">
        <v>4512</v>
      </c>
      <c r="L1412" s="6" t="s">
        <v>2906</v>
      </c>
      <c r="M1412" s="6" t="s">
        <v>4516</v>
      </c>
      <c r="N1412" s="6" t="s">
        <v>5082</v>
      </c>
    </row>
    <row r="1413" s="1" customFormat="1" ht="16.35" customHeight="1" spans="1:14">
      <c r="A1413" s="5"/>
      <c r="B1413" s="6" t="s">
        <v>4506</v>
      </c>
      <c r="C1413" s="6">
        <v>2019</v>
      </c>
      <c r="D1413" s="6">
        <v>3</v>
      </c>
      <c r="E1413" s="7">
        <v>67</v>
      </c>
      <c r="F1413" s="6" t="s">
        <v>3952</v>
      </c>
      <c r="G1413" s="6" t="s">
        <v>9370</v>
      </c>
      <c r="H1413" s="6" t="s">
        <v>26</v>
      </c>
      <c r="I1413" s="8"/>
      <c r="J1413" s="8">
        <v>825</v>
      </c>
      <c r="K1413" s="6" t="s">
        <v>4512</v>
      </c>
      <c r="L1413" s="6" t="s">
        <v>2906</v>
      </c>
      <c r="M1413" s="6" t="s">
        <v>4516</v>
      </c>
      <c r="N1413" s="6" t="s">
        <v>5082</v>
      </c>
    </row>
    <row r="1414" s="1" customFormat="1" ht="16.35" customHeight="1" spans="1:14">
      <c r="A1414" s="5"/>
      <c r="B1414" s="6" t="s">
        <v>4506</v>
      </c>
      <c r="C1414" s="6">
        <v>2019</v>
      </c>
      <c r="D1414" s="6">
        <v>3</v>
      </c>
      <c r="E1414" s="7">
        <v>68</v>
      </c>
      <c r="F1414" s="6" t="s">
        <v>3961</v>
      </c>
      <c r="G1414" s="6" t="s">
        <v>9370</v>
      </c>
      <c r="H1414" s="6" t="s">
        <v>26</v>
      </c>
      <c r="I1414" s="8"/>
      <c r="J1414" s="8">
        <v>89275</v>
      </c>
      <c r="K1414" s="6" t="s">
        <v>4512</v>
      </c>
      <c r="L1414" s="6" t="s">
        <v>2906</v>
      </c>
      <c r="M1414" s="6" t="s">
        <v>4516</v>
      </c>
      <c r="N1414" s="6" t="s">
        <v>5082</v>
      </c>
    </row>
    <row r="1415" s="1" customFormat="1" ht="16.35" customHeight="1" spans="1:14">
      <c r="A1415" s="5"/>
      <c r="B1415" s="6" t="s">
        <v>4506</v>
      </c>
      <c r="C1415" s="6">
        <v>2019</v>
      </c>
      <c r="D1415" s="6">
        <v>3</v>
      </c>
      <c r="E1415" s="7">
        <v>69</v>
      </c>
      <c r="F1415" s="6" t="s">
        <v>3956</v>
      </c>
      <c r="G1415" s="6" t="s">
        <v>9370</v>
      </c>
      <c r="H1415" s="6" t="s">
        <v>26</v>
      </c>
      <c r="I1415" s="8"/>
      <c r="J1415" s="8">
        <v>6232</v>
      </c>
      <c r="K1415" s="6" t="s">
        <v>4512</v>
      </c>
      <c r="L1415" s="6" t="s">
        <v>2906</v>
      </c>
      <c r="M1415" s="6" t="s">
        <v>4516</v>
      </c>
      <c r="N1415" s="6" t="s">
        <v>5082</v>
      </c>
    </row>
    <row r="1416" s="1" customFormat="1" ht="16.35" customHeight="1" spans="1:14">
      <c r="A1416" s="5"/>
      <c r="B1416" s="6" t="s">
        <v>4506</v>
      </c>
      <c r="C1416" s="6">
        <v>2019</v>
      </c>
      <c r="D1416" s="6">
        <v>3</v>
      </c>
      <c r="E1416" s="7">
        <v>70</v>
      </c>
      <c r="F1416" s="6" t="s">
        <v>10195</v>
      </c>
      <c r="G1416" s="6" t="s">
        <v>9370</v>
      </c>
      <c r="H1416" s="6" t="s">
        <v>26</v>
      </c>
      <c r="I1416" s="8"/>
      <c r="J1416" s="8">
        <v>47000</v>
      </c>
      <c r="K1416" s="6" t="s">
        <v>4512</v>
      </c>
      <c r="L1416" s="6" t="s">
        <v>2906</v>
      </c>
      <c r="M1416" s="6" t="s">
        <v>4516</v>
      </c>
      <c r="N1416" s="6" t="s">
        <v>5082</v>
      </c>
    </row>
    <row r="1417" s="1" customFormat="1" ht="16.35" customHeight="1" spans="1:14">
      <c r="A1417" s="5"/>
      <c r="B1417" s="6" t="s">
        <v>4506</v>
      </c>
      <c r="C1417" s="6">
        <v>2019</v>
      </c>
      <c r="D1417" s="6">
        <v>3</v>
      </c>
      <c r="E1417" s="7">
        <v>71</v>
      </c>
      <c r="F1417" s="6" t="s">
        <v>3966</v>
      </c>
      <c r="G1417" s="6" t="s">
        <v>9370</v>
      </c>
      <c r="H1417" s="6" t="s">
        <v>26</v>
      </c>
      <c r="I1417" s="8"/>
      <c r="J1417" s="8">
        <v>170000</v>
      </c>
      <c r="K1417" s="6" t="s">
        <v>4512</v>
      </c>
      <c r="L1417" s="6" t="s">
        <v>2906</v>
      </c>
      <c r="M1417" s="6" t="s">
        <v>4516</v>
      </c>
      <c r="N1417" s="6" t="s">
        <v>5082</v>
      </c>
    </row>
    <row r="1418" s="1" customFormat="1" ht="16.35" customHeight="1" spans="1:14">
      <c r="A1418" s="5"/>
      <c r="B1418" s="6" t="s">
        <v>4506</v>
      </c>
      <c r="C1418" s="6">
        <v>2019</v>
      </c>
      <c r="D1418" s="6">
        <v>3</v>
      </c>
      <c r="E1418" s="7">
        <v>77</v>
      </c>
      <c r="F1418" s="6" t="s">
        <v>10196</v>
      </c>
      <c r="G1418" s="6" t="s">
        <v>9370</v>
      </c>
      <c r="H1418" s="6" t="s">
        <v>26</v>
      </c>
      <c r="I1418" s="8"/>
      <c r="J1418" s="8">
        <v>328000</v>
      </c>
      <c r="K1418" s="6" t="s">
        <v>4509</v>
      </c>
      <c r="L1418" s="6" t="s">
        <v>9218</v>
      </c>
      <c r="M1418" s="6" t="s">
        <v>4516</v>
      </c>
      <c r="N1418" s="6" t="s">
        <v>5082</v>
      </c>
    </row>
    <row r="1419" s="1" customFormat="1" ht="16.35" customHeight="1" spans="1:14">
      <c r="A1419" s="5"/>
      <c r="B1419" s="6" t="s">
        <v>4506</v>
      </c>
      <c r="C1419" s="6">
        <v>2019</v>
      </c>
      <c r="D1419" s="6">
        <v>4</v>
      </c>
      <c r="E1419" s="7">
        <v>34</v>
      </c>
      <c r="F1419" s="6" t="s">
        <v>5392</v>
      </c>
      <c r="G1419" s="6" t="s">
        <v>9370</v>
      </c>
      <c r="H1419" s="6" t="s">
        <v>26</v>
      </c>
      <c r="I1419" s="8">
        <v>100000</v>
      </c>
      <c r="J1419" s="8"/>
      <c r="K1419" s="6" t="s">
        <v>4512</v>
      </c>
      <c r="L1419" s="6" t="s">
        <v>2906</v>
      </c>
      <c r="M1419" s="6" t="s">
        <v>4516</v>
      </c>
      <c r="N1419" s="6" t="s">
        <v>5082</v>
      </c>
    </row>
    <row r="1420" s="1" customFormat="1" ht="16.35" customHeight="1" spans="1:14">
      <c r="A1420" s="5"/>
      <c r="B1420" s="6" t="s">
        <v>4506</v>
      </c>
      <c r="C1420" s="6">
        <v>2019</v>
      </c>
      <c r="D1420" s="6">
        <v>4</v>
      </c>
      <c r="E1420" s="7">
        <v>35</v>
      </c>
      <c r="F1420" s="6" t="s">
        <v>5377</v>
      </c>
      <c r="G1420" s="6" t="s">
        <v>9370</v>
      </c>
      <c r="H1420" s="6" t="s">
        <v>26</v>
      </c>
      <c r="I1420" s="8">
        <v>1000</v>
      </c>
      <c r="J1420" s="8"/>
      <c r="K1420" s="6" t="s">
        <v>4512</v>
      </c>
      <c r="L1420" s="6" t="s">
        <v>2906</v>
      </c>
      <c r="M1420" s="6" t="s">
        <v>4516</v>
      </c>
      <c r="N1420" s="6" t="s">
        <v>5082</v>
      </c>
    </row>
    <row r="1421" s="1" customFormat="1" ht="16.35" customHeight="1" spans="1:14">
      <c r="A1421" s="5"/>
      <c r="B1421" s="6" t="s">
        <v>4506</v>
      </c>
      <c r="C1421" s="6">
        <v>2019</v>
      </c>
      <c r="D1421" s="6">
        <v>4</v>
      </c>
      <c r="E1421" s="7">
        <v>36</v>
      </c>
      <c r="F1421" s="6" t="s">
        <v>5393</v>
      </c>
      <c r="G1421" s="6" t="s">
        <v>9370</v>
      </c>
      <c r="H1421" s="6" t="s">
        <v>26</v>
      </c>
      <c r="I1421" s="8">
        <v>40000</v>
      </c>
      <c r="J1421" s="8"/>
      <c r="K1421" s="6" t="s">
        <v>4512</v>
      </c>
      <c r="L1421" s="6" t="s">
        <v>2906</v>
      </c>
      <c r="M1421" s="6" t="s">
        <v>4516</v>
      </c>
      <c r="N1421" s="6" t="s">
        <v>5082</v>
      </c>
    </row>
    <row r="1422" s="1" customFormat="1" ht="16.35" customHeight="1" spans="1:14">
      <c r="A1422" s="5"/>
      <c r="B1422" s="6" t="s">
        <v>4506</v>
      </c>
      <c r="C1422" s="6">
        <v>2019</v>
      </c>
      <c r="D1422" s="6">
        <v>4</v>
      </c>
      <c r="E1422" s="7">
        <v>37</v>
      </c>
      <c r="F1422" s="6" t="s">
        <v>5394</v>
      </c>
      <c r="G1422" s="6" t="s">
        <v>9370</v>
      </c>
      <c r="H1422" s="6" t="s">
        <v>26</v>
      </c>
      <c r="I1422" s="8">
        <v>100000</v>
      </c>
      <c r="J1422" s="8"/>
      <c r="K1422" s="6" t="s">
        <v>4512</v>
      </c>
      <c r="L1422" s="6" t="s">
        <v>2906</v>
      </c>
      <c r="M1422" s="6" t="s">
        <v>4516</v>
      </c>
      <c r="N1422" s="6" t="s">
        <v>5082</v>
      </c>
    </row>
    <row r="1423" s="1" customFormat="1" ht="16.35" customHeight="1" spans="1:14">
      <c r="A1423" s="5"/>
      <c r="B1423" s="6" t="s">
        <v>4506</v>
      </c>
      <c r="C1423" s="6">
        <v>2019</v>
      </c>
      <c r="D1423" s="6">
        <v>4</v>
      </c>
      <c r="E1423" s="7">
        <v>38</v>
      </c>
      <c r="F1423" s="6" t="s">
        <v>5395</v>
      </c>
      <c r="G1423" s="6" t="s">
        <v>9370</v>
      </c>
      <c r="H1423" s="6" t="s">
        <v>26</v>
      </c>
      <c r="I1423" s="8">
        <v>100000</v>
      </c>
      <c r="J1423" s="8"/>
      <c r="K1423" s="6" t="s">
        <v>4512</v>
      </c>
      <c r="L1423" s="6" t="s">
        <v>2906</v>
      </c>
      <c r="M1423" s="6" t="s">
        <v>4516</v>
      </c>
      <c r="N1423" s="6" t="s">
        <v>5082</v>
      </c>
    </row>
    <row r="1424" s="1" customFormat="1" ht="16.35" customHeight="1" spans="1:14">
      <c r="A1424" s="5"/>
      <c r="B1424" s="6" t="s">
        <v>4506</v>
      </c>
      <c r="C1424" s="6">
        <v>2019</v>
      </c>
      <c r="D1424" s="6">
        <v>4</v>
      </c>
      <c r="E1424" s="7">
        <v>39</v>
      </c>
      <c r="F1424" s="6" t="s">
        <v>5396</v>
      </c>
      <c r="G1424" s="6" t="s">
        <v>9370</v>
      </c>
      <c r="H1424" s="6" t="s">
        <v>26</v>
      </c>
      <c r="I1424" s="8">
        <v>56000</v>
      </c>
      <c r="J1424" s="8"/>
      <c r="K1424" s="6" t="s">
        <v>4512</v>
      </c>
      <c r="L1424" s="6" t="s">
        <v>2906</v>
      </c>
      <c r="M1424" s="6" t="s">
        <v>4516</v>
      </c>
      <c r="N1424" s="6" t="s">
        <v>5082</v>
      </c>
    </row>
    <row r="1425" s="1" customFormat="1" ht="16.35" customHeight="1" spans="1:14">
      <c r="A1425" s="5"/>
      <c r="B1425" s="6" t="s">
        <v>4506</v>
      </c>
      <c r="C1425" s="6">
        <v>2019</v>
      </c>
      <c r="D1425" s="6">
        <v>4</v>
      </c>
      <c r="E1425" s="7">
        <v>40</v>
      </c>
      <c r="F1425" s="6" t="s">
        <v>5397</v>
      </c>
      <c r="G1425" s="6" t="s">
        <v>9370</v>
      </c>
      <c r="H1425" s="6" t="s">
        <v>26</v>
      </c>
      <c r="I1425" s="8">
        <v>134000</v>
      </c>
      <c r="J1425" s="8"/>
      <c r="K1425" s="6" t="s">
        <v>4512</v>
      </c>
      <c r="L1425" s="6" t="s">
        <v>2906</v>
      </c>
      <c r="M1425" s="6" t="s">
        <v>4516</v>
      </c>
      <c r="N1425" s="6" t="s">
        <v>5082</v>
      </c>
    </row>
    <row r="1426" s="1" customFormat="1" ht="16.35" customHeight="1" spans="1:14">
      <c r="A1426" s="5"/>
      <c r="B1426" s="6" t="s">
        <v>4506</v>
      </c>
      <c r="C1426" s="6">
        <v>2019</v>
      </c>
      <c r="D1426" s="6">
        <v>4</v>
      </c>
      <c r="E1426" s="7">
        <v>42</v>
      </c>
      <c r="F1426" s="6" t="s">
        <v>3978</v>
      </c>
      <c r="G1426" s="6" t="s">
        <v>9370</v>
      </c>
      <c r="H1426" s="6" t="s">
        <v>26</v>
      </c>
      <c r="I1426" s="8">
        <v>9000</v>
      </c>
      <c r="J1426" s="8"/>
      <c r="K1426" s="6" t="s">
        <v>4512</v>
      </c>
      <c r="L1426" s="6" t="s">
        <v>2906</v>
      </c>
      <c r="M1426" s="6" t="s">
        <v>4516</v>
      </c>
      <c r="N1426" s="6" t="s">
        <v>5082</v>
      </c>
    </row>
    <row r="1427" s="1" customFormat="1" ht="16.35" customHeight="1" spans="1:14">
      <c r="A1427" s="5"/>
      <c r="B1427" s="6" t="s">
        <v>4506</v>
      </c>
      <c r="C1427" s="6">
        <v>2019</v>
      </c>
      <c r="D1427" s="6">
        <v>4</v>
      </c>
      <c r="E1427" s="7">
        <v>43</v>
      </c>
      <c r="F1427" s="6" t="s">
        <v>10197</v>
      </c>
      <c r="G1427" s="6" t="s">
        <v>9370</v>
      </c>
      <c r="H1427" s="6" t="s">
        <v>26</v>
      </c>
      <c r="I1427" s="8"/>
      <c r="J1427" s="8">
        <v>10000</v>
      </c>
      <c r="K1427" s="6" t="s">
        <v>4512</v>
      </c>
      <c r="L1427" s="6" t="s">
        <v>2906</v>
      </c>
      <c r="M1427" s="6" t="s">
        <v>4516</v>
      </c>
      <c r="N1427" s="6" t="s">
        <v>5082</v>
      </c>
    </row>
    <row r="1428" s="1" customFormat="1" ht="16.35" customHeight="1" spans="1:14">
      <c r="A1428" s="5"/>
      <c r="B1428" s="6" t="s">
        <v>4506</v>
      </c>
      <c r="C1428" s="6">
        <v>2019</v>
      </c>
      <c r="D1428" s="6">
        <v>4</v>
      </c>
      <c r="E1428" s="7">
        <v>44</v>
      </c>
      <c r="F1428" s="6" t="s">
        <v>10198</v>
      </c>
      <c r="G1428" s="6" t="s">
        <v>9370</v>
      </c>
      <c r="H1428" s="6" t="s">
        <v>26</v>
      </c>
      <c r="I1428" s="8"/>
      <c r="J1428" s="8">
        <v>50000</v>
      </c>
      <c r="K1428" s="6" t="s">
        <v>4512</v>
      </c>
      <c r="L1428" s="6" t="s">
        <v>2906</v>
      </c>
      <c r="M1428" s="6" t="s">
        <v>4516</v>
      </c>
      <c r="N1428" s="6" t="s">
        <v>5082</v>
      </c>
    </row>
    <row r="1429" s="1" customFormat="1" ht="16.35" customHeight="1" spans="1:14">
      <c r="A1429" s="5"/>
      <c r="B1429" s="6" t="s">
        <v>4506</v>
      </c>
      <c r="C1429" s="6">
        <v>2019</v>
      </c>
      <c r="D1429" s="6">
        <v>4</v>
      </c>
      <c r="E1429" s="7">
        <v>45</v>
      </c>
      <c r="F1429" s="6" t="s">
        <v>10198</v>
      </c>
      <c r="G1429" s="6" t="s">
        <v>9370</v>
      </c>
      <c r="H1429" s="6" t="s">
        <v>26</v>
      </c>
      <c r="I1429" s="8"/>
      <c r="J1429" s="8">
        <v>168000</v>
      </c>
      <c r="K1429" s="6" t="s">
        <v>4512</v>
      </c>
      <c r="L1429" s="6" t="s">
        <v>2906</v>
      </c>
      <c r="M1429" s="6" t="s">
        <v>4516</v>
      </c>
      <c r="N1429" s="6" t="s">
        <v>5082</v>
      </c>
    </row>
    <row r="1430" s="1" customFormat="1" ht="16.35" customHeight="1" spans="1:14">
      <c r="A1430" s="5"/>
      <c r="B1430" s="6" t="s">
        <v>4506</v>
      </c>
      <c r="C1430" s="6">
        <v>2019</v>
      </c>
      <c r="D1430" s="6">
        <v>4</v>
      </c>
      <c r="E1430" s="7">
        <v>46</v>
      </c>
      <c r="F1430" s="6" t="s">
        <v>3968</v>
      </c>
      <c r="G1430" s="6" t="s">
        <v>9370</v>
      </c>
      <c r="H1430" s="6" t="s">
        <v>26</v>
      </c>
      <c r="I1430" s="8"/>
      <c r="J1430" s="8">
        <v>21000</v>
      </c>
      <c r="K1430" s="6" t="s">
        <v>4512</v>
      </c>
      <c r="L1430" s="6" t="s">
        <v>2906</v>
      </c>
      <c r="M1430" s="6" t="s">
        <v>4516</v>
      </c>
      <c r="N1430" s="6" t="s">
        <v>5082</v>
      </c>
    </row>
    <row r="1431" s="1" customFormat="1" ht="16.35" customHeight="1" spans="1:14">
      <c r="A1431" s="5"/>
      <c r="B1431" s="6" t="s">
        <v>4506</v>
      </c>
      <c r="C1431" s="6">
        <v>2019</v>
      </c>
      <c r="D1431" s="6">
        <v>4</v>
      </c>
      <c r="E1431" s="7">
        <v>47</v>
      </c>
      <c r="F1431" s="6" t="s">
        <v>3989</v>
      </c>
      <c r="G1431" s="6" t="s">
        <v>9370</v>
      </c>
      <c r="H1431" s="6" t="s">
        <v>26</v>
      </c>
      <c r="I1431" s="8"/>
      <c r="J1431" s="8">
        <v>73001</v>
      </c>
      <c r="K1431" s="6" t="s">
        <v>4512</v>
      </c>
      <c r="L1431" s="6" t="s">
        <v>2906</v>
      </c>
      <c r="M1431" s="6" t="s">
        <v>4516</v>
      </c>
      <c r="N1431" s="6" t="s">
        <v>5082</v>
      </c>
    </row>
    <row r="1432" s="1" customFormat="1" ht="16.35" customHeight="1" spans="1:14">
      <c r="A1432" s="5"/>
      <c r="B1432" s="6" t="s">
        <v>4506</v>
      </c>
      <c r="C1432" s="6">
        <v>2019</v>
      </c>
      <c r="D1432" s="6">
        <v>4</v>
      </c>
      <c r="E1432" s="7">
        <v>48</v>
      </c>
      <c r="F1432" s="6" t="s">
        <v>10199</v>
      </c>
      <c r="G1432" s="6" t="s">
        <v>9370</v>
      </c>
      <c r="H1432" s="6" t="s">
        <v>26</v>
      </c>
      <c r="I1432" s="8"/>
      <c r="J1432" s="8">
        <v>40000</v>
      </c>
      <c r="K1432" s="6" t="s">
        <v>4512</v>
      </c>
      <c r="L1432" s="6" t="s">
        <v>2906</v>
      </c>
      <c r="M1432" s="6" t="s">
        <v>4516</v>
      </c>
      <c r="N1432" s="6" t="s">
        <v>5082</v>
      </c>
    </row>
    <row r="1433" s="1" customFormat="1" ht="16.35" customHeight="1" spans="1:14">
      <c r="A1433" s="5"/>
      <c r="B1433" s="6" t="s">
        <v>4506</v>
      </c>
      <c r="C1433" s="6">
        <v>2019</v>
      </c>
      <c r="D1433" s="6">
        <v>4</v>
      </c>
      <c r="E1433" s="7">
        <v>49</v>
      </c>
      <c r="F1433" s="6" t="s">
        <v>10200</v>
      </c>
      <c r="G1433" s="6" t="s">
        <v>9370</v>
      </c>
      <c r="H1433" s="6" t="s">
        <v>26</v>
      </c>
      <c r="I1433" s="8"/>
      <c r="J1433" s="8">
        <v>218015</v>
      </c>
      <c r="K1433" s="6" t="s">
        <v>4512</v>
      </c>
      <c r="L1433" s="6" t="s">
        <v>2906</v>
      </c>
      <c r="M1433" s="6" t="s">
        <v>4516</v>
      </c>
      <c r="N1433" s="6" t="s">
        <v>5082</v>
      </c>
    </row>
    <row r="1434" s="1" customFormat="1" ht="16.35" customHeight="1" spans="1:14">
      <c r="A1434" s="5"/>
      <c r="B1434" s="6" t="s">
        <v>4506</v>
      </c>
      <c r="C1434" s="6">
        <v>2019</v>
      </c>
      <c r="D1434" s="6">
        <v>4</v>
      </c>
      <c r="E1434" s="7">
        <v>50</v>
      </c>
      <c r="F1434" s="6" t="s">
        <v>10201</v>
      </c>
      <c r="G1434" s="6" t="s">
        <v>9370</v>
      </c>
      <c r="H1434" s="6" t="s">
        <v>26</v>
      </c>
      <c r="I1434" s="8"/>
      <c r="J1434" s="8">
        <v>38906</v>
      </c>
      <c r="K1434" s="6" t="s">
        <v>4509</v>
      </c>
      <c r="L1434" s="6" t="s">
        <v>9218</v>
      </c>
      <c r="M1434" s="6" t="s">
        <v>4510</v>
      </c>
      <c r="N1434" s="6" t="s">
        <v>4511</v>
      </c>
    </row>
    <row r="1435" s="1" customFormat="1" ht="16.35" customHeight="1" spans="1:14">
      <c r="A1435" s="5"/>
      <c r="B1435" s="6" t="s">
        <v>4506</v>
      </c>
      <c r="C1435" s="6">
        <v>2019</v>
      </c>
      <c r="D1435" s="6">
        <v>4</v>
      </c>
      <c r="E1435" s="7">
        <v>51</v>
      </c>
      <c r="F1435" s="6" t="s">
        <v>10201</v>
      </c>
      <c r="G1435" s="6" t="s">
        <v>9370</v>
      </c>
      <c r="H1435" s="6" t="s">
        <v>26</v>
      </c>
      <c r="I1435" s="8"/>
      <c r="J1435" s="8">
        <v>29689.54</v>
      </c>
      <c r="K1435" s="6" t="s">
        <v>4509</v>
      </c>
      <c r="L1435" s="6" t="s">
        <v>9218</v>
      </c>
      <c r="M1435" s="6" t="s">
        <v>4510</v>
      </c>
      <c r="N1435" s="6" t="s">
        <v>4511</v>
      </c>
    </row>
    <row r="1436" s="1" customFormat="1" ht="16.35" customHeight="1" spans="1:14">
      <c r="A1436" s="5"/>
      <c r="B1436" s="6" t="s">
        <v>4506</v>
      </c>
      <c r="C1436" s="6">
        <v>2019</v>
      </c>
      <c r="D1436" s="6">
        <v>4</v>
      </c>
      <c r="E1436" s="7">
        <v>54</v>
      </c>
      <c r="F1436" s="6" t="s">
        <v>10201</v>
      </c>
      <c r="G1436" s="6" t="s">
        <v>9370</v>
      </c>
      <c r="H1436" s="6" t="s">
        <v>26</v>
      </c>
      <c r="I1436" s="8"/>
      <c r="J1436" s="8">
        <v>38000</v>
      </c>
      <c r="K1436" s="6" t="s">
        <v>4509</v>
      </c>
      <c r="L1436" s="6" t="s">
        <v>9218</v>
      </c>
      <c r="M1436" s="6" t="s">
        <v>4510</v>
      </c>
      <c r="N1436" s="6" t="s">
        <v>4511</v>
      </c>
    </row>
    <row r="1437" s="1" customFormat="1" ht="16.35" customHeight="1" spans="1:14">
      <c r="A1437" s="5"/>
      <c r="B1437" s="6" t="s">
        <v>4506</v>
      </c>
      <c r="C1437" s="6">
        <v>2019</v>
      </c>
      <c r="D1437" s="6">
        <v>4</v>
      </c>
      <c r="E1437" s="7">
        <v>56</v>
      </c>
      <c r="F1437" s="6" t="s">
        <v>10202</v>
      </c>
      <c r="G1437" s="6" t="s">
        <v>9370</v>
      </c>
      <c r="H1437" s="6" t="s">
        <v>26</v>
      </c>
      <c r="I1437" s="8"/>
      <c r="J1437" s="8">
        <v>4955.3</v>
      </c>
      <c r="K1437" s="6" t="s">
        <v>2942</v>
      </c>
      <c r="L1437" s="6" t="s">
        <v>9981</v>
      </c>
      <c r="M1437" s="6" t="s">
        <v>4509</v>
      </c>
      <c r="N1437" s="6" t="s">
        <v>4537</v>
      </c>
    </row>
    <row r="1438" s="1" customFormat="1" ht="16.35" customHeight="1" spans="1:14">
      <c r="A1438" s="5"/>
      <c r="B1438" s="6" t="s">
        <v>4506</v>
      </c>
      <c r="C1438" s="6">
        <v>2019</v>
      </c>
      <c r="D1438" s="6">
        <v>4</v>
      </c>
      <c r="E1438" s="7">
        <v>61</v>
      </c>
      <c r="F1438" s="6" t="s">
        <v>10203</v>
      </c>
      <c r="G1438" s="6" t="s">
        <v>9370</v>
      </c>
      <c r="H1438" s="6" t="s">
        <v>26</v>
      </c>
      <c r="I1438" s="8">
        <v>20062.67</v>
      </c>
      <c r="J1438" s="8"/>
      <c r="K1438" s="6" t="s">
        <v>2982</v>
      </c>
      <c r="L1438" s="6" t="s">
        <v>9944</v>
      </c>
      <c r="M1438" s="6" t="s">
        <v>4516</v>
      </c>
      <c r="N1438" s="6" t="s">
        <v>5082</v>
      </c>
    </row>
    <row r="1439" s="1" customFormat="1" ht="16.35" customHeight="1" spans="1:14">
      <c r="A1439" s="5"/>
      <c r="B1439" s="6" t="s">
        <v>4506</v>
      </c>
      <c r="C1439" s="6">
        <v>2019</v>
      </c>
      <c r="D1439" s="6">
        <v>4</v>
      </c>
      <c r="E1439" s="7">
        <v>64</v>
      </c>
      <c r="F1439" s="6" t="s">
        <v>10204</v>
      </c>
      <c r="G1439" s="6" t="s">
        <v>9370</v>
      </c>
      <c r="H1439" s="6" t="s">
        <v>26</v>
      </c>
      <c r="I1439" s="8"/>
      <c r="J1439" s="8">
        <v>850000</v>
      </c>
      <c r="K1439" s="6" t="s">
        <v>4512</v>
      </c>
      <c r="L1439" s="6" t="s">
        <v>2906</v>
      </c>
      <c r="M1439" s="6" t="s">
        <v>4516</v>
      </c>
      <c r="N1439" s="6" t="s">
        <v>5082</v>
      </c>
    </row>
    <row r="1440" s="1" customFormat="1" ht="16.35" customHeight="1" spans="1:14">
      <c r="A1440" s="5"/>
      <c r="B1440" s="6" t="s">
        <v>4506</v>
      </c>
      <c r="C1440" s="6">
        <v>2019</v>
      </c>
      <c r="D1440" s="6">
        <v>4</v>
      </c>
      <c r="E1440" s="7">
        <v>72</v>
      </c>
      <c r="F1440" s="6" t="s">
        <v>10205</v>
      </c>
      <c r="G1440" s="6" t="s">
        <v>9370</v>
      </c>
      <c r="H1440" s="6" t="s">
        <v>26</v>
      </c>
      <c r="I1440" s="8">
        <v>13788.29</v>
      </c>
      <c r="J1440" s="8"/>
      <c r="K1440" s="6" t="s">
        <v>4509</v>
      </c>
      <c r="L1440" s="6" t="s">
        <v>9218</v>
      </c>
      <c r="M1440" s="6" t="s">
        <v>4516</v>
      </c>
      <c r="N1440" s="6" t="s">
        <v>5082</v>
      </c>
    </row>
    <row r="1441" s="1" customFormat="1" ht="16.35" customHeight="1" spans="1:14">
      <c r="A1441" s="5"/>
      <c r="B1441" s="6" t="s">
        <v>4506</v>
      </c>
      <c r="C1441" s="6">
        <v>2019</v>
      </c>
      <c r="D1441" s="6">
        <v>4</v>
      </c>
      <c r="E1441" s="7">
        <v>75</v>
      </c>
      <c r="F1441" s="6" t="s">
        <v>10206</v>
      </c>
      <c r="G1441" s="6" t="s">
        <v>9370</v>
      </c>
      <c r="H1441" s="6" t="s">
        <v>26</v>
      </c>
      <c r="I1441" s="8">
        <v>160</v>
      </c>
      <c r="J1441" s="8"/>
      <c r="K1441" s="6" t="s">
        <v>2976</v>
      </c>
      <c r="L1441" s="6" t="s">
        <v>9860</v>
      </c>
      <c r="M1441" s="6" t="s">
        <v>4509</v>
      </c>
      <c r="N1441" s="6" t="s">
        <v>4537</v>
      </c>
    </row>
    <row r="1442" s="1" customFormat="1" ht="16.35" customHeight="1" spans="1:14">
      <c r="A1442" s="5"/>
      <c r="B1442" s="6" t="s">
        <v>4506</v>
      </c>
      <c r="C1442" s="6">
        <v>2019</v>
      </c>
      <c r="D1442" s="6">
        <v>4</v>
      </c>
      <c r="E1442" s="7">
        <v>76</v>
      </c>
      <c r="F1442" s="6" t="s">
        <v>10207</v>
      </c>
      <c r="G1442" s="6" t="s">
        <v>9370</v>
      </c>
      <c r="H1442" s="6" t="s">
        <v>26</v>
      </c>
      <c r="I1442" s="8">
        <v>460</v>
      </c>
      <c r="J1442" s="8"/>
      <c r="K1442" s="6" t="s">
        <v>2976</v>
      </c>
      <c r="L1442" s="6" t="s">
        <v>9860</v>
      </c>
      <c r="M1442" s="6" t="s">
        <v>4510</v>
      </c>
      <c r="N1442" s="6" t="s">
        <v>4511</v>
      </c>
    </row>
    <row r="1443" s="1" customFormat="1" ht="16.35" customHeight="1" spans="1:14">
      <c r="A1443" s="5"/>
      <c r="B1443" s="6" t="s">
        <v>4506</v>
      </c>
      <c r="C1443" s="6">
        <v>2019</v>
      </c>
      <c r="D1443" s="6">
        <v>4</v>
      </c>
      <c r="E1443" s="7">
        <v>77</v>
      </c>
      <c r="F1443" s="6" t="s">
        <v>10208</v>
      </c>
      <c r="G1443" s="6" t="s">
        <v>9370</v>
      </c>
      <c r="H1443" s="6" t="s">
        <v>26</v>
      </c>
      <c r="I1443" s="8">
        <v>2000</v>
      </c>
      <c r="J1443" s="8"/>
      <c r="K1443" s="6" t="s">
        <v>4534</v>
      </c>
      <c r="L1443" s="6" t="s">
        <v>9998</v>
      </c>
      <c r="M1443" s="6" t="s">
        <v>4516</v>
      </c>
      <c r="N1443" s="6" t="s">
        <v>5082</v>
      </c>
    </row>
    <row r="1444" s="1" customFormat="1" ht="16.35" customHeight="1" spans="1:14">
      <c r="A1444" s="5"/>
      <c r="B1444" s="6" t="s">
        <v>4506</v>
      </c>
      <c r="C1444" s="6">
        <v>2019</v>
      </c>
      <c r="D1444" s="6">
        <v>4</v>
      </c>
      <c r="E1444" s="7">
        <v>78</v>
      </c>
      <c r="F1444" s="6" t="s">
        <v>10209</v>
      </c>
      <c r="G1444" s="6" t="s">
        <v>9370</v>
      </c>
      <c r="H1444" s="6" t="s">
        <v>26</v>
      </c>
      <c r="I1444" s="8">
        <v>5000</v>
      </c>
      <c r="J1444" s="8"/>
      <c r="K1444" s="6" t="s">
        <v>4534</v>
      </c>
      <c r="L1444" s="6" t="s">
        <v>9998</v>
      </c>
      <c r="M1444" s="6" t="s">
        <v>4516</v>
      </c>
      <c r="N1444" s="6" t="s">
        <v>5082</v>
      </c>
    </row>
    <row r="1445" s="1" customFormat="1" ht="16.35" customHeight="1" spans="1:14">
      <c r="A1445" s="5"/>
      <c r="B1445" s="6" t="s">
        <v>4506</v>
      </c>
      <c r="C1445" s="6">
        <v>2019</v>
      </c>
      <c r="D1445" s="6">
        <v>4</v>
      </c>
      <c r="E1445" s="7">
        <v>79</v>
      </c>
      <c r="F1445" s="6" t="s">
        <v>10210</v>
      </c>
      <c r="G1445" s="6" t="s">
        <v>9370</v>
      </c>
      <c r="H1445" s="6" t="s">
        <v>26</v>
      </c>
      <c r="I1445" s="8">
        <v>5000</v>
      </c>
      <c r="J1445" s="8"/>
      <c r="K1445" s="6" t="s">
        <v>4534</v>
      </c>
      <c r="L1445" s="6" t="s">
        <v>9998</v>
      </c>
      <c r="M1445" s="6" t="s">
        <v>4516</v>
      </c>
      <c r="N1445" s="6" t="s">
        <v>5082</v>
      </c>
    </row>
    <row r="1446" s="1" customFormat="1" ht="16.35" customHeight="1" spans="1:14">
      <c r="A1446" s="5"/>
      <c r="B1446" s="6" t="s">
        <v>4506</v>
      </c>
      <c r="C1446" s="6">
        <v>2019</v>
      </c>
      <c r="D1446" s="6">
        <v>4</v>
      </c>
      <c r="E1446" s="7">
        <v>80</v>
      </c>
      <c r="F1446" s="6" t="s">
        <v>10211</v>
      </c>
      <c r="G1446" s="6" t="s">
        <v>9370</v>
      </c>
      <c r="H1446" s="6" t="s">
        <v>26</v>
      </c>
      <c r="I1446" s="8">
        <v>30000</v>
      </c>
      <c r="J1446" s="8"/>
      <c r="K1446" s="6" t="s">
        <v>2946</v>
      </c>
      <c r="L1446" s="6" t="s">
        <v>10212</v>
      </c>
      <c r="M1446" s="6" t="s">
        <v>4509</v>
      </c>
      <c r="N1446" s="6" t="s">
        <v>4537</v>
      </c>
    </row>
    <row r="1447" s="1" customFormat="1" ht="16.35" customHeight="1" spans="1:14">
      <c r="A1447" s="5"/>
      <c r="B1447" s="6" t="s">
        <v>4506</v>
      </c>
      <c r="C1447" s="6">
        <v>2019</v>
      </c>
      <c r="D1447" s="6">
        <v>4</v>
      </c>
      <c r="E1447" s="7">
        <v>81</v>
      </c>
      <c r="F1447" s="6" t="s">
        <v>10213</v>
      </c>
      <c r="G1447" s="6" t="s">
        <v>9370</v>
      </c>
      <c r="H1447" s="6" t="s">
        <v>26</v>
      </c>
      <c r="I1447" s="8">
        <v>300000</v>
      </c>
      <c r="J1447" s="8"/>
      <c r="K1447" s="6" t="s">
        <v>2947</v>
      </c>
      <c r="L1447" s="6" t="s">
        <v>10214</v>
      </c>
      <c r="M1447" s="6" t="s">
        <v>4516</v>
      </c>
      <c r="N1447" s="6" t="s">
        <v>5082</v>
      </c>
    </row>
    <row r="1448" s="1" customFormat="1" ht="16.35" customHeight="1" spans="1:14">
      <c r="A1448" s="5"/>
      <c r="B1448" s="6" t="s">
        <v>4506</v>
      </c>
      <c r="C1448" s="6">
        <v>2019</v>
      </c>
      <c r="D1448" s="6">
        <v>4</v>
      </c>
      <c r="E1448" s="7">
        <v>84</v>
      </c>
      <c r="F1448" s="6" t="s">
        <v>10215</v>
      </c>
      <c r="G1448" s="6" t="s">
        <v>9370</v>
      </c>
      <c r="H1448" s="6" t="s">
        <v>26</v>
      </c>
      <c r="I1448" s="8"/>
      <c r="J1448" s="8">
        <v>4000</v>
      </c>
      <c r="K1448" s="6" t="s">
        <v>4530</v>
      </c>
      <c r="L1448" s="6" t="s">
        <v>635</v>
      </c>
      <c r="M1448" s="6" t="s">
        <v>4516</v>
      </c>
      <c r="N1448" s="6" t="s">
        <v>5082</v>
      </c>
    </row>
    <row r="1449" s="1" customFormat="1" ht="16.35" customHeight="1" spans="1:14">
      <c r="A1449" s="5"/>
      <c r="B1449" s="6" t="s">
        <v>4506</v>
      </c>
      <c r="C1449" s="6">
        <v>2019</v>
      </c>
      <c r="D1449" s="6">
        <v>4</v>
      </c>
      <c r="E1449" s="7">
        <v>84</v>
      </c>
      <c r="F1449" s="6" t="s">
        <v>10215</v>
      </c>
      <c r="G1449" s="6" t="s">
        <v>9370</v>
      </c>
      <c r="H1449" s="6" t="s">
        <v>26</v>
      </c>
      <c r="I1449" s="8">
        <v>4000</v>
      </c>
      <c r="J1449" s="8"/>
      <c r="K1449" s="6" t="s">
        <v>4530</v>
      </c>
      <c r="L1449" s="6" t="s">
        <v>635</v>
      </c>
      <c r="M1449" s="6" t="s">
        <v>4516</v>
      </c>
      <c r="N1449" s="6" t="s">
        <v>5082</v>
      </c>
    </row>
    <row r="1450" s="1" customFormat="1" ht="16.35" customHeight="1" spans="1:14">
      <c r="A1450" s="5"/>
      <c r="B1450" s="6" t="s">
        <v>4506</v>
      </c>
      <c r="C1450" s="6">
        <v>2019</v>
      </c>
      <c r="D1450" s="6">
        <v>4</v>
      </c>
      <c r="E1450" s="7">
        <v>85</v>
      </c>
      <c r="F1450" s="6" t="s">
        <v>10216</v>
      </c>
      <c r="G1450" s="6" t="s">
        <v>9370</v>
      </c>
      <c r="H1450" s="6" t="s">
        <v>26</v>
      </c>
      <c r="I1450" s="8"/>
      <c r="J1450" s="8">
        <v>981</v>
      </c>
      <c r="K1450" s="6" t="s">
        <v>2949</v>
      </c>
      <c r="L1450" s="6" t="s">
        <v>10217</v>
      </c>
      <c r="M1450" s="6" t="s">
        <v>4516</v>
      </c>
      <c r="N1450" s="6" t="s">
        <v>5082</v>
      </c>
    </row>
    <row r="1451" s="1" customFormat="1" ht="16.35" customHeight="1" spans="1:14">
      <c r="A1451" s="5"/>
      <c r="B1451" s="6" t="s">
        <v>4506</v>
      </c>
      <c r="C1451" s="6">
        <v>2019</v>
      </c>
      <c r="D1451" s="6">
        <v>4</v>
      </c>
      <c r="E1451" s="7">
        <v>93</v>
      </c>
      <c r="F1451" s="6" t="s">
        <v>10218</v>
      </c>
      <c r="G1451" s="6" t="s">
        <v>9370</v>
      </c>
      <c r="H1451" s="6" t="s">
        <v>26</v>
      </c>
      <c r="I1451" s="8">
        <v>26000</v>
      </c>
      <c r="J1451" s="8"/>
      <c r="K1451" s="6" t="s">
        <v>4512</v>
      </c>
      <c r="L1451" s="6" t="s">
        <v>2906</v>
      </c>
      <c r="M1451" s="6" t="s">
        <v>4516</v>
      </c>
      <c r="N1451" s="6" t="s">
        <v>5082</v>
      </c>
    </row>
    <row r="1452" s="1" customFormat="1" ht="16.35" customHeight="1" spans="1:14">
      <c r="A1452" s="5"/>
      <c r="B1452" s="6" t="s">
        <v>4506</v>
      </c>
      <c r="C1452" s="6">
        <v>2019</v>
      </c>
      <c r="D1452" s="6">
        <v>5</v>
      </c>
      <c r="E1452" s="7">
        <v>30</v>
      </c>
      <c r="F1452" s="6" t="s">
        <v>5421</v>
      </c>
      <c r="G1452" s="6" t="s">
        <v>9370</v>
      </c>
      <c r="H1452" s="6" t="s">
        <v>26</v>
      </c>
      <c r="I1452" s="8">
        <v>48000</v>
      </c>
      <c r="J1452" s="8"/>
      <c r="K1452" s="6" t="s">
        <v>4512</v>
      </c>
      <c r="L1452" s="6" t="s">
        <v>2906</v>
      </c>
      <c r="M1452" s="6" t="s">
        <v>4516</v>
      </c>
      <c r="N1452" s="6" t="s">
        <v>5082</v>
      </c>
    </row>
    <row r="1453" s="1" customFormat="1" ht="16.35" customHeight="1" spans="1:14">
      <c r="A1453" s="5"/>
      <c r="B1453" s="6" t="s">
        <v>4506</v>
      </c>
      <c r="C1453" s="6">
        <v>2019</v>
      </c>
      <c r="D1453" s="6">
        <v>5</v>
      </c>
      <c r="E1453" s="7">
        <v>31</v>
      </c>
      <c r="F1453" s="6" t="s">
        <v>5422</v>
      </c>
      <c r="G1453" s="6" t="s">
        <v>9370</v>
      </c>
      <c r="H1453" s="6" t="s">
        <v>26</v>
      </c>
      <c r="I1453" s="8">
        <v>150000</v>
      </c>
      <c r="J1453" s="8"/>
      <c r="K1453" s="6" t="s">
        <v>4512</v>
      </c>
      <c r="L1453" s="6" t="s">
        <v>2906</v>
      </c>
      <c r="M1453" s="6" t="s">
        <v>4516</v>
      </c>
      <c r="N1453" s="6" t="s">
        <v>5082</v>
      </c>
    </row>
    <row r="1454" s="1" customFormat="1" ht="16.35" customHeight="1" spans="1:14">
      <c r="A1454" s="5"/>
      <c r="B1454" s="6" t="s">
        <v>4506</v>
      </c>
      <c r="C1454" s="6">
        <v>2019</v>
      </c>
      <c r="D1454" s="6">
        <v>5</v>
      </c>
      <c r="E1454" s="7">
        <v>32</v>
      </c>
      <c r="F1454" s="6" t="s">
        <v>5423</v>
      </c>
      <c r="G1454" s="6" t="s">
        <v>9370</v>
      </c>
      <c r="H1454" s="6" t="s">
        <v>26</v>
      </c>
      <c r="I1454" s="8">
        <v>160000</v>
      </c>
      <c r="J1454" s="8"/>
      <c r="K1454" s="6" t="s">
        <v>4512</v>
      </c>
      <c r="L1454" s="6" t="s">
        <v>2906</v>
      </c>
      <c r="M1454" s="6" t="s">
        <v>4516</v>
      </c>
      <c r="N1454" s="6" t="s">
        <v>5082</v>
      </c>
    </row>
    <row r="1455" s="1" customFormat="1" ht="16.35" customHeight="1" spans="1:14">
      <c r="A1455" s="5"/>
      <c r="B1455" s="6" t="s">
        <v>4506</v>
      </c>
      <c r="C1455" s="6">
        <v>2019</v>
      </c>
      <c r="D1455" s="6">
        <v>5</v>
      </c>
      <c r="E1455" s="7">
        <v>33</v>
      </c>
      <c r="F1455" s="6" t="s">
        <v>5424</v>
      </c>
      <c r="G1455" s="6" t="s">
        <v>9370</v>
      </c>
      <c r="H1455" s="6" t="s">
        <v>26</v>
      </c>
      <c r="I1455" s="8">
        <v>160000</v>
      </c>
      <c r="J1455" s="8"/>
      <c r="K1455" s="6" t="s">
        <v>4512</v>
      </c>
      <c r="L1455" s="6" t="s">
        <v>2906</v>
      </c>
      <c r="M1455" s="6" t="s">
        <v>4516</v>
      </c>
      <c r="N1455" s="6" t="s">
        <v>5082</v>
      </c>
    </row>
    <row r="1456" s="1" customFormat="1" ht="16.35" customHeight="1" spans="1:14">
      <c r="A1456" s="5"/>
      <c r="B1456" s="6" t="s">
        <v>4506</v>
      </c>
      <c r="C1456" s="6">
        <v>2019</v>
      </c>
      <c r="D1456" s="6">
        <v>5</v>
      </c>
      <c r="E1456" s="7">
        <v>34</v>
      </c>
      <c r="F1456" s="6" t="s">
        <v>5425</v>
      </c>
      <c r="G1456" s="6" t="s">
        <v>9370</v>
      </c>
      <c r="H1456" s="6" t="s">
        <v>26</v>
      </c>
      <c r="I1456" s="8">
        <v>195000</v>
      </c>
      <c r="J1456" s="8"/>
      <c r="K1456" s="6" t="s">
        <v>4512</v>
      </c>
      <c r="L1456" s="6" t="s">
        <v>2906</v>
      </c>
      <c r="M1456" s="6" t="s">
        <v>4516</v>
      </c>
      <c r="N1456" s="6" t="s">
        <v>5082</v>
      </c>
    </row>
    <row r="1457" s="1" customFormat="1" ht="16.35" customHeight="1" spans="1:14">
      <c r="A1457" s="5"/>
      <c r="B1457" s="6" t="s">
        <v>4506</v>
      </c>
      <c r="C1457" s="6">
        <v>2019</v>
      </c>
      <c r="D1457" s="6">
        <v>5</v>
      </c>
      <c r="E1457" s="7">
        <v>35</v>
      </c>
      <c r="F1457" s="6" t="s">
        <v>5426</v>
      </c>
      <c r="G1457" s="6" t="s">
        <v>9370</v>
      </c>
      <c r="H1457" s="6" t="s">
        <v>26</v>
      </c>
      <c r="I1457" s="8">
        <v>137000</v>
      </c>
      <c r="J1457" s="8"/>
      <c r="K1457" s="6" t="s">
        <v>4512</v>
      </c>
      <c r="L1457" s="6" t="s">
        <v>2906</v>
      </c>
      <c r="M1457" s="6" t="s">
        <v>4516</v>
      </c>
      <c r="N1457" s="6" t="s">
        <v>5082</v>
      </c>
    </row>
    <row r="1458" s="1" customFormat="1" ht="16.35" customHeight="1" spans="1:14">
      <c r="A1458" s="5"/>
      <c r="B1458" s="6" t="s">
        <v>4506</v>
      </c>
      <c r="C1458" s="6">
        <v>2019</v>
      </c>
      <c r="D1458" s="6">
        <v>5</v>
      </c>
      <c r="E1458" s="7">
        <v>36</v>
      </c>
      <c r="F1458" s="6" t="s">
        <v>5427</v>
      </c>
      <c r="G1458" s="6" t="s">
        <v>9370</v>
      </c>
      <c r="H1458" s="6" t="s">
        <v>26</v>
      </c>
      <c r="I1458" s="8">
        <v>145000</v>
      </c>
      <c r="J1458" s="8"/>
      <c r="K1458" s="6" t="s">
        <v>4512</v>
      </c>
      <c r="L1458" s="6" t="s">
        <v>2906</v>
      </c>
      <c r="M1458" s="6" t="s">
        <v>4516</v>
      </c>
      <c r="N1458" s="6" t="s">
        <v>5082</v>
      </c>
    </row>
    <row r="1459" s="1" customFormat="1" ht="16.35" customHeight="1" spans="1:14">
      <c r="A1459" s="5"/>
      <c r="B1459" s="6" t="s">
        <v>4506</v>
      </c>
      <c r="C1459" s="6">
        <v>2019</v>
      </c>
      <c r="D1459" s="6">
        <v>5</v>
      </c>
      <c r="E1459" s="7">
        <v>37</v>
      </c>
      <c r="F1459" s="6" t="s">
        <v>5428</v>
      </c>
      <c r="G1459" s="6" t="s">
        <v>9370</v>
      </c>
      <c r="H1459" s="6" t="s">
        <v>26</v>
      </c>
      <c r="I1459" s="8">
        <v>150000</v>
      </c>
      <c r="J1459" s="8"/>
      <c r="K1459" s="6" t="s">
        <v>4512</v>
      </c>
      <c r="L1459" s="6" t="s">
        <v>2906</v>
      </c>
      <c r="M1459" s="6" t="s">
        <v>4516</v>
      </c>
      <c r="N1459" s="6" t="s">
        <v>5082</v>
      </c>
    </row>
    <row r="1460" s="1" customFormat="1" ht="25" customHeight="1" spans="1:14">
      <c r="A1460" s="5"/>
      <c r="B1460" s="6" t="s">
        <v>4506</v>
      </c>
      <c r="C1460" s="6">
        <v>2019</v>
      </c>
      <c r="D1460" s="6">
        <v>5</v>
      </c>
      <c r="E1460" s="7">
        <v>38</v>
      </c>
      <c r="F1460" s="6" t="s">
        <v>5429</v>
      </c>
      <c r="G1460" s="6" t="s">
        <v>9370</v>
      </c>
      <c r="H1460" s="6" t="s">
        <v>26</v>
      </c>
      <c r="I1460" s="8">
        <v>165000</v>
      </c>
      <c r="J1460" s="8"/>
      <c r="K1460" s="6" t="s">
        <v>4512</v>
      </c>
      <c r="L1460" s="6" t="s">
        <v>2906</v>
      </c>
      <c r="M1460" s="6" t="s">
        <v>4516</v>
      </c>
      <c r="N1460" s="6" t="s">
        <v>5082</v>
      </c>
    </row>
    <row r="1461" s="1" customFormat="1" ht="16.35" customHeight="1" spans="1:14">
      <c r="A1461" s="5"/>
      <c r="B1461" s="6" t="s">
        <v>4506</v>
      </c>
      <c r="C1461" s="6">
        <v>2019</v>
      </c>
      <c r="D1461" s="6">
        <v>5</v>
      </c>
      <c r="E1461" s="7">
        <v>39</v>
      </c>
      <c r="F1461" s="6" t="s">
        <v>5430</v>
      </c>
      <c r="G1461" s="6" t="s">
        <v>9370</v>
      </c>
      <c r="H1461" s="6" t="s">
        <v>26</v>
      </c>
      <c r="I1461" s="8">
        <v>131000</v>
      </c>
      <c r="J1461" s="8"/>
      <c r="K1461" s="6" t="s">
        <v>4512</v>
      </c>
      <c r="L1461" s="6" t="s">
        <v>2906</v>
      </c>
      <c r="M1461" s="6" t="s">
        <v>4516</v>
      </c>
      <c r="N1461" s="6" t="s">
        <v>5082</v>
      </c>
    </row>
    <row r="1462" s="1" customFormat="1" ht="16.35" customHeight="1" spans="1:14">
      <c r="A1462" s="5"/>
      <c r="B1462" s="6" t="s">
        <v>4506</v>
      </c>
      <c r="C1462" s="6">
        <v>2019</v>
      </c>
      <c r="D1462" s="6">
        <v>5</v>
      </c>
      <c r="E1462" s="7">
        <v>43</v>
      </c>
      <c r="F1462" s="6" t="s">
        <v>10219</v>
      </c>
      <c r="G1462" s="6" t="s">
        <v>9370</v>
      </c>
      <c r="H1462" s="6" t="s">
        <v>26</v>
      </c>
      <c r="I1462" s="8"/>
      <c r="J1462" s="8">
        <v>30000</v>
      </c>
      <c r="K1462" s="6" t="s">
        <v>2946</v>
      </c>
      <c r="L1462" s="6" t="s">
        <v>10212</v>
      </c>
      <c r="M1462" s="6" t="s">
        <v>4509</v>
      </c>
      <c r="N1462" s="6" t="s">
        <v>4537</v>
      </c>
    </row>
    <row r="1463" s="1" customFormat="1" ht="16.35" customHeight="1" spans="1:14">
      <c r="A1463" s="5"/>
      <c r="B1463" s="6" t="s">
        <v>4506</v>
      </c>
      <c r="C1463" s="6">
        <v>2019</v>
      </c>
      <c r="D1463" s="6">
        <v>5</v>
      </c>
      <c r="E1463" s="7">
        <v>45</v>
      </c>
      <c r="F1463" s="6" t="s">
        <v>10220</v>
      </c>
      <c r="G1463" s="6" t="s">
        <v>9370</v>
      </c>
      <c r="H1463" s="6" t="s">
        <v>26</v>
      </c>
      <c r="I1463" s="8">
        <v>16000</v>
      </c>
      <c r="J1463" s="8"/>
      <c r="K1463" s="6" t="s">
        <v>2950</v>
      </c>
      <c r="L1463" s="6" t="s">
        <v>10221</v>
      </c>
      <c r="M1463" s="6" t="s">
        <v>4516</v>
      </c>
      <c r="N1463" s="6" t="s">
        <v>5082</v>
      </c>
    </row>
    <row r="1464" s="1" customFormat="1" ht="16.35" customHeight="1" spans="1:14">
      <c r="A1464" s="5"/>
      <c r="B1464" s="6" t="s">
        <v>4506</v>
      </c>
      <c r="C1464" s="6">
        <v>2019</v>
      </c>
      <c r="D1464" s="6">
        <v>5</v>
      </c>
      <c r="E1464" s="7">
        <v>47</v>
      </c>
      <c r="F1464" s="6" t="s">
        <v>10222</v>
      </c>
      <c r="G1464" s="6" t="s">
        <v>9370</v>
      </c>
      <c r="H1464" s="6" t="s">
        <v>26</v>
      </c>
      <c r="I1464" s="8">
        <v>6605</v>
      </c>
      <c r="J1464" s="8"/>
      <c r="K1464" s="6" t="s">
        <v>2976</v>
      </c>
      <c r="L1464" s="6" t="s">
        <v>9860</v>
      </c>
      <c r="M1464" s="6" t="s">
        <v>4516</v>
      </c>
      <c r="N1464" s="6" t="s">
        <v>5082</v>
      </c>
    </row>
    <row r="1465" s="1" customFormat="1" ht="16.35" customHeight="1" spans="1:14">
      <c r="A1465" s="5"/>
      <c r="B1465" s="6" t="s">
        <v>4506</v>
      </c>
      <c r="C1465" s="6">
        <v>2019</v>
      </c>
      <c r="D1465" s="6">
        <v>5</v>
      </c>
      <c r="E1465" s="7">
        <v>48</v>
      </c>
      <c r="F1465" s="6" t="s">
        <v>10223</v>
      </c>
      <c r="G1465" s="6" t="s">
        <v>9370</v>
      </c>
      <c r="H1465" s="6" t="s">
        <v>26</v>
      </c>
      <c r="I1465" s="8">
        <v>6612</v>
      </c>
      <c r="J1465" s="8"/>
      <c r="K1465" s="6" t="s">
        <v>2976</v>
      </c>
      <c r="L1465" s="6" t="s">
        <v>9860</v>
      </c>
      <c r="M1465" s="6" t="s">
        <v>4516</v>
      </c>
      <c r="N1465" s="6" t="s">
        <v>5082</v>
      </c>
    </row>
    <row r="1466" s="1" customFormat="1" ht="16.35" customHeight="1" spans="1:14">
      <c r="A1466" s="5"/>
      <c r="B1466" s="6" t="s">
        <v>4506</v>
      </c>
      <c r="C1466" s="6">
        <v>2019</v>
      </c>
      <c r="D1466" s="6">
        <v>5</v>
      </c>
      <c r="E1466" s="7">
        <v>49</v>
      </c>
      <c r="F1466" s="6" t="s">
        <v>10224</v>
      </c>
      <c r="G1466" s="6" t="s">
        <v>9370</v>
      </c>
      <c r="H1466" s="6" t="s">
        <v>26</v>
      </c>
      <c r="I1466" s="8">
        <v>6701</v>
      </c>
      <c r="J1466" s="8"/>
      <c r="K1466" s="6" t="s">
        <v>2976</v>
      </c>
      <c r="L1466" s="6" t="s">
        <v>9860</v>
      </c>
      <c r="M1466" s="6" t="s">
        <v>4516</v>
      </c>
      <c r="N1466" s="6" t="s">
        <v>5082</v>
      </c>
    </row>
    <row r="1467" s="1" customFormat="1" ht="16.35" customHeight="1" spans="1:14">
      <c r="A1467" s="5"/>
      <c r="B1467" s="6" t="s">
        <v>4506</v>
      </c>
      <c r="C1467" s="6">
        <v>2019</v>
      </c>
      <c r="D1467" s="6">
        <v>5</v>
      </c>
      <c r="E1467" s="7">
        <v>53</v>
      </c>
      <c r="F1467" s="6" t="s">
        <v>10225</v>
      </c>
      <c r="G1467" s="6" t="s">
        <v>9370</v>
      </c>
      <c r="H1467" s="6" t="s">
        <v>26</v>
      </c>
      <c r="I1467" s="8">
        <v>1000</v>
      </c>
      <c r="J1467" s="8"/>
      <c r="K1467" s="6" t="s">
        <v>2976</v>
      </c>
      <c r="L1467" s="6" t="s">
        <v>9860</v>
      </c>
      <c r="M1467" s="6" t="s">
        <v>4509</v>
      </c>
      <c r="N1467" s="6" t="s">
        <v>4537</v>
      </c>
    </row>
    <row r="1468" s="1" customFormat="1" ht="16.35" customHeight="1" spans="1:14">
      <c r="A1468" s="5"/>
      <c r="B1468" s="6" t="s">
        <v>4506</v>
      </c>
      <c r="C1468" s="6">
        <v>2019</v>
      </c>
      <c r="D1468" s="6">
        <v>5</v>
      </c>
      <c r="E1468" s="7">
        <v>54</v>
      </c>
      <c r="F1468" s="6" t="s">
        <v>10226</v>
      </c>
      <c r="G1468" s="6" t="s">
        <v>9370</v>
      </c>
      <c r="H1468" s="6" t="s">
        <v>26</v>
      </c>
      <c r="I1468" s="8">
        <v>771</v>
      </c>
      <c r="J1468" s="8"/>
      <c r="K1468" s="6" t="s">
        <v>2949</v>
      </c>
      <c r="L1468" s="6" t="s">
        <v>10217</v>
      </c>
      <c r="M1468" s="6" t="s">
        <v>4516</v>
      </c>
      <c r="N1468" s="6" t="s">
        <v>5082</v>
      </c>
    </row>
    <row r="1469" s="1" customFormat="1" ht="16.35" customHeight="1" spans="1:14">
      <c r="A1469" s="5"/>
      <c r="B1469" s="6" t="s">
        <v>4506</v>
      </c>
      <c r="C1469" s="6">
        <v>2019</v>
      </c>
      <c r="D1469" s="6">
        <v>5</v>
      </c>
      <c r="E1469" s="7">
        <v>57</v>
      </c>
      <c r="F1469" s="6" t="s">
        <v>10227</v>
      </c>
      <c r="G1469" s="6" t="s">
        <v>9370</v>
      </c>
      <c r="H1469" s="6" t="s">
        <v>26</v>
      </c>
      <c r="I1469" s="8">
        <v>7500</v>
      </c>
      <c r="J1469" s="8"/>
      <c r="K1469" s="6" t="s">
        <v>2976</v>
      </c>
      <c r="L1469" s="6" t="s">
        <v>9860</v>
      </c>
      <c r="M1469" s="6" t="s">
        <v>4516</v>
      </c>
      <c r="N1469" s="6" t="s">
        <v>5082</v>
      </c>
    </row>
    <row r="1470" s="1" customFormat="1" ht="16.35" customHeight="1" spans="1:14">
      <c r="A1470" s="5"/>
      <c r="B1470" s="6" t="s">
        <v>4506</v>
      </c>
      <c r="C1470" s="6">
        <v>2019</v>
      </c>
      <c r="D1470" s="6">
        <v>5</v>
      </c>
      <c r="E1470" s="7">
        <v>58</v>
      </c>
      <c r="F1470" s="6" t="s">
        <v>10228</v>
      </c>
      <c r="G1470" s="6" t="s">
        <v>9370</v>
      </c>
      <c r="H1470" s="6" t="s">
        <v>26</v>
      </c>
      <c r="I1470" s="8">
        <v>11767.33</v>
      </c>
      <c r="J1470" s="8"/>
      <c r="K1470" s="6" t="s">
        <v>2982</v>
      </c>
      <c r="L1470" s="6" t="s">
        <v>9944</v>
      </c>
      <c r="M1470" s="6" t="s">
        <v>4516</v>
      </c>
      <c r="N1470" s="6" t="s">
        <v>5082</v>
      </c>
    </row>
    <row r="1471" s="1" customFormat="1" ht="16.35" customHeight="1" spans="1:14">
      <c r="A1471" s="5"/>
      <c r="B1471" s="6" t="s">
        <v>4506</v>
      </c>
      <c r="C1471" s="6">
        <v>2019</v>
      </c>
      <c r="D1471" s="6">
        <v>5</v>
      </c>
      <c r="E1471" s="7">
        <v>69</v>
      </c>
      <c r="F1471" s="6" t="s">
        <v>10229</v>
      </c>
      <c r="G1471" s="6" t="s">
        <v>9370</v>
      </c>
      <c r="H1471" s="6" t="s">
        <v>26</v>
      </c>
      <c r="I1471" s="8">
        <v>8000</v>
      </c>
      <c r="J1471" s="8"/>
      <c r="K1471" s="6" t="s">
        <v>2976</v>
      </c>
      <c r="L1471" s="6" t="s">
        <v>9860</v>
      </c>
      <c r="M1471" s="6" t="s">
        <v>4516</v>
      </c>
      <c r="N1471" s="6" t="s">
        <v>5082</v>
      </c>
    </row>
    <row r="1472" s="1" customFormat="1" ht="16.35" customHeight="1" spans="1:14">
      <c r="A1472" s="5"/>
      <c r="B1472" s="6" t="s">
        <v>4506</v>
      </c>
      <c r="C1472" s="6">
        <v>2019</v>
      </c>
      <c r="D1472" s="6">
        <v>5</v>
      </c>
      <c r="E1472" s="7">
        <v>70</v>
      </c>
      <c r="F1472" s="6" t="s">
        <v>10230</v>
      </c>
      <c r="G1472" s="6" t="s">
        <v>9370</v>
      </c>
      <c r="H1472" s="6" t="s">
        <v>26</v>
      </c>
      <c r="I1472" s="8">
        <v>6500</v>
      </c>
      <c r="J1472" s="8"/>
      <c r="K1472" s="6" t="s">
        <v>2976</v>
      </c>
      <c r="L1472" s="6" t="s">
        <v>9860</v>
      </c>
      <c r="M1472" s="6" t="s">
        <v>4516</v>
      </c>
      <c r="N1472" s="6" t="s">
        <v>5082</v>
      </c>
    </row>
    <row r="1473" s="1" customFormat="1" ht="16.35" customHeight="1" spans="1:14">
      <c r="A1473" s="5"/>
      <c r="B1473" s="6" t="s">
        <v>4506</v>
      </c>
      <c r="C1473" s="6">
        <v>2019</v>
      </c>
      <c r="D1473" s="6">
        <v>5</v>
      </c>
      <c r="E1473" s="7">
        <v>71</v>
      </c>
      <c r="F1473" s="6" t="s">
        <v>10231</v>
      </c>
      <c r="G1473" s="6" t="s">
        <v>9370</v>
      </c>
      <c r="H1473" s="6" t="s">
        <v>26</v>
      </c>
      <c r="I1473" s="8">
        <v>10000</v>
      </c>
      <c r="J1473" s="8"/>
      <c r="K1473" s="6" t="s">
        <v>2976</v>
      </c>
      <c r="L1473" s="6" t="s">
        <v>9860</v>
      </c>
      <c r="M1473" s="6" t="s">
        <v>4516</v>
      </c>
      <c r="N1473" s="6" t="s">
        <v>5082</v>
      </c>
    </row>
    <row r="1474" s="1" customFormat="1" ht="16.35" customHeight="1" spans="1:14">
      <c r="A1474" s="5"/>
      <c r="B1474" s="6" t="s">
        <v>4506</v>
      </c>
      <c r="C1474" s="6">
        <v>2019</v>
      </c>
      <c r="D1474" s="6">
        <v>5</v>
      </c>
      <c r="E1474" s="7">
        <v>72</v>
      </c>
      <c r="F1474" s="6" t="s">
        <v>10232</v>
      </c>
      <c r="G1474" s="6" t="s">
        <v>9370</v>
      </c>
      <c r="H1474" s="6" t="s">
        <v>26</v>
      </c>
      <c r="I1474" s="8">
        <v>6800</v>
      </c>
      <c r="J1474" s="8"/>
      <c r="K1474" s="6" t="s">
        <v>2976</v>
      </c>
      <c r="L1474" s="6" t="s">
        <v>9860</v>
      </c>
      <c r="M1474" s="6" t="s">
        <v>4516</v>
      </c>
      <c r="N1474" s="6" t="s">
        <v>5082</v>
      </c>
    </row>
    <row r="1475" s="1" customFormat="1" ht="16.35" customHeight="1" spans="1:14">
      <c r="A1475" s="5"/>
      <c r="B1475" s="6" t="s">
        <v>4506</v>
      </c>
      <c r="C1475" s="6">
        <v>2019</v>
      </c>
      <c r="D1475" s="6">
        <v>5</v>
      </c>
      <c r="E1475" s="7">
        <v>73</v>
      </c>
      <c r="F1475" s="6" t="s">
        <v>10233</v>
      </c>
      <c r="G1475" s="6" t="s">
        <v>9370</v>
      </c>
      <c r="H1475" s="6" t="s">
        <v>26</v>
      </c>
      <c r="I1475" s="8">
        <v>6575</v>
      </c>
      <c r="J1475" s="8"/>
      <c r="K1475" s="6" t="s">
        <v>2976</v>
      </c>
      <c r="L1475" s="6" t="s">
        <v>9860</v>
      </c>
      <c r="M1475" s="6" t="s">
        <v>4516</v>
      </c>
      <c r="N1475" s="6" t="s">
        <v>5082</v>
      </c>
    </row>
    <row r="1476" s="1" customFormat="1" ht="16.35" customHeight="1" spans="1:14">
      <c r="A1476" s="5"/>
      <c r="B1476" s="6" t="s">
        <v>4506</v>
      </c>
      <c r="C1476" s="6">
        <v>2019</v>
      </c>
      <c r="D1476" s="6">
        <v>5</v>
      </c>
      <c r="E1476" s="7">
        <v>75</v>
      </c>
      <c r="F1476" s="6" t="s">
        <v>10234</v>
      </c>
      <c r="G1476" s="6" t="s">
        <v>9370</v>
      </c>
      <c r="H1476" s="6" t="s">
        <v>26</v>
      </c>
      <c r="I1476" s="8">
        <v>6605</v>
      </c>
      <c r="J1476" s="8"/>
      <c r="K1476" s="6" t="s">
        <v>2976</v>
      </c>
      <c r="L1476" s="6" t="s">
        <v>9860</v>
      </c>
      <c r="M1476" s="6" t="s">
        <v>4516</v>
      </c>
      <c r="N1476" s="6" t="s">
        <v>5082</v>
      </c>
    </row>
    <row r="1477" s="1" customFormat="1" ht="16.35" customHeight="1" spans="1:14">
      <c r="A1477" s="5"/>
      <c r="B1477" s="6" t="s">
        <v>4506</v>
      </c>
      <c r="C1477" s="6">
        <v>2019</v>
      </c>
      <c r="D1477" s="6">
        <v>5</v>
      </c>
      <c r="E1477" s="7">
        <v>76</v>
      </c>
      <c r="F1477" s="6" t="s">
        <v>10235</v>
      </c>
      <c r="G1477" s="6" t="s">
        <v>9370</v>
      </c>
      <c r="H1477" s="6" t="s">
        <v>26</v>
      </c>
      <c r="I1477" s="8">
        <v>11362</v>
      </c>
      <c r="J1477" s="8"/>
      <c r="K1477" s="6" t="s">
        <v>2976</v>
      </c>
      <c r="L1477" s="6" t="s">
        <v>9860</v>
      </c>
      <c r="M1477" s="6" t="s">
        <v>4516</v>
      </c>
      <c r="N1477" s="6" t="s">
        <v>5082</v>
      </c>
    </row>
    <row r="1478" s="1" customFormat="1" ht="16.35" customHeight="1" spans="1:14">
      <c r="A1478" s="5"/>
      <c r="B1478" s="6" t="s">
        <v>4506</v>
      </c>
      <c r="C1478" s="6">
        <v>2019</v>
      </c>
      <c r="D1478" s="6">
        <v>5</v>
      </c>
      <c r="E1478" s="7">
        <v>79</v>
      </c>
      <c r="F1478" s="6" t="s">
        <v>10236</v>
      </c>
      <c r="G1478" s="6" t="s">
        <v>9370</v>
      </c>
      <c r="H1478" s="6" t="s">
        <v>26</v>
      </c>
      <c r="I1478" s="8">
        <v>200000</v>
      </c>
      <c r="J1478" s="8"/>
      <c r="K1478" s="6" t="s">
        <v>2947</v>
      </c>
      <c r="L1478" s="6" t="s">
        <v>10214</v>
      </c>
      <c r="M1478" s="6" t="s">
        <v>4516</v>
      </c>
      <c r="N1478" s="6" t="s">
        <v>5082</v>
      </c>
    </row>
    <row r="1479" s="1" customFormat="1" ht="16.35" customHeight="1" spans="1:14">
      <c r="A1479" s="5"/>
      <c r="B1479" s="6" t="s">
        <v>4506</v>
      </c>
      <c r="C1479" s="6">
        <v>2019</v>
      </c>
      <c r="D1479" s="6">
        <v>5</v>
      </c>
      <c r="E1479" s="7">
        <v>80</v>
      </c>
      <c r="F1479" s="6" t="s">
        <v>10237</v>
      </c>
      <c r="G1479" s="6" t="s">
        <v>9370</v>
      </c>
      <c r="H1479" s="6" t="s">
        <v>26</v>
      </c>
      <c r="I1479" s="8"/>
      <c r="J1479" s="8">
        <v>320000</v>
      </c>
      <c r="K1479" s="6" t="s">
        <v>2950</v>
      </c>
      <c r="L1479" s="6" t="s">
        <v>10221</v>
      </c>
      <c r="M1479" s="6" t="s">
        <v>4516</v>
      </c>
      <c r="N1479" s="6" t="s">
        <v>5082</v>
      </c>
    </row>
    <row r="1480" s="1" customFormat="1" ht="16.35" customHeight="1" spans="1:14">
      <c r="A1480" s="5"/>
      <c r="B1480" s="6" t="s">
        <v>4506</v>
      </c>
      <c r="C1480" s="6">
        <v>2019</v>
      </c>
      <c r="D1480" s="6">
        <v>5</v>
      </c>
      <c r="E1480" s="7">
        <v>83</v>
      </c>
      <c r="F1480" s="6" t="s">
        <v>10238</v>
      </c>
      <c r="G1480" s="6" t="s">
        <v>9370</v>
      </c>
      <c r="H1480" s="6" t="s">
        <v>26</v>
      </c>
      <c r="I1480" s="8">
        <v>66108</v>
      </c>
      <c r="J1480" s="8"/>
      <c r="K1480" s="6" t="s">
        <v>4512</v>
      </c>
      <c r="L1480" s="6" t="s">
        <v>2906</v>
      </c>
      <c r="M1480" s="6" t="s">
        <v>4516</v>
      </c>
      <c r="N1480" s="6" t="s">
        <v>5082</v>
      </c>
    </row>
    <row r="1481" s="1" customFormat="1" ht="16.35" customHeight="1" spans="1:14">
      <c r="A1481" s="5"/>
      <c r="B1481" s="6" t="s">
        <v>4506</v>
      </c>
      <c r="C1481" s="6">
        <v>2019</v>
      </c>
      <c r="D1481" s="6">
        <v>5</v>
      </c>
      <c r="E1481" s="7">
        <v>85</v>
      </c>
      <c r="F1481" s="6" t="s">
        <v>10239</v>
      </c>
      <c r="G1481" s="6" t="s">
        <v>9370</v>
      </c>
      <c r="H1481" s="6" t="s">
        <v>26</v>
      </c>
      <c r="I1481" s="8"/>
      <c r="J1481" s="8">
        <v>231600</v>
      </c>
      <c r="K1481" s="6" t="s">
        <v>4509</v>
      </c>
      <c r="L1481" s="6" t="s">
        <v>9218</v>
      </c>
      <c r="M1481" s="6" t="s">
        <v>4510</v>
      </c>
      <c r="N1481" s="6" t="s">
        <v>4511</v>
      </c>
    </row>
    <row r="1482" s="1" customFormat="1" ht="16.35" customHeight="1" spans="1:14">
      <c r="A1482" s="5"/>
      <c r="B1482" s="6" t="s">
        <v>4506</v>
      </c>
      <c r="C1482" s="6">
        <v>2019</v>
      </c>
      <c r="D1482" s="6">
        <v>5</v>
      </c>
      <c r="E1482" s="7">
        <v>87</v>
      </c>
      <c r="F1482" s="6" t="s">
        <v>10240</v>
      </c>
      <c r="G1482" s="6" t="s">
        <v>9370</v>
      </c>
      <c r="H1482" s="6" t="s">
        <v>26</v>
      </c>
      <c r="I1482" s="8"/>
      <c r="J1482" s="8">
        <v>10000</v>
      </c>
      <c r="K1482" s="6" t="s">
        <v>4512</v>
      </c>
      <c r="L1482" s="6" t="s">
        <v>2906</v>
      </c>
      <c r="M1482" s="6" t="s">
        <v>4516</v>
      </c>
      <c r="N1482" s="6" t="s">
        <v>5082</v>
      </c>
    </row>
    <row r="1483" s="1" customFormat="1" ht="16.35" customHeight="1" spans="1:14">
      <c r="A1483" s="5"/>
      <c r="B1483" s="6" t="s">
        <v>4506</v>
      </c>
      <c r="C1483" s="6">
        <v>2019</v>
      </c>
      <c r="D1483" s="6">
        <v>5</v>
      </c>
      <c r="E1483" s="7">
        <v>88</v>
      </c>
      <c r="F1483" s="6" t="s">
        <v>10241</v>
      </c>
      <c r="G1483" s="6" t="s">
        <v>9370</v>
      </c>
      <c r="H1483" s="6" t="s">
        <v>26</v>
      </c>
      <c r="I1483" s="8"/>
      <c r="J1483" s="8">
        <v>10000</v>
      </c>
      <c r="K1483" s="6" t="s">
        <v>4512</v>
      </c>
      <c r="L1483" s="6" t="s">
        <v>2906</v>
      </c>
      <c r="M1483" s="6" t="s">
        <v>4516</v>
      </c>
      <c r="N1483" s="6" t="s">
        <v>5082</v>
      </c>
    </row>
    <row r="1484" s="1" customFormat="1" ht="16.35" customHeight="1" spans="1:14">
      <c r="A1484" s="5"/>
      <c r="B1484" s="6" t="s">
        <v>4506</v>
      </c>
      <c r="C1484" s="6">
        <v>2019</v>
      </c>
      <c r="D1484" s="6">
        <v>5</v>
      </c>
      <c r="E1484" s="7">
        <v>89</v>
      </c>
      <c r="F1484" s="6" t="s">
        <v>10242</v>
      </c>
      <c r="G1484" s="6" t="s">
        <v>9370</v>
      </c>
      <c r="H1484" s="6" t="s">
        <v>26</v>
      </c>
      <c r="I1484" s="8"/>
      <c r="J1484" s="8">
        <v>20000</v>
      </c>
      <c r="K1484" s="6" t="s">
        <v>4512</v>
      </c>
      <c r="L1484" s="6" t="s">
        <v>2906</v>
      </c>
      <c r="M1484" s="6" t="s">
        <v>4516</v>
      </c>
      <c r="N1484" s="6" t="s">
        <v>5082</v>
      </c>
    </row>
    <row r="1485" s="1" customFormat="1" ht="16.35" customHeight="1" spans="1:14">
      <c r="A1485" s="5"/>
      <c r="B1485" s="6" t="s">
        <v>4506</v>
      </c>
      <c r="C1485" s="6">
        <v>2019</v>
      </c>
      <c r="D1485" s="6">
        <v>5</v>
      </c>
      <c r="E1485" s="7">
        <v>90</v>
      </c>
      <c r="F1485" s="6" t="s">
        <v>10243</v>
      </c>
      <c r="G1485" s="6" t="s">
        <v>9370</v>
      </c>
      <c r="H1485" s="6" t="s">
        <v>26</v>
      </c>
      <c r="I1485" s="8"/>
      <c r="J1485" s="8">
        <v>10000</v>
      </c>
      <c r="K1485" s="6" t="s">
        <v>4512</v>
      </c>
      <c r="L1485" s="6" t="s">
        <v>2906</v>
      </c>
      <c r="M1485" s="6" t="s">
        <v>4516</v>
      </c>
      <c r="N1485" s="6" t="s">
        <v>5082</v>
      </c>
    </row>
    <row r="1486" s="1" customFormat="1" ht="16.35" customHeight="1" spans="1:14">
      <c r="A1486" s="5"/>
      <c r="B1486" s="6" t="s">
        <v>4506</v>
      </c>
      <c r="C1486" s="6">
        <v>2019</v>
      </c>
      <c r="D1486" s="6">
        <v>5</v>
      </c>
      <c r="E1486" s="7">
        <v>91</v>
      </c>
      <c r="F1486" s="6" t="s">
        <v>10244</v>
      </c>
      <c r="G1486" s="6" t="s">
        <v>9370</v>
      </c>
      <c r="H1486" s="6" t="s">
        <v>26</v>
      </c>
      <c r="I1486" s="8"/>
      <c r="J1486" s="8">
        <v>70000</v>
      </c>
      <c r="K1486" s="6" t="s">
        <v>4512</v>
      </c>
      <c r="L1486" s="6" t="s">
        <v>2906</v>
      </c>
      <c r="M1486" s="6" t="s">
        <v>4516</v>
      </c>
      <c r="N1486" s="6" t="s">
        <v>5082</v>
      </c>
    </row>
    <row r="1487" s="1" customFormat="1" ht="16.35" customHeight="1" spans="1:14">
      <c r="A1487" s="5"/>
      <c r="B1487" s="6" t="s">
        <v>4506</v>
      </c>
      <c r="C1487" s="6">
        <v>2019</v>
      </c>
      <c r="D1487" s="6">
        <v>5</v>
      </c>
      <c r="E1487" s="7">
        <v>92</v>
      </c>
      <c r="F1487" s="6" t="s">
        <v>10245</v>
      </c>
      <c r="G1487" s="6" t="s">
        <v>9370</v>
      </c>
      <c r="H1487" s="6" t="s">
        <v>26</v>
      </c>
      <c r="I1487" s="8"/>
      <c r="J1487" s="8">
        <v>8000</v>
      </c>
      <c r="K1487" s="6" t="s">
        <v>4512</v>
      </c>
      <c r="L1487" s="6" t="s">
        <v>2906</v>
      </c>
      <c r="M1487" s="6" t="s">
        <v>4516</v>
      </c>
      <c r="N1487" s="6" t="s">
        <v>5082</v>
      </c>
    </row>
    <row r="1488" s="1" customFormat="1" ht="16.35" customHeight="1" spans="1:14">
      <c r="A1488" s="5"/>
      <c r="B1488" s="6" t="s">
        <v>4506</v>
      </c>
      <c r="C1488" s="6">
        <v>2019</v>
      </c>
      <c r="D1488" s="6">
        <v>6</v>
      </c>
      <c r="E1488" s="7">
        <v>7</v>
      </c>
      <c r="F1488" s="6" t="s">
        <v>3968</v>
      </c>
      <c r="G1488" s="6" t="s">
        <v>9370</v>
      </c>
      <c r="H1488" s="6" t="s">
        <v>26</v>
      </c>
      <c r="I1488" s="8"/>
      <c r="J1488" s="8">
        <v>43000</v>
      </c>
      <c r="K1488" s="6" t="s">
        <v>4512</v>
      </c>
      <c r="L1488" s="6" t="s">
        <v>2906</v>
      </c>
      <c r="M1488" s="6" t="s">
        <v>4516</v>
      </c>
      <c r="N1488" s="6" t="s">
        <v>5082</v>
      </c>
    </row>
    <row r="1489" s="1" customFormat="1" ht="16.35" customHeight="1" spans="1:14">
      <c r="A1489" s="5"/>
      <c r="B1489" s="6" t="s">
        <v>4506</v>
      </c>
      <c r="C1489" s="6">
        <v>2019</v>
      </c>
      <c r="D1489" s="6">
        <v>6</v>
      </c>
      <c r="E1489" s="7">
        <v>38</v>
      </c>
      <c r="F1489" s="6" t="s">
        <v>5334</v>
      </c>
      <c r="G1489" s="6" t="s">
        <v>9370</v>
      </c>
      <c r="H1489" s="6" t="s">
        <v>26</v>
      </c>
      <c r="I1489" s="8">
        <v>100000</v>
      </c>
      <c r="J1489" s="8"/>
      <c r="K1489" s="6" t="s">
        <v>4512</v>
      </c>
      <c r="L1489" s="6" t="s">
        <v>2906</v>
      </c>
      <c r="M1489" s="6" t="s">
        <v>4516</v>
      </c>
      <c r="N1489" s="6" t="s">
        <v>5082</v>
      </c>
    </row>
    <row r="1490" s="1" customFormat="1" ht="16.35" customHeight="1" spans="1:14">
      <c r="A1490" s="5"/>
      <c r="B1490" s="6" t="s">
        <v>4506</v>
      </c>
      <c r="C1490" s="6">
        <v>2019</v>
      </c>
      <c r="D1490" s="6">
        <v>6</v>
      </c>
      <c r="E1490" s="7">
        <v>39</v>
      </c>
      <c r="F1490" s="6" t="s">
        <v>5464</v>
      </c>
      <c r="G1490" s="6" t="s">
        <v>9370</v>
      </c>
      <c r="H1490" s="6" t="s">
        <v>26</v>
      </c>
      <c r="I1490" s="8">
        <v>168000</v>
      </c>
      <c r="J1490" s="8"/>
      <c r="K1490" s="6" t="s">
        <v>4512</v>
      </c>
      <c r="L1490" s="6" t="s">
        <v>2906</v>
      </c>
      <c r="M1490" s="6" t="s">
        <v>4516</v>
      </c>
      <c r="N1490" s="6" t="s">
        <v>5082</v>
      </c>
    </row>
    <row r="1491" s="1" customFormat="1" ht="16.35" customHeight="1" spans="1:14">
      <c r="A1491" s="5"/>
      <c r="B1491" s="6" t="s">
        <v>4506</v>
      </c>
      <c r="C1491" s="6">
        <v>2019</v>
      </c>
      <c r="D1491" s="6">
        <v>6</v>
      </c>
      <c r="E1491" s="7">
        <v>40</v>
      </c>
      <c r="F1491" s="6" t="s">
        <v>5465</v>
      </c>
      <c r="G1491" s="6" t="s">
        <v>9370</v>
      </c>
      <c r="H1491" s="6" t="s">
        <v>26</v>
      </c>
      <c r="I1491" s="8">
        <v>95000</v>
      </c>
      <c r="J1491" s="8"/>
      <c r="K1491" s="6" t="s">
        <v>4512</v>
      </c>
      <c r="L1491" s="6" t="s">
        <v>2906</v>
      </c>
      <c r="M1491" s="6" t="s">
        <v>4516</v>
      </c>
      <c r="N1491" s="6" t="s">
        <v>5082</v>
      </c>
    </row>
    <row r="1492" s="1" customFormat="1" ht="16.35" customHeight="1" spans="1:14">
      <c r="A1492" s="5"/>
      <c r="B1492" s="6" t="s">
        <v>4506</v>
      </c>
      <c r="C1492" s="6">
        <v>2019</v>
      </c>
      <c r="D1492" s="6">
        <v>6</v>
      </c>
      <c r="E1492" s="7">
        <v>41</v>
      </c>
      <c r="F1492" s="6" t="s">
        <v>5466</v>
      </c>
      <c r="G1492" s="6" t="s">
        <v>9370</v>
      </c>
      <c r="H1492" s="6" t="s">
        <v>26</v>
      </c>
      <c r="I1492" s="8">
        <v>120000</v>
      </c>
      <c r="J1492" s="8"/>
      <c r="K1492" s="6" t="s">
        <v>4512</v>
      </c>
      <c r="L1492" s="6" t="s">
        <v>2906</v>
      </c>
      <c r="M1492" s="6" t="s">
        <v>4516</v>
      </c>
      <c r="N1492" s="6" t="s">
        <v>5082</v>
      </c>
    </row>
    <row r="1493" s="1" customFormat="1" ht="16.35" customHeight="1" spans="1:14">
      <c r="A1493" s="5"/>
      <c r="B1493" s="6" t="s">
        <v>4506</v>
      </c>
      <c r="C1493" s="6">
        <v>2019</v>
      </c>
      <c r="D1493" s="6">
        <v>6</v>
      </c>
      <c r="E1493" s="7">
        <v>42</v>
      </c>
      <c r="F1493" s="6" t="s">
        <v>5467</v>
      </c>
      <c r="G1493" s="6" t="s">
        <v>9370</v>
      </c>
      <c r="H1493" s="6" t="s">
        <v>26</v>
      </c>
      <c r="I1493" s="8">
        <v>30000</v>
      </c>
      <c r="J1493" s="8"/>
      <c r="K1493" s="6" t="s">
        <v>4512</v>
      </c>
      <c r="L1493" s="6" t="s">
        <v>2906</v>
      </c>
      <c r="M1493" s="6" t="s">
        <v>4516</v>
      </c>
      <c r="N1493" s="6" t="s">
        <v>5082</v>
      </c>
    </row>
    <row r="1494" s="1" customFormat="1" ht="16.35" customHeight="1" spans="1:14">
      <c r="A1494" s="5"/>
      <c r="B1494" s="6" t="s">
        <v>4506</v>
      </c>
      <c r="C1494" s="6">
        <v>2019</v>
      </c>
      <c r="D1494" s="6">
        <v>6</v>
      </c>
      <c r="E1494" s="7">
        <v>43</v>
      </c>
      <c r="F1494" s="6" t="s">
        <v>5468</v>
      </c>
      <c r="G1494" s="6" t="s">
        <v>9370</v>
      </c>
      <c r="H1494" s="6" t="s">
        <v>26</v>
      </c>
      <c r="I1494" s="8">
        <v>112000</v>
      </c>
      <c r="J1494" s="8"/>
      <c r="K1494" s="6" t="s">
        <v>4512</v>
      </c>
      <c r="L1494" s="6" t="s">
        <v>2906</v>
      </c>
      <c r="M1494" s="6" t="s">
        <v>4516</v>
      </c>
      <c r="N1494" s="6" t="s">
        <v>5082</v>
      </c>
    </row>
    <row r="1495" s="1" customFormat="1" ht="16.35" customHeight="1" spans="1:14">
      <c r="A1495" s="5"/>
      <c r="B1495" s="6" t="s">
        <v>4506</v>
      </c>
      <c r="C1495" s="6">
        <v>2019</v>
      </c>
      <c r="D1495" s="6">
        <v>6</v>
      </c>
      <c r="E1495" s="7">
        <v>44</v>
      </c>
      <c r="F1495" s="6" t="s">
        <v>5469</v>
      </c>
      <c r="G1495" s="6" t="s">
        <v>9370</v>
      </c>
      <c r="H1495" s="6" t="s">
        <v>26</v>
      </c>
      <c r="I1495" s="8">
        <v>155000</v>
      </c>
      <c r="J1495" s="8"/>
      <c r="K1495" s="6" t="s">
        <v>4512</v>
      </c>
      <c r="L1495" s="6" t="s">
        <v>2906</v>
      </c>
      <c r="M1495" s="6" t="s">
        <v>4516</v>
      </c>
      <c r="N1495" s="6" t="s">
        <v>5082</v>
      </c>
    </row>
    <row r="1496" s="1" customFormat="1" ht="16.35" customHeight="1" spans="1:14">
      <c r="A1496" s="5"/>
      <c r="B1496" s="6" t="s">
        <v>4506</v>
      </c>
      <c r="C1496" s="6">
        <v>2019</v>
      </c>
      <c r="D1496" s="6">
        <v>6</v>
      </c>
      <c r="E1496" s="7">
        <v>45</v>
      </c>
      <c r="F1496" s="6" t="s">
        <v>5470</v>
      </c>
      <c r="G1496" s="6" t="s">
        <v>9370</v>
      </c>
      <c r="H1496" s="6" t="s">
        <v>26</v>
      </c>
      <c r="I1496" s="8">
        <v>110000</v>
      </c>
      <c r="J1496" s="8"/>
      <c r="K1496" s="6" t="s">
        <v>4512</v>
      </c>
      <c r="L1496" s="6" t="s">
        <v>2906</v>
      </c>
      <c r="M1496" s="6" t="s">
        <v>4516</v>
      </c>
      <c r="N1496" s="6" t="s">
        <v>5082</v>
      </c>
    </row>
    <row r="1497" s="1" customFormat="1" ht="16.35" customHeight="1" spans="1:14">
      <c r="A1497" s="5"/>
      <c r="B1497" s="6" t="s">
        <v>4506</v>
      </c>
      <c r="C1497" s="6">
        <v>2019</v>
      </c>
      <c r="D1497" s="6">
        <v>6</v>
      </c>
      <c r="E1497" s="7">
        <v>46</v>
      </c>
      <c r="F1497" s="6" t="s">
        <v>5471</v>
      </c>
      <c r="G1497" s="6" t="s">
        <v>9370</v>
      </c>
      <c r="H1497" s="6" t="s">
        <v>26</v>
      </c>
      <c r="I1497" s="8">
        <v>130000</v>
      </c>
      <c r="J1497" s="8"/>
      <c r="K1497" s="6" t="s">
        <v>4512</v>
      </c>
      <c r="L1497" s="6" t="s">
        <v>2906</v>
      </c>
      <c r="M1497" s="6" t="s">
        <v>4516</v>
      </c>
      <c r="N1497" s="6" t="s">
        <v>5082</v>
      </c>
    </row>
    <row r="1498" s="1" customFormat="1" ht="16.35" customHeight="1" spans="1:14">
      <c r="A1498" s="5"/>
      <c r="B1498" s="6" t="s">
        <v>4506</v>
      </c>
      <c r="C1498" s="6">
        <v>2019</v>
      </c>
      <c r="D1498" s="6">
        <v>6</v>
      </c>
      <c r="E1498" s="7">
        <v>47</v>
      </c>
      <c r="F1498" s="6" t="s">
        <v>5472</v>
      </c>
      <c r="G1498" s="6" t="s">
        <v>9370</v>
      </c>
      <c r="H1498" s="6" t="s">
        <v>26</v>
      </c>
      <c r="I1498" s="8">
        <v>145000</v>
      </c>
      <c r="J1498" s="8"/>
      <c r="K1498" s="6" t="s">
        <v>4512</v>
      </c>
      <c r="L1498" s="6" t="s">
        <v>2906</v>
      </c>
      <c r="M1498" s="6" t="s">
        <v>4516</v>
      </c>
      <c r="N1498" s="6" t="s">
        <v>5082</v>
      </c>
    </row>
    <row r="1499" s="1" customFormat="1" ht="16.35" customHeight="1" spans="1:14">
      <c r="A1499" s="5"/>
      <c r="B1499" s="6" t="s">
        <v>4506</v>
      </c>
      <c r="C1499" s="6">
        <v>2019</v>
      </c>
      <c r="D1499" s="6">
        <v>6</v>
      </c>
      <c r="E1499" s="7">
        <v>48</v>
      </c>
      <c r="F1499" s="6" t="s">
        <v>5473</v>
      </c>
      <c r="G1499" s="6" t="s">
        <v>9370</v>
      </c>
      <c r="H1499" s="6" t="s">
        <v>26</v>
      </c>
      <c r="I1499" s="8">
        <v>145000</v>
      </c>
      <c r="J1499" s="8"/>
      <c r="K1499" s="6" t="s">
        <v>4512</v>
      </c>
      <c r="L1499" s="6" t="s">
        <v>2906</v>
      </c>
      <c r="M1499" s="6" t="s">
        <v>4516</v>
      </c>
      <c r="N1499" s="6" t="s">
        <v>5082</v>
      </c>
    </row>
    <row r="1500" s="1" customFormat="1" ht="16.35" customHeight="1" spans="1:14">
      <c r="A1500" s="5"/>
      <c r="B1500" s="6" t="s">
        <v>4506</v>
      </c>
      <c r="C1500" s="6">
        <v>2019</v>
      </c>
      <c r="D1500" s="6">
        <v>6</v>
      </c>
      <c r="E1500" s="7">
        <v>49</v>
      </c>
      <c r="F1500" s="6" t="s">
        <v>5474</v>
      </c>
      <c r="G1500" s="6" t="s">
        <v>9370</v>
      </c>
      <c r="H1500" s="6" t="s">
        <v>26</v>
      </c>
      <c r="I1500" s="8">
        <v>160000</v>
      </c>
      <c r="J1500" s="8"/>
      <c r="K1500" s="6" t="s">
        <v>4512</v>
      </c>
      <c r="L1500" s="6" t="s">
        <v>2906</v>
      </c>
      <c r="M1500" s="6" t="s">
        <v>4516</v>
      </c>
      <c r="N1500" s="6" t="s">
        <v>5082</v>
      </c>
    </row>
    <row r="1501" s="1" customFormat="1" ht="16.35" customHeight="1" spans="1:14">
      <c r="A1501" s="5"/>
      <c r="B1501" s="6" t="s">
        <v>4506</v>
      </c>
      <c r="C1501" s="6">
        <v>2019</v>
      </c>
      <c r="D1501" s="6">
        <v>6</v>
      </c>
      <c r="E1501" s="7">
        <v>50</v>
      </c>
      <c r="F1501" s="6" t="s">
        <v>4107</v>
      </c>
      <c r="G1501" s="6" t="s">
        <v>9370</v>
      </c>
      <c r="H1501" s="6" t="s">
        <v>26</v>
      </c>
      <c r="I1501" s="8"/>
      <c r="J1501" s="8">
        <v>67272</v>
      </c>
      <c r="K1501" s="6" t="s">
        <v>4512</v>
      </c>
      <c r="L1501" s="6" t="s">
        <v>2906</v>
      </c>
      <c r="M1501" s="6" t="s">
        <v>4516</v>
      </c>
      <c r="N1501" s="6" t="s">
        <v>5082</v>
      </c>
    </row>
    <row r="1502" s="1" customFormat="1" ht="16.35" customHeight="1" spans="1:14">
      <c r="A1502" s="5"/>
      <c r="B1502" s="6" t="s">
        <v>4506</v>
      </c>
      <c r="C1502" s="6">
        <v>2019</v>
      </c>
      <c r="D1502" s="6">
        <v>6</v>
      </c>
      <c r="E1502" s="7">
        <v>51</v>
      </c>
      <c r="F1502" s="6" t="s">
        <v>10246</v>
      </c>
      <c r="G1502" s="6" t="s">
        <v>9370</v>
      </c>
      <c r="H1502" s="6" t="s">
        <v>26</v>
      </c>
      <c r="I1502" s="8"/>
      <c r="J1502" s="8">
        <v>150000</v>
      </c>
      <c r="K1502" s="6" t="s">
        <v>4512</v>
      </c>
      <c r="L1502" s="6" t="s">
        <v>2906</v>
      </c>
      <c r="M1502" s="6" t="s">
        <v>4516</v>
      </c>
      <c r="N1502" s="6" t="s">
        <v>5082</v>
      </c>
    </row>
    <row r="1503" s="1" customFormat="1" ht="16.35" customHeight="1" spans="1:14">
      <c r="A1503" s="5"/>
      <c r="B1503" s="6" t="s">
        <v>4506</v>
      </c>
      <c r="C1503" s="6">
        <v>2019</v>
      </c>
      <c r="D1503" s="6">
        <v>6</v>
      </c>
      <c r="E1503" s="7">
        <v>54</v>
      </c>
      <c r="F1503" s="6" t="s">
        <v>10247</v>
      </c>
      <c r="G1503" s="6" t="s">
        <v>9370</v>
      </c>
      <c r="H1503" s="6" t="s">
        <v>26</v>
      </c>
      <c r="I1503" s="8"/>
      <c r="J1503" s="8">
        <v>20000</v>
      </c>
      <c r="K1503" s="6" t="s">
        <v>4512</v>
      </c>
      <c r="L1503" s="6" t="s">
        <v>2906</v>
      </c>
      <c r="M1503" s="6" t="s">
        <v>4516</v>
      </c>
      <c r="N1503" s="6" t="s">
        <v>5082</v>
      </c>
    </row>
    <row r="1504" s="1" customFormat="1" ht="16.35" customHeight="1" spans="1:14">
      <c r="A1504" s="5"/>
      <c r="B1504" s="6" t="s">
        <v>4506</v>
      </c>
      <c r="C1504" s="6">
        <v>2019</v>
      </c>
      <c r="D1504" s="6">
        <v>6</v>
      </c>
      <c r="E1504" s="7">
        <v>56</v>
      </c>
      <c r="F1504" s="6" t="s">
        <v>10248</v>
      </c>
      <c r="G1504" s="6" t="s">
        <v>9370</v>
      </c>
      <c r="H1504" s="6" t="s">
        <v>26</v>
      </c>
      <c r="I1504" s="8">
        <v>2000</v>
      </c>
      <c r="J1504" s="8"/>
      <c r="K1504" s="6" t="s">
        <v>2943</v>
      </c>
      <c r="L1504" s="6" t="s">
        <v>99</v>
      </c>
      <c r="M1504" s="6" t="s">
        <v>4516</v>
      </c>
      <c r="N1504" s="6" t="s">
        <v>5082</v>
      </c>
    </row>
    <row r="1505" s="1" customFormat="1" ht="16.35" customHeight="1" spans="1:14">
      <c r="A1505" s="5"/>
      <c r="B1505" s="6" t="s">
        <v>4506</v>
      </c>
      <c r="C1505" s="6">
        <v>2019</v>
      </c>
      <c r="D1505" s="6">
        <v>6</v>
      </c>
      <c r="E1505" s="7">
        <v>57</v>
      </c>
      <c r="F1505" s="6" t="s">
        <v>10249</v>
      </c>
      <c r="G1505" s="6" t="s">
        <v>9370</v>
      </c>
      <c r="H1505" s="6" t="s">
        <v>26</v>
      </c>
      <c r="I1505" s="8">
        <v>800</v>
      </c>
      <c r="J1505" s="8"/>
      <c r="K1505" s="6" t="s">
        <v>4509</v>
      </c>
      <c r="L1505" s="6" t="s">
        <v>9218</v>
      </c>
      <c r="M1505" s="6" t="s">
        <v>4509</v>
      </c>
      <c r="N1505" s="6" t="s">
        <v>4537</v>
      </c>
    </row>
    <row r="1506" s="1" customFormat="1" ht="16.35" customHeight="1" spans="1:14">
      <c r="A1506" s="5"/>
      <c r="B1506" s="6" t="s">
        <v>4506</v>
      </c>
      <c r="C1506" s="6">
        <v>2019</v>
      </c>
      <c r="D1506" s="6">
        <v>6</v>
      </c>
      <c r="E1506" s="7">
        <v>59</v>
      </c>
      <c r="F1506" s="6" t="s">
        <v>10250</v>
      </c>
      <c r="G1506" s="6" t="s">
        <v>9370</v>
      </c>
      <c r="H1506" s="6" t="s">
        <v>26</v>
      </c>
      <c r="I1506" s="8">
        <v>4499</v>
      </c>
      <c r="J1506" s="8"/>
      <c r="K1506" s="6" t="s">
        <v>2976</v>
      </c>
      <c r="L1506" s="6" t="s">
        <v>9860</v>
      </c>
      <c r="M1506" s="6" t="s">
        <v>4516</v>
      </c>
      <c r="N1506" s="6" t="s">
        <v>5082</v>
      </c>
    </row>
    <row r="1507" s="1" customFormat="1" ht="16.35" customHeight="1" spans="1:14">
      <c r="A1507" s="5"/>
      <c r="B1507" s="6" t="s">
        <v>4506</v>
      </c>
      <c r="C1507" s="6">
        <v>2019</v>
      </c>
      <c r="D1507" s="6">
        <v>6</v>
      </c>
      <c r="E1507" s="7">
        <v>63</v>
      </c>
      <c r="F1507" s="6" t="s">
        <v>10251</v>
      </c>
      <c r="G1507" s="6" t="s">
        <v>9370</v>
      </c>
      <c r="H1507" s="6" t="s">
        <v>26</v>
      </c>
      <c r="I1507" s="8">
        <v>7500</v>
      </c>
      <c r="J1507" s="8"/>
      <c r="K1507" s="6" t="s">
        <v>2976</v>
      </c>
      <c r="L1507" s="6" t="s">
        <v>9860</v>
      </c>
      <c r="M1507" s="6" t="s">
        <v>4510</v>
      </c>
      <c r="N1507" s="6" t="s">
        <v>4511</v>
      </c>
    </row>
    <row r="1508" s="1" customFormat="1" ht="16.35" customHeight="1" spans="1:14">
      <c r="A1508" s="5"/>
      <c r="B1508" s="6" t="s">
        <v>4506</v>
      </c>
      <c r="C1508" s="6">
        <v>2019</v>
      </c>
      <c r="D1508" s="6">
        <v>6</v>
      </c>
      <c r="E1508" s="7">
        <v>65</v>
      </c>
      <c r="F1508" s="6" t="s">
        <v>10252</v>
      </c>
      <c r="G1508" s="6" t="s">
        <v>9370</v>
      </c>
      <c r="H1508" s="6" t="s">
        <v>26</v>
      </c>
      <c r="I1508" s="8">
        <v>5000</v>
      </c>
      <c r="J1508" s="8"/>
      <c r="K1508" s="6" t="s">
        <v>4534</v>
      </c>
      <c r="L1508" s="6" t="s">
        <v>9998</v>
      </c>
      <c r="M1508" s="6" t="s">
        <v>4516</v>
      </c>
      <c r="N1508" s="6" t="s">
        <v>5082</v>
      </c>
    </row>
    <row r="1509" s="1" customFormat="1" ht="16.35" customHeight="1" spans="1:14">
      <c r="A1509" s="5"/>
      <c r="B1509" s="6" t="s">
        <v>4506</v>
      </c>
      <c r="C1509" s="6">
        <v>2019</v>
      </c>
      <c r="D1509" s="6">
        <v>6</v>
      </c>
      <c r="E1509" s="7">
        <v>66</v>
      </c>
      <c r="F1509" s="6" t="s">
        <v>10253</v>
      </c>
      <c r="G1509" s="6" t="s">
        <v>9370</v>
      </c>
      <c r="H1509" s="6" t="s">
        <v>26</v>
      </c>
      <c r="I1509" s="8"/>
      <c r="J1509" s="8">
        <v>2800</v>
      </c>
      <c r="K1509" s="6" t="s">
        <v>2953</v>
      </c>
      <c r="L1509" s="6" t="s">
        <v>10254</v>
      </c>
      <c r="M1509" s="6" t="s">
        <v>4509</v>
      </c>
      <c r="N1509" s="6" t="s">
        <v>4537</v>
      </c>
    </row>
    <row r="1510" s="1" customFormat="1" ht="16.35" customHeight="1" spans="1:14">
      <c r="A1510" s="5"/>
      <c r="B1510" s="6" t="s">
        <v>4506</v>
      </c>
      <c r="C1510" s="6">
        <v>2019</v>
      </c>
      <c r="D1510" s="6">
        <v>6</v>
      </c>
      <c r="E1510" s="7">
        <v>82</v>
      </c>
      <c r="F1510" s="6" t="s">
        <v>10255</v>
      </c>
      <c r="G1510" s="6" t="s">
        <v>9370</v>
      </c>
      <c r="H1510" s="6" t="s">
        <v>26</v>
      </c>
      <c r="I1510" s="8">
        <v>40000</v>
      </c>
      <c r="J1510" s="8"/>
      <c r="K1510" s="6" t="s">
        <v>4512</v>
      </c>
      <c r="L1510" s="6" t="s">
        <v>2906</v>
      </c>
      <c r="M1510" s="6" t="s">
        <v>4516</v>
      </c>
      <c r="N1510" s="6" t="s">
        <v>5082</v>
      </c>
    </row>
    <row r="1511" s="1" customFormat="1" ht="16.35" customHeight="1" spans="1:14">
      <c r="A1511" s="5"/>
      <c r="B1511" s="6" t="s">
        <v>4506</v>
      </c>
      <c r="C1511" s="6">
        <v>2019</v>
      </c>
      <c r="D1511" s="6">
        <v>6</v>
      </c>
      <c r="E1511" s="7">
        <v>84</v>
      </c>
      <c r="F1511" s="6" t="s">
        <v>10143</v>
      </c>
      <c r="G1511" s="6" t="s">
        <v>9370</v>
      </c>
      <c r="H1511" s="6" t="s">
        <v>26</v>
      </c>
      <c r="I1511" s="8"/>
      <c r="J1511" s="8">
        <v>200</v>
      </c>
      <c r="K1511" s="6" t="s">
        <v>2942</v>
      </c>
      <c r="L1511" s="6" t="s">
        <v>9981</v>
      </c>
      <c r="M1511" s="6" t="s">
        <v>4509</v>
      </c>
      <c r="N1511" s="6" t="s">
        <v>4537</v>
      </c>
    </row>
    <row r="1512" s="1" customFormat="1" ht="16.35" customHeight="1" spans="1:14">
      <c r="A1512" s="5"/>
      <c r="B1512" s="6" t="s">
        <v>4506</v>
      </c>
      <c r="C1512" s="6">
        <v>2019</v>
      </c>
      <c r="D1512" s="6">
        <v>6</v>
      </c>
      <c r="E1512" s="7">
        <v>86</v>
      </c>
      <c r="F1512" s="6" t="s">
        <v>10256</v>
      </c>
      <c r="G1512" s="6" t="s">
        <v>9370</v>
      </c>
      <c r="H1512" s="6" t="s">
        <v>26</v>
      </c>
      <c r="I1512" s="8"/>
      <c r="J1512" s="8">
        <v>10000</v>
      </c>
      <c r="K1512" s="6" t="s">
        <v>4512</v>
      </c>
      <c r="L1512" s="6" t="s">
        <v>2906</v>
      </c>
      <c r="M1512" s="6" t="s">
        <v>4509</v>
      </c>
      <c r="N1512" s="6" t="s">
        <v>4537</v>
      </c>
    </row>
    <row r="1513" s="1" customFormat="1" ht="16.35" customHeight="1" spans="1:14">
      <c r="A1513" s="5"/>
      <c r="B1513" s="6" t="s">
        <v>4506</v>
      </c>
      <c r="C1513" s="6">
        <v>2019</v>
      </c>
      <c r="D1513" s="6">
        <v>6</v>
      </c>
      <c r="E1513" s="7">
        <v>88</v>
      </c>
      <c r="F1513" s="6" t="s">
        <v>10257</v>
      </c>
      <c r="G1513" s="6" t="s">
        <v>9370</v>
      </c>
      <c r="H1513" s="6" t="s">
        <v>26</v>
      </c>
      <c r="I1513" s="8"/>
      <c r="J1513" s="8">
        <v>500000</v>
      </c>
      <c r="K1513" s="6" t="s">
        <v>4512</v>
      </c>
      <c r="L1513" s="6" t="s">
        <v>2906</v>
      </c>
      <c r="M1513" s="6" t="s">
        <v>4509</v>
      </c>
      <c r="N1513" s="6" t="s">
        <v>4537</v>
      </c>
    </row>
    <row r="1514" s="1" customFormat="1" ht="16.35" customHeight="1" spans="1:14">
      <c r="A1514" s="5"/>
      <c r="B1514" s="6" t="s">
        <v>4506</v>
      </c>
      <c r="C1514" s="6">
        <v>2019</v>
      </c>
      <c r="D1514" s="6">
        <v>6</v>
      </c>
      <c r="E1514" s="7">
        <v>91</v>
      </c>
      <c r="F1514" s="6" t="s">
        <v>10258</v>
      </c>
      <c r="G1514" s="6" t="s">
        <v>9370</v>
      </c>
      <c r="H1514" s="6" t="s">
        <v>26</v>
      </c>
      <c r="I1514" s="8"/>
      <c r="J1514" s="8">
        <v>830</v>
      </c>
      <c r="K1514" s="6" t="s">
        <v>4512</v>
      </c>
      <c r="L1514" s="6" t="s">
        <v>2906</v>
      </c>
      <c r="M1514" s="6" t="s">
        <v>4509</v>
      </c>
      <c r="N1514" s="6" t="s">
        <v>4537</v>
      </c>
    </row>
    <row r="1515" s="1" customFormat="1" ht="25" customHeight="1" spans="1:14">
      <c r="A1515" s="5"/>
      <c r="B1515" s="6" t="s">
        <v>4506</v>
      </c>
      <c r="C1515" s="6">
        <v>2019</v>
      </c>
      <c r="D1515" s="6">
        <v>7</v>
      </c>
      <c r="E1515" s="7">
        <v>2</v>
      </c>
      <c r="F1515" s="6" t="s">
        <v>5476</v>
      </c>
      <c r="G1515" s="6" t="s">
        <v>9370</v>
      </c>
      <c r="H1515" s="6" t="s">
        <v>26</v>
      </c>
      <c r="I1515" s="8"/>
      <c r="J1515" s="8">
        <v>5000</v>
      </c>
      <c r="K1515" s="6" t="s">
        <v>4534</v>
      </c>
      <c r="L1515" s="6" t="s">
        <v>9998</v>
      </c>
      <c r="M1515" s="6" t="s">
        <v>4516</v>
      </c>
      <c r="N1515" s="6" t="s">
        <v>5082</v>
      </c>
    </row>
    <row r="1516" s="1" customFormat="1" ht="16.35" customHeight="1" spans="1:14">
      <c r="A1516" s="5"/>
      <c r="B1516" s="6" t="s">
        <v>4506</v>
      </c>
      <c r="C1516" s="6">
        <v>2019</v>
      </c>
      <c r="D1516" s="6">
        <v>7</v>
      </c>
      <c r="E1516" s="7">
        <v>30</v>
      </c>
      <c r="F1516" s="6" t="s">
        <v>5150</v>
      </c>
      <c r="G1516" s="6" t="s">
        <v>9370</v>
      </c>
      <c r="H1516" s="6" t="s">
        <v>26</v>
      </c>
      <c r="I1516" s="8">
        <v>55000</v>
      </c>
      <c r="J1516" s="8"/>
      <c r="K1516" s="6" t="s">
        <v>4512</v>
      </c>
      <c r="L1516" s="6" t="s">
        <v>2906</v>
      </c>
      <c r="M1516" s="6" t="s">
        <v>4516</v>
      </c>
      <c r="N1516" s="6" t="s">
        <v>5082</v>
      </c>
    </row>
    <row r="1517" s="1" customFormat="1" ht="16.35" customHeight="1" spans="1:14">
      <c r="A1517" s="5"/>
      <c r="B1517" s="6" t="s">
        <v>4506</v>
      </c>
      <c r="C1517" s="6">
        <v>2019</v>
      </c>
      <c r="D1517" s="6">
        <v>7</v>
      </c>
      <c r="E1517" s="7">
        <v>31</v>
      </c>
      <c r="F1517" s="6" t="s">
        <v>5501</v>
      </c>
      <c r="G1517" s="6" t="s">
        <v>9370</v>
      </c>
      <c r="H1517" s="6" t="s">
        <v>26</v>
      </c>
      <c r="I1517" s="8">
        <v>100000</v>
      </c>
      <c r="J1517" s="8"/>
      <c r="K1517" s="6" t="s">
        <v>4512</v>
      </c>
      <c r="L1517" s="6" t="s">
        <v>2906</v>
      </c>
      <c r="M1517" s="6" t="s">
        <v>4516</v>
      </c>
      <c r="N1517" s="6" t="s">
        <v>5082</v>
      </c>
    </row>
    <row r="1518" s="1" customFormat="1" ht="16.35" customHeight="1" spans="1:14">
      <c r="A1518" s="5"/>
      <c r="B1518" s="6" t="s">
        <v>4506</v>
      </c>
      <c r="C1518" s="6">
        <v>2019</v>
      </c>
      <c r="D1518" s="6">
        <v>7</v>
      </c>
      <c r="E1518" s="7">
        <v>32</v>
      </c>
      <c r="F1518" s="6" t="s">
        <v>5337</v>
      </c>
      <c r="G1518" s="6" t="s">
        <v>9370</v>
      </c>
      <c r="H1518" s="6" t="s">
        <v>26</v>
      </c>
      <c r="I1518" s="8">
        <v>130000</v>
      </c>
      <c r="J1518" s="8"/>
      <c r="K1518" s="6" t="s">
        <v>4512</v>
      </c>
      <c r="L1518" s="6" t="s">
        <v>2906</v>
      </c>
      <c r="M1518" s="6" t="s">
        <v>4516</v>
      </c>
      <c r="N1518" s="6" t="s">
        <v>5082</v>
      </c>
    </row>
    <row r="1519" s="1" customFormat="1" ht="16.35" customHeight="1" spans="1:14">
      <c r="A1519" s="5"/>
      <c r="B1519" s="6" t="s">
        <v>4506</v>
      </c>
      <c r="C1519" s="6">
        <v>2019</v>
      </c>
      <c r="D1519" s="6">
        <v>7</v>
      </c>
      <c r="E1519" s="7">
        <v>33</v>
      </c>
      <c r="F1519" s="6" t="s">
        <v>5409</v>
      </c>
      <c r="G1519" s="6" t="s">
        <v>9370</v>
      </c>
      <c r="H1519" s="6" t="s">
        <v>26</v>
      </c>
      <c r="I1519" s="8">
        <v>160000</v>
      </c>
      <c r="J1519" s="8"/>
      <c r="K1519" s="6" t="s">
        <v>4512</v>
      </c>
      <c r="L1519" s="6" t="s">
        <v>2906</v>
      </c>
      <c r="M1519" s="6" t="s">
        <v>4516</v>
      </c>
      <c r="N1519" s="6" t="s">
        <v>5082</v>
      </c>
    </row>
    <row r="1520" s="1" customFormat="1" ht="16.35" customHeight="1" spans="1:14">
      <c r="A1520" s="5"/>
      <c r="B1520" s="6" t="s">
        <v>4506</v>
      </c>
      <c r="C1520" s="6">
        <v>2019</v>
      </c>
      <c r="D1520" s="6">
        <v>7</v>
      </c>
      <c r="E1520" s="7">
        <v>34</v>
      </c>
      <c r="F1520" s="6" t="s">
        <v>5236</v>
      </c>
      <c r="G1520" s="6" t="s">
        <v>9370</v>
      </c>
      <c r="H1520" s="6" t="s">
        <v>26</v>
      </c>
      <c r="I1520" s="8">
        <v>144000</v>
      </c>
      <c r="J1520" s="8"/>
      <c r="K1520" s="6" t="s">
        <v>4512</v>
      </c>
      <c r="L1520" s="6" t="s">
        <v>2906</v>
      </c>
      <c r="M1520" s="6" t="s">
        <v>4516</v>
      </c>
      <c r="N1520" s="6" t="s">
        <v>5082</v>
      </c>
    </row>
    <row r="1521" s="1" customFormat="1" ht="16.35" customHeight="1" spans="1:14">
      <c r="A1521" s="5"/>
      <c r="B1521" s="6" t="s">
        <v>4506</v>
      </c>
      <c r="C1521" s="6">
        <v>2019</v>
      </c>
      <c r="D1521" s="6">
        <v>7</v>
      </c>
      <c r="E1521" s="7">
        <v>35</v>
      </c>
      <c r="F1521" s="6" t="s">
        <v>5407</v>
      </c>
      <c r="G1521" s="6" t="s">
        <v>9370</v>
      </c>
      <c r="H1521" s="6" t="s">
        <v>26</v>
      </c>
      <c r="I1521" s="8">
        <v>150000</v>
      </c>
      <c r="J1521" s="8"/>
      <c r="K1521" s="6" t="s">
        <v>4512</v>
      </c>
      <c r="L1521" s="6" t="s">
        <v>2906</v>
      </c>
      <c r="M1521" s="6" t="s">
        <v>4516</v>
      </c>
      <c r="N1521" s="6" t="s">
        <v>5082</v>
      </c>
    </row>
    <row r="1522" s="1" customFormat="1" ht="16.35" customHeight="1" spans="1:14">
      <c r="A1522" s="5"/>
      <c r="B1522" s="6" t="s">
        <v>4506</v>
      </c>
      <c r="C1522" s="6">
        <v>2019</v>
      </c>
      <c r="D1522" s="6">
        <v>7</v>
      </c>
      <c r="E1522" s="7">
        <v>36</v>
      </c>
      <c r="F1522" s="6" t="s">
        <v>5125</v>
      </c>
      <c r="G1522" s="6" t="s">
        <v>9370</v>
      </c>
      <c r="H1522" s="6" t="s">
        <v>26</v>
      </c>
      <c r="I1522" s="8">
        <v>143000</v>
      </c>
      <c r="J1522" s="8"/>
      <c r="K1522" s="6" t="s">
        <v>4512</v>
      </c>
      <c r="L1522" s="6" t="s">
        <v>2906</v>
      </c>
      <c r="M1522" s="6" t="s">
        <v>4516</v>
      </c>
      <c r="N1522" s="6" t="s">
        <v>5082</v>
      </c>
    </row>
    <row r="1523" s="1" customFormat="1" ht="16.35" customHeight="1" spans="1:14">
      <c r="A1523" s="5"/>
      <c r="B1523" s="6" t="s">
        <v>4506</v>
      </c>
      <c r="C1523" s="6">
        <v>2019</v>
      </c>
      <c r="D1523" s="6">
        <v>7</v>
      </c>
      <c r="E1523" s="7">
        <v>39</v>
      </c>
      <c r="F1523" s="6" t="s">
        <v>10259</v>
      </c>
      <c r="G1523" s="6" t="s">
        <v>9370</v>
      </c>
      <c r="H1523" s="6" t="s">
        <v>26</v>
      </c>
      <c r="I1523" s="8"/>
      <c r="J1523" s="8">
        <v>169000</v>
      </c>
      <c r="K1523" s="6" t="s">
        <v>4512</v>
      </c>
      <c r="L1523" s="6" t="s">
        <v>2906</v>
      </c>
      <c r="M1523" s="6" t="s">
        <v>4516</v>
      </c>
      <c r="N1523" s="6" t="s">
        <v>5082</v>
      </c>
    </row>
    <row r="1524" s="1" customFormat="1" ht="16.35" customHeight="1" spans="1:14">
      <c r="A1524" s="5"/>
      <c r="B1524" s="6" t="s">
        <v>4506</v>
      </c>
      <c r="C1524" s="6">
        <v>2019</v>
      </c>
      <c r="D1524" s="6">
        <v>7</v>
      </c>
      <c r="E1524" s="7">
        <v>41</v>
      </c>
      <c r="F1524" s="6" t="s">
        <v>10213</v>
      </c>
      <c r="G1524" s="6" t="s">
        <v>9370</v>
      </c>
      <c r="H1524" s="6" t="s">
        <v>26</v>
      </c>
      <c r="I1524" s="8">
        <v>275134</v>
      </c>
      <c r="J1524" s="8"/>
      <c r="K1524" s="6" t="s">
        <v>2947</v>
      </c>
      <c r="L1524" s="6" t="s">
        <v>10214</v>
      </c>
      <c r="M1524" s="6" t="s">
        <v>4516</v>
      </c>
      <c r="N1524" s="6" t="s">
        <v>5082</v>
      </c>
    </row>
    <row r="1525" s="1" customFormat="1" ht="16.35" customHeight="1" spans="1:14">
      <c r="A1525" s="5"/>
      <c r="B1525" s="6" t="s">
        <v>4506</v>
      </c>
      <c r="C1525" s="6">
        <v>2019</v>
      </c>
      <c r="D1525" s="6">
        <v>7</v>
      </c>
      <c r="E1525" s="7">
        <v>42</v>
      </c>
      <c r="F1525" s="6" t="s">
        <v>10260</v>
      </c>
      <c r="G1525" s="6" t="s">
        <v>9370</v>
      </c>
      <c r="H1525" s="6" t="s">
        <v>26</v>
      </c>
      <c r="I1525" s="8">
        <v>5000</v>
      </c>
      <c r="J1525" s="8"/>
      <c r="K1525" s="6" t="s">
        <v>4534</v>
      </c>
      <c r="L1525" s="6" t="s">
        <v>9998</v>
      </c>
      <c r="M1525" s="6" t="s">
        <v>4516</v>
      </c>
      <c r="N1525" s="6" t="s">
        <v>5082</v>
      </c>
    </row>
    <row r="1526" s="1" customFormat="1" ht="16.35" customHeight="1" spans="1:14">
      <c r="A1526" s="5"/>
      <c r="B1526" s="6" t="s">
        <v>4506</v>
      </c>
      <c r="C1526" s="6">
        <v>2019</v>
      </c>
      <c r="D1526" s="6">
        <v>7</v>
      </c>
      <c r="E1526" s="7">
        <v>43</v>
      </c>
      <c r="F1526" s="6" t="s">
        <v>10261</v>
      </c>
      <c r="G1526" s="6" t="s">
        <v>9370</v>
      </c>
      <c r="H1526" s="6" t="s">
        <v>26</v>
      </c>
      <c r="I1526" s="8"/>
      <c r="J1526" s="8">
        <v>1500</v>
      </c>
      <c r="K1526" s="6" t="s">
        <v>2922</v>
      </c>
      <c r="L1526" s="6" t="s">
        <v>9850</v>
      </c>
      <c r="M1526" s="6" t="s">
        <v>4509</v>
      </c>
      <c r="N1526" s="6" t="s">
        <v>4537</v>
      </c>
    </row>
    <row r="1527" s="1" customFormat="1" ht="16.35" customHeight="1" spans="1:14">
      <c r="A1527" s="5"/>
      <c r="B1527" s="6" t="s">
        <v>4506</v>
      </c>
      <c r="C1527" s="6">
        <v>2019</v>
      </c>
      <c r="D1527" s="6">
        <v>7</v>
      </c>
      <c r="E1527" s="7">
        <v>43</v>
      </c>
      <c r="F1527" s="6" t="s">
        <v>10261</v>
      </c>
      <c r="G1527" s="6" t="s">
        <v>9370</v>
      </c>
      <c r="H1527" s="6" t="s">
        <v>26</v>
      </c>
      <c r="I1527" s="8">
        <v>1500</v>
      </c>
      <c r="J1527" s="8"/>
      <c r="K1527" s="6" t="s">
        <v>2922</v>
      </c>
      <c r="L1527" s="6" t="s">
        <v>9850</v>
      </c>
      <c r="M1527" s="6" t="s">
        <v>4509</v>
      </c>
      <c r="N1527" s="6" t="s">
        <v>4537</v>
      </c>
    </row>
    <row r="1528" s="1" customFormat="1" ht="16.35" customHeight="1" spans="1:14">
      <c r="A1528" s="5"/>
      <c r="B1528" s="6" t="s">
        <v>4506</v>
      </c>
      <c r="C1528" s="6">
        <v>2019</v>
      </c>
      <c r="D1528" s="6">
        <v>7</v>
      </c>
      <c r="E1528" s="7">
        <v>46</v>
      </c>
      <c r="F1528" s="6" t="s">
        <v>10262</v>
      </c>
      <c r="G1528" s="6" t="s">
        <v>9370</v>
      </c>
      <c r="H1528" s="6" t="s">
        <v>26</v>
      </c>
      <c r="I1528" s="8">
        <v>25000</v>
      </c>
      <c r="J1528" s="8"/>
      <c r="K1528" s="6" t="s">
        <v>2976</v>
      </c>
      <c r="L1528" s="6" t="s">
        <v>9860</v>
      </c>
      <c r="M1528" s="6" t="s">
        <v>4510</v>
      </c>
      <c r="N1528" s="6" t="s">
        <v>4511</v>
      </c>
    </row>
    <row r="1529" s="1" customFormat="1" ht="16.35" customHeight="1" spans="1:14">
      <c r="A1529" s="5"/>
      <c r="B1529" s="6" t="s">
        <v>4506</v>
      </c>
      <c r="C1529" s="6">
        <v>2019</v>
      </c>
      <c r="D1529" s="6">
        <v>7</v>
      </c>
      <c r="E1529" s="7">
        <v>51</v>
      </c>
      <c r="F1529" s="6" t="s">
        <v>10263</v>
      </c>
      <c r="G1529" s="6" t="s">
        <v>9370</v>
      </c>
      <c r="H1529" s="6" t="s">
        <v>26</v>
      </c>
      <c r="I1529" s="8">
        <v>5000</v>
      </c>
      <c r="J1529" s="8"/>
      <c r="K1529" s="6" t="s">
        <v>4534</v>
      </c>
      <c r="L1529" s="6" t="s">
        <v>9998</v>
      </c>
      <c r="M1529" s="6" t="s">
        <v>4516</v>
      </c>
      <c r="N1529" s="6" t="s">
        <v>5082</v>
      </c>
    </row>
    <row r="1530" s="1" customFormat="1" ht="16.35" customHeight="1" spans="1:14">
      <c r="A1530" s="5"/>
      <c r="B1530" s="6" t="s">
        <v>4506</v>
      </c>
      <c r="C1530" s="6">
        <v>2019</v>
      </c>
      <c r="D1530" s="6">
        <v>7</v>
      </c>
      <c r="E1530" s="7">
        <v>59</v>
      </c>
      <c r="F1530" s="6" t="s">
        <v>10264</v>
      </c>
      <c r="G1530" s="6" t="s">
        <v>9370</v>
      </c>
      <c r="H1530" s="6" t="s">
        <v>26</v>
      </c>
      <c r="I1530" s="8"/>
      <c r="J1530" s="8">
        <v>51000</v>
      </c>
      <c r="K1530" s="6" t="s">
        <v>2922</v>
      </c>
      <c r="L1530" s="6" t="s">
        <v>9850</v>
      </c>
      <c r="M1530" s="6" t="s">
        <v>4516</v>
      </c>
      <c r="N1530" s="6" t="s">
        <v>5082</v>
      </c>
    </row>
    <row r="1531" s="1" customFormat="1" ht="16.35" customHeight="1" spans="1:14">
      <c r="A1531" s="5"/>
      <c r="B1531" s="6" t="s">
        <v>4506</v>
      </c>
      <c r="C1531" s="6">
        <v>2019</v>
      </c>
      <c r="D1531" s="6">
        <v>7</v>
      </c>
      <c r="E1531" s="7">
        <v>59</v>
      </c>
      <c r="F1531" s="6" t="s">
        <v>10264</v>
      </c>
      <c r="G1531" s="6" t="s">
        <v>9370</v>
      </c>
      <c r="H1531" s="6" t="s">
        <v>26</v>
      </c>
      <c r="I1531" s="8">
        <v>51000</v>
      </c>
      <c r="J1531" s="8"/>
      <c r="K1531" s="6" t="s">
        <v>2922</v>
      </c>
      <c r="L1531" s="6" t="s">
        <v>9850</v>
      </c>
      <c r="M1531" s="6" t="s">
        <v>4516</v>
      </c>
      <c r="N1531" s="6" t="s">
        <v>5082</v>
      </c>
    </row>
    <row r="1532" s="1" customFormat="1" ht="16.35" customHeight="1" spans="1:14">
      <c r="A1532" s="5"/>
      <c r="B1532" s="6" t="s">
        <v>4506</v>
      </c>
      <c r="C1532" s="6">
        <v>2019</v>
      </c>
      <c r="D1532" s="6">
        <v>7</v>
      </c>
      <c r="E1532" s="7">
        <v>61</v>
      </c>
      <c r="F1532" s="6" t="s">
        <v>10265</v>
      </c>
      <c r="G1532" s="6" t="s">
        <v>9370</v>
      </c>
      <c r="H1532" s="6" t="s">
        <v>26</v>
      </c>
      <c r="I1532" s="8"/>
      <c r="J1532" s="8">
        <v>1080000</v>
      </c>
      <c r="K1532" s="6" t="s">
        <v>2947</v>
      </c>
      <c r="L1532" s="6" t="s">
        <v>10214</v>
      </c>
      <c r="M1532" s="6" t="s">
        <v>4516</v>
      </c>
      <c r="N1532" s="6" t="s">
        <v>5082</v>
      </c>
    </row>
    <row r="1533" s="1" customFormat="1" ht="16.35" customHeight="1" spans="1:14">
      <c r="A1533" s="5"/>
      <c r="B1533" s="6" t="s">
        <v>4506</v>
      </c>
      <c r="C1533" s="6">
        <v>2019</v>
      </c>
      <c r="D1533" s="6">
        <v>7</v>
      </c>
      <c r="E1533" s="7">
        <v>62</v>
      </c>
      <c r="F1533" s="6" t="s">
        <v>10266</v>
      </c>
      <c r="G1533" s="6" t="s">
        <v>9370</v>
      </c>
      <c r="H1533" s="6" t="s">
        <v>26</v>
      </c>
      <c r="I1533" s="8">
        <v>5500</v>
      </c>
      <c r="J1533" s="8"/>
      <c r="K1533" s="6" t="s">
        <v>2976</v>
      </c>
      <c r="L1533" s="6" t="s">
        <v>9860</v>
      </c>
      <c r="M1533" s="6" t="s">
        <v>4510</v>
      </c>
      <c r="N1533" s="6" t="s">
        <v>4511</v>
      </c>
    </row>
    <row r="1534" s="1" customFormat="1" ht="16.35" customHeight="1" spans="1:14">
      <c r="A1534" s="5"/>
      <c r="B1534" s="6" t="s">
        <v>4506</v>
      </c>
      <c r="C1534" s="6">
        <v>2019</v>
      </c>
      <c r="D1534" s="6">
        <v>7</v>
      </c>
      <c r="E1534" s="7">
        <v>64</v>
      </c>
      <c r="F1534" s="6" t="s">
        <v>10267</v>
      </c>
      <c r="G1534" s="6" t="s">
        <v>9370</v>
      </c>
      <c r="H1534" s="6" t="s">
        <v>26</v>
      </c>
      <c r="I1534" s="8">
        <v>460</v>
      </c>
      <c r="J1534" s="8"/>
      <c r="K1534" s="6" t="s">
        <v>2976</v>
      </c>
      <c r="L1534" s="6" t="s">
        <v>9860</v>
      </c>
      <c r="M1534" s="6" t="s">
        <v>4510</v>
      </c>
      <c r="N1534" s="6" t="s">
        <v>4511</v>
      </c>
    </row>
    <row r="1535" s="1" customFormat="1" ht="16.35" customHeight="1" spans="1:14">
      <c r="A1535" s="5"/>
      <c r="B1535" s="6" t="s">
        <v>4506</v>
      </c>
      <c r="C1535" s="6">
        <v>2019</v>
      </c>
      <c r="D1535" s="6">
        <v>7</v>
      </c>
      <c r="E1535" s="7">
        <v>65</v>
      </c>
      <c r="F1535" s="6" t="s">
        <v>10268</v>
      </c>
      <c r="G1535" s="6" t="s">
        <v>9370</v>
      </c>
      <c r="H1535" s="6" t="s">
        <v>26</v>
      </c>
      <c r="I1535" s="8">
        <v>967714.92</v>
      </c>
      <c r="J1535" s="8"/>
      <c r="K1535" s="6" t="s">
        <v>2976</v>
      </c>
      <c r="L1535" s="6" t="s">
        <v>9860</v>
      </c>
      <c r="M1535" s="6" t="s">
        <v>4509</v>
      </c>
      <c r="N1535" s="6" t="s">
        <v>4537</v>
      </c>
    </row>
    <row r="1536" s="1" customFormat="1" ht="16.35" customHeight="1" spans="1:14">
      <c r="A1536" s="5"/>
      <c r="B1536" s="6" t="s">
        <v>4506</v>
      </c>
      <c r="C1536" s="6">
        <v>2019</v>
      </c>
      <c r="D1536" s="6">
        <v>7</v>
      </c>
      <c r="E1536" s="7">
        <v>71</v>
      </c>
      <c r="F1536" s="6" t="s">
        <v>10269</v>
      </c>
      <c r="G1536" s="6" t="s">
        <v>9370</v>
      </c>
      <c r="H1536" s="6" t="s">
        <v>26</v>
      </c>
      <c r="I1536" s="8"/>
      <c r="J1536" s="8">
        <v>140000</v>
      </c>
      <c r="K1536" s="6" t="s">
        <v>4512</v>
      </c>
      <c r="L1536" s="6" t="s">
        <v>2906</v>
      </c>
      <c r="M1536" s="6" t="s">
        <v>4516</v>
      </c>
      <c r="N1536" s="6" t="s">
        <v>5082</v>
      </c>
    </row>
    <row r="1537" s="1" customFormat="1" ht="16.35" customHeight="1" spans="1:14">
      <c r="A1537" s="5"/>
      <c r="B1537" s="6" t="s">
        <v>4506</v>
      </c>
      <c r="C1537" s="6">
        <v>2019</v>
      </c>
      <c r="D1537" s="6">
        <v>8</v>
      </c>
      <c r="E1537" s="7">
        <v>18</v>
      </c>
      <c r="F1537" s="6" t="s">
        <v>10270</v>
      </c>
      <c r="G1537" s="6" t="s">
        <v>9370</v>
      </c>
      <c r="H1537" s="6" t="s">
        <v>26</v>
      </c>
      <c r="I1537" s="8">
        <v>3500</v>
      </c>
      <c r="J1537" s="8"/>
      <c r="K1537" s="6" t="s">
        <v>4532</v>
      </c>
      <c r="L1537" s="6" t="s">
        <v>9985</v>
      </c>
      <c r="M1537" s="6" t="s">
        <v>4509</v>
      </c>
      <c r="N1537" s="6" t="s">
        <v>4537</v>
      </c>
    </row>
    <row r="1538" s="1" customFormat="1" ht="16.35" customHeight="1" spans="1:14">
      <c r="A1538" s="5"/>
      <c r="B1538" s="6" t="s">
        <v>4506</v>
      </c>
      <c r="C1538" s="6">
        <v>2019</v>
      </c>
      <c r="D1538" s="6">
        <v>8</v>
      </c>
      <c r="E1538" s="7">
        <v>21</v>
      </c>
      <c r="F1538" s="6" t="s">
        <v>10271</v>
      </c>
      <c r="G1538" s="6" t="s">
        <v>9370</v>
      </c>
      <c r="H1538" s="6" t="s">
        <v>26</v>
      </c>
      <c r="I1538" s="8">
        <v>1000</v>
      </c>
      <c r="J1538" s="8"/>
      <c r="K1538" s="6" t="s">
        <v>2976</v>
      </c>
      <c r="L1538" s="6" t="s">
        <v>9860</v>
      </c>
      <c r="M1538" s="6" t="s">
        <v>4509</v>
      </c>
      <c r="N1538" s="6" t="s">
        <v>4537</v>
      </c>
    </row>
    <row r="1539" s="1" customFormat="1" ht="16.35" customHeight="1" spans="1:14">
      <c r="A1539" s="5"/>
      <c r="B1539" s="6" t="s">
        <v>4506</v>
      </c>
      <c r="C1539" s="6">
        <v>2019</v>
      </c>
      <c r="D1539" s="6">
        <v>8</v>
      </c>
      <c r="E1539" s="7">
        <v>22</v>
      </c>
      <c r="F1539" s="6" t="s">
        <v>10272</v>
      </c>
      <c r="G1539" s="6" t="s">
        <v>9370</v>
      </c>
      <c r="H1539" s="6" t="s">
        <v>26</v>
      </c>
      <c r="I1539" s="8">
        <v>540</v>
      </c>
      <c r="J1539" s="8"/>
      <c r="K1539" s="6" t="s">
        <v>2976</v>
      </c>
      <c r="L1539" s="6" t="s">
        <v>9860</v>
      </c>
      <c r="M1539" s="6" t="s">
        <v>4510</v>
      </c>
      <c r="N1539" s="6" t="s">
        <v>4511</v>
      </c>
    </row>
    <row r="1540" s="1" customFormat="1" ht="16.35" customHeight="1" spans="1:14">
      <c r="A1540" s="5"/>
      <c r="B1540" s="6" t="s">
        <v>4506</v>
      </c>
      <c r="C1540" s="6">
        <v>2019</v>
      </c>
      <c r="D1540" s="6">
        <v>8</v>
      </c>
      <c r="E1540" s="7">
        <v>34</v>
      </c>
      <c r="F1540" s="6" t="s">
        <v>10273</v>
      </c>
      <c r="G1540" s="6" t="s">
        <v>9370</v>
      </c>
      <c r="H1540" s="6" t="s">
        <v>26</v>
      </c>
      <c r="I1540" s="8">
        <v>80</v>
      </c>
      <c r="J1540" s="8"/>
      <c r="K1540" s="6" t="s">
        <v>2976</v>
      </c>
      <c r="L1540" s="6" t="s">
        <v>9860</v>
      </c>
      <c r="M1540" s="6" t="s">
        <v>4510</v>
      </c>
      <c r="N1540" s="6" t="s">
        <v>4511</v>
      </c>
    </row>
    <row r="1541" s="1" customFormat="1" ht="16.35" customHeight="1" spans="1:14">
      <c r="A1541" s="5"/>
      <c r="B1541" s="6" t="s">
        <v>4506</v>
      </c>
      <c r="C1541" s="6">
        <v>2019</v>
      </c>
      <c r="D1541" s="6">
        <v>8</v>
      </c>
      <c r="E1541" s="7">
        <v>35</v>
      </c>
      <c r="F1541" s="6" t="s">
        <v>10274</v>
      </c>
      <c r="G1541" s="6" t="s">
        <v>9370</v>
      </c>
      <c r="H1541" s="6" t="s">
        <v>26</v>
      </c>
      <c r="I1541" s="8"/>
      <c r="J1541" s="8">
        <v>3500</v>
      </c>
      <c r="K1541" s="6" t="s">
        <v>2951</v>
      </c>
      <c r="L1541" s="6" t="s">
        <v>10275</v>
      </c>
      <c r="M1541" s="6" t="s">
        <v>4516</v>
      </c>
      <c r="N1541" s="6" t="s">
        <v>5082</v>
      </c>
    </row>
    <row r="1542" s="1" customFormat="1" ht="16.35" customHeight="1" spans="1:14">
      <c r="A1542" s="5"/>
      <c r="B1542" s="6" t="s">
        <v>4506</v>
      </c>
      <c r="C1542" s="6">
        <v>2019</v>
      </c>
      <c r="D1542" s="6">
        <v>8</v>
      </c>
      <c r="E1542" s="7">
        <v>35</v>
      </c>
      <c r="F1542" s="6" t="s">
        <v>10274</v>
      </c>
      <c r="G1542" s="6" t="s">
        <v>9370</v>
      </c>
      <c r="H1542" s="6" t="s">
        <v>26</v>
      </c>
      <c r="I1542" s="8">
        <v>2000</v>
      </c>
      <c r="J1542" s="8"/>
      <c r="K1542" s="6" t="s">
        <v>2951</v>
      </c>
      <c r="L1542" s="6" t="s">
        <v>10275</v>
      </c>
      <c r="M1542" s="6" t="s">
        <v>4516</v>
      </c>
      <c r="N1542" s="6" t="s">
        <v>5082</v>
      </c>
    </row>
    <row r="1543" s="1" customFormat="1" ht="16.35" customHeight="1" spans="1:14">
      <c r="A1543" s="5"/>
      <c r="B1543" s="6" t="s">
        <v>4506</v>
      </c>
      <c r="C1543" s="6">
        <v>2019</v>
      </c>
      <c r="D1543" s="6">
        <v>8</v>
      </c>
      <c r="E1543" s="7">
        <v>38</v>
      </c>
      <c r="F1543" s="6" t="s">
        <v>10276</v>
      </c>
      <c r="G1543" s="6" t="s">
        <v>9370</v>
      </c>
      <c r="H1543" s="6" t="s">
        <v>26</v>
      </c>
      <c r="I1543" s="8"/>
      <c r="J1543" s="8">
        <v>380</v>
      </c>
      <c r="K1543" s="6" t="s">
        <v>2952</v>
      </c>
      <c r="L1543" s="6" t="s">
        <v>2717</v>
      </c>
      <c r="M1543" s="6" t="s">
        <v>4509</v>
      </c>
      <c r="N1543" s="6" t="s">
        <v>4537</v>
      </c>
    </row>
    <row r="1544" s="1" customFormat="1" ht="16.35" customHeight="1" spans="1:14">
      <c r="A1544" s="5"/>
      <c r="B1544" s="6" t="s">
        <v>4506</v>
      </c>
      <c r="C1544" s="6">
        <v>2019</v>
      </c>
      <c r="D1544" s="6">
        <v>8</v>
      </c>
      <c r="E1544" s="7">
        <v>38</v>
      </c>
      <c r="F1544" s="6" t="s">
        <v>10276</v>
      </c>
      <c r="G1544" s="6" t="s">
        <v>9370</v>
      </c>
      <c r="H1544" s="6" t="s">
        <v>26</v>
      </c>
      <c r="I1544" s="8">
        <v>100</v>
      </c>
      <c r="J1544" s="8"/>
      <c r="K1544" s="6" t="s">
        <v>2952</v>
      </c>
      <c r="L1544" s="6" t="s">
        <v>2717</v>
      </c>
      <c r="M1544" s="6" t="s">
        <v>4509</v>
      </c>
      <c r="N1544" s="6" t="s">
        <v>4537</v>
      </c>
    </row>
    <row r="1545" s="1" customFormat="1" ht="16.35" customHeight="1" spans="1:14">
      <c r="A1545" s="5"/>
      <c r="B1545" s="6" t="s">
        <v>4506</v>
      </c>
      <c r="C1545" s="6">
        <v>2019</v>
      </c>
      <c r="D1545" s="6">
        <v>8</v>
      </c>
      <c r="E1545" s="7">
        <v>51</v>
      </c>
      <c r="F1545" s="6" t="s">
        <v>5519</v>
      </c>
      <c r="G1545" s="6" t="s">
        <v>9370</v>
      </c>
      <c r="H1545" s="6" t="s">
        <v>26</v>
      </c>
      <c r="I1545" s="8">
        <v>67500</v>
      </c>
      <c r="J1545" s="8"/>
      <c r="K1545" s="6" t="s">
        <v>4512</v>
      </c>
      <c r="L1545" s="6" t="s">
        <v>2906</v>
      </c>
      <c r="M1545" s="6" t="s">
        <v>4516</v>
      </c>
      <c r="N1545" s="6" t="s">
        <v>5082</v>
      </c>
    </row>
    <row r="1546" s="1" customFormat="1" ht="16.35" customHeight="1" spans="1:14">
      <c r="A1546" s="5"/>
      <c r="B1546" s="6" t="s">
        <v>4506</v>
      </c>
      <c r="C1546" s="6">
        <v>2019</v>
      </c>
      <c r="D1546" s="6">
        <v>8</v>
      </c>
      <c r="E1546" s="7">
        <v>52</v>
      </c>
      <c r="F1546" s="6" t="s">
        <v>5520</v>
      </c>
      <c r="G1546" s="6" t="s">
        <v>9370</v>
      </c>
      <c r="H1546" s="6" t="s">
        <v>26</v>
      </c>
      <c r="I1546" s="8">
        <v>85000</v>
      </c>
      <c r="J1546" s="8"/>
      <c r="K1546" s="6" t="s">
        <v>4512</v>
      </c>
      <c r="L1546" s="6" t="s">
        <v>2906</v>
      </c>
      <c r="M1546" s="6" t="s">
        <v>4516</v>
      </c>
      <c r="N1546" s="6" t="s">
        <v>5082</v>
      </c>
    </row>
    <row r="1547" s="1" customFormat="1" ht="16.35" customHeight="1" spans="1:14">
      <c r="A1547" s="5"/>
      <c r="B1547" s="6" t="s">
        <v>4506</v>
      </c>
      <c r="C1547" s="6">
        <v>2019</v>
      </c>
      <c r="D1547" s="6">
        <v>8</v>
      </c>
      <c r="E1547" s="7">
        <v>53</v>
      </c>
      <c r="F1547" s="6" t="s">
        <v>5521</v>
      </c>
      <c r="G1547" s="6" t="s">
        <v>9370</v>
      </c>
      <c r="H1547" s="6" t="s">
        <v>26</v>
      </c>
      <c r="I1547" s="8">
        <v>100000</v>
      </c>
      <c r="J1547" s="8"/>
      <c r="K1547" s="6" t="s">
        <v>4512</v>
      </c>
      <c r="L1547" s="6" t="s">
        <v>2906</v>
      </c>
      <c r="M1547" s="6" t="s">
        <v>4516</v>
      </c>
      <c r="N1547" s="6" t="s">
        <v>5082</v>
      </c>
    </row>
    <row r="1548" s="1" customFormat="1" ht="16.35" customHeight="1" spans="1:14">
      <c r="A1548" s="5"/>
      <c r="B1548" s="6" t="s">
        <v>4506</v>
      </c>
      <c r="C1548" s="6">
        <v>2019</v>
      </c>
      <c r="D1548" s="6">
        <v>8</v>
      </c>
      <c r="E1548" s="7">
        <v>54</v>
      </c>
      <c r="F1548" s="6" t="s">
        <v>5522</v>
      </c>
      <c r="G1548" s="6" t="s">
        <v>9370</v>
      </c>
      <c r="H1548" s="6" t="s">
        <v>26</v>
      </c>
      <c r="I1548" s="8">
        <v>150000</v>
      </c>
      <c r="J1548" s="8"/>
      <c r="K1548" s="6" t="s">
        <v>4512</v>
      </c>
      <c r="L1548" s="6" t="s">
        <v>2906</v>
      </c>
      <c r="M1548" s="6" t="s">
        <v>4516</v>
      </c>
      <c r="N1548" s="6" t="s">
        <v>5082</v>
      </c>
    </row>
    <row r="1549" s="1" customFormat="1" ht="16.35" customHeight="1" spans="1:14">
      <c r="A1549" s="5"/>
      <c r="B1549" s="6" t="s">
        <v>4506</v>
      </c>
      <c r="C1549" s="6">
        <v>2019</v>
      </c>
      <c r="D1549" s="6">
        <v>8</v>
      </c>
      <c r="E1549" s="7">
        <v>55</v>
      </c>
      <c r="F1549" s="6" t="s">
        <v>5523</v>
      </c>
      <c r="G1549" s="6" t="s">
        <v>9370</v>
      </c>
      <c r="H1549" s="6" t="s">
        <v>26</v>
      </c>
      <c r="I1549" s="8">
        <v>130000</v>
      </c>
      <c r="J1549" s="8"/>
      <c r="K1549" s="6" t="s">
        <v>4512</v>
      </c>
      <c r="L1549" s="6" t="s">
        <v>2906</v>
      </c>
      <c r="M1549" s="6" t="s">
        <v>4516</v>
      </c>
      <c r="N1549" s="6" t="s">
        <v>5082</v>
      </c>
    </row>
    <row r="1550" s="1" customFormat="1" ht="16.35" customHeight="1" spans="1:14">
      <c r="A1550" s="5"/>
      <c r="B1550" s="6" t="s">
        <v>4506</v>
      </c>
      <c r="C1550" s="6">
        <v>2019</v>
      </c>
      <c r="D1550" s="6">
        <v>8</v>
      </c>
      <c r="E1550" s="7">
        <v>56</v>
      </c>
      <c r="F1550" s="6" t="s">
        <v>10277</v>
      </c>
      <c r="G1550" s="6" t="s">
        <v>9370</v>
      </c>
      <c r="H1550" s="6" t="s">
        <v>26</v>
      </c>
      <c r="I1550" s="8"/>
      <c r="J1550" s="8">
        <v>82740</v>
      </c>
      <c r="K1550" s="6" t="s">
        <v>4512</v>
      </c>
      <c r="L1550" s="6" t="s">
        <v>2906</v>
      </c>
      <c r="M1550" s="6" t="s">
        <v>4516</v>
      </c>
      <c r="N1550" s="6" t="s">
        <v>5082</v>
      </c>
    </row>
    <row r="1551" s="1" customFormat="1" ht="16.35" customHeight="1" spans="1:14">
      <c r="A1551" s="5"/>
      <c r="B1551" s="6" t="s">
        <v>4506</v>
      </c>
      <c r="C1551" s="6">
        <v>2019</v>
      </c>
      <c r="D1551" s="6">
        <v>8</v>
      </c>
      <c r="E1551" s="7">
        <v>57</v>
      </c>
      <c r="F1551" s="6" t="s">
        <v>10278</v>
      </c>
      <c r="G1551" s="6" t="s">
        <v>9370</v>
      </c>
      <c r="H1551" s="6" t="s">
        <v>26</v>
      </c>
      <c r="I1551" s="8"/>
      <c r="J1551" s="8">
        <v>72740</v>
      </c>
      <c r="K1551" s="6" t="s">
        <v>4512</v>
      </c>
      <c r="L1551" s="6" t="s">
        <v>2906</v>
      </c>
      <c r="M1551" s="6" t="s">
        <v>4516</v>
      </c>
      <c r="N1551" s="6" t="s">
        <v>5082</v>
      </c>
    </row>
    <row r="1552" s="1" customFormat="1" ht="16.35" customHeight="1" spans="1:14">
      <c r="A1552" s="5"/>
      <c r="B1552" s="6" t="s">
        <v>4506</v>
      </c>
      <c r="C1552" s="6">
        <v>2019</v>
      </c>
      <c r="D1552" s="6">
        <v>8</v>
      </c>
      <c r="E1552" s="7">
        <v>58</v>
      </c>
      <c r="F1552" s="6" t="s">
        <v>5524</v>
      </c>
      <c r="G1552" s="6" t="s">
        <v>9370</v>
      </c>
      <c r="H1552" s="6" t="s">
        <v>26</v>
      </c>
      <c r="I1552" s="8">
        <v>100000</v>
      </c>
      <c r="J1552" s="8"/>
      <c r="K1552" s="6" t="s">
        <v>4512</v>
      </c>
      <c r="L1552" s="6" t="s">
        <v>2906</v>
      </c>
      <c r="M1552" s="6" t="s">
        <v>4516</v>
      </c>
      <c r="N1552" s="6" t="s">
        <v>5082</v>
      </c>
    </row>
    <row r="1553" s="1" customFormat="1" ht="16.35" customHeight="1" spans="1:14">
      <c r="A1553" s="5"/>
      <c r="B1553" s="6" t="s">
        <v>4506</v>
      </c>
      <c r="C1553" s="6">
        <v>2019</v>
      </c>
      <c r="D1553" s="6">
        <v>8</v>
      </c>
      <c r="E1553" s="7">
        <v>59</v>
      </c>
      <c r="F1553" s="6" t="s">
        <v>5525</v>
      </c>
      <c r="G1553" s="6" t="s">
        <v>9370</v>
      </c>
      <c r="H1553" s="6" t="s">
        <v>26</v>
      </c>
      <c r="I1553" s="8">
        <v>162000</v>
      </c>
      <c r="J1553" s="8"/>
      <c r="K1553" s="6" t="s">
        <v>4512</v>
      </c>
      <c r="L1553" s="6" t="s">
        <v>2906</v>
      </c>
      <c r="M1553" s="6" t="s">
        <v>4516</v>
      </c>
      <c r="N1553" s="6" t="s">
        <v>5082</v>
      </c>
    </row>
    <row r="1554" s="1" customFormat="1" ht="16.35" customHeight="1" spans="1:14">
      <c r="A1554" s="5"/>
      <c r="B1554" s="6" t="s">
        <v>4506</v>
      </c>
      <c r="C1554" s="6">
        <v>2019</v>
      </c>
      <c r="D1554" s="6">
        <v>8</v>
      </c>
      <c r="E1554" s="7">
        <v>60</v>
      </c>
      <c r="F1554" s="6" t="s">
        <v>5526</v>
      </c>
      <c r="G1554" s="6" t="s">
        <v>9370</v>
      </c>
      <c r="H1554" s="6" t="s">
        <v>26</v>
      </c>
      <c r="I1554" s="8">
        <v>140000</v>
      </c>
      <c r="J1554" s="8"/>
      <c r="K1554" s="6" t="s">
        <v>4512</v>
      </c>
      <c r="L1554" s="6" t="s">
        <v>2906</v>
      </c>
      <c r="M1554" s="6" t="s">
        <v>4516</v>
      </c>
      <c r="N1554" s="6" t="s">
        <v>5082</v>
      </c>
    </row>
    <row r="1555" s="1" customFormat="1" ht="16.35" customHeight="1" spans="1:14">
      <c r="A1555" s="5"/>
      <c r="B1555" s="6" t="s">
        <v>4506</v>
      </c>
      <c r="C1555" s="6">
        <v>2019</v>
      </c>
      <c r="D1555" s="6">
        <v>8</v>
      </c>
      <c r="E1555" s="7">
        <v>61</v>
      </c>
      <c r="F1555" s="6" t="s">
        <v>5527</v>
      </c>
      <c r="G1555" s="6" t="s">
        <v>9370</v>
      </c>
      <c r="H1555" s="6" t="s">
        <v>26</v>
      </c>
      <c r="I1555" s="8">
        <v>150000</v>
      </c>
      <c r="J1555" s="8"/>
      <c r="K1555" s="6" t="s">
        <v>4512</v>
      </c>
      <c r="L1555" s="6" t="s">
        <v>2906</v>
      </c>
      <c r="M1555" s="6" t="s">
        <v>4516</v>
      </c>
      <c r="N1555" s="6" t="s">
        <v>5082</v>
      </c>
    </row>
    <row r="1556" s="1" customFormat="1" ht="16.35" customHeight="1" spans="1:14">
      <c r="A1556" s="5"/>
      <c r="B1556" s="6" t="s">
        <v>4506</v>
      </c>
      <c r="C1556" s="6">
        <v>2019</v>
      </c>
      <c r="D1556" s="6">
        <v>8</v>
      </c>
      <c r="E1556" s="7">
        <v>62</v>
      </c>
      <c r="F1556" s="6" t="s">
        <v>10279</v>
      </c>
      <c r="G1556" s="6" t="s">
        <v>9370</v>
      </c>
      <c r="H1556" s="6" t="s">
        <v>26</v>
      </c>
      <c r="I1556" s="8"/>
      <c r="J1556" s="8">
        <v>20000</v>
      </c>
      <c r="K1556" s="6" t="s">
        <v>4512</v>
      </c>
      <c r="L1556" s="6" t="s">
        <v>2906</v>
      </c>
      <c r="M1556" s="6" t="s">
        <v>4516</v>
      </c>
      <c r="N1556" s="6" t="s">
        <v>5082</v>
      </c>
    </row>
    <row r="1557" s="1" customFormat="1" ht="16.35" customHeight="1" spans="1:14">
      <c r="A1557" s="5"/>
      <c r="B1557" s="6" t="s">
        <v>4506</v>
      </c>
      <c r="C1557" s="6">
        <v>2019</v>
      </c>
      <c r="D1557" s="6">
        <v>8</v>
      </c>
      <c r="E1557" s="7">
        <v>63</v>
      </c>
      <c r="F1557" s="6" t="s">
        <v>10280</v>
      </c>
      <c r="G1557" s="6" t="s">
        <v>9370</v>
      </c>
      <c r="H1557" s="6" t="s">
        <v>26</v>
      </c>
      <c r="I1557" s="8"/>
      <c r="J1557" s="8">
        <v>15000</v>
      </c>
      <c r="K1557" s="6" t="s">
        <v>4512</v>
      </c>
      <c r="L1557" s="6" t="s">
        <v>2906</v>
      </c>
      <c r="M1557" s="6" t="s">
        <v>4516</v>
      </c>
      <c r="N1557" s="6" t="s">
        <v>5082</v>
      </c>
    </row>
    <row r="1558" s="1" customFormat="1" ht="16.35" customHeight="1" spans="1:14">
      <c r="A1558" s="5"/>
      <c r="B1558" s="6" t="s">
        <v>4506</v>
      </c>
      <c r="C1558" s="6">
        <v>2019</v>
      </c>
      <c r="D1558" s="6">
        <v>8</v>
      </c>
      <c r="E1558" s="7">
        <v>64</v>
      </c>
      <c r="F1558" s="6" t="s">
        <v>10281</v>
      </c>
      <c r="G1558" s="6" t="s">
        <v>9370</v>
      </c>
      <c r="H1558" s="6" t="s">
        <v>26</v>
      </c>
      <c r="I1558" s="8"/>
      <c r="J1558" s="8">
        <v>19000</v>
      </c>
      <c r="K1558" s="6" t="s">
        <v>4512</v>
      </c>
      <c r="L1558" s="6" t="s">
        <v>2906</v>
      </c>
      <c r="M1558" s="6" t="s">
        <v>4516</v>
      </c>
      <c r="N1558" s="6" t="s">
        <v>5082</v>
      </c>
    </row>
    <row r="1559" s="1" customFormat="1" ht="16.35" customHeight="1" spans="1:14">
      <c r="A1559" s="5"/>
      <c r="B1559" s="6" t="s">
        <v>4506</v>
      </c>
      <c r="C1559" s="6">
        <v>2019</v>
      </c>
      <c r="D1559" s="6">
        <v>9</v>
      </c>
      <c r="E1559" s="7">
        <v>29</v>
      </c>
      <c r="F1559" s="6" t="s">
        <v>5544</v>
      </c>
      <c r="G1559" s="6" t="s">
        <v>9370</v>
      </c>
      <c r="H1559" s="6" t="s">
        <v>26</v>
      </c>
      <c r="I1559" s="8">
        <v>130000</v>
      </c>
      <c r="J1559" s="8"/>
      <c r="K1559" s="6" t="s">
        <v>4512</v>
      </c>
      <c r="L1559" s="6" t="s">
        <v>2906</v>
      </c>
      <c r="M1559" s="6" t="s">
        <v>4516</v>
      </c>
      <c r="N1559" s="6" t="s">
        <v>5082</v>
      </c>
    </row>
    <row r="1560" s="1" customFormat="1" ht="16.35" customHeight="1" spans="1:14">
      <c r="A1560" s="5"/>
      <c r="B1560" s="6" t="s">
        <v>4506</v>
      </c>
      <c r="C1560" s="6">
        <v>2019</v>
      </c>
      <c r="D1560" s="6">
        <v>9</v>
      </c>
      <c r="E1560" s="7">
        <v>30</v>
      </c>
      <c r="F1560" s="6" t="s">
        <v>5545</v>
      </c>
      <c r="G1560" s="6" t="s">
        <v>9370</v>
      </c>
      <c r="H1560" s="6" t="s">
        <v>26</v>
      </c>
      <c r="I1560" s="8">
        <v>135000</v>
      </c>
      <c r="J1560" s="8"/>
      <c r="K1560" s="6" t="s">
        <v>4512</v>
      </c>
      <c r="L1560" s="6" t="s">
        <v>2906</v>
      </c>
      <c r="M1560" s="6" t="s">
        <v>4516</v>
      </c>
      <c r="N1560" s="6" t="s">
        <v>5082</v>
      </c>
    </row>
    <row r="1561" s="1" customFormat="1" ht="16.35" customHeight="1" spans="1:14">
      <c r="A1561" s="5"/>
      <c r="B1561" s="6" t="s">
        <v>4506</v>
      </c>
      <c r="C1561" s="6">
        <v>2019</v>
      </c>
      <c r="D1561" s="6">
        <v>9</v>
      </c>
      <c r="E1561" s="7">
        <v>31</v>
      </c>
      <c r="F1561" s="6" t="s">
        <v>5546</v>
      </c>
      <c r="G1561" s="6" t="s">
        <v>9370</v>
      </c>
      <c r="H1561" s="6" t="s">
        <v>26</v>
      </c>
      <c r="I1561" s="8">
        <v>170000</v>
      </c>
      <c r="J1561" s="8"/>
      <c r="K1561" s="6" t="s">
        <v>4512</v>
      </c>
      <c r="L1561" s="6" t="s">
        <v>2906</v>
      </c>
      <c r="M1561" s="6" t="s">
        <v>4516</v>
      </c>
      <c r="N1561" s="6" t="s">
        <v>5082</v>
      </c>
    </row>
    <row r="1562" s="1" customFormat="1" ht="16.35" customHeight="1" spans="1:14">
      <c r="A1562" s="5"/>
      <c r="B1562" s="6" t="s">
        <v>4506</v>
      </c>
      <c r="C1562" s="6">
        <v>2019</v>
      </c>
      <c r="D1562" s="6">
        <v>9</v>
      </c>
      <c r="E1562" s="7">
        <v>32</v>
      </c>
      <c r="F1562" s="6" t="s">
        <v>5547</v>
      </c>
      <c r="G1562" s="6" t="s">
        <v>9370</v>
      </c>
      <c r="H1562" s="6" t="s">
        <v>26</v>
      </c>
      <c r="I1562" s="8">
        <v>113000</v>
      </c>
      <c r="J1562" s="8"/>
      <c r="K1562" s="6" t="s">
        <v>4512</v>
      </c>
      <c r="L1562" s="6" t="s">
        <v>2906</v>
      </c>
      <c r="M1562" s="6" t="s">
        <v>4516</v>
      </c>
      <c r="N1562" s="6" t="s">
        <v>5082</v>
      </c>
    </row>
    <row r="1563" s="1" customFormat="1" ht="16.35" customHeight="1" spans="1:14">
      <c r="A1563" s="5"/>
      <c r="B1563" s="6" t="s">
        <v>4506</v>
      </c>
      <c r="C1563" s="6">
        <v>2019</v>
      </c>
      <c r="D1563" s="6">
        <v>9</v>
      </c>
      <c r="E1563" s="7">
        <v>33</v>
      </c>
      <c r="F1563" s="6" t="s">
        <v>5548</v>
      </c>
      <c r="G1563" s="6" t="s">
        <v>9370</v>
      </c>
      <c r="H1563" s="6" t="s">
        <v>26</v>
      </c>
      <c r="I1563" s="8">
        <v>168000</v>
      </c>
      <c r="J1563" s="8"/>
      <c r="K1563" s="6" t="s">
        <v>4512</v>
      </c>
      <c r="L1563" s="6" t="s">
        <v>2906</v>
      </c>
      <c r="M1563" s="6" t="s">
        <v>4516</v>
      </c>
      <c r="N1563" s="6" t="s">
        <v>5082</v>
      </c>
    </row>
    <row r="1564" s="1" customFormat="1" ht="16.35" customHeight="1" spans="1:14">
      <c r="A1564" s="5"/>
      <c r="B1564" s="6" t="s">
        <v>4506</v>
      </c>
      <c r="C1564" s="6">
        <v>2019</v>
      </c>
      <c r="D1564" s="6">
        <v>9</v>
      </c>
      <c r="E1564" s="7">
        <v>34</v>
      </c>
      <c r="F1564" s="6" t="s">
        <v>5549</v>
      </c>
      <c r="G1564" s="6" t="s">
        <v>9370</v>
      </c>
      <c r="H1564" s="6" t="s">
        <v>26</v>
      </c>
      <c r="I1564" s="8">
        <v>150000</v>
      </c>
      <c r="J1564" s="8"/>
      <c r="K1564" s="6" t="s">
        <v>4512</v>
      </c>
      <c r="L1564" s="6" t="s">
        <v>2906</v>
      </c>
      <c r="M1564" s="6" t="s">
        <v>4516</v>
      </c>
      <c r="N1564" s="6" t="s">
        <v>5082</v>
      </c>
    </row>
    <row r="1565" s="1" customFormat="1" ht="16.35" customHeight="1" spans="1:14">
      <c r="A1565" s="5"/>
      <c r="B1565" s="6" t="s">
        <v>4506</v>
      </c>
      <c r="C1565" s="6">
        <v>2019</v>
      </c>
      <c r="D1565" s="6">
        <v>9</v>
      </c>
      <c r="E1565" s="7">
        <v>35</v>
      </c>
      <c r="F1565" s="6" t="s">
        <v>5550</v>
      </c>
      <c r="G1565" s="6" t="s">
        <v>9370</v>
      </c>
      <c r="H1565" s="6" t="s">
        <v>26</v>
      </c>
      <c r="I1565" s="8">
        <v>178000</v>
      </c>
      <c r="J1565" s="8"/>
      <c r="K1565" s="6" t="s">
        <v>4512</v>
      </c>
      <c r="L1565" s="6" t="s">
        <v>2906</v>
      </c>
      <c r="M1565" s="6" t="s">
        <v>4516</v>
      </c>
      <c r="N1565" s="6" t="s">
        <v>5082</v>
      </c>
    </row>
    <row r="1566" s="1" customFormat="1" ht="16.35" customHeight="1" spans="1:14">
      <c r="A1566" s="5"/>
      <c r="B1566" s="6" t="s">
        <v>4506</v>
      </c>
      <c r="C1566" s="6">
        <v>2019</v>
      </c>
      <c r="D1566" s="6">
        <v>9</v>
      </c>
      <c r="E1566" s="7">
        <v>36</v>
      </c>
      <c r="F1566" s="6" t="s">
        <v>10282</v>
      </c>
      <c r="G1566" s="6" t="s">
        <v>9370</v>
      </c>
      <c r="H1566" s="6" t="s">
        <v>26</v>
      </c>
      <c r="I1566" s="8"/>
      <c r="J1566" s="8">
        <v>20000</v>
      </c>
      <c r="K1566" s="6" t="s">
        <v>4512</v>
      </c>
      <c r="L1566" s="6" t="s">
        <v>2906</v>
      </c>
      <c r="M1566" s="6" t="s">
        <v>4516</v>
      </c>
      <c r="N1566" s="6" t="s">
        <v>5082</v>
      </c>
    </row>
    <row r="1567" s="1" customFormat="1" ht="16.35" customHeight="1" spans="1:14">
      <c r="A1567" s="5"/>
      <c r="B1567" s="6" t="s">
        <v>4506</v>
      </c>
      <c r="C1567" s="6">
        <v>2019</v>
      </c>
      <c r="D1567" s="6">
        <v>9</v>
      </c>
      <c r="E1567" s="7">
        <v>37</v>
      </c>
      <c r="F1567" s="6" t="s">
        <v>10283</v>
      </c>
      <c r="G1567" s="6" t="s">
        <v>9370</v>
      </c>
      <c r="H1567" s="6" t="s">
        <v>26</v>
      </c>
      <c r="I1567" s="8"/>
      <c r="J1567" s="8">
        <v>203807</v>
      </c>
      <c r="K1567" s="6" t="s">
        <v>4512</v>
      </c>
      <c r="L1567" s="6" t="s">
        <v>2906</v>
      </c>
      <c r="M1567" s="6" t="s">
        <v>4516</v>
      </c>
      <c r="N1567" s="6" t="s">
        <v>5082</v>
      </c>
    </row>
    <row r="1568" s="1" customFormat="1" ht="16.35" customHeight="1" spans="1:14">
      <c r="A1568" s="5"/>
      <c r="B1568" s="6" t="s">
        <v>4506</v>
      </c>
      <c r="C1568" s="6">
        <v>2019</v>
      </c>
      <c r="D1568" s="6">
        <v>9</v>
      </c>
      <c r="E1568" s="7">
        <v>38</v>
      </c>
      <c r="F1568" s="6" t="s">
        <v>10284</v>
      </c>
      <c r="G1568" s="6" t="s">
        <v>9370</v>
      </c>
      <c r="H1568" s="6" t="s">
        <v>26</v>
      </c>
      <c r="I1568" s="8"/>
      <c r="J1568" s="8">
        <v>200000</v>
      </c>
      <c r="K1568" s="6" t="s">
        <v>4512</v>
      </c>
      <c r="L1568" s="6" t="s">
        <v>2906</v>
      </c>
      <c r="M1568" s="6" t="s">
        <v>4516</v>
      </c>
      <c r="N1568" s="6" t="s">
        <v>5082</v>
      </c>
    </row>
    <row r="1569" s="1" customFormat="1" ht="16.35" customHeight="1" spans="1:14">
      <c r="A1569" s="5"/>
      <c r="B1569" s="6" t="s">
        <v>4506</v>
      </c>
      <c r="C1569" s="6">
        <v>2019</v>
      </c>
      <c r="D1569" s="6">
        <v>9</v>
      </c>
      <c r="E1569" s="7">
        <v>39</v>
      </c>
      <c r="F1569" s="6" t="s">
        <v>10285</v>
      </c>
      <c r="G1569" s="6" t="s">
        <v>9370</v>
      </c>
      <c r="H1569" s="6" t="s">
        <v>26</v>
      </c>
      <c r="I1569" s="8"/>
      <c r="J1569" s="8">
        <v>219597</v>
      </c>
      <c r="K1569" s="6" t="s">
        <v>4512</v>
      </c>
      <c r="L1569" s="6" t="s">
        <v>2906</v>
      </c>
      <c r="M1569" s="6" t="s">
        <v>4516</v>
      </c>
      <c r="N1569" s="6" t="s">
        <v>5082</v>
      </c>
    </row>
    <row r="1570" s="1" customFormat="1" ht="16.35" customHeight="1" spans="1:14">
      <c r="A1570" s="5"/>
      <c r="B1570" s="6" t="s">
        <v>4506</v>
      </c>
      <c r="C1570" s="6">
        <v>2019</v>
      </c>
      <c r="D1570" s="6">
        <v>9</v>
      </c>
      <c r="E1570" s="7">
        <v>40</v>
      </c>
      <c r="F1570" s="6" t="s">
        <v>10286</v>
      </c>
      <c r="G1570" s="6" t="s">
        <v>9370</v>
      </c>
      <c r="H1570" s="6" t="s">
        <v>26</v>
      </c>
      <c r="I1570" s="8"/>
      <c r="J1570" s="8">
        <v>20000</v>
      </c>
      <c r="K1570" s="6" t="s">
        <v>4512</v>
      </c>
      <c r="L1570" s="6" t="s">
        <v>2906</v>
      </c>
      <c r="M1570" s="6" t="s">
        <v>4516</v>
      </c>
      <c r="N1570" s="6" t="s">
        <v>5082</v>
      </c>
    </row>
    <row r="1571" s="1" customFormat="1" ht="16.35" customHeight="1" spans="1:14">
      <c r="A1571" s="5"/>
      <c r="B1571" s="6" t="s">
        <v>4506</v>
      </c>
      <c r="C1571" s="6">
        <v>2019</v>
      </c>
      <c r="D1571" s="6">
        <v>9</v>
      </c>
      <c r="E1571" s="7">
        <v>41</v>
      </c>
      <c r="F1571" s="6" t="s">
        <v>10287</v>
      </c>
      <c r="G1571" s="6" t="s">
        <v>9370</v>
      </c>
      <c r="H1571" s="6" t="s">
        <v>26</v>
      </c>
      <c r="I1571" s="8"/>
      <c r="J1571" s="8">
        <v>312980</v>
      </c>
      <c r="K1571" s="6" t="s">
        <v>4512</v>
      </c>
      <c r="L1571" s="6" t="s">
        <v>2906</v>
      </c>
      <c r="M1571" s="6" t="s">
        <v>4510</v>
      </c>
      <c r="N1571" s="6" t="s">
        <v>4511</v>
      </c>
    </row>
    <row r="1572" s="1" customFormat="1" ht="16.35" customHeight="1" spans="1:14">
      <c r="A1572" s="5"/>
      <c r="B1572" s="6" t="s">
        <v>4506</v>
      </c>
      <c r="C1572" s="6">
        <v>2019</v>
      </c>
      <c r="D1572" s="6">
        <v>9</v>
      </c>
      <c r="E1572" s="7">
        <v>43</v>
      </c>
      <c r="F1572" s="6" t="s">
        <v>10288</v>
      </c>
      <c r="G1572" s="6" t="s">
        <v>9370</v>
      </c>
      <c r="H1572" s="6" t="s">
        <v>26</v>
      </c>
      <c r="I1572" s="8">
        <v>5000</v>
      </c>
      <c r="J1572" s="8"/>
      <c r="K1572" s="6" t="s">
        <v>4534</v>
      </c>
      <c r="L1572" s="6" t="s">
        <v>9998</v>
      </c>
      <c r="M1572" s="6" t="s">
        <v>4516</v>
      </c>
      <c r="N1572" s="6" t="s">
        <v>5082</v>
      </c>
    </row>
    <row r="1573" s="1" customFormat="1" ht="16.35" customHeight="1" spans="1:14">
      <c r="A1573" s="5"/>
      <c r="B1573" s="6" t="s">
        <v>4506</v>
      </c>
      <c r="C1573" s="6">
        <v>2019</v>
      </c>
      <c r="D1573" s="6">
        <v>9</v>
      </c>
      <c r="E1573" s="7">
        <v>44</v>
      </c>
      <c r="F1573" s="6" t="s">
        <v>10289</v>
      </c>
      <c r="G1573" s="6" t="s">
        <v>9370</v>
      </c>
      <c r="H1573" s="6" t="s">
        <v>26</v>
      </c>
      <c r="I1573" s="8"/>
      <c r="J1573" s="8">
        <v>312980</v>
      </c>
      <c r="K1573" s="6" t="s">
        <v>4509</v>
      </c>
      <c r="L1573" s="6" t="s">
        <v>9218</v>
      </c>
      <c r="M1573" s="6" t="s">
        <v>4514</v>
      </c>
      <c r="N1573" s="6" t="s">
        <v>10290</v>
      </c>
    </row>
    <row r="1574" s="1" customFormat="1" ht="16.35" customHeight="1" spans="1:14">
      <c r="A1574" s="5"/>
      <c r="B1574" s="6" t="s">
        <v>4506</v>
      </c>
      <c r="C1574" s="6">
        <v>2019</v>
      </c>
      <c r="D1574" s="6">
        <v>9</v>
      </c>
      <c r="E1574" s="7">
        <v>46</v>
      </c>
      <c r="F1574" s="6" t="s">
        <v>10291</v>
      </c>
      <c r="G1574" s="6" t="s">
        <v>9370</v>
      </c>
      <c r="H1574" s="6" t="s">
        <v>26</v>
      </c>
      <c r="I1574" s="8">
        <v>1500</v>
      </c>
      <c r="J1574" s="8"/>
      <c r="K1574" s="6" t="s">
        <v>2951</v>
      </c>
      <c r="L1574" s="6" t="s">
        <v>10275</v>
      </c>
      <c r="M1574" s="6" t="s">
        <v>4516</v>
      </c>
      <c r="N1574" s="6" t="s">
        <v>5082</v>
      </c>
    </row>
    <row r="1575" s="1" customFormat="1" ht="16.35" customHeight="1" spans="1:14">
      <c r="A1575" s="5"/>
      <c r="B1575" s="6" t="s">
        <v>4506</v>
      </c>
      <c r="C1575" s="6">
        <v>2019</v>
      </c>
      <c r="D1575" s="6">
        <v>9</v>
      </c>
      <c r="E1575" s="7">
        <v>47</v>
      </c>
      <c r="F1575" s="6" t="s">
        <v>10292</v>
      </c>
      <c r="G1575" s="6" t="s">
        <v>9370</v>
      </c>
      <c r="H1575" s="6" t="s">
        <v>26</v>
      </c>
      <c r="I1575" s="8"/>
      <c r="J1575" s="8">
        <v>34000</v>
      </c>
      <c r="K1575" s="6" t="s">
        <v>2922</v>
      </c>
      <c r="L1575" s="6" t="s">
        <v>9850</v>
      </c>
      <c r="M1575" s="6" t="s">
        <v>4516</v>
      </c>
      <c r="N1575" s="6" t="s">
        <v>5082</v>
      </c>
    </row>
    <row r="1576" s="1" customFormat="1" ht="16.35" customHeight="1" spans="1:14">
      <c r="A1576" s="5"/>
      <c r="B1576" s="6" t="s">
        <v>4506</v>
      </c>
      <c r="C1576" s="6">
        <v>2019</v>
      </c>
      <c r="D1576" s="6">
        <v>9</v>
      </c>
      <c r="E1576" s="7">
        <v>47</v>
      </c>
      <c r="F1576" s="6" t="s">
        <v>10292</v>
      </c>
      <c r="G1576" s="6" t="s">
        <v>9370</v>
      </c>
      <c r="H1576" s="6" t="s">
        <v>26</v>
      </c>
      <c r="I1576" s="8">
        <v>34000</v>
      </c>
      <c r="J1576" s="8"/>
      <c r="K1576" s="6" t="s">
        <v>2922</v>
      </c>
      <c r="L1576" s="6" t="s">
        <v>9850</v>
      </c>
      <c r="M1576" s="6" t="s">
        <v>4516</v>
      </c>
      <c r="N1576" s="6" t="s">
        <v>5082</v>
      </c>
    </row>
    <row r="1577" s="1" customFormat="1" ht="16.35" customHeight="1" spans="1:14">
      <c r="A1577" s="5"/>
      <c r="B1577" s="6" t="s">
        <v>4506</v>
      </c>
      <c r="C1577" s="6">
        <v>2019</v>
      </c>
      <c r="D1577" s="6">
        <v>9</v>
      </c>
      <c r="E1577" s="7">
        <v>53</v>
      </c>
      <c r="F1577" s="6" t="s">
        <v>10293</v>
      </c>
      <c r="G1577" s="6" t="s">
        <v>9370</v>
      </c>
      <c r="H1577" s="6" t="s">
        <v>26</v>
      </c>
      <c r="I1577" s="8">
        <v>23840</v>
      </c>
      <c r="J1577" s="8"/>
      <c r="K1577" s="6" t="s">
        <v>4512</v>
      </c>
      <c r="L1577" s="6" t="s">
        <v>2906</v>
      </c>
      <c r="M1577" s="6" t="s">
        <v>4516</v>
      </c>
      <c r="N1577" s="6" t="s">
        <v>5082</v>
      </c>
    </row>
    <row r="1578" s="1" customFormat="1" ht="16.35" customHeight="1" spans="1:14">
      <c r="A1578" s="5"/>
      <c r="B1578" s="6" t="s">
        <v>4506</v>
      </c>
      <c r="C1578" s="6">
        <v>2019</v>
      </c>
      <c r="D1578" s="6">
        <v>9</v>
      </c>
      <c r="E1578" s="7">
        <v>62</v>
      </c>
      <c r="F1578" s="6" t="s">
        <v>10294</v>
      </c>
      <c r="G1578" s="6" t="s">
        <v>9370</v>
      </c>
      <c r="H1578" s="6" t="s">
        <v>26</v>
      </c>
      <c r="I1578" s="8"/>
      <c r="J1578" s="8">
        <v>6000</v>
      </c>
      <c r="K1578" s="6" t="s">
        <v>2943</v>
      </c>
      <c r="L1578" s="6" t="s">
        <v>99</v>
      </c>
      <c r="M1578" s="6" t="s">
        <v>4516</v>
      </c>
      <c r="N1578" s="6" t="s">
        <v>5082</v>
      </c>
    </row>
    <row r="1579" s="1" customFormat="1" ht="16.35" customHeight="1" spans="1:14">
      <c r="A1579" s="5"/>
      <c r="B1579" s="6" t="s">
        <v>4506</v>
      </c>
      <c r="C1579" s="6">
        <v>2019</v>
      </c>
      <c r="D1579" s="6">
        <v>9</v>
      </c>
      <c r="E1579" s="7">
        <v>62</v>
      </c>
      <c r="F1579" s="6" t="s">
        <v>10294</v>
      </c>
      <c r="G1579" s="6" t="s">
        <v>9370</v>
      </c>
      <c r="H1579" s="6" t="s">
        <v>26</v>
      </c>
      <c r="I1579" s="8">
        <v>10000</v>
      </c>
      <c r="J1579" s="8"/>
      <c r="K1579" s="6" t="s">
        <v>2943</v>
      </c>
      <c r="L1579" s="6" t="s">
        <v>99</v>
      </c>
      <c r="M1579" s="6" t="s">
        <v>4516</v>
      </c>
      <c r="N1579" s="6" t="s">
        <v>5082</v>
      </c>
    </row>
    <row r="1580" s="1" customFormat="1" ht="16.35" customHeight="1" spans="1:14">
      <c r="A1580" s="5"/>
      <c r="B1580" s="6" t="s">
        <v>4506</v>
      </c>
      <c r="C1580" s="6">
        <v>2019</v>
      </c>
      <c r="D1580" s="6">
        <v>9</v>
      </c>
      <c r="E1580" s="7">
        <v>63</v>
      </c>
      <c r="F1580" s="6" t="s">
        <v>10295</v>
      </c>
      <c r="G1580" s="6" t="s">
        <v>9370</v>
      </c>
      <c r="H1580" s="6" t="s">
        <v>26</v>
      </c>
      <c r="I1580" s="8"/>
      <c r="J1580" s="8">
        <v>100000</v>
      </c>
      <c r="K1580" s="6" t="s">
        <v>4512</v>
      </c>
      <c r="L1580" s="6" t="s">
        <v>2906</v>
      </c>
      <c r="M1580" s="6" t="s">
        <v>4516</v>
      </c>
      <c r="N1580" s="6" t="s">
        <v>5082</v>
      </c>
    </row>
    <row r="1581" s="1" customFormat="1" ht="16.35" customHeight="1" spans="1:14">
      <c r="A1581" s="5"/>
      <c r="B1581" s="6" t="s">
        <v>4506</v>
      </c>
      <c r="C1581" s="6">
        <v>2019</v>
      </c>
      <c r="D1581" s="6">
        <v>9</v>
      </c>
      <c r="E1581" s="7">
        <v>64</v>
      </c>
      <c r="F1581" s="6" t="s">
        <v>10296</v>
      </c>
      <c r="G1581" s="6" t="s">
        <v>9370</v>
      </c>
      <c r="H1581" s="6" t="s">
        <v>26</v>
      </c>
      <c r="I1581" s="8"/>
      <c r="J1581" s="8">
        <v>104500</v>
      </c>
      <c r="K1581" s="6" t="s">
        <v>4512</v>
      </c>
      <c r="L1581" s="6" t="s">
        <v>2906</v>
      </c>
      <c r="M1581" s="6" t="s">
        <v>4516</v>
      </c>
      <c r="N1581" s="6" t="s">
        <v>5082</v>
      </c>
    </row>
    <row r="1582" s="1" customFormat="1" ht="16.35" customHeight="1" spans="1:14">
      <c r="A1582" s="5"/>
      <c r="B1582" s="6" t="s">
        <v>4506</v>
      </c>
      <c r="C1582" s="6">
        <v>2019</v>
      </c>
      <c r="D1582" s="6">
        <v>9</v>
      </c>
      <c r="E1582" s="7">
        <v>65</v>
      </c>
      <c r="F1582" s="6" t="s">
        <v>10297</v>
      </c>
      <c r="G1582" s="6" t="s">
        <v>9370</v>
      </c>
      <c r="H1582" s="6" t="s">
        <v>26</v>
      </c>
      <c r="I1582" s="8"/>
      <c r="J1582" s="8">
        <v>50000</v>
      </c>
      <c r="K1582" s="6" t="s">
        <v>4512</v>
      </c>
      <c r="L1582" s="6" t="s">
        <v>2906</v>
      </c>
      <c r="M1582" s="6" t="s">
        <v>4516</v>
      </c>
      <c r="N1582" s="6" t="s">
        <v>5082</v>
      </c>
    </row>
    <row r="1583" s="1" customFormat="1" ht="16.35" customHeight="1" spans="1:14">
      <c r="A1583" s="5"/>
      <c r="B1583" s="6" t="s">
        <v>4506</v>
      </c>
      <c r="C1583" s="6">
        <v>2019</v>
      </c>
      <c r="D1583" s="6">
        <v>9</v>
      </c>
      <c r="E1583" s="7">
        <v>76</v>
      </c>
      <c r="F1583" s="6" t="s">
        <v>10298</v>
      </c>
      <c r="G1583" s="6" t="s">
        <v>9370</v>
      </c>
      <c r="H1583" s="6" t="s">
        <v>26</v>
      </c>
      <c r="I1583" s="8">
        <v>280</v>
      </c>
      <c r="J1583" s="8"/>
      <c r="K1583" s="6" t="s">
        <v>2952</v>
      </c>
      <c r="L1583" s="6" t="s">
        <v>2717</v>
      </c>
      <c r="M1583" s="6" t="s">
        <v>4509</v>
      </c>
      <c r="N1583" s="6" t="s">
        <v>4537</v>
      </c>
    </row>
    <row r="1584" s="1" customFormat="1" ht="16.35" customHeight="1" spans="1:14">
      <c r="A1584" s="5"/>
      <c r="B1584" s="6" t="s">
        <v>4506</v>
      </c>
      <c r="C1584" s="6">
        <v>2019</v>
      </c>
      <c r="D1584" s="6">
        <v>10</v>
      </c>
      <c r="E1584" s="7">
        <v>27</v>
      </c>
      <c r="F1584" s="6" t="s">
        <v>5362</v>
      </c>
      <c r="G1584" s="6" t="s">
        <v>9370</v>
      </c>
      <c r="H1584" s="6" t="s">
        <v>26</v>
      </c>
      <c r="I1584" s="8">
        <v>50000</v>
      </c>
      <c r="J1584" s="8"/>
      <c r="K1584" s="6" t="s">
        <v>4512</v>
      </c>
      <c r="L1584" s="6" t="s">
        <v>2906</v>
      </c>
      <c r="M1584" s="6" t="s">
        <v>4516</v>
      </c>
      <c r="N1584" s="6" t="s">
        <v>5082</v>
      </c>
    </row>
    <row r="1585" s="1" customFormat="1" ht="16.35" customHeight="1" spans="1:14">
      <c r="A1585" s="5"/>
      <c r="B1585" s="6" t="s">
        <v>4506</v>
      </c>
      <c r="C1585" s="6">
        <v>2019</v>
      </c>
      <c r="D1585" s="6">
        <v>10</v>
      </c>
      <c r="E1585" s="7">
        <v>28</v>
      </c>
      <c r="F1585" s="6" t="s">
        <v>5479</v>
      </c>
      <c r="G1585" s="6" t="s">
        <v>9370</v>
      </c>
      <c r="H1585" s="6" t="s">
        <v>26</v>
      </c>
      <c r="I1585" s="8">
        <v>150000</v>
      </c>
      <c r="J1585" s="8"/>
      <c r="K1585" s="6" t="s">
        <v>4512</v>
      </c>
      <c r="L1585" s="6" t="s">
        <v>2906</v>
      </c>
      <c r="M1585" s="6" t="s">
        <v>4516</v>
      </c>
      <c r="N1585" s="6" t="s">
        <v>5082</v>
      </c>
    </row>
    <row r="1586" s="1" customFormat="1" ht="16.35" customHeight="1" spans="1:14">
      <c r="A1586" s="5"/>
      <c r="B1586" s="6" t="s">
        <v>4506</v>
      </c>
      <c r="C1586" s="6">
        <v>2019</v>
      </c>
      <c r="D1586" s="6">
        <v>10</v>
      </c>
      <c r="E1586" s="7">
        <v>29</v>
      </c>
      <c r="F1586" s="6" t="s">
        <v>5443</v>
      </c>
      <c r="G1586" s="6" t="s">
        <v>9370</v>
      </c>
      <c r="H1586" s="6" t="s">
        <v>26</v>
      </c>
      <c r="I1586" s="8">
        <v>160000</v>
      </c>
      <c r="J1586" s="8"/>
      <c r="K1586" s="6" t="s">
        <v>4512</v>
      </c>
      <c r="L1586" s="6" t="s">
        <v>2906</v>
      </c>
      <c r="M1586" s="6" t="s">
        <v>4516</v>
      </c>
      <c r="N1586" s="6" t="s">
        <v>5082</v>
      </c>
    </row>
    <row r="1587" s="1" customFormat="1" ht="16.35" customHeight="1" spans="1:14">
      <c r="A1587" s="5"/>
      <c r="B1587" s="6" t="s">
        <v>4506</v>
      </c>
      <c r="C1587" s="6">
        <v>2019</v>
      </c>
      <c r="D1587" s="6">
        <v>10</v>
      </c>
      <c r="E1587" s="7">
        <v>30</v>
      </c>
      <c r="F1587" s="6" t="s">
        <v>5269</v>
      </c>
      <c r="G1587" s="6" t="s">
        <v>9370</v>
      </c>
      <c r="H1587" s="6" t="s">
        <v>26</v>
      </c>
      <c r="I1587" s="8">
        <v>100000</v>
      </c>
      <c r="J1587" s="8"/>
      <c r="K1587" s="6" t="s">
        <v>4512</v>
      </c>
      <c r="L1587" s="6" t="s">
        <v>2906</v>
      </c>
      <c r="M1587" s="6" t="s">
        <v>4516</v>
      </c>
      <c r="N1587" s="6" t="s">
        <v>5082</v>
      </c>
    </row>
    <row r="1588" s="1" customFormat="1" ht="16.35" customHeight="1" spans="1:14">
      <c r="A1588" s="5"/>
      <c r="B1588" s="6" t="s">
        <v>4506</v>
      </c>
      <c r="C1588" s="6">
        <v>2019</v>
      </c>
      <c r="D1588" s="6">
        <v>10</v>
      </c>
      <c r="E1588" s="7">
        <v>31</v>
      </c>
      <c r="F1588" s="6" t="s">
        <v>5477</v>
      </c>
      <c r="G1588" s="6" t="s">
        <v>9370</v>
      </c>
      <c r="H1588" s="6" t="s">
        <v>26</v>
      </c>
      <c r="I1588" s="8">
        <v>146000</v>
      </c>
      <c r="J1588" s="8"/>
      <c r="K1588" s="6" t="s">
        <v>4512</v>
      </c>
      <c r="L1588" s="6" t="s">
        <v>2906</v>
      </c>
      <c r="M1588" s="6" t="s">
        <v>4516</v>
      </c>
      <c r="N1588" s="6" t="s">
        <v>5082</v>
      </c>
    </row>
    <row r="1589" s="1" customFormat="1" ht="16.35" customHeight="1" spans="1:14">
      <c r="A1589" s="5"/>
      <c r="B1589" s="6" t="s">
        <v>4506</v>
      </c>
      <c r="C1589" s="6">
        <v>2019</v>
      </c>
      <c r="D1589" s="6">
        <v>10</v>
      </c>
      <c r="E1589" s="7">
        <v>32</v>
      </c>
      <c r="F1589" s="6" t="s">
        <v>5503</v>
      </c>
      <c r="G1589" s="6" t="s">
        <v>9370</v>
      </c>
      <c r="H1589" s="6" t="s">
        <v>26</v>
      </c>
      <c r="I1589" s="8">
        <v>150000</v>
      </c>
      <c r="J1589" s="8"/>
      <c r="K1589" s="6" t="s">
        <v>4512</v>
      </c>
      <c r="L1589" s="6" t="s">
        <v>2906</v>
      </c>
      <c r="M1589" s="6" t="s">
        <v>4516</v>
      </c>
      <c r="N1589" s="6" t="s">
        <v>5082</v>
      </c>
    </row>
    <row r="1590" s="1" customFormat="1" ht="16.35" customHeight="1" spans="1:14">
      <c r="A1590" s="5"/>
      <c r="B1590" s="6" t="s">
        <v>4506</v>
      </c>
      <c r="C1590" s="6">
        <v>2019</v>
      </c>
      <c r="D1590" s="6">
        <v>10</v>
      </c>
      <c r="E1590" s="7">
        <v>33</v>
      </c>
      <c r="F1590" s="6" t="s">
        <v>5564</v>
      </c>
      <c r="G1590" s="6" t="s">
        <v>9370</v>
      </c>
      <c r="H1590" s="6" t="s">
        <v>26</v>
      </c>
      <c r="I1590" s="8">
        <v>74000</v>
      </c>
      <c r="J1590" s="8"/>
      <c r="K1590" s="6" t="s">
        <v>4512</v>
      </c>
      <c r="L1590" s="6" t="s">
        <v>2906</v>
      </c>
      <c r="M1590" s="6" t="s">
        <v>4516</v>
      </c>
      <c r="N1590" s="6" t="s">
        <v>5082</v>
      </c>
    </row>
    <row r="1591" s="1" customFormat="1" ht="16.35" customHeight="1" spans="1:14">
      <c r="A1591" s="5"/>
      <c r="B1591" s="6" t="s">
        <v>4506</v>
      </c>
      <c r="C1591" s="6">
        <v>2019</v>
      </c>
      <c r="D1591" s="6">
        <v>10</v>
      </c>
      <c r="E1591" s="7">
        <v>34</v>
      </c>
      <c r="F1591" s="6" t="s">
        <v>10299</v>
      </c>
      <c r="G1591" s="6" t="s">
        <v>9370</v>
      </c>
      <c r="H1591" s="6" t="s">
        <v>26</v>
      </c>
      <c r="I1591" s="8">
        <v>5000</v>
      </c>
      <c r="J1591" s="8"/>
      <c r="K1591" s="6" t="s">
        <v>4534</v>
      </c>
      <c r="L1591" s="6" t="s">
        <v>9998</v>
      </c>
      <c r="M1591" s="6" t="s">
        <v>4516</v>
      </c>
      <c r="N1591" s="6" t="s">
        <v>5082</v>
      </c>
    </row>
    <row r="1592" s="1" customFormat="1" ht="16.35" customHeight="1" spans="1:14">
      <c r="A1592" s="5"/>
      <c r="B1592" s="6" t="s">
        <v>4506</v>
      </c>
      <c r="C1592" s="6">
        <v>2019</v>
      </c>
      <c r="D1592" s="6">
        <v>10</v>
      </c>
      <c r="E1592" s="7">
        <v>34</v>
      </c>
      <c r="F1592" s="6" t="s">
        <v>10299</v>
      </c>
      <c r="G1592" s="6" t="s">
        <v>9370</v>
      </c>
      <c r="H1592" s="6" t="s">
        <v>26</v>
      </c>
      <c r="I1592" s="8"/>
      <c r="J1592" s="8">
        <v>30000</v>
      </c>
      <c r="K1592" s="6" t="s">
        <v>4512</v>
      </c>
      <c r="L1592" s="6" t="s">
        <v>2906</v>
      </c>
      <c r="M1592" s="6" t="s">
        <v>4516</v>
      </c>
      <c r="N1592" s="6" t="s">
        <v>5082</v>
      </c>
    </row>
    <row r="1593" s="1" customFormat="1" ht="16.35" customHeight="1" spans="1:14">
      <c r="A1593" s="5"/>
      <c r="B1593" s="6" t="s">
        <v>4506</v>
      </c>
      <c r="C1593" s="6">
        <v>2019</v>
      </c>
      <c r="D1593" s="6">
        <v>10</v>
      </c>
      <c r="E1593" s="7">
        <v>35</v>
      </c>
      <c r="F1593" s="6" t="s">
        <v>10300</v>
      </c>
      <c r="G1593" s="6" t="s">
        <v>9370</v>
      </c>
      <c r="H1593" s="6" t="s">
        <v>26</v>
      </c>
      <c r="I1593" s="8"/>
      <c r="J1593" s="8">
        <v>130000</v>
      </c>
      <c r="K1593" s="6" t="s">
        <v>4512</v>
      </c>
      <c r="L1593" s="6" t="s">
        <v>2906</v>
      </c>
      <c r="M1593" s="6" t="s">
        <v>4516</v>
      </c>
      <c r="N1593" s="6" t="s">
        <v>5082</v>
      </c>
    </row>
    <row r="1594" s="1" customFormat="1" ht="16.35" customHeight="1" spans="1:14">
      <c r="A1594" s="5"/>
      <c r="B1594" s="6" t="s">
        <v>4506</v>
      </c>
      <c r="C1594" s="6">
        <v>2019</v>
      </c>
      <c r="D1594" s="6">
        <v>10</v>
      </c>
      <c r="E1594" s="7">
        <v>36</v>
      </c>
      <c r="F1594" s="6" t="s">
        <v>10301</v>
      </c>
      <c r="G1594" s="6" t="s">
        <v>9370</v>
      </c>
      <c r="H1594" s="6" t="s">
        <v>26</v>
      </c>
      <c r="I1594" s="8"/>
      <c r="J1594" s="8">
        <v>565048</v>
      </c>
      <c r="K1594" s="6" t="s">
        <v>4512</v>
      </c>
      <c r="L1594" s="6" t="s">
        <v>2906</v>
      </c>
      <c r="M1594" s="6" t="s">
        <v>4516</v>
      </c>
      <c r="N1594" s="6" t="s">
        <v>5082</v>
      </c>
    </row>
    <row r="1595" s="1" customFormat="1" ht="16.35" customHeight="1" spans="1:14">
      <c r="A1595" s="5"/>
      <c r="B1595" s="6" t="s">
        <v>4506</v>
      </c>
      <c r="C1595" s="6">
        <v>2019</v>
      </c>
      <c r="D1595" s="6">
        <v>10</v>
      </c>
      <c r="E1595" s="7">
        <v>37</v>
      </c>
      <c r="F1595" s="6" t="s">
        <v>10302</v>
      </c>
      <c r="G1595" s="6" t="s">
        <v>9370</v>
      </c>
      <c r="H1595" s="6" t="s">
        <v>26</v>
      </c>
      <c r="I1595" s="8"/>
      <c r="J1595" s="8">
        <v>150000</v>
      </c>
      <c r="K1595" s="6" t="s">
        <v>4512</v>
      </c>
      <c r="L1595" s="6" t="s">
        <v>2906</v>
      </c>
      <c r="M1595" s="6" t="s">
        <v>4516</v>
      </c>
      <c r="N1595" s="6" t="s">
        <v>5082</v>
      </c>
    </row>
    <row r="1596" s="1" customFormat="1" ht="16.35" customHeight="1" spans="1:14">
      <c r="A1596" s="5"/>
      <c r="B1596" s="6" t="s">
        <v>4506</v>
      </c>
      <c r="C1596" s="6">
        <v>2019</v>
      </c>
      <c r="D1596" s="6">
        <v>10</v>
      </c>
      <c r="E1596" s="7">
        <v>38</v>
      </c>
      <c r="F1596" s="6" t="s">
        <v>10303</v>
      </c>
      <c r="G1596" s="6" t="s">
        <v>9370</v>
      </c>
      <c r="H1596" s="6" t="s">
        <v>26</v>
      </c>
      <c r="I1596" s="8"/>
      <c r="J1596" s="8">
        <v>150000</v>
      </c>
      <c r="K1596" s="6" t="s">
        <v>4512</v>
      </c>
      <c r="L1596" s="6" t="s">
        <v>2906</v>
      </c>
      <c r="M1596" s="6" t="s">
        <v>4516</v>
      </c>
      <c r="N1596" s="6" t="s">
        <v>5082</v>
      </c>
    </row>
    <row r="1597" s="1" customFormat="1" ht="16.35" customHeight="1" spans="1:14">
      <c r="A1597" s="5"/>
      <c r="B1597" s="6" t="s">
        <v>4506</v>
      </c>
      <c r="C1597" s="6">
        <v>2019</v>
      </c>
      <c r="D1597" s="6">
        <v>10</v>
      </c>
      <c r="E1597" s="7">
        <v>39</v>
      </c>
      <c r="F1597" s="6" t="s">
        <v>10304</v>
      </c>
      <c r="G1597" s="6" t="s">
        <v>9370</v>
      </c>
      <c r="H1597" s="6" t="s">
        <v>26</v>
      </c>
      <c r="I1597" s="8"/>
      <c r="J1597" s="8">
        <v>204498</v>
      </c>
      <c r="K1597" s="6" t="s">
        <v>4512</v>
      </c>
      <c r="L1597" s="6" t="s">
        <v>2906</v>
      </c>
      <c r="M1597" s="6" t="s">
        <v>4516</v>
      </c>
      <c r="N1597" s="6" t="s">
        <v>5082</v>
      </c>
    </row>
    <row r="1598" s="1" customFormat="1" ht="16.35" customHeight="1" spans="1:14">
      <c r="A1598" s="5"/>
      <c r="B1598" s="6" t="s">
        <v>4506</v>
      </c>
      <c r="C1598" s="6">
        <v>2019</v>
      </c>
      <c r="D1598" s="6">
        <v>10</v>
      </c>
      <c r="E1598" s="7">
        <v>40</v>
      </c>
      <c r="F1598" s="6" t="s">
        <v>10305</v>
      </c>
      <c r="G1598" s="6" t="s">
        <v>9370</v>
      </c>
      <c r="H1598" s="6" t="s">
        <v>26</v>
      </c>
      <c r="I1598" s="8"/>
      <c r="J1598" s="8">
        <v>17746</v>
      </c>
      <c r="K1598" s="6" t="s">
        <v>4512</v>
      </c>
      <c r="L1598" s="6" t="s">
        <v>2906</v>
      </c>
      <c r="M1598" s="6" t="s">
        <v>4516</v>
      </c>
      <c r="N1598" s="6" t="s">
        <v>5082</v>
      </c>
    </row>
    <row r="1599" s="1" customFormat="1" ht="16.35" customHeight="1" spans="1:14">
      <c r="A1599" s="5"/>
      <c r="B1599" s="6" t="s">
        <v>4506</v>
      </c>
      <c r="C1599" s="6">
        <v>2019</v>
      </c>
      <c r="D1599" s="6">
        <v>10</v>
      </c>
      <c r="E1599" s="7">
        <v>41</v>
      </c>
      <c r="F1599" s="6" t="s">
        <v>10306</v>
      </c>
      <c r="G1599" s="6" t="s">
        <v>9370</v>
      </c>
      <c r="H1599" s="6" t="s">
        <v>26</v>
      </c>
      <c r="I1599" s="8"/>
      <c r="J1599" s="8">
        <v>190000</v>
      </c>
      <c r="K1599" s="6" t="s">
        <v>4512</v>
      </c>
      <c r="L1599" s="6" t="s">
        <v>2906</v>
      </c>
      <c r="M1599" s="6" t="s">
        <v>4516</v>
      </c>
      <c r="N1599" s="6" t="s">
        <v>5082</v>
      </c>
    </row>
    <row r="1600" s="1" customFormat="1" ht="16.35" customHeight="1" spans="1:14">
      <c r="A1600" s="5"/>
      <c r="B1600" s="6" t="s">
        <v>4506</v>
      </c>
      <c r="C1600" s="6">
        <v>2019</v>
      </c>
      <c r="D1600" s="6">
        <v>10</v>
      </c>
      <c r="E1600" s="7">
        <v>42</v>
      </c>
      <c r="F1600" s="6" t="s">
        <v>10307</v>
      </c>
      <c r="G1600" s="6" t="s">
        <v>9370</v>
      </c>
      <c r="H1600" s="6" t="s">
        <v>26</v>
      </c>
      <c r="I1600" s="8"/>
      <c r="J1600" s="8">
        <v>13000</v>
      </c>
      <c r="K1600" s="6" t="s">
        <v>4512</v>
      </c>
      <c r="L1600" s="6" t="s">
        <v>2906</v>
      </c>
      <c r="M1600" s="6" t="s">
        <v>4516</v>
      </c>
      <c r="N1600" s="6" t="s">
        <v>5082</v>
      </c>
    </row>
    <row r="1601" s="1" customFormat="1" ht="16.35" customHeight="1" spans="1:14">
      <c r="A1601" s="5"/>
      <c r="B1601" s="6" t="s">
        <v>4506</v>
      </c>
      <c r="C1601" s="6">
        <v>2019</v>
      </c>
      <c r="D1601" s="6">
        <v>10</v>
      </c>
      <c r="E1601" s="7">
        <v>43</v>
      </c>
      <c r="F1601" s="6" t="s">
        <v>10308</v>
      </c>
      <c r="G1601" s="6" t="s">
        <v>9370</v>
      </c>
      <c r="H1601" s="6" t="s">
        <v>26</v>
      </c>
      <c r="I1601" s="8"/>
      <c r="J1601" s="8">
        <v>10000</v>
      </c>
      <c r="K1601" s="6" t="s">
        <v>4512</v>
      </c>
      <c r="L1601" s="6" t="s">
        <v>2906</v>
      </c>
      <c r="M1601" s="6" t="s">
        <v>4516</v>
      </c>
      <c r="N1601" s="6" t="s">
        <v>5082</v>
      </c>
    </row>
    <row r="1602" s="1" customFormat="1" ht="16.35" customHeight="1" spans="1:14">
      <c r="A1602" s="5"/>
      <c r="B1602" s="6" t="s">
        <v>4506</v>
      </c>
      <c r="C1602" s="6">
        <v>2019</v>
      </c>
      <c r="D1602" s="6">
        <v>10</v>
      </c>
      <c r="E1602" s="7">
        <v>44</v>
      </c>
      <c r="F1602" s="6" t="s">
        <v>10309</v>
      </c>
      <c r="G1602" s="6" t="s">
        <v>9370</v>
      </c>
      <c r="H1602" s="6" t="s">
        <v>26</v>
      </c>
      <c r="I1602" s="8"/>
      <c r="J1602" s="8">
        <v>30000</v>
      </c>
      <c r="K1602" s="6" t="s">
        <v>4512</v>
      </c>
      <c r="L1602" s="6" t="s">
        <v>2906</v>
      </c>
      <c r="M1602" s="6" t="s">
        <v>4516</v>
      </c>
      <c r="N1602" s="6" t="s">
        <v>5082</v>
      </c>
    </row>
    <row r="1603" s="1" customFormat="1" ht="16.35" customHeight="1" spans="1:14">
      <c r="A1603" s="5"/>
      <c r="B1603" s="6" t="s">
        <v>4506</v>
      </c>
      <c r="C1603" s="6">
        <v>2019</v>
      </c>
      <c r="D1603" s="6">
        <v>10</v>
      </c>
      <c r="E1603" s="7">
        <v>45</v>
      </c>
      <c r="F1603" s="6" t="s">
        <v>10310</v>
      </c>
      <c r="G1603" s="6" t="s">
        <v>9370</v>
      </c>
      <c r="H1603" s="6" t="s">
        <v>26</v>
      </c>
      <c r="I1603" s="8"/>
      <c r="J1603" s="8">
        <v>30000</v>
      </c>
      <c r="K1603" s="6" t="s">
        <v>4512</v>
      </c>
      <c r="L1603" s="6" t="s">
        <v>2906</v>
      </c>
      <c r="M1603" s="6" t="s">
        <v>4516</v>
      </c>
      <c r="N1603" s="6" t="s">
        <v>5082</v>
      </c>
    </row>
    <row r="1604" s="1" customFormat="1" ht="16.35" customHeight="1" spans="1:14">
      <c r="A1604" s="5"/>
      <c r="B1604" s="6" t="s">
        <v>4506</v>
      </c>
      <c r="C1604" s="6">
        <v>2019</v>
      </c>
      <c r="D1604" s="6">
        <v>10</v>
      </c>
      <c r="E1604" s="7">
        <v>46</v>
      </c>
      <c r="F1604" s="6" t="s">
        <v>10311</v>
      </c>
      <c r="G1604" s="6" t="s">
        <v>9370</v>
      </c>
      <c r="H1604" s="6" t="s">
        <v>26</v>
      </c>
      <c r="I1604" s="8"/>
      <c r="J1604" s="8">
        <v>18000</v>
      </c>
      <c r="K1604" s="6" t="s">
        <v>4512</v>
      </c>
      <c r="L1604" s="6" t="s">
        <v>2906</v>
      </c>
      <c r="M1604" s="6" t="s">
        <v>4516</v>
      </c>
      <c r="N1604" s="6" t="s">
        <v>5082</v>
      </c>
    </row>
    <row r="1605" s="1" customFormat="1" ht="16.35" customHeight="1" spans="1:14">
      <c r="A1605" s="5"/>
      <c r="B1605" s="6" t="s">
        <v>4506</v>
      </c>
      <c r="C1605" s="6">
        <v>2019</v>
      </c>
      <c r="D1605" s="6">
        <v>10</v>
      </c>
      <c r="E1605" s="7">
        <v>47</v>
      </c>
      <c r="F1605" s="6" t="s">
        <v>10312</v>
      </c>
      <c r="G1605" s="6" t="s">
        <v>9370</v>
      </c>
      <c r="H1605" s="6" t="s">
        <v>26</v>
      </c>
      <c r="I1605" s="8"/>
      <c r="J1605" s="8">
        <v>79000</v>
      </c>
      <c r="K1605" s="6" t="s">
        <v>4512</v>
      </c>
      <c r="L1605" s="6" t="s">
        <v>2906</v>
      </c>
      <c r="M1605" s="6" t="s">
        <v>4516</v>
      </c>
      <c r="N1605" s="6" t="s">
        <v>5082</v>
      </c>
    </row>
    <row r="1606" s="1" customFormat="1" ht="16.35" customHeight="1" spans="1:14">
      <c r="A1606" s="5"/>
      <c r="B1606" s="6" t="s">
        <v>4506</v>
      </c>
      <c r="C1606" s="6">
        <v>2019</v>
      </c>
      <c r="D1606" s="6">
        <v>10</v>
      </c>
      <c r="E1606" s="7">
        <v>51</v>
      </c>
      <c r="F1606" s="6" t="s">
        <v>10313</v>
      </c>
      <c r="G1606" s="6" t="s">
        <v>9370</v>
      </c>
      <c r="H1606" s="6" t="s">
        <v>26</v>
      </c>
      <c r="I1606" s="8">
        <v>80</v>
      </c>
      <c r="J1606" s="8"/>
      <c r="K1606" s="6" t="s">
        <v>2976</v>
      </c>
      <c r="L1606" s="6" t="s">
        <v>9860</v>
      </c>
      <c r="M1606" s="6" t="s">
        <v>4510</v>
      </c>
      <c r="N1606" s="6" t="s">
        <v>4511</v>
      </c>
    </row>
    <row r="1607" s="1" customFormat="1" ht="16.35" customHeight="1" spans="1:14">
      <c r="A1607" s="5"/>
      <c r="B1607" s="6" t="s">
        <v>4506</v>
      </c>
      <c r="C1607" s="6">
        <v>2019</v>
      </c>
      <c r="D1607" s="6">
        <v>10</v>
      </c>
      <c r="E1607" s="7">
        <v>53</v>
      </c>
      <c r="F1607" s="6" t="s">
        <v>10314</v>
      </c>
      <c r="G1607" s="6" t="s">
        <v>9370</v>
      </c>
      <c r="H1607" s="6" t="s">
        <v>26</v>
      </c>
      <c r="I1607" s="8">
        <v>460</v>
      </c>
      <c r="J1607" s="8"/>
      <c r="K1607" s="6" t="s">
        <v>2976</v>
      </c>
      <c r="L1607" s="6" t="s">
        <v>9860</v>
      </c>
      <c r="M1607" s="6" t="s">
        <v>4510</v>
      </c>
      <c r="N1607" s="6" t="s">
        <v>4511</v>
      </c>
    </row>
    <row r="1608" s="1" customFormat="1" ht="16.35" customHeight="1" spans="1:14">
      <c r="A1608" s="5"/>
      <c r="B1608" s="6" t="s">
        <v>4506</v>
      </c>
      <c r="C1608" s="6">
        <v>2019</v>
      </c>
      <c r="D1608" s="6">
        <v>10</v>
      </c>
      <c r="E1608" s="7">
        <v>55</v>
      </c>
      <c r="F1608" s="6" t="s">
        <v>4089</v>
      </c>
      <c r="G1608" s="6" t="s">
        <v>9370</v>
      </c>
      <c r="H1608" s="6" t="s">
        <v>26</v>
      </c>
      <c r="I1608" s="8"/>
      <c r="J1608" s="8">
        <v>200000</v>
      </c>
      <c r="K1608" s="6" t="s">
        <v>4512</v>
      </c>
      <c r="L1608" s="6" t="s">
        <v>2906</v>
      </c>
      <c r="M1608" s="6" t="s">
        <v>4516</v>
      </c>
      <c r="N1608" s="6" t="s">
        <v>5082</v>
      </c>
    </row>
    <row r="1609" s="1" customFormat="1" ht="16.35" customHeight="1" spans="1:14">
      <c r="A1609" s="5"/>
      <c r="B1609" s="6" t="s">
        <v>4506</v>
      </c>
      <c r="C1609" s="6">
        <v>2019</v>
      </c>
      <c r="D1609" s="6">
        <v>10</v>
      </c>
      <c r="E1609" s="7">
        <v>65</v>
      </c>
      <c r="F1609" s="6" t="s">
        <v>10315</v>
      </c>
      <c r="G1609" s="6" t="s">
        <v>9370</v>
      </c>
      <c r="H1609" s="6" t="s">
        <v>26</v>
      </c>
      <c r="I1609" s="8">
        <v>20000</v>
      </c>
      <c r="J1609" s="8"/>
      <c r="K1609" s="6" t="s">
        <v>2976</v>
      </c>
      <c r="L1609" s="6" t="s">
        <v>9860</v>
      </c>
      <c r="M1609" s="6" t="s">
        <v>4510</v>
      </c>
      <c r="N1609" s="6" t="s">
        <v>4511</v>
      </c>
    </row>
    <row r="1610" s="1" customFormat="1" ht="16.35" customHeight="1" spans="1:14">
      <c r="A1610" s="5"/>
      <c r="B1610" s="6" t="s">
        <v>4506</v>
      </c>
      <c r="C1610" s="6">
        <v>2019</v>
      </c>
      <c r="D1610" s="6">
        <v>11</v>
      </c>
      <c r="E1610" s="7">
        <v>13</v>
      </c>
      <c r="F1610" s="6" t="s">
        <v>5509</v>
      </c>
      <c r="G1610" s="6" t="s">
        <v>9370</v>
      </c>
      <c r="H1610" s="6" t="s">
        <v>26</v>
      </c>
      <c r="I1610" s="8">
        <v>160000</v>
      </c>
      <c r="J1610" s="8"/>
      <c r="K1610" s="6" t="s">
        <v>4512</v>
      </c>
      <c r="L1610" s="6" t="s">
        <v>2906</v>
      </c>
      <c r="M1610" s="6" t="s">
        <v>4516</v>
      </c>
      <c r="N1610" s="6" t="s">
        <v>5082</v>
      </c>
    </row>
    <row r="1611" s="1" customFormat="1" ht="16.35" customHeight="1" spans="1:14">
      <c r="A1611" s="5"/>
      <c r="B1611" s="6" t="s">
        <v>4506</v>
      </c>
      <c r="C1611" s="6">
        <v>2019</v>
      </c>
      <c r="D1611" s="6">
        <v>11</v>
      </c>
      <c r="E1611" s="7">
        <v>14</v>
      </c>
      <c r="F1611" s="6" t="s">
        <v>5572</v>
      </c>
      <c r="G1611" s="6" t="s">
        <v>9370</v>
      </c>
      <c r="H1611" s="6" t="s">
        <v>26</v>
      </c>
      <c r="I1611" s="8">
        <v>150000</v>
      </c>
      <c r="J1611" s="8"/>
      <c r="K1611" s="6" t="s">
        <v>4512</v>
      </c>
      <c r="L1611" s="6" t="s">
        <v>2906</v>
      </c>
      <c r="M1611" s="6" t="s">
        <v>4516</v>
      </c>
      <c r="N1611" s="6" t="s">
        <v>5082</v>
      </c>
    </row>
    <row r="1612" s="1" customFormat="1" ht="16.35" customHeight="1" spans="1:14">
      <c r="A1612" s="5"/>
      <c r="B1612" s="6" t="s">
        <v>4506</v>
      </c>
      <c r="C1612" s="6">
        <v>2019</v>
      </c>
      <c r="D1612" s="6">
        <v>11</v>
      </c>
      <c r="E1612" s="7">
        <v>15</v>
      </c>
      <c r="F1612" s="6" t="s">
        <v>5573</v>
      </c>
      <c r="G1612" s="6" t="s">
        <v>9370</v>
      </c>
      <c r="H1612" s="6" t="s">
        <v>26</v>
      </c>
      <c r="I1612" s="8">
        <v>160000</v>
      </c>
      <c r="J1612" s="8"/>
      <c r="K1612" s="6" t="s">
        <v>4512</v>
      </c>
      <c r="L1612" s="6" t="s">
        <v>2906</v>
      </c>
      <c r="M1612" s="6" t="s">
        <v>4516</v>
      </c>
      <c r="N1612" s="6" t="s">
        <v>5082</v>
      </c>
    </row>
    <row r="1613" s="1" customFormat="1" ht="16.35" customHeight="1" spans="1:14">
      <c r="A1613" s="5"/>
      <c r="B1613" s="6" t="s">
        <v>4506</v>
      </c>
      <c r="C1613" s="6">
        <v>2019</v>
      </c>
      <c r="D1613" s="6">
        <v>11</v>
      </c>
      <c r="E1613" s="7">
        <v>16</v>
      </c>
      <c r="F1613" s="6" t="s">
        <v>5574</v>
      </c>
      <c r="G1613" s="6" t="s">
        <v>9370</v>
      </c>
      <c r="H1613" s="6" t="s">
        <v>26</v>
      </c>
      <c r="I1613" s="8">
        <v>169000</v>
      </c>
      <c r="J1613" s="8"/>
      <c r="K1613" s="6" t="s">
        <v>4512</v>
      </c>
      <c r="L1613" s="6" t="s">
        <v>2906</v>
      </c>
      <c r="M1613" s="6" t="s">
        <v>4516</v>
      </c>
      <c r="N1613" s="6" t="s">
        <v>5082</v>
      </c>
    </row>
    <row r="1614" s="1" customFormat="1" ht="16.35" customHeight="1" spans="1:14">
      <c r="A1614" s="5"/>
      <c r="B1614" s="6" t="s">
        <v>4506</v>
      </c>
      <c r="C1614" s="6">
        <v>2019</v>
      </c>
      <c r="D1614" s="6">
        <v>11</v>
      </c>
      <c r="E1614" s="7">
        <v>17</v>
      </c>
      <c r="F1614" s="6" t="s">
        <v>5575</v>
      </c>
      <c r="G1614" s="6" t="s">
        <v>9370</v>
      </c>
      <c r="H1614" s="6" t="s">
        <v>26</v>
      </c>
      <c r="I1614" s="8">
        <v>69000</v>
      </c>
      <c r="J1614" s="8"/>
      <c r="K1614" s="6" t="s">
        <v>4512</v>
      </c>
      <c r="L1614" s="6" t="s">
        <v>2906</v>
      </c>
      <c r="M1614" s="6" t="s">
        <v>4516</v>
      </c>
      <c r="N1614" s="6" t="s">
        <v>5082</v>
      </c>
    </row>
    <row r="1615" s="1" customFormat="1" ht="16.35" customHeight="1" spans="1:14">
      <c r="A1615" s="5"/>
      <c r="B1615" s="6" t="s">
        <v>4506</v>
      </c>
      <c r="C1615" s="6">
        <v>2019</v>
      </c>
      <c r="D1615" s="6">
        <v>11</v>
      </c>
      <c r="E1615" s="7">
        <v>18</v>
      </c>
      <c r="F1615" s="6" t="s">
        <v>5517</v>
      </c>
      <c r="G1615" s="6" t="s">
        <v>9370</v>
      </c>
      <c r="H1615" s="6" t="s">
        <v>26</v>
      </c>
      <c r="I1615" s="8">
        <v>160000</v>
      </c>
      <c r="J1615" s="8"/>
      <c r="K1615" s="6" t="s">
        <v>4512</v>
      </c>
      <c r="L1615" s="6" t="s">
        <v>2906</v>
      </c>
      <c r="M1615" s="6" t="s">
        <v>4516</v>
      </c>
      <c r="N1615" s="6" t="s">
        <v>5082</v>
      </c>
    </row>
    <row r="1616" s="1" customFormat="1" ht="16.35" customHeight="1" spans="1:14">
      <c r="A1616" s="5"/>
      <c r="B1616" s="6" t="s">
        <v>4506</v>
      </c>
      <c r="C1616" s="6">
        <v>2019</v>
      </c>
      <c r="D1616" s="6">
        <v>11</v>
      </c>
      <c r="E1616" s="7">
        <v>19</v>
      </c>
      <c r="F1616" s="6" t="s">
        <v>5576</v>
      </c>
      <c r="G1616" s="6" t="s">
        <v>9370</v>
      </c>
      <c r="H1616" s="6" t="s">
        <v>26</v>
      </c>
      <c r="I1616" s="8">
        <v>170000</v>
      </c>
      <c r="J1616" s="8"/>
      <c r="K1616" s="6" t="s">
        <v>4512</v>
      </c>
      <c r="L1616" s="6" t="s">
        <v>2906</v>
      </c>
      <c r="M1616" s="6" t="s">
        <v>4516</v>
      </c>
      <c r="N1616" s="6" t="s">
        <v>5082</v>
      </c>
    </row>
    <row r="1617" s="1" customFormat="1" ht="16.35" customHeight="1" spans="1:14">
      <c r="A1617" s="5"/>
      <c r="B1617" s="6" t="s">
        <v>4506</v>
      </c>
      <c r="C1617" s="6">
        <v>2019</v>
      </c>
      <c r="D1617" s="6">
        <v>11</v>
      </c>
      <c r="E1617" s="7">
        <v>20</v>
      </c>
      <c r="F1617" s="6" t="s">
        <v>5577</v>
      </c>
      <c r="G1617" s="6" t="s">
        <v>9370</v>
      </c>
      <c r="H1617" s="6" t="s">
        <v>26</v>
      </c>
      <c r="I1617" s="8">
        <v>266000</v>
      </c>
      <c r="J1617" s="8"/>
      <c r="K1617" s="6" t="s">
        <v>4512</v>
      </c>
      <c r="L1617" s="6" t="s">
        <v>2906</v>
      </c>
      <c r="M1617" s="6" t="s">
        <v>4516</v>
      </c>
      <c r="N1617" s="6" t="s">
        <v>5082</v>
      </c>
    </row>
    <row r="1618" s="1" customFormat="1" ht="16.35" customHeight="1" spans="1:14">
      <c r="A1618" s="5"/>
      <c r="B1618" s="6" t="s">
        <v>4506</v>
      </c>
      <c r="C1618" s="6">
        <v>2019</v>
      </c>
      <c r="D1618" s="6">
        <v>11</v>
      </c>
      <c r="E1618" s="7">
        <v>21</v>
      </c>
      <c r="F1618" s="6" t="s">
        <v>10316</v>
      </c>
      <c r="G1618" s="6" t="s">
        <v>9370</v>
      </c>
      <c r="H1618" s="6" t="s">
        <v>26</v>
      </c>
      <c r="I1618" s="8"/>
      <c r="J1618" s="8">
        <v>315800</v>
      </c>
      <c r="K1618" s="6" t="s">
        <v>4512</v>
      </c>
      <c r="L1618" s="6" t="s">
        <v>2906</v>
      </c>
      <c r="M1618" s="6" t="s">
        <v>4516</v>
      </c>
      <c r="N1618" s="6" t="s">
        <v>5082</v>
      </c>
    </row>
    <row r="1619" s="1" customFormat="1" ht="16.35" customHeight="1" spans="1:14">
      <c r="A1619" s="5"/>
      <c r="B1619" s="6" t="s">
        <v>4506</v>
      </c>
      <c r="C1619" s="6">
        <v>2019</v>
      </c>
      <c r="D1619" s="6">
        <v>11</v>
      </c>
      <c r="E1619" s="7">
        <v>22</v>
      </c>
      <c r="F1619" s="6" t="s">
        <v>10316</v>
      </c>
      <c r="G1619" s="6" t="s">
        <v>9370</v>
      </c>
      <c r="H1619" s="6" t="s">
        <v>26</v>
      </c>
      <c r="I1619" s="8"/>
      <c r="J1619" s="8">
        <v>84304</v>
      </c>
      <c r="K1619" s="6" t="s">
        <v>4512</v>
      </c>
      <c r="L1619" s="6" t="s">
        <v>2906</v>
      </c>
      <c r="M1619" s="6" t="s">
        <v>4516</v>
      </c>
      <c r="N1619" s="6" t="s">
        <v>5082</v>
      </c>
    </row>
    <row r="1620" s="1" customFormat="1" ht="16.35" customHeight="1" spans="1:14">
      <c r="A1620" s="5"/>
      <c r="B1620" s="6" t="s">
        <v>4506</v>
      </c>
      <c r="C1620" s="6">
        <v>2019</v>
      </c>
      <c r="D1620" s="6">
        <v>11</v>
      </c>
      <c r="E1620" s="7">
        <v>23</v>
      </c>
      <c r="F1620" s="6" t="s">
        <v>10317</v>
      </c>
      <c r="G1620" s="6" t="s">
        <v>9370</v>
      </c>
      <c r="H1620" s="6" t="s">
        <v>26</v>
      </c>
      <c r="I1620" s="8"/>
      <c r="J1620" s="8">
        <v>145000</v>
      </c>
      <c r="K1620" s="6" t="s">
        <v>4512</v>
      </c>
      <c r="L1620" s="6" t="s">
        <v>2906</v>
      </c>
      <c r="M1620" s="6" t="s">
        <v>4516</v>
      </c>
      <c r="N1620" s="6" t="s">
        <v>5082</v>
      </c>
    </row>
    <row r="1621" s="1" customFormat="1" ht="16.35" customHeight="1" spans="1:14">
      <c r="A1621" s="5"/>
      <c r="B1621" s="6" t="s">
        <v>4506</v>
      </c>
      <c r="C1621" s="6">
        <v>2019</v>
      </c>
      <c r="D1621" s="6">
        <v>11</v>
      </c>
      <c r="E1621" s="7">
        <v>24</v>
      </c>
      <c r="F1621" s="6" t="s">
        <v>10318</v>
      </c>
      <c r="G1621" s="6" t="s">
        <v>9370</v>
      </c>
      <c r="H1621" s="6" t="s">
        <v>26</v>
      </c>
      <c r="I1621" s="8"/>
      <c r="J1621" s="8">
        <v>170000</v>
      </c>
      <c r="K1621" s="6" t="s">
        <v>4512</v>
      </c>
      <c r="L1621" s="6" t="s">
        <v>2906</v>
      </c>
      <c r="M1621" s="6" t="s">
        <v>4516</v>
      </c>
      <c r="N1621" s="6" t="s">
        <v>5082</v>
      </c>
    </row>
    <row r="1622" s="1" customFormat="1" ht="16.35" customHeight="1" spans="1:14">
      <c r="A1622" s="5"/>
      <c r="B1622" s="6" t="s">
        <v>4506</v>
      </c>
      <c r="C1622" s="6">
        <v>2019</v>
      </c>
      <c r="D1622" s="6">
        <v>11</v>
      </c>
      <c r="E1622" s="7">
        <v>25</v>
      </c>
      <c r="F1622" s="6" t="s">
        <v>10317</v>
      </c>
      <c r="G1622" s="6" t="s">
        <v>9370</v>
      </c>
      <c r="H1622" s="6" t="s">
        <v>26</v>
      </c>
      <c r="I1622" s="8"/>
      <c r="J1622" s="8">
        <v>20000</v>
      </c>
      <c r="K1622" s="6" t="s">
        <v>4512</v>
      </c>
      <c r="L1622" s="6" t="s">
        <v>2906</v>
      </c>
      <c r="M1622" s="6" t="s">
        <v>4516</v>
      </c>
      <c r="N1622" s="6" t="s">
        <v>5082</v>
      </c>
    </row>
    <row r="1623" s="1" customFormat="1" ht="16.35" customHeight="1" spans="1:14">
      <c r="A1623" s="5"/>
      <c r="B1623" s="6" t="s">
        <v>4506</v>
      </c>
      <c r="C1623" s="6">
        <v>2019</v>
      </c>
      <c r="D1623" s="6">
        <v>11</v>
      </c>
      <c r="E1623" s="7">
        <v>26</v>
      </c>
      <c r="F1623" s="6" t="s">
        <v>10319</v>
      </c>
      <c r="G1623" s="6" t="s">
        <v>9370</v>
      </c>
      <c r="H1623" s="6" t="s">
        <v>26</v>
      </c>
      <c r="I1623" s="8"/>
      <c r="J1623" s="8">
        <v>191500</v>
      </c>
      <c r="K1623" s="6" t="s">
        <v>4512</v>
      </c>
      <c r="L1623" s="6" t="s">
        <v>2906</v>
      </c>
      <c r="M1623" s="6" t="s">
        <v>4516</v>
      </c>
      <c r="N1623" s="6" t="s">
        <v>5082</v>
      </c>
    </row>
    <row r="1624" s="1" customFormat="1" ht="16.35" customHeight="1" spans="1:14">
      <c r="A1624" s="5"/>
      <c r="B1624" s="6" t="s">
        <v>4506</v>
      </c>
      <c r="C1624" s="6">
        <v>2019</v>
      </c>
      <c r="D1624" s="6">
        <v>11</v>
      </c>
      <c r="E1624" s="7">
        <v>27</v>
      </c>
      <c r="F1624" s="6" t="s">
        <v>10320</v>
      </c>
      <c r="G1624" s="6" t="s">
        <v>9370</v>
      </c>
      <c r="H1624" s="6" t="s">
        <v>26</v>
      </c>
      <c r="I1624" s="8"/>
      <c r="J1624" s="8">
        <v>8500</v>
      </c>
      <c r="K1624" s="6" t="s">
        <v>4512</v>
      </c>
      <c r="L1624" s="6" t="s">
        <v>2906</v>
      </c>
      <c r="M1624" s="6" t="s">
        <v>4516</v>
      </c>
      <c r="N1624" s="6" t="s">
        <v>5082</v>
      </c>
    </row>
    <row r="1625" s="1" customFormat="1" ht="16.35" customHeight="1" spans="1:14">
      <c r="A1625" s="5"/>
      <c r="B1625" s="6" t="s">
        <v>4506</v>
      </c>
      <c r="C1625" s="6">
        <v>2019</v>
      </c>
      <c r="D1625" s="6">
        <v>11</v>
      </c>
      <c r="E1625" s="7">
        <v>28</v>
      </c>
      <c r="F1625" s="6" t="s">
        <v>10321</v>
      </c>
      <c r="G1625" s="6" t="s">
        <v>9370</v>
      </c>
      <c r="H1625" s="6" t="s">
        <v>26</v>
      </c>
      <c r="I1625" s="8"/>
      <c r="J1625" s="8">
        <v>185845</v>
      </c>
      <c r="K1625" s="6" t="s">
        <v>4512</v>
      </c>
      <c r="L1625" s="6" t="s">
        <v>2906</v>
      </c>
      <c r="M1625" s="6" t="s">
        <v>4516</v>
      </c>
      <c r="N1625" s="6" t="s">
        <v>5082</v>
      </c>
    </row>
    <row r="1626" s="1" customFormat="1" ht="16.35" customHeight="1" spans="1:14">
      <c r="A1626" s="5"/>
      <c r="B1626" s="6" t="s">
        <v>4506</v>
      </c>
      <c r="C1626" s="6">
        <v>2019</v>
      </c>
      <c r="D1626" s="6">
        <v>11</v>
      </c>
      <c r="E1626" s="7">
        <v>29</v>
      </c>
      <c r="F1626" s="6" t="s">
        <v>10322</v>
      </c>
      <c r="G1626" s="6" t="s">
        <v>9370</v>
      </c>
      <c r="H1626" s="6" t="s">
        <v>26</v>
      </c>
      <c r="I1626" s="8"/>
      <c r="J1626" s="8">
        <v>185845</v>
      </c>
      <c r="K1626" s="6" t="s">
        <v>4512</v>
      </c>
      <c r="L1626" s="6" t="s">
        <v>2906</v>
      </c>
      <c r="M1626" s="6" t="s">
        <v>4516</v>
      </c>
      <c r="N1626" s="6" t="s">
        <v>5082</v>
      </c>
    </row>
    <row r="1627" s="1" customFormat="1" ht="16.35" customHeight="1" spans="1:14">
      <c r="A1627" s="5"/>
      <c r="B1627" s="6" t="s">
        <v>4506</v>
      </c>
      <c r="C1627" s="6">
        <v>2019</v>
      </c>
      <c r="D1627" s="6">
        <v>11</v>
      </c>
      <c r="E1627" s="7">
        <v>30</v>
      </c>
      <c r="F1627" s="6" t="s">
        <v>10320</v>
      </c>
      <c r="G1627" s="6" t="s">
        <v>9370</v>
      </c>
      <c r="H1627" s="6" t="s">
        <v>26</v>
      </c>
      <c r="I1627" s="8"/>
      <c r="J1627" s="8">
        <v>183000</v>
      </c>
      <c r="K1627" s="6" t="s">
        <v>4512</v>
      </c>
      <c r="L1627" s="6" t="s">
        <v>2906</v>
      </c>
      <c r="M1627" s="6" t="s">
        <v>4516</v>
      </c>
      <c r="N1627" s="6" t="s">
        <v>5082</v>
      </c>
    </row>
    <row r="1628" s="1" customFormat="1" ht="16.35" customHeight="1" spans="1:14">
      <c r="A1628" s="5"/>
      <c r="B1628" s="6" t="s">
        <v>4506</v>
      </c>
      <c r="C1628" s="6">
        <v>2019</v>
      </c>
      <c r="D1628" s="6">
        <v>11</v>
      </c>
      <c r="E1628" s="7">
        <v>31</v>
      </c>
      <c r="F1628" s="6" t="s">
        <v>10323</v>
      </c>
      <c r="G1628" s="6" t="s">
        <v>9370</v>
      </c>
      <c r="H1628" s="6" t="s">
        <v>26</v>
      </c>
      <c r="I1628" s="8"/>
      <c r="J1628" s="8">
        <v>70696</v>
      </c>
      <c r="K1628" s="6" t="s">
        <v>4512</v>
      </c>
      <c r="L1628" s="6" t="s">
        <v>2906</v>
      </c>
      <c r="M1628" s="6" t="s">
        <v>4516</v>
      </c>
      <c r="N1628" s="6" t="s">
        <v>5082</v>
      </c>
    </row>
    <row r="1629" s="1" customFormat="1" ht="16.35" customHeight="1" spans="1:14">
      <c r="A1629" s="5"/>
      <c r="B1629" s="6" t="s">
        <v>4506</v>
      </c>
      <c r="C1629" s="6">
        <v>2019</v>
      </c>
      <c r="D1629" s="6">
        <v>11</v>
      </c>
      <c r="E1629" s="7">
        <v>32</v>
      </c>
      <c r="F1629" s="6" t="s">
        <v>10324</v>
      </c>
      <c r="G1629" s="6" t="s">
        <v>9370</v>
      </c>
      <c r="H1629" s="6" t="s">
        <v>26</v>
      </c>
      <c r="I1629" s="8"/>
      <c r="J1629" s="8">
        <v>20000</v>
      </c>
      <c r="K1629" s="6" t="s">
        <v>4512</v>
      </c>
      <c r="L1629" s="6" t="s">
        <v>2906</v>
      </c>
      <c r="M1629" s="6" t="s">
        <v>4516</v>
      </c>
      <c r="N1629" s="6" t="s">
        <v>5082</v>
      </c>
    </row>
    <row r="1630" s="1" customFormat="1" ht="16.35" customHeight="1" spans="1:14">
      <c r="A1630" s="5"/>
      <c r="B1630" s="6" t="s">
        <v>4506</v>
      </c>
      <c r="C1630" s="6">
        <v>2019</v>
      </c>
      <c r="D1630" s="6">
        <v>11</v>
      </c>
      <c r="E1630" s="7">
        <v>33</v>
      </c>
      <c r="F1630" s="6" t="s">
        <v>10325</v>
      </c>
      <c r="G1630" s="6" t="s">
        <v>9370</v>
      </c>
      <c r="H1630" s="6" t="s">
        <v>26</v>
      </c>
      <c r="I1630" s="8"/>
      <c r="J1630" s="8">
        <v>10000</v>
      </c>
      <c r="K1630" s="6" t="s">
        <v>4512</v>
      </c>
      <c r="L1630" s="6" t="s">
        <v>2906</v>
      </c>
      <c r="M1630" s="6" t="s">
        <v>4516</v>
      </c>
      <c r="N1630" s="6" t="s">
        <v>5082</v>
      </c>
    </row>
    <row r="1631" s="1" customFormat="1" ht="16.35" customHeight="1" spans="1:14">
      <c r="A1631" s="5"/>
      <c r="B1631" s="6" t="s">
        <v>4506</v>
      </c>
      <c r="C1631" s="6">
        <v>2019</v>
      </c>
      <c r="D1631" s="6">
        <v>11</v>
      </c>
      <c r="E1631" s="7">
        <v>36</v>
      </c>
      <c r="F1631" s="6" t="s">
        <v>10326</v>
      </c>
      <c r="G1631" s="6" t="s">
        <v>9370</v>
      </c>
      <c r="H1631" s="6" t="s">
        <v>26</v>
      </c>
      <c r="I1631" s="8">
        <v>260</v>
      </c>
      <c r="J1631" s="8"/>
      <c r="K1631" s="6" t="s">
        <v>2976</v>
      </c>
      <c r="L1631" s="6" t="s">
        <v>9860</v>
      </c>
      <c r="M1631" s="6" t="s">
        <v>4516</v>
      </c>
      <c r="N1631" s="6" t="s">
        <v>5082</v>
      </c>
    </row>
    <row r="1632" s="1" customFormat="1" ht="16.35" customHeight="1" spans="1:14">
      <c r="A1632" s="5"/>
      <c r="B1632" s="6" t="s">
        <v>4506</v>
      </c>
      <c r="C1632" s="6">
        <v>2019</v>
      </c>
      <c r="D1632" s="6">
        <v>11</v>
      </c>
      <c r="E1632" s="7">
        <v>37</v>
      </c>
      <c r="F1632" s="6" t="s">
        <v>10327</v>
      </c>
      <c r="G1632" s="6" t="s">
        <v>9370</v>
      </c>
      <c r="H1632" s="6" t="s">
        <v>26</v>
      </c>
      <c r="I1632" s="8">
        <v>540</v>
      </c>
      <c r="J1632" s="8"/>
      <c r="K1632" s="6" t="s">
        <v>2976</v>
      </c>
      <c r="L1632" s="6" t="s">
        <v>9860</v>
      </c>
      <c r="M1632" s="6" t="s">
        <v>4516</v>
      </c>
      <c r="N1632" s="6" t="s">
        <v>5082</v>
      </c>
    </row>
    <row r="1633" s="1" customFormat="1" ht="16.35" customHeight="1" spans="1:14">
      <c r="A1633" s="5"/>
      <c r="B1633" s="6" t="s">
        <v>4506</v>
      </c>
      <c r="C1633" s="6">
        <v>2019</v>
      </c>
      <c r="D1633" s="6">
        <v>11</v>
      </c>
      <c r="E1633" s="7">
        <v>38</v>
      </c>
      <c r="F1633" s="6" t="s">
        <v>10328</v>
      </c>
      <c r="G1633" s="6" t="s">
        <v>9370</v>
      </c>
      <c r="H1633" s="6" t="s">
        <v>26</v>
      </c>
      <c r="I1633" s="8">
        <v>540</v>
      </c>
      <c r="J1633" s="8"/>
      <c r="K1633" s="6" t="s">
        <v>2976</v>
      </c>
      <c r="L1633" s="6" t="s">
        <v>9860</v>
      </c>
      <c r="M1633" s="6" t="s">
        <v>4516</v>
      </c>
      <c r="N1633" s="6" t="s">
        <v>5082</v>
      </c>
    </row>
    <row r="1634" s="1" customFormat="1" ht="16.35" customHeight="1" spans="1:14">
      <c r="A1634" s="5"/>
      <c r="B1634" s="6" t="s">
        <v>4506</v>
      </c>
      <c r="C1634" s="6">
        <v>2019</v>
      </c>
      <c r="D1634" s="6">
        <v>11</v>
      </c>
      <c r="E1634" s="7">
        <v>39</v>
      </c>
      <c r="F1634" s="6" t="s">
        <v>10329</v>
      </c>
      <c r="G1634" s="6" t="s">
        <v>9370</v>
      </c>
      <c r="H1634" s="6" t="s">
        <v>26</v>
      </c>
      <c r="I1634" s="8">
        <v>460</v>
      </c>
      <c r="J1634" s="8"/>
      <c r="K1634" s="6" t="s">
        <v>2976</v>
      </c>
      <c r="L1634" s="6" t="s">
        <v>9860</v>
      </c>
      <c r="M1634" s="6" t="s">
        <v>4510</v>
      </c>
      <c r="N1634" s="6" t="s">
        <v>4511</v>
      </c>
    </row>
    <row r="1635" s="1" customFormat="1" ht="16.35" customHeight="1" spans="1:14">
      <c r="A1635" s="5"/>
      <c r="B1635" s="6" t="s">
        <v>4506</v>
      </c>
      <c r="C1635" s="6">
        <v>2019</v>
      </c>
      <c r="D1635" s="6">
        <v>11</v>
      </c>
      <c r="E1635" s="7">
        <v>40</v>
      </c>
      <c r="F1635" s="6" t="s">
        <v>10330</v>
      </c>
      <c r="G1635" s="6" t="s">
        <v>9370</v>
      </c>
      <c r="H1635" s="6" t="s">
        <v>26</v>
      </c>
      <c r="I1635" s="8">
        <v>160</v>
      </c>
      <c r="J1635" s="8"/>
      <c r="K1635" s="6" t="s">
        <v>2976</v>
      </c>
      <c r="L1635" s="6" t="s">
        <v>9860</v>
      </c>
      <c r="M1635" s="6" t="s">
        <v>4510</v>
      </c>
      <c r="N1635" s="6" t="s">
        <v>4511</v>
      </c>
    </row>
    <row r="1636" s="1" customFormat="1" ht="16.35" customHeight="1" spans="1:14">
      <c r="A1636" s="5"/>
      <c r="B1636" s="6" t="s">
        <v>4506</v>
      </c>
      <c r="C1636" s="6">
        <v>2019</v>
      </c>
      <c r="D1636" s="6">
        <v>11</v>
      </c>
      <c r="E1636" s="7">
        <v>60</v>
      </c>
      <c r="F1636" s="6" t="s">
        <v>10331</v>
      </c>
      <c r="G1636" s="6" t="s">
        <v>9370</v>
      </c>
      <c r="H1636" s="6" t="s">
        <v>26</v>
      </c>
      <c r="I1636" s="8">
        <v>20000</v>
      </c>
      <c r="J1636" s="8"/>
      <c r="K1636" s="6" t="s">
        <v>4512</v>
      </c>
      <c r="L1636" s="6" t="s">
        <v>2906</v>
      </c>
      <c r="M1636" s="6" t="s">
        <v>4516</v>
      </c>
      <c r="N1636" s="6" t="s">
        <v>5082</v>
      </c>
    </row>
    <row r="1637" s="1" customFormat="1" ht="16.35" customHeight="1" spans="1:14">
      <c r="A1637" s="5"/>
      <c r="B1637" s="6" t="s">
        <v>4506</v>
      </c>
      <c r="C1637" s="6">
        <v>2019</v>
      </c>
      <c r="D1637" s="6">
        <v>11</v>
      </c>
      <c r="E1637" s="7">
        <v>68</v>
      </c>
      <c r="F1637" s="6" t="s">
        <v>10332</v>
      </c>
      <c r="G1637" s="6" t="s">
        <v>9370</v>
      </c>
      <c r="H1637" s="6" t="s">
        <v>26</v>
      </c>
      <c r="I1637" s="8"/>
      <c r="J1637" s="8">
        <v>100000</v>
      </c>
      <c r="K1637" s="6" t="s">
        <v>4512</v>
      </c>
      <c r="L1637" s="6" t="s">
        <v>2906</v>
      </c>
      <c r="M1637" s="6" t="s">
        <v>4516</v>
      </c>
      <c r="N1637" s="6" t="s">
        <v>5082</v>
      </c>
    </row>
    <row r="1638" s="1" customFormat="1" ht="16.35" customHeight="1" spans="1:14">
      <c r="A1638" s="5"/>
      <c r="B1638" s="6" t="s">
        <v>4506</v>
      </c>
      <c r="C1638" s="6">
        <v>2019</v>
      </c>
      <c r="D1638" s="6">
        <v>11</v>
      </c>
      <c r="E1638" s="7">
        <v>69</v>
      </c>
      <c r="F1638" s="6" t="s">
        <v>5350</v>
      </c>
      <c r="G1638" s="6" t="s">
        <v>9370</v>
      </c>
      <c r="H1638" s="6" t="s">
        <v>26</v>
      </c>
      <c r="I1638" s="8">
        <v>110000</v>
      </c>
      <c r="J1638" s="8"/>
      <c r="K1638" s="6" t="s">
        <v>4512</v>
      </c>
      <c r="L1638" s="6" t="s">
        <v>2906</v>
      </c>
      <c r="M1638" s="6" t="s">
        <v>4516</v>
      </c>
      <c r="N1638" s="6" t="s">
        <v>5082</v>
      </c>
    </row>
    <row r="1639" s="1" customFormat="1" ht="16.35" customHeight="1" spans="1:14">
      <c r="A1639" s="5"/>
      <c r="B1639" s="6" t="s">
        <v>4506</v>
      </c>
      <c r="C1639" s="6">
        <v>2019</v>
      </c>
      <c r="D1639" s="6">
        <v>12</v>
      </c>
      <c r="E1639" s="7">
        <v>20</v>
      </c>
      <c r="F1639" s="6" t="s">
        <v>10333</v>
      </c>
      <c r="G1639" s="6" t="s">
        <v>9370</v>
      </c>
      <c r="H1639" s="6" t="s">
        <v>26</v>
      </c>
      <c r="I1639" s="8"/>
      <c r="J1639" s="8">
        <v>650</v>
      </c>
      <c r="K1639" s="6" t="s">
        <v>2952</v>
      </c>
      <c r="L1639" s="6" t="s">
        <v>2717</v>
      </c>
      <c r="M1639" s="6" t="s">
        <v>4509</v>
      </c>
      <c r="N1639" s="6" t="s">
        <v>4537</v>
      </c>
    </row>
    <row r="1640" s="1" customFormat="1" ht="16.35" customHeight="1" spans="1:14">
      <c r="A1640" s="5"/>
      <c r="B1640" s="6" t="s">
        <v>4506</v>
      </c>
      <c r="C1640" s="6">
        <v>2019</v>
      </c>
      <c r="D1640" s="6">
        <v>12</v>
      </c>
      <c r="E1640" s="7">
        <v>21</v>
      </c>
      <c r="F1640" s="6" t="s">
        <v>10334</v>
      </c>
      <c r="G1640" s="6" t="s">
        <v>9370</v>
      </c>
      <c r="H1640" s="6" t="s">
        <v>26</v>
      </c>
      <c r="I1640" s="8"/>
      <c r="J1640" s="8">
        <v>252</v>
      </c>
      <c r="K1640" s="6" t="s">
        <v>2952</v>
      </c>
      <c r="L1640" s="6" t="s">
        <v>2717</v>
      </c>
      <c r="M1640" s="6" t="s">
        <v>4509</v>
      </c>
      <c r="N1640" s="6" t="s">
        <v>4537</v>
      </c>
    </row>
    <row r="1641" s="1" customFormat="1" ht="16.35" customHeight="1" spans="1:14">
      <c r="A1641" s="5"/>
      <c r="B1641" s="6" t="s">
        <v>4506</v>
      </c>
      <c r="C1641" s="6">
        <v>2019</v>
      </c>
      <c r="D1641" s="6">
        <v>12</v>
      </c>
      <c r="E1641" s="7">
        <v>22</v>
      </c>
      <c r="F1641" s="6" t="s">
        <v>10335</v>
      </c>
      <c r="G1641" s="6" t="s">
        <v>9370</v>
      </c>
      <c r="H1641" s="6" t="s">
        <v>26</v>
      </c>
      <c r="I1641" s="8"/>
      <c r="J1641" s="8">
        <v>468</v>
      </c>
      <c r="K1641" s="6" t="s">
        <v>2952</v>
      </c>
      <c r="L1641" s="6" t="s">
        <v>2717</v>
      </c>
      <c r="M1641" s="6" t="s">
        <v>4509</v>
      </c>
      <c r="N1641" s="6" t="s">
        <v>4537</v>
      </c>
    </row>
    <row r="1642" s="1" customFormat="1" ht="16.35" customHeight="1" spans="1:14">
      <c r="A1642" s="5"/>
      <c r="B1642" s="6" t="s">
        <v>4506</v>
      </c>
      <c r="C1642" s="6">
        <v>2019</v>
      </c>
      <c r="D1642" s="6">
        <v>12</v>
      </c>
      <c r="E1642" s="7">
        <v>29</v>
      </c>
      <c r="F1642" s="6" t="s">
        <v>10336</v>
      </c>
      <c r="G1642" s="6" t="s">
        <v>9370</v>
      </c>
      <c r="H1642" s="6" t="s">
        <v>26</v>
      </c>
      <c r="I1642" s="8"/>
      <c r="J1642" s="8">
        <v>747.85</v>
      </c>
      <c r="K1642" s="6" t="s">
        <v>2942</v>
      </c>
      <c r="L1642" s="6" t="s">
        <v>9981</v>
      </c>
      <c r="M1642" s="6" t="s">
        <v>4509</v>
      </c>
      <c r="N1642" s="6" t="s">
        <v>4537</v>
      </c>
    </row>
    <row r="1643" s="1" customFormat="1" ht="16.35" customHeight="1" spans="1:14">
      <c r="A1643" s="5"/>
      <c r="B1643" s="6" t="s">
        <v>4506</v>
      </c>
      <c r="C1643" s="6">
        <v>2019</v>
      </c>
      <c r="D1643" s="6">
        <v>12</v>
      </c>
      <c r="E1643" s="7">
        <v>30</v>
      </c>
      <c r="F1643" s="6" t="s">
        <v>10337</v>
      </c>
      <c r="G1643" s="6" t="s">
        <v>9370</v>
      </c>
      <c r="H1643" s="6" t="s">
        <v>26</v>
      </c>
      <c r="I1643" s="8"/>
      <c r="J1643" s="8">
        <v>33</v>
      </c>
      <c r="K1643" s="6" t="s">
        <v>3067</v>
      </c>
      <c r="L1643" s="6" t="s">
        <v>10338</v>
      </c>
      <c r="M1643" s="6" t="s">
        <v>4509</v>
      </c>
      <c r="N1643" s="6" t="s">
        <v>4537</v>
      </c>
    </row>
    <row r="1644" s="1" customFormat="1" ht="16.35" customHeight="1" spans="1:14">
      <c r="A1644" s="5"/>
      <c r="B1644" s="6" t="s">
        <v>4506</v>
      </c>
      <c r="C1644" s="6">
        <v>2019</v>
      </c>
      <c r="D1644" s="6">
        <v>12</v>
      </c>
      <c r="E1644" s="7">
        <v>31</v>
      </c>
      <c r="F1644" s="6" t="s">
        <v>9343</v>
      </c>
      <c r="G1644" s="6" t="s">
        <v>9370</v>
      </c>
      <c r="H1644" s="6" t="s">
        <v>26</v>
      </c>
      <c r="I1644" s="8"/>
      <c r="J1644" s="8">
        <v>360</v>
      </c>
      <c r="K1644" s="6" t="s">
        <v>2952</v>
      </c>
      <c r="L1644" s="6" t="s">
        <v>2717</v>
      </c>
      <c r="M1644" s="6" t="s">
        <v>4509</v>
      </c>
      <c r="N1644" s="6" t="s">
        <v>4537</v>
      </c>
    </row>
    <row r="1645" s="1" customFormat="1" ht="16.35" customHeight="1" spans="1:14">
      <c r="A1645" s="5"/>
      <c r="B1645" s="6" t="s">
        <v>4506</v>
      </c>
      <c r="C1645" s="6">
        <v>2019</v>
      </c>
      <c r="D1645" s="6">
        <v>12</v>
      </c>
      <c r="E1645" s="7">
        <v>32</v>
      </c>
      <c r="F1645" s="6" t="s">
        <v>9343</v>
      </c>
      <c r="G1645" s="6" t="s">
        <v>9370</v>
      </c>
      <c r="H1645" s="6" t="s">
        <v>26</v>
      </c>
      <c r="I1645" s="8"/>
      <c r="J1645" s="8">
        <v>280</v>
      </c>
      <c r="K1645" s="6" t="s">
        <v>2952</v>
      </c>
      <c r="L1645" s="6" t="s">
        <v>2717</v>
      </c>
      <c r="M1645" s="6" t="s">
        <v>4509</v>
      </c>
      <c r="N1645" s="6" t="s">
        <v>4537</v>
      </c>
    </row>
    <row r="1646" s="1" customFormat="1" ht="16.35" customHeight="1" spans="1:14">
      <c r="A1646" s="5"/>
      <c r="B1646" s="6" t="s">
        <v>4506</v>
      </c>
      <c r="C1646" s="6">
        <v>2019</v>
      </c>
      <c r="D1646" s="6">
        <v>12</v>
      </c>
      <c r="E1646" s="7">
        <v>33</v>
      </c>
      <c r="F1646" s="6" t="s">
        <v>10339</v>
      </c>
      <c r="G1646" s="6" t="s">
        <v>9370</v>
      </c>
      <c r="H1646" s="6" t="s">
        <v>26</v>
      </c>
      <c r="I1646" s="8"/>
      <c r="J1646" s="8">
        <v>63000</v>
      </c>
      <c r="K1646" s="6" t="s">
        <v>4512</v>
      </c>
      <c r="L1646" s="6" t="s">
        <v>2906</v>
      </c>
      <c r="M1646" s="6" t="s">
        <v>4510</v>
      </c>
      <c r="N1646" s="6" t="s">
        <v>4511</v>
      </c>
    </row>
    <row r="1647" s="1" customFormat="1" ht="16.35" customHeight="1" spans="1:14">
      <c r="A1647" s="5"/>
      <c r="B1647" s="6" t="s">
        <v>4506</v>
      </c>
      <c r="C1647" s="6">
        <v>2019</v>
      </c>
      <c r="D1647" s="6">
        <v>12</v>
      </c>
      <c r="E1647" s="7">
        <v>34</v>
      </c>
      <c r="F1647" s="6" t="s">
        <v>10339</v>
      </c>
      <c r="G1647" s="6" t="s">
        <v>9370</v>
      </c>
      <c r="H1647" s="6" t="s">
        <v>26</v>
      </c>
      <c r="I1647" s="8"/>
      <c r="J1647" s="8">
        <v>62000</v>
      </c>
      <c r="K1647" s="6" t="s">
        <v>4512</v>
      </c>
      <c r="L1647" s="6" t="s">
        <v>2906</v>
      </c>
      <c r="M1647" s="6" t="s">
        <v>4510</v>
      </c>
      <c r="N1647" s="6" t="s">
        <v>4511</v>
      </c>
    </row>
    <row r="1648" s="1" customFormat="1" ht="16.35" customHeight="1" spans="1:14">
      <c r="A1648" s="5"/>
      <c r="B1648" s="6" t="s">
        <v>4506</v>
      </c>
      <c r="C1648" s="6">
        <v>2019</v>
      </c>
      <c r="D1648" s="6">
        <v>12</v>
      </c>
      <c r="E1648" s="7">
        <v>35</v>
      </c>
      <c r="F1648" s="6" t="s">
        <v>10340</v>
      </c>
      <c r="G1648" s="6" t="s">
        <v>9370</v>
      </c>
      <c r="H1648" s="6" t="s">
        <v>26</v>
      </c>
      <c r="I1648" s="8"/>
      <c r="J1648" s="8">
        <v>34000</v>
      </c>
      <c r="K1648" s="6" t="s">
        <v>4512</v>
      </c>
      <c r="L1648" s="6" t="s">
        <v>2906</v>
      </c>
      <c r="M1648" s="6" t="s">
        <v>4516</v>
      </c>
      <c r="N1648" s="6" t="s">
        <v>5082</v>
      </c>
    </row>
    <row r="1649" s="1" customFormat="1" ht="16.35" customHeight="1" spans="1:14">
      <c r="A1649" s="5"/>
      <c r="B1649" s="6" t="s">
        <v>4506</v>
      </c>
      <c r="C1649" s="6">
        <v>2019</v>
      </c>
      <c r="D1649" s="6">
        <v>12</v>
      </c>
      <c r="E1649" s="7">
        <v>36</v>
      </c>
      <c r="F1649" s="6" t="s">
        <v>10341</v>
      </c>
      <c r="G1649" s="6" t="s">
        <v>9370</v>
      </c>
      <c r="H1649" s="6" t="s">
        <v>26</v>
      </c>
      <c r="I1649" s="8"/>
      <c r="J1649" s="8">
        <v>5000</v>
      </c>
      <c r="K1649" s="6" t="s">
        <v>4512</v>
      </c>
      <c r="L1649" s="6" t="s">
        <v>2906</v>
      </c>
      <c r="M1649" s="6" t="s">
        <v>4510</v>
      </c>
      <c r="N1649" s="6" t="s">
        <v>4511</v>
      </c>
    </row>
    <row r="1650" s="1" customFormat="1" ht="16.35" customHeight="1" spans="1:14">
      <c r="A1650" s="5"/>
      <c r="B1650" s="6" t="s">
        <v>4506</v>
      </c>
      <c r="C1650" s="6">
        <v>2019</v>
      </c>
      <c r="D1650" s="6">
        <v>12</v>
      </c>
      <c r="E1650" s="7">
        <v>37</v>
      </c>
      <c r="F1650" s="6" t="s">
        <v>10342</v>
      </c>
      <c r="G1650" s="6" t="s">
        <v>9370</v>
      </c>
      <c r="H1650" s="6" t="s">
        <v>26</v>
      </c>
      <c r="I1650" s="8"/>
      <c r="J1650" s="8">
        <v>154000</v>
      </c>
      <c r="K1650" s="6" t="s">
        <v>4512</v>
      </c>
      <c r="L1650" s="6" t="s">
        <v>2906</v>
      </c>
      <c r="M1650" s="6" t="s">
        <v>4516</v>
      </c>
      <c r="N1650" s="6" t="s">
        <v>5082</v>
      </c>
    </row>
    <row r="1651" s="1" customFormat="1" ht="16.35" customHeight="1" spans="1:14">
      <c r="A1651" s="5"/>
      <c r="B1651" s="6" t="s">
        <v>4506</v>
      </c>
      <c r="C1651" s="6">
        <v>2019</v>
      </c>
      <c r="D1651" s="6">
        <v>12</v>
      </c>
      <c r="E1651" s="7">
        <v>38</v>
      </c>
      <c r="F1651" s="6" t="s">
        <v>10343</v>
      </c>
      <c r="G1651" s="6" t="s">
        <v>9370</v>
      </c>
      <c r="H1651" s="6" t="s">
        <v>26</v>
      </c>
      <c r="I1651" s="8"/>
      <c r="J1651" s="8">
        <v>170000</v>
      </c>
      <c r="K1651" s="6" t="s">
        <v>4512</v>
      </c>
      <c r="L1651" s="6" t="s">
        <v>2906</v>
      </c>
      <c r="M1651" s="6" t="s">
        <v>4516</v>
      </c>
      <c r="N1651" s="6" t="s">
        <v>5082</v>
      </c>
    </row>
    <row r="1652" s="1" customFormat="1" ht="16.35" customHeight="1" spans="1:14">
      <c r="A1652" s="5"/>
      <c r="B1652" s="6" t="s">
        <v>4506</v>
      </c>
      <c r="C1652" s="6">
        <v>2019</v>
      </c>
      <c r="D1652" s="6">
        <v>12</v>
      </c>
      <c r="E1652" s="7">
        <v>40</v>
      </c>
      <c r="F1652" s="6" t="s">
        <v>10344</v>
      </c>
      <c r="G1652" s="6" t="s">
        <v>9370</v>
      </c>
      <c r="H1652" s="6" t="s">
        <v>26</v>
      </c>
      <c r="I1652" s="8"/>
      <c r="J1652" s="8">
        <v>200000</v>
      </c>
      <c r="K1652" s="6" t="s">
        <v>4512</v>
      </c>
      <c r="L1652" s="6" t="s">
        <v>2906</v>
      </c>
      <c r="M1652" s="6" t="s">
        <v>4516</v>
      </c>
      <c r="N1652" s="6" t="s">
        <v>5082</v>
      </c>
    </row>
    <row r="1653" s="1" customFormat="1" ht="16.35" customHeight="1" spans="1:14">
      <c r="A1653" s="5"/>
      <c r="B1653" s="6" t="s">
        <v>4506</v>
      </c>
      <c r="C1653" s="6">
        <v>2019</v>
      </c>
      <c r="D1653" s="6">
        <v>12</v>
      </c>
      <c r="E1653" s="7">
        <v>43</v>
      </c>
      <c r="F1653" s="6" t="s">
        <v>10345</v>
      </c>
      <c r="G1653" s="6" t="s">
        <v>9370</v>
      </c>
      <c r="H1653" s="6" t="s">
        <v>26</v>
      </c>
      <c r="I1653" s="8">
        <v>66192</v>
      </c>
      <c r="J1653" s="8"/>
      <c r="K1653" s="6" t="s">
        <v>4512</v>
      </c>
      <c r="L1653" s="6" t="s">
        <v>2906</v>
      </c>
      <c r="M1653" s="6" t="s">
        <v>4516</v>
      </c>
      <c r="N1653" s="6" t="s">
        <v>5082</v>
      </c>
    </row>
    <row r="1654" s="1" customFormat="1" ht="16.35" customHeight="1" spans="1:14">
      <c r="A1654" s="5"/>
      <c r="B1654" s="6" t="s">
        <v>4506</v>
      </c>
      <c r="C1654" s="6">
        <v>2019</v>
      </c>
      <c r="D1654" s="6">
        <v>12</v>
      </c>
      <c r="E1654" s="7">
        <v>44</v>
      </c>
      <c r="F1654" s="6" t="s">
        <v>10346</v>
      </c>
      <c r="G1654" s="6" t="s">
        <v>9370</v>
      </c>
      <c r="H1654" s="6" t="s">
        <v>26</v>
      </c>
      <c r="I1654" s="8">
        <v>110</v>
      </c>
      <c r="J1654" s="8"/>
      <c r="K1654" s="6" t="s">
        <v>2942</v>
      </c>
      <c r="L1654" s="6" t="s">
        <v>9981</v>
      </c>
      <c r="M1654" s="6" t="s">
        <v>4509</v>
      </c>
      <c r="N1654" s="6" t="s">
        <v>4537</v>
      </c>
    </row>
    <row r="1655" s="1" customFormat="1" ht="16.35" customHeight="1" spans="1:14">
      <c r="A1655" s="5"/>
      <c r="B1655" s="6" t="s">
        <v>4506</v>
      </c>
      <c r="C1655" s="6">
        <v>2019</v>
      </c>
      <c r="D1655" s="6">
        <v>12</v>
      </c>
      <c r="E1655" s="7">
        <v>47</v>
      </c>
      <c r="F1655" s="6" t="s">
        <v>10347</v>
      </c>
      <c r="G1655" s="6" t="s">
        <v>9370</v>
      </c>
      <c r="H1655" s="6" t="s">
        <v>26</v>
      </c>
      <c r="I1655" s="8">
        <v>242721</v>
      </c>
      <c r="J1655" s="8"/>
      <c r="K1655" s="6" t="s">
        <v>2947</v>
      </c>
      <c r="L1655" s="6" t="s">
        <v>10214</v>
      </c>
      <c r="M1655" s="6" t="s">
        <v>4516</v>
      </c>
      <c r="N1655" s="6" t="s">
        <v>5082</v>
      </c>
    </row>
    <row r="1656" s="1" customFormat="1" ht="16.35" customHeight="1" spans="1:14">
      <c r="A1656" s="5"/>
      <c r="B1656" s="6" t="s">
        <v>4506</v>
      </c>
      <c r="C1656" s="6">
        <v>2019</v>
      </c>
      <c r="D1656" s="6">
        <v>12</v>
      </c>
      <c r="E1656" s="7">
        <v>55</v>
      </c>
      <c r="F1656" s="6" t="s">
        <v>10348</v>
      </c>
      <c r="G1656" s="6" t="s">
        <v>9370</v>
      </c>
      <c r="H1656" s="6" t="s">
        <v>26</v>
      </c>
      <c r="I1656" s="8">
        <v>2000000</v>
      </c>
      <c r="J1656" s="8"/>
      <c r="K1656" s="6" t="s">
        <v>4509</v>
      </c>
      <c r="L1656" s="6" t="s">
        <v>9218</v>
      </c>
      <c r="M1656" s="6" t="s">
        <v>4509</v>
      </c>
      <c r="N1656" s="6" t="s">
        <v>4537</v>
      </c>
    </row>
    <row r="1657" s="1" customFormat="1" ht="16.35" customHeight="1" spans="1:14">
      <c r="A1657" s="5"/>
      <c r="B1657" s="6" t="s">
        <v>4506</v>
      </c>
      <c r="C1657" s="6">
        <v>2019</v>
      </c>
      <c r="D1657" s="6">
        <v>12</v>
      </c>
      <c r="E1657" s="7">
        <v>60</v>
      </c>
      <c r="F1657" s="6" t="s">
        <v>5605</v>
      </c>
      <c r="G1657" s="6" t="s">
        <v>9370</v>
      </c>
      <c r="H1657" s="6" t="s">
        <v>26</v>
      </c>
      <c r="I1657" s="8">
        <v>40000</v>
      </c>
      <c r="J1657" s="8"/>
      <c r="K1657" s="6" t="s">
        <v>4512</v>
      </c>
      <c r="L1657" s="6" t="s">
        <v>2906</v>
      </c>
      <c r="M1657" s="6" t="s">
        <v>4516</v>
      </c>
      <c r="N1657" s="6" t="s">
        <v>5082</v>
      </c>
    </row>
    <row r="1658" s="1" customFormat="1" ht="16.35" customHeight="1" spans="1:14">
      <c r="A1658" s="5"/>
      <c r="B1658" s="6" t="s">
        <v>4506</v>
      </c>
      <c r="C1658" s="6">
        <v>2019</v>
      </c>
      <c r="D1658" s="6">
        <v>12</v>
      </c>
      <c r="E1658" s="7">
        <v>61</v>
      </c>
      <c r="F1658" s="6" t="s">
        <v>5606</v>
      </c>
      <c r="G1658" s="6" t="s">
        <v>9370</v>
      </c>
      <c r="H1658" s="6" t="s">
        <v>26</v>
      </c>
      <c r="I1658" s="8">
        <v>296230</v>
      </c>
      <c r="J1658" s="8"/>
      <c r="K1658" s="6" t="s">
        <v>4512</v>
      </c>
      <c r="L1658" s="6" t="s">
        <v>2906</v>
      </c>
      <c r="M1658" s="6" t="s">
        <v>4516</v>
      </c>
      <c r="N1658" s="6" t="s">
        <v>5082</v>
      </c>
    </row>
    <row r="1659" s="1" customFormat="1" ht="16.35" customHeight="1" spans="1:14">
      <c r="A1659" s="5"/>
      <c r="B1659" s="6" t="s">
        <v>4506</v>
      </c>
      <c r="C1659" s="6">
        <v>2019</v>
      </c>
      <c r="D1659" s="6">
        <v>12</v>
      </c>
      <c r="E1659" s="7">
        <v>62</v>
      </c>
      <c r="F1659" s="6" t="s">
        <v>5607</v>
      </c>
      <c r="G1659" s="6" t="s">
        <v>9370</v>
      </c>
      <c r="H1659" s="6" t="s">
        <v>26</v>
      </c>
      <c r="I1659" s="8">
        <v>50856</v>
      </c>
      <c r="J1659" s="8"/>
      <c r="K1659" s="6" t="s">
        <v>4512</v>
      </c>
      <c r="L1659" s="6" t="s">
        <v>2906</v>
      </c>
      <c r="M1659" s="6" t="s">
        <v>4516</v>
      </c>
      <c r="N1659" s="6" t="s">
        <v>5082</v>
      </c>
    </row>
    <row r="1660" s="1" customFormat="1" ht="16.35" customHeight="1" spans="1:14">
      <c r="A1660" s="5"/>
      <c r="B1660" s="6" t="s">
        <v>4506</v>
      </c>
      <c r="C1660" s="6">
        <v>2019</v>
      </c>
      <c r="D1660" s="6">
        <v>12</v>
      </c>
      <c r="E1660" s="7">
        <v>63</v>
      </c>
      <c r="F1660" s="6" t="s">
        <v>5609</v>
      </c>
      <c r="G1660" s="6" t="s">
        <v>9370</v>
      </c>
      <c r="H1660" s="6" t="s">
        <v>26</v>
      </c>
      <c r="I1660" s="8">
        <v>5000</v>
      </c>
      <c r="J1660" s="8"/>
      <c r="K1660" s="6" t="s">
        <v>4512</v>
      </c>
      <c r="L1660" s="6" t="s">
        <v>2906</v>
      </c>
      <c r="M1660" s="6" t="s">
        <v>4516</v>
      </c>
      <c r="N1660" s="6" t="s">
        <v>5082</v>
      </c>
    </row>
    <row r="1661" s="1" customFormat="1" ht="16.35" customHeight="1" spans="1:14">
      <c r="A1661" s="5"/>
      <c r="B1661" s="6" t="s">
        <v>4506</v>
      </c>
      <c r="C1661" s="6">
        <v>2019</v>
      </c>
      <c r="D1661" s="6">
        <v>12</v>
      </c>
      <c r="E1661" s="7">
        <v>64</v>
      </c>
      <c r="F1661" s="6" t="s">
        <v>5611</v>
      </c>
      <c r="G1661" s="6" t="s">
        <v>9370</v>
      </c>
      <c r="H1661" s="6" t="s">
        <v>26</v>
      </c>
      <c r="I1661" s="8">
        <v>120000</v>
      </c>
      <c r="J1661" s="8"/>
      <c r="K1661" s="6" t="s">
        <v>4512</v>
      </c>
      <c r="L1661" s="6" t="s">
        <v>2906</v>
      </c>
      <c r="M1661" s="6" t="s">
        <v>4516</v>
      </c>
      <c r="N1661" s="6" t="s">
        <v>5082</v>
      </c>
    </row>
    <row r="1662" s="1" customFormat="1" ht="16.35" customHeight="1" spans="1:14">
      <c r="A1662" s="5"/>
      <c r="B1662" s="6" t="s">
        <v>4506</v>
      </c>
      <c r="C1662" s="6">
        <v>2019</v>
      </c>
      <c r="D1662" s="6">
        <v>12</v>
      </c>
      <c r="E1662" s="7">
        <v>65</v>
      </c>
      <c r="F1662" s="6" t="s">
        <v>5613</v>
      </c>
      <c r="G1662" s="6" t="s">
        <v>9370</v>
      </c>
      <c r="H1662" s="6" t="s">
        <v>26</v>
      </c>
      <c r="I1662" s="8">
        <v>5000</v>
      </c>
      <c r="J1662" s="8"/>
      <c r="K1662" s="6" t="s">
        <v>4512</v>
      </c>
      <c r="L1662" s="6" t="s">
        <v>2906</v>
      </c>
      <c r="M1662" s="6" t="s">
        <v>4516</v>
      </c>
      <c r="N1662" s="6" t="s">
        <v>5082</v>
      </c>
    </row>
    <row r="1663" s="1" customFormat="1" ht="16.35" customHeight="1" spans="1:14">
      <c r="A1663" s="5"/>
      <c r="B1663" s="6" t="s">
        <v>4506</v>
      </c>
      <c r="C1663" s="6">
        <v>2019</v>
      </c>
      <c r="D1663" s="6">
        <v>12</v>
      </c>
      <c r="E1663" s="7">
        <v>66</v>
      </c>
      <c r="F1663" s="6" t="s">
        <v>5614</v>
      </c>
      <c r="G1663" s="6" t="s">
        <v>9370</v>
      </c>
      <c r="H1663" s="6" t="s">
        <v>26</v>
      </c>
      <c r="I1663" s="8">
        <v>200000</v>
      </c>
      <c r="J1663" s="8"/>
      <c r="K1663" s="6" t="s">
        <v>4512</v>
      </c>
      <c r="L1663" s="6" t="s">
        <v>2906</v>
      </c>
      <c r="M1663" s="6" t="s">
        <v>4516</v>
      </c>
      <c r="N1663" s="6" t="s">
        <v>5082</v>
      </c>
    </row>
    <row r="1664" s="1" customFormat="1" ht="16.35" customHeight="1" spans="1:14">
      <c r="A1664" s="5"/>
      <c r="B1664" s="6" t="s">
        <v>4506</v>
      </c>
      <c r="C1664" s="6">
        <v>2019</v>
      </c>
      <c r="D1664" s="6">
        <v>12</v>
      </c>
      <c r="E1664" s="7">
        <v>67</v>
      </c>
      <c r="F1664" s="6" t="s">
        <v>5617</v>
      </c>
      <c r="G1664" s="6" t="s">
        <v>9370</v>
      </c>
      <c r="H1664" s="6" t="s">
        <v>26</v>
      </c>
      <c r="I1664" s="8">
        <v>50000</v>
      </c>
      <c r="J1664" s="8"/>
      <c r="K1664" s="6" t="s">
        <v>4512</v>
      </c>
      <c r="L1664" s="6" t="s">
        <v>2906</v>
      </c>
      <c r="M1664" s="6" t="s">
        <v>4516</v>
      </c>
      <c r="N1664" s="6" t="s">
        <v>5082</v>
      </c>
    </row>
    <row r="1665" s="1" customFormat="1" ht="16.35" customHeight="1" spans="1:14">
      <c r="A1665" s="5"/>
      <c r="B1665" s="6" t="s">
        <v>4506</v>
      </c>
      <c r="C1665" s="6">
        <v>2019</v>
      </c>
      <c r="D1665" s="6">
        <v>12</v>
      </c>
      <c r="E1665" s="7">
        <v>68</v>
      </c>
      <c r="F1665" s="6" t="s">
        <v>5619</v>
      </c>
      <c r="G1665" s="6" t="s">
        <v>9370</v>
      </c>
      <c r="H1665" s="6" t="s">
        <v>26</v>
      </c>
      <c r="I1665" s="8">
        <v>14000</v>
      </c>
      <c r="J1665" s="8"/>
      <c r="K1665" s="6" t="s">
        <v>4512</v>
      </c>
      <c r="L1665" s="6" t="s">
        <v>2906</v>
      </c>
      <c r="M1665" s="6" t="s">
        <v>4516</v>
      </c>
      <c r="N1665" s="6" t="s">
        <v>5082</v>
      </c>
    </row>
    <row r="1666" s="1" customFormat="1" ht="16.35" customHeight="1" spans="1:14">
      <c r="A1666" s="5"/>
      <c r="B1666" s="6" t="s">
        <v>4506</v>
      </c>
      <c r="C1666" s="6">
        <v>2019</v>
      </c>
      <c r="D1666" s="6">
        <v>12</v>
      </c>
      <c r="E1666" s="7">
        <v>69</v>
      </c>
      <c r="F1666" s="6" t="s">
        <v>5620</v>
      </c>
      <c r="G1666" s="6" t="s">
        <v>9370</v>
      </c>
      <c r="H1666" s="6" t="s">
        <v>26</v>
      </c>
      <c r="I1666" s="8">
        <v>107030</v>
      </c>
      <c r="J1666" s="8"/>
      <c r="K1666" s="6" t="s">
        <v>4512</v>
      </c>
      <c r="L1666" s="6" t="s">
        <v>2906</v>
      </c>
      <c r="M1666" s="6" t="s">
        <v>4516</v>
      </c>
      <c r="N1666" s="6" t="s">
        <v>5082</v>
      </c>
    </row>
    <row r="1667" s="1" customFormat="1" ht="16.35" customHeight="1" spans="1:14">
      <c r="A1667" s="5"/>
      <c r="B1667" s="6" t="s">
        <v>4506</v>
      </c>
      <c r="C1667" s="6">
        <v>2019</v>
      </c>
      <c r="D1667" s="6">
        <v>12</v>
      </c>
      <c r="E1667" s="7">
        <v>74</v>
      </c>
      <c r="F1667" s="6" t="s">
        <v>10349</v>
      </c>
      <c r="G1667" s="6" t="s">
        <v>9370</v>
      </c>
      <c r="H1667" s="6" t="s">
        <v>26</v>
      </c>
      <c r="I1667" s="8"/>
      <c r="J1667" s="8">
        <v>320</v>
      </c>
      <c r="K1667" s="6" t="s">
        <v>2942</v>
      </c>
      <c r="L1667" s="6" t="s">
        <v>9981</v>
      </c>
      <c r="M1667" s="6" t="s">
        <v>4509</v>
      </c>
      <c r="N1667" s="6" t="s">
        <v>4537</v>
      </c>
    </row>
    <row r="1668" s="1" customFormat="1" ht="16.35" customHeight="1" spans="1:14">
      <c r="A1668" s="5"/>
      <c r="B1668" s="6" t="s">
        <v>4506</v>
      </c>
      <c r="C1668" s="6">
        <v>2019</v>
      </c>
      <c r="D1668" s="6">
        <v>12</v>
      </c>
      <c r="E1668" s="7">
        <v>75</v>
      </c>
      <c r="F1668" s="6" t="s">
        <v>10350</v>
      </c>
      <c r="G1668" s="6" t="s">
        <v>9370</v>
      </c>
      <c r="H1668" s="6" t="s">
        <v>26</v>
      </c>
      <c r="I1668" s="8"/>
      <c r="J1668" s="8">
        <v>124</v>
      </c>
      <c r="K1668" s="6" t="s">
        <v>3067</v>
      </c>
      <c r="L1668" s="6" t="s">
        <v>10338</v>
      </c>
      <c r="M1668" s="6" t="s">
        <v>4509</v>
      </c>
      <c r="N1668" s="6" t="s">
        <v>4537</v>
      </c>
    </row>
    <row r="1669" s="1" customFormat="1" ht="16.35" customHeight="1" spans="1:14">
      <c r="A1669" s="5"/>
      <c r="B1669" s="6" t="s">
        <v>4506</v>
      </c>
      <c r="C1669" s="6">
        <v>2019</v>
      </c>
      <c r="D1669" s="6">
        <v>12</v>
      </c>
      <c r="E1669" s="7">
        <v>86</v>
      </c>
      <c r="F1669" s="6" t="s">
        <v>10351</v>
      </c>
      <c r="G1669" s="6" t="s">
        <v>9370</v>
      </c>
      <c r="H1669" s="6" t="s">
        <v>26</v>
      </c>
      <c r="I1669" s="8"/>
      <c r="J1669" s="8">
        <v>400</v>
      </c>
      <c r="K1669" s="6" t="s">
        <v>3070</v>
      </c>
      <c r="L1669" s="6" t="s">
        <v>10352</v>
      </c>
      <c r="M1669" s="6" t="s">
        <v>4509</v>
      </c>
      <c r="N1669" s="6" t="s">
        <v>4537</v>
      </c>
    </row>
    <row r="1670" s="1" customFormat="1" ht="16.35" customHeight="1" spans="1:14">
      <c r="A1670" s="5"/>
      <c r="B1670" s="6" t="s">
        <v>4506</v>
      </c>
      <c r="C1670" s="6">
        <v>2019</v>
      </c>
      <c r="D1670" s="6">
        <v>12</v>
      </c>
      <c r="E1670" s="7">
        <v>87</v>
      </c>
      <c r="F1670" s="6" t="s">
        <v>10353</v>
      </c>
      <c r="G1670" s="6" t="s">
        <v>9370</v>
      </c>
      <c r="H1670" s="6" t="s">
        <v>26</v>
      </c>
      <c r="I1670" s="8"/>
      <c r="J1670" s="8">
        <v>1352</v>
      </c>
      <c r="K1670" s="6" t="s">
        <v>2952</v>
      </c>
      <c r="L1670" s="6" t="s">
        <v>2717</v>
      </c>
      <c r="M1670" s="6" t="s">
        <v>4509</v>
      </c>
      <c r="N1670" s="6" t="s">
        <v>4537</v>
      </c>
    </row>
    <row r="1671" s="1" customFormat="1" ht="16.35" customHeight="1" spans="1:14">
      <c r="A1671" s="5"/>
      <c r="B1671" s="6" t="s">
        <v>4506</v>
      </c>
      <c r="C1671" s="6">
        <v>2019</v>
      </c>
      <c r="D1671" s="6">
        <v>12</v>
      </c>
      <c r="E1671" s="7">
        <v>88</v>
      </c>
      <c r="F1671" s="6" t="s">
        <v>10354</v>
      </c>
      <c r="G1671" s="6" t="s">
        <v>9370</v>
      </c>
      <c r="H1671" s="6" t="s">
        <v>26</v>
      </c>
      <c r="I1671" s="8"/>
      <c r="J1671" s="8">
        <v>175</v>
      </c>
      <c r="K1671" s="6" t="s">
        <v>2952</v>
      </c>
      <c r="L1671" s="6" t="s">
        <v>2717</v>
      </c>
      <c r="M1671" s="6" t="s">
        <v>4509</v>
      </c>
      <c r="N1671" s="6" t="s">
        <v>4537</v>
      </c>
    </row>
    <row r="1672" s="1" customFormat="1" ht="16.35" customHeight="1" spans="1:14">
      <c r="A1672" s="5"/>
      <c r="B1672" s="6" t="s">
        <v>4506</v>
      </c>
      <c r="C1672" s="6">
        <v>2019</v>
      </c>
      <c r="D1672" s="6">
        <v>12</v>
      </c>
      <c r="E1672" s="7">
        <v>89</v>
      </c>
      <c r="F1672" s="6" t="s">
        <v>10353</v>
      </c>
      <c r="G1672" s="6" t="s">
        <v>9370</v>
      </c>
      <c r="H1672" s="6" t="s">
        <v>26</v>
      </c>
      <c r="I1672" s="8"/>
      <c r="J1672" s="8">
        <v>155.66</v>
      </c>
      <c r="K1672" s="6" t="s">
        <v>4532</v>
      </c>
      <c r="L1672" s="6" t="s">
        <v>9985</v>
      </c>
      <c r="M1672" s="6" t="s">
        <v>4509</v>
      </c>
      <c r="N1672" s="6" t="s">
        <v>4537</v>
      </c>
    </row>
    <row r="1673" s="1" customFormat="1" ht="16.35" customHeight="1" spans="1:14">
      <c r="A1673" s="5"/>
      <c r="B1673" s="6" t="s">
        <v>4506</v>
      </c>
      <c r="C1673" s="6">
        <v>2019</v>
      </c>
      <c r="D1673" s="6">
        <v>12</v>
      </c>
      <c r="E1673" s="7">
        <v>90</v>
      </c>
      <c r="F1673" s="6" t="s">
        <v>9937</v>
      </c>
      <c r="G1673" s="6" t="s">
        <v>9370</v>
      </c>
      <c r="H1673" s="6" t="s">
        <v>26</v>
      </c>
      <c r="I1673" s="8"/>
      <c r="J1673" s="8">
        <v>343</v>
      </c>
      <c r="K1673" s="6" t="s">
        <v>2942</v>
      </c>
      <c r="L1673" s="6" t="s">
        <v>9981</v>
      </c>
      <c r="M1673" s="6" t="s">
        <v>4509</v>
      </c>
      <c r="N1673" s="6" t="s">
        <v>4537</v>
      </c>
    </row>
    <row r="1674" s="1" customFormat="1" ht="16.35" customHeight="1" spans="1:14">
      <c r="A1674" s="5"/>
      <c r="B1674" s="6" t="s">
        <v>4506</v>
      </c>
      <c r="C1674" s="6">
        <v>2019</v>
      </c>
      <c r="D1674" s="6">
        <v>12</v>
      </c>
      <c r="E1674" s="7">
        <v>91</v>
      </c>
      <c r="F1674" s="6" t="s">
        <v>10351</v>
      </c>
      <c r="G1674" s="6" t="s">
        <v>9370</v>
      </c>
      <c r="H1674" s="6" t="s">
        <v>26</v>
      </c>
      <c r="I1674" s="8"/>
      <c r="J1674" s="8">
        <v>1131.88</v>
      </c>
      <c r="K1674" s="6" t="s">
        <v>2942</v>
      </c>
      <c r="L1674" s="6" t="s">
        <v>9981</v>
      </c>
      <c r="M1674" s="6" t="s">
        <v>4509</v>
      </c>
      <c r="N1674" s="6" t="s">
        <v>4537</v>
      </c>
    </row>
    <row r="1675" s="1" customFormat="1" ht="16.35" customHeight="1" spans="1:14">
      <c r="A1675" s="5"/>
      <c r="B1675" s="6" t="s">
        <v>4506</v>
      </c>
      <c r="C1675" s="6">
        <v>2019</v>
      </c>
      <c r="D1675" s="6">
        <v>12</v>
      </c>
      <c r="E1675" s="7">
        <v>92</v>
      </c>
      <c r="F1675" s="6" t="s">
        <v>10355</v>
      </c>
      <c r="G1675" s="6" t="s">
        <v>9370</v>
      </c>
      <c r="H1675" s="6" t="s">
        <v>26</v>
      </c>
      <c r="I1675" s="8"/>
      <c r="J1675" s="8">
        <v>344</v>
      </c>
      <c r="K1675" s="6" t="s">
        <v>2942</v>
      </c>
      <c r="L1675" s="6" t="s">
        <v>9981</v>
      </c>
      <c r="M1675" s="6" t="s">
        <v>4509</v>
      </c>
      <c r="N1675" s="6" t="s">
        <v>4537</v>
      </c>
    </row>
    <row r="1676" s="1" customFormat="1" ht="16.35" customHeight="1" spans="1:14">
      <c r="A1676" s="5"/>
      <c r="B1676" s="6" t="s">
        <v>4506</v>
      </c>
      <c r="C1676" s="6">
        <v>2019</v>
      </c>
      <c r="D1676" s="6">
        <v>12</v>
      </c>
      <c r="E1676" s="7">
        <v>93</v>
      </c>
      <c r="F1676" s="6" t="s">
        <v>10353</v>
      </c>
      <c r="G1676" s="6" t="s">
        <v>9370</v>
      </c>
      <c r="H1676" s="6" t="s">
        <v>26</v>
      </c>
      <c r="I1676" s="8"/>
      <c r="J1676" s="8">
        <v>1740</v>
      </c>
      <c r="K1676" s="6" t="s">
        <v>2942</v>
      </c>
      <c r="L1676" s="6" t="s">
        <v>9981</v>
      </c>
      <c r="M1676" s="6" t="s">
        <v>4509</v>
      </c>
      <c r="N1676" s="6" t="s">
        <v>4537</v>
      </c>
    </row>
    <row r="1677" s="1" customFormat="1" ht="16.35" customHeight="1" spans="1:14">
      <c r="A1677" s="5"/>
      <c r="B1677" s="6" t="s">
        <v>4506</v>
      </c>
      <c r="C1677" s="6">
        <v>2019</v>
      </c>
      <c r="D1677" s="6">
        <v>12</v>
      </c>
      <c r="E1677" s="7">
        <v>94</v>
      </c>
      <c r="F1677" s="6" t="s">
        <v>10356</v>
      </c>
      <c r="G1677" s="6" t="s">
        <v>9370</v>
      </c>
      <c r="H1677" s="6" t="s">
        <v>26</v>
      </c>
      <c r="I1677" s="8"/>
      <c r="J1677" s="8">
        <v>639</v>
      </c>
      <c r="K1677" s="6" t="s">
        <v>2942</v>
      </c>
      <c r="L1677" s="6" t="s">
        <v>9981</v>
      </c>
      <c r="M1677" s="6" t="s">
        <v>4509</v>
      </c>
      <c r="N1677" s="6" t="s">
        <v>4537</v>
      </c>
    </row>
    <row r="1678" s="1" customFormat="1" ht="16.35" customHeight="1" spans="1:14">
      <c r="A1678" s="5"/>
      <c r="B1678" s="6" t="s">
        <v>4506</v>
      </c>
      <c r="C1678" s="6">
        <v>2019</v>
      </c>
      <c r="D1678" s="6">
        <v>12</v>
      </c>
      <c r="E1678" s="7">
        <v>95</v>
      </c>
      <c r="F1678" s="6" t="s">
        <v>9937</v>
      </c>
      <c r="G1678" s="6" t="s">
        <v>9370</v>
      </c>
      <c r="H1678" s="6" t="s">
        <v>26</v>
      </c>
      <c r="I1678" s="8"/>
      <c r="J1678" s="8">
        <v>108</v>
      </c>
      <c r="K1678" s="6" t="s">
        <v>2942</v>
      </c>
      <c r="L1678" s="6" t="s">
        <v>9981</v>
      </c>
      <c r="M1678" s="6" t="s">
        <v>4509</v>
      </c>
      <c r="N1678" s="6" t="s">
        <v>4537</v>
      </c>
    </row>
    <row r="1679" s="1" customFormat="1" ht="16.35" customHeight="1" spans="1:14">
      <c r="A1679" s="5"/>
      <c r="B1679" s="6" t="s">
        <v>4506</v>
      </c>
      <c r="C1679" s="6">
        <v>2019</v>
      </c>
      <c r="D1679" s="6">
        <v>12</v>
      </c>
      <c r="E1679" s="7">
        <v>96</v>
      </c>
      <c r="F1679" s="6" t="s">
        <v>10349</v>
      </c>
      <c r="G1679" s="6" t="s">
        <v>9370</v>
      </c>
      <c r="H1679" s="6" t="s">
        <v>26</v>
      </c>
      <c r="I1679" s="8"/>
      <c r="J1679" s="8">
        <v>520</v>
      </c>
      <c r="K1679" s="6" t="s">
        <v>2942</v>
      </c>
      <c r="L1679" s="6" t="s">
        <v>9981</v>
      </c>
      <c r="M1679" s="6" t="s">
        <v>4509</v>
      </c>
      <c r="N1679" s="6" t="s">
        <v>4537</v>
      </c>
    </row>
    <row r="1680" s="1" customFormat="1" ht="16.35" customHeight="1" spans="1:14">
      <c r="A1680" s="5"/>
      <c r="B1680" s="6" t="s">
        <v>4506</v>
      </c>
      <c r="C1680" s="6">
        <v>2019</v>
      </c>
      <c r="D1680" s="6">
        <v>12</v>
      </c>
      <c r="E1680" s="7">
        <v>97</v>
      </c>
      <c r="F1680" s="6" t="s">
        <v>10349</v>
      </c>
      <c r="G1680" s="6" t="s">
        <v>9370</v>
      </c>
      <c r="H1680" s="6" t="s">
        <v>26</v>
      </c>
      <c r="I1680" s="8"/>
      <c r="J1680" s="8">
        <v>621</v>
      </c>
      <c r="K1680" s="6" t="s">
        <v>2942</v>
      </c>
      <c r="L1680" s="6" t="s">
        <v>9981</v>
      </c>
      <c r="M1680" s="6" t="s">
        <v>4509</v>
      </c>
      <c r="N1680" s="6" t="s">
        <v>4537</v>
      </c>
    </row>
    <row r="1681" s="1" customFormat="1" ht="16.35" customHeight="1" spans="1:14">
      <c r="A1681" s="5"/>
      <c r="B1681" s="6" t="s">
        <v>4506</v>
      </c>
      <c r="C1681" s="6">
        <v>2019</v>
      </c>
      <c r="D1681" s="6">
        <v>12</v>
      </c>
      <c r="E1681" s="7">
        <v>98</v>
      </c>
      <c r="F1681" s="6" t="s">
        <v>10349</v>
      </c>
      <c r="G1681" s="6" t="s">
        <v>9370</v>
      </c>
      <c r="H1681" s="6" t="s">
        <v>26</v>
      </c>
      <c r="I1681" s="8"/>
      <c r="J1681" s="8">
        <v>138</v>
      </c>
      <c r="K1681" s="6" t="s">
        <v>2942</v>
      </c>
      <c r="L1681" s="6" t="s">
        <v>9981</v>
      </c>
      <c r="M1681" s="6" t="s">
        <v>4509</v>
      </c>
      <c r="N1681" s="6" t="s">
        <v>4537</v>
      </c>
    </row>
    <row r="1682" s="1" customFormat="1" ht="16.35" customHeight="1" spans="1:14">
      <c r="A1682" s="5"/>
      <c r="B1682" s="6" t="s">
        <v>4506</v>
      </c>
      <c r="C1682" s="6">
        <v>2019</v>
      </c>
      <c r="D1682" s="6">
        <v>12</v>
      </c>
      <c r="E1682" s="7">
        <v>104</v>
      </c>
      <c r="F1682" s="6" t="s">
        <v>10357</v>
      </c>
      <c r="G1682" s="6" t="s">
        <v>9370</v>
      </c>
      <c r="H1682" s="6" t="s">
        <v>26</v>
      </c>
      <c r="I1682" s="8">
        <v>10882000</v>
      </c>
      <c r="J1682" s="8"/>
      <c r="K1682" s="6" t="s">
        <v>4509</v>
      </c>
      <c r="L1682" s="6" t="s">
        <v>9218</v>
      </c>
      <c r="M1682" s="6" t="s">
        <v>4509</v>
      </c>
      <c r="N1682" s="6" t="s">
        <v>4537</v>
      </c>
    </row>
    <row r="1683" s="1" customFormat="1" ht="16.35" customHeight="1" spans="1:14">
      <c r="A1683" s="5"/>
      <c r="B1683" s="6" t="s">
        <v>4506</v>
      </c>
      <c r="C1683" s="6">
        <v>2019</v>
      </c>
      <c r="D1683" s="6">
        <v>12</v>
      </c>
      <c r="E1683" s="7">
        <v>105</v>
      </c>
      <c r="F1683" s="6" t="s">
        <v>9385</v>
      </c>
      <c r="G1683" s="6" t="s">
        <v>9370</v>
      </c>
      <c r="H1683" s="6" t="s">
        <v>26</v>
      </c>
      <c r="I1683" s="8"/>
      <c r="J1683" s="8">
        <v>2219.16</v>
      </c>
      <c r="K1683" s="6" t="s">
        <v>4509</v>
      </c>
      <c r="L1683" s="6" t="s">
        <v>9218</v>
      </c>
      <c r="M1683" s="6" t="s">
        <v>4509</v>
      </c>
      <c r="N1683" s="6" t="s">
        <v>4537</v>
      </c>
    </row>
    <row r="1684" s="1" customFormat="1" ht="16.35" customHeight="1" spans="1:14">
      <c r="A1684" s="5"/>
      <c r="B1684" s="6" t="s">
        <v>4506</v>
      </c>
      <c r="C1684" s="6">
        <v>2019</v>
      </c>
      <c r="D1684" s="6">
        <v>12</v>
      </c>
      <c r="E1684" s="7">
        <v>106</v>
      </c>
      <c r="F1684" s="6" t="s">
        <v>10160</v>
      </c>
      <c r="G1684" s="6" t="s">
        <v>9370</v>
      </c>
      <c r="H1684" s="6" t="s">
        <v>26</v>
      </c>
      <c r="I1684" s="8">
        <v>11418908.01</v>
      </c>
      <c r="J1684" s="8"/>
      <c r="K1684" s="6" t="s">
        <v>4512</v>
      </c>
      <c r="L1684" s="6" t="s">
        <v>2906</v>
      </c>
      <c r="M1684" s="6" t="s">
        <v>4509</v>
      </c>
      <c r="N1684" s="6" t="s">
        <v>4537</v>
      </c>
    </row>
    <row r="1685" s="1" customFormat="1" ht="16.35" customHeight="1" spans="1:14">
      <c r="A1685" s="5"/>
      <c r="B1685" s="6" t="s">
        <v>4506</v>
      </c>
      <c r="C1685" s="6">
        <v>2019</v>
      </c>
      <c r="D1685" s="6">
        <v>12</v>
      </c>
      <c r="E1685" s="7">
        <v>106</v>
      </c>
      <c r="F1685" s="6" t="s">
        <v>10160</v>
      </c>
      <c r="G1685" s="6" t="s">
        <v>9370</v>
      </c>
      <c r="H1685" s="6" t="s">
        <v>26</v>
      </c>
      <c r="I1685" s="8"/>
      <c r="J1685" s="8">
        <v>11418908.01</v>
      </c>
      <c r="K1685" s="6" t="s">
        <v>4509</v>
      </c>
      <c r="L1685" s="6" t="s">
        <v>9218</v>
      </c>
      <c r="M1685" s="6" t="s">
        <v>4509</v>
      </c>
      <c r="N1685" s="6" t="s">
        <v>4537</v>
      </c>
    </row>
    <row r="1686" s="1" customFormat="1" ht="16.35" customHeight="1" spans="1:14">
      <c r="A1686" s="5"/>
      <c r="B1686" s="6" t="s">
        <v>4506</v>
      </c>
      <c r="C1686" s="6">
        <v>2019</v>
      </c>
      <c r="D1686" s="6">
        <v>12</v>
      </c>
      <c r="E1686" s="7">
        <v>106</v>
      </c>
      <c r="F1686" s="6" t="s">
        <v>10160</v>
      </c>
      <c r="G1686" s="6" t="s">
        <v>9370</v>
      </c>
      <c r="H1686" s="6" t="s">
        <v>26</v>
      </c>
      <c r="I1686" s="8">
        <v>235630.16</v>
      </c>
      <c r="J1686" s="8"/>
      <c r="K1686" s="6" t="s">
        <v>2976</v>
      </c>
      <c r="L1686" s="6" t="s">
        <v>9860</v>
      </c>
      <c r="M1686" s="6" t="s">
        <v>4509</v>
      </c>
      <c r="N1686" s="6" t="s">
        <v>4537</v>
      </c>
    </row>
    <row r="1687" s="1" customFormat="1" ht="16.35" customHeight="1" spans="1:14">
      <c r="A1687" s="5"/>
      <c r="B1687" s="6" t="s">
        <v>4506</v>
      </c>
      <c r="C1687" s="6">
        <v>2019</v>
      </c>
      <c r="D1687" s="6">
        <v>12</v>
      </c>
      <c r="E1687" s="7">
        <v>107</v>
      </c>
      <c r="F1687" s="6" t="s">
        <v>10358</v>
      </c>
      <c r="G1687" s="6" t="s">
        <v>9370</v>
      </c>
      <c r="H1687" s="6" t="s">
        <v>26</v>
      </c>
      <c r="I1687" s="8"/>
      <c r="J1687" s="8">
        <v>1800</v>
      </c>
      <c r="K1687" s="6" t="s">
        <v>4512</v>
      </c>
      <c r="L1687" s="6" t="s">
        <v>2906</v>
      </c>
      <c r="M1687" s="6" t="s">
        <v>4509</v>
      </c>
      <c r="N1687" s="6" t="s">
        <v>4537</v>
      </c>
    </row>
    <row r="1688" s="1" customFormat="1" ht="16.35" customHeight="1" spans="1:14">
      <c r="A1688" s="5"/>
      <c r="B1688" s="6" t="s">
        <v>4506</v>
      </c>
      <c r="C1688" s="6">
        <v>2019</v>
      </c>
      <c r="D1688" s="6">
        <v>12</v>
      </c>
      <c r="E1688" s="7">
        <v>107</v>
      </c>
      <c r="F1688" s="6" t="s">
        <v>10358</v>
      </c>
      <c r="G1688" s="6" t="s">
        <v>9370</v>
      </c>
      <c r="H1688" s="6" t="s">
        <v>26</v>
      </c>
      <c r="I1688" s="8">
        <v>1800</v>
      </c>
      <c r="J1688" s="8"/>
      <c r="K1688" s="6" t="s">
        <v>2976</v>
      </c>
      <c r="L1688" s="6" t="s">
        <v>9860</v>
      </c>
      <c r="M1688" s="6" t="s">
        <v>4509</v>
      </c>
      <c r="N1688" s="6" t="s">
        <v>4537</v>
      </c>
    </row>
    <row r="1689" s="1" customFormat="1" ht="16.25" customHeight="1" spans="1:15">
      <c r="A1689" s="3"/>
      <c r="I1689" s="8">
        <v>239205877.67</v>
      </c>
      <c r="J1689" s="8">
        <v>247783138.09</v>
      </c>
      <c r="O1689" s="3"/>
    </row>
    <row r="1708" spans="12:12">
      <c r="L1708" s="1">
        <f>276693/1.05</f>
        <v>263517.142857143</v>
      </c>
    </row>
  </sheetData>
  <autoFilter ref="A2:O1689">
    <extLst/>
  </autoFilter>
  <mergeCells count="1">
    <mergeCell ref="A3:A1688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/>
  <rangeList sheetStid="1" master=""/>
  <rangeList sheetStid="3" master="">
    <arrUserId title="区域1_1" rangeCreator="" othersAccessPermission="edit"/>
    <arrUserId title="区域1_1_1" rangeCreator="" othersAccessPermission="edit"/>
    <arrUserId title="区域1_1_2" rangeCreator="" othersAccessPermission="edit"/>
    <arrUserId title="区域1_1_3" rangeCreator="" othersAccessPermission="edit"/>
    <arrUserId title="区域1_1_4" rangeCreator="" othersAccessPermission="edit"/>
  </rangeList>
  <rangeList sheetStid="19" master=""/>
  <rangeList sheetStid="12" master=""/>
  <rangeList sheetStid="14" master=""/>
  <rangeList sheetStid="22" master=""/>
  <rangeList sheetStid="23" master=""/>
  <rangeList sheetStid="15" master=""/>
  <rangeList sheetStid="21" master=""/>
  <rangeList sheetStid="17" master=""/>
  <rangeList sheetStid="16" master="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泰康小区</vt:lpstr>
      <vt:lpstr>多浪小镇一期</vt:lpstr>
      <vt:lpstr>多浪小镇二期</vt:lpstr>
      <vt:lpstr>阿克苏分公司预收账款</vt:lpstr>
      <vt:lpstr>预收账款2013-2023年接表明细</vt:lpstr>
      <vt:lpstr>泰康小区账面房号及收款金额</vt:lpstr>
      <vt:lpstr>2023年8-11月预收账款</vt:lpstr>
      <vt:lpstr>账面结转2019年后</vt:lpstr>
      <vt:lpstr>多浪小区账面房号及收款金额</vt:lpstr>
      <vt:lpstr>多浪一期账面房号及收款金额-分公司</vt:lpstr>
      <vt:lpstr>2019年12月-2023年7月科目余额表</vt:lpstr>
      <vt:lpstr>其他应付款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Ting风吟</cp:lastModifiedBy>
  <dcterms:created xsi:type="dcterms:W3CDTF">2023-09-22T11:08:00Z</dcterms:created>
  <dcterms:modified xsi:type="dcterms:W3CDTF">2024-01-14T12:41:58Z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D937ACDC4B884A3081A1A9BFC5D59D77_13</vt:lpwstr>
  </property>
  <property fmtid="{D5CDD505-2E9C-101B-9397-08002B2CF9AE}" pid="3" name="KSOProductBuildVer">
    <vt:lpwstr>2052-12.1.0.16120</vt:lpwstr>
  </property>
  <property fmtid="{D5CDD505-2E9C-101B-9397-08002B2CF9AE}" pid="4" name="KSOReadingLayout">
    <vt:bool>true</vt:bool>
  </property>
</Properties>
</file>